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ofminn-my.sharepoint.com/personal/jens1739_umn_edu/Documents/After Internal Review/"/>
    </mc:Choice>
  </mc:AlternateContent>
  <xr:revisionPtr revIDLastSave="283" documentId="8_{97D15818-DC41-45B8-B14E-16805DCA4415}" xr6:coauthVersionLast="47" xr6:coauthVersionMax="47" xr10:uidLastSave="{74E3A097-5BB0-46F7-925C-5EB497EFC67D}"/>
  <bookViews>
    <workbookView xWindow="-98" yWindow="-98" windowWidth="22695" windowHeight="14476" xr2:uid="{4CA657BD-A994-4377-9330-93F73E0FA4D4}"/>
  </bookViews>
  <sheets>
    <sheet name="Data Dictionary" sheetId="2" r:id="rId1"/>
    <sheet name="EcoToxChip Raw Data" sheetId="4" r:id="rId2"/>
    <sheet name="SeqAPASS Level 1 Data" sheetId="1" r:id="rId3"/>
    <sheet name="SeqAPASS Level 3 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3" i="3" l="1"/>
  <c r="G483" i="3"/>
  <c r="E483" i="3"/>
  <c r="C483" i="3"/>
  <c r="I482" i="3"/>
  <c r="G482" i="3"/>
  <c r="E482" i="3"/>
  <c r="C482" i="3"/>
  <c r="I481" i="3"/>
  <c r="G481" i="3"/>
  <c r="E481" i="3"/>
  <c r="C481" i="3"/>
  <c r="I480" i="3"/>
  <c r="G480" i="3"/>
  <c r="E480" i="3"/>
  <c r="C480" i="3"/>
  <c r="I479" i="3"/>
  <c r="G479" i="3"/>
  <c r="E479" i="3"/>
  <c r="C479" i="3"/>
  <c r="I478" i="3"/>
  <c r="G478" i="3"/>
  <c r="E478" i="3"/>
  <c r="C478" i="3"/>
  <c r="I477" i="3"/>
  <c r="G477" i="3"/>
  <c r="E477" i="3"/>
  <c r="C477" i="3"/>
  <c r="I476" i="3"/>
  <c r="G476" i="3"/>
  <c r="E476" i="3"/>
  <c r="C476" i="3"/>
  <c r="I475" i="3"/>
  <c r="G475" i="3"/>
  <c r="E475" i="3"/>
  <c r="C475" i="3"/>
  <c r="I474" i="3"/>
  <c r="G474" i="3"/>
  <c r="E474" i="3"/>
  <c r="C474" i="3"/>
  <c r="I473" i="3"/>
  <c r="G473" i="3"/>
  <c r="E473" i="3"/>
  <c r="C473" i="3"/>
  <c r="I472" i="3"/>
  <c r="G472" i="3"/>
  <c r="E472" i="3"/>
  <c r="C472" i="3"/>
  <c r="I471" i="3"/>
  <c r="G471" i="3"/>
  <c r="E471" i="3"/>
  <c r="C471" i="3"/>
  <c r="I470" i="3"/>
  <c r="G470" i="3"/>
  <c r="E470" i="3"/>
  <c r="C470" i="3"/>
  <c r="I469" i="3"/>
  <c r="G469" i="3"/>
  <c r="E469" i="3"/>
  <c r="C469" i="3"/>
  <c r="I468" i="3"/>
  <c r="G468" i="3"/>
  <c r="E468" i="3"/>
  <c r="C468" i="3"/>
  <c r="I467" i="3"/>
  <c r="G467" i="3"/>
  <c r="E467" i="3"/>
  <c r="C467" i="3"/>
  <c r="I466" i="3"/>
  <c r="G466" i="3"/>
  <c r="E466" i="3"/>
  <c r="C466" i="3"/>
  <c r="I465" i="3"/>
  <c r="G465" i="3"/>
  <c r="E465" i="3"/>
  <c r="C465" i="3"/>
  <c r="I464" i="3"/>
  <c r="G464" i="3"/>
  <c r="E464" i="3"/>
  <c r="C464" i="3"/>
  <c r="I463" i="3"/>
  <c r="G463" i="3"/>
  <c r="E463" i="3"/>
  <c r="C463" i="3"/>
  <c r="I462" i="3"/>
  <c r="G462" i="3"/>
  <c r="E462" i="3"/>
  <c r="C462" i="3"/>
  <c r="I461" i="3"/>
  <c r="G461" i="3"/>
  <c r="E461" i="3"/>
  <c r="C461" i="3"/>
  <c r="I460" i="3"/>
  <c r="G460" i="3"/>
  <c r="E460" i="3"/>
  <c r="C460" i="3"/>
  <c r="I459" i="3"/>
  <c r="G459" i="3"/>
  <c r="E459" i="3"/>
  <c r="C459" i="3"/>
  <c r="I458" i="3"/>
  <c r="G458" i="3"/>
  <c r="E458" i="3"/>
  <c r="C458" i="3"/>
  <c r="I457" i="3"/>
  <c r="G457" i="3"/>
  <c r="E457" i="3"/>
  <c r="C457" i="3"/>
  <c r="I456" i="3"/>
  <c r="G456" i="3"/>
  <c r="E456" i="3"/>
  <c r="C456" i="3"/>
  <c r="I455" i="3"/>
  <c r="G455" i="3"/>
  <c r="E455" i="3"/>
  <c r="C455" i="3"/>
  <c r="I454" i="3"/>
  <c r="G454" i="3"/>
  <c r="E454" i="3"/>
  <c r="C454" i="3"/>
  <c r="I453" i="3"/>
  <c r="G453" i="3"/>
  <c r="E453" i="3"/>
  <c r="C453" i="3"/>
  <c r="I452" i="3"/>
  <c r="G452" i="3"/>
  <c r="E452" i="3"/>
  <c r="C452" i="3"/>
  <c r="I451" i="3"/>
  <c r="G451" i="3"/>
  <c r="E451" i="3"/>
  <c r="C451" i="3"/>
  <c r="I450" i="3"/>
  <c r="G450" i="3"/>
  <c r="E450" i="3"/>
  <c r="C450" i="3"/>
  <c r="I449" i="3"/>
  <c r="G449" i="3"/>
  <c r="E449" i="3"/>
  <c r="C449" i="3"/>
  <c r="I448" i="3"/>
  <c r="G448" i="3"/>
  <c r="E448" i="3"/>
  <c r="C448" i="3"/>
  <c r="I447" i="3"/>
  <c r="G447" i="3"/>
  <c r="E447" i="3"/>
  <c r="C447" i="3"/>
  <c r="I446" i="3"/>
  <c r="G446" i="3"/>
  <c r="E446" i="3"/>
  <c r="C446" i="3"/>
  <c r="I445" i="3"/>
  <c r="G445" i="3"/>
  <c r="E445" i="3"/>
  <c r="C445" i="3"/>
  <c r="I444" i="3"/>
  <c r="G444" i="3"/>
  <c r="E444" i="3"/>
  <c r="C444" i="3"/>
  <c r="I443" i="3"/>
  <c r="G443" i="3"/>
  <c r="E443" i="3"/>
  <c r="C443" i="3"/>
  <c r="I442" i="3"/>
  <c r="G442" i="3"/>
  <c r="E442" i="3"/>
  <c r="C442" i="3"/>
  <c r="I441" i="3"/>
  <c r="G441" i="3"/>
  <c r="E441" i="3"/>
  <c r="C441" i="3"/>
  <c r="I440" i="3"/>
  <c r="G440" i="3"/>
  <c r="E440" i="3"/>
  <c r="C440" i="3"/>
  <c r="I439" i="3"/>
  <c r="G439" i="3"/>
  <c r="E439" i="3"/>
  <c r="C439" i="3"/>
  <c r="I438" i="3"/>
  <c r="G438" i="3"/>
  <c r="E438" i="3"/>
  <c r="C438" i="3"/>
  <c r="I437" i="3"/>
  <c r="G437" i="3"/>
  <c r="E437" i="3"/>
  <c r="C437" i="3"/>
  <c r="I436" i="3"/>
  <c r="G436" i="3"/>
  <c r="E436" i="3"/>
  <c r="C436" i="3"/>
  <c r="I435" i="3"/>
  <c r="G435" i="3"/>
  <c r="E435" i="3"/>
  <c r="C435" i="3"/>
  <c r="I434" i="3"/>
  <c r="G434" i="3"/>
  <c r="E434" i="3"/>
  <c r="C434" i="3"/>
  <c r="I433" i="3"/>
  <c r="G433" i="3"/>
  <c r="E433" i="3"/>
  <c r="C433" i="3"/>
  <c r="I432" i="3"/>
  <c r="G432" i="3"/>
  <c r="E432" i="3"/>
  <c r="C432" i="3"/>
  <c r="I431" i="3"/>
  <c r="G431" i="3"/>
  <c r="E431" i="3"/>
  <c r="C431" i="3"/>
  <c r="I430" i="3"/>
  <c r="G430" i="3"/>
  <c r="E430" i="3"/>
  <c r="C430" i="3"/>
  <c r="I429" i="3"/>
  <c r="G429" i="3"/>
  <c r="E429" i="3"/>
  <c r="C429" i="3"/>
  <c r="I428" i="3"/>
  <c r="G428" i="3"/>
  <c r="E428" i="3"/>
  <c r="C428" i="3"/>
  <c r="I427" i="3"/>
  <c r="G427" i="3"/>
  <c r="E427" i="3"/>
  <c r="C427" i="3"/>
  <c r="I426" i="3"/>
  <c r="G426" i="3"/>
  <c r="E426" i="3"/>
  <c r="C426" i="3"/>
  <c r="I425" i="3"/>
  <c r="G425" i="3"/>
  <c r="E425" i="3"/>
  <c r="C425" i="3"/>
  <c r="I424" i="3"/>
  <c r="G424" i="3"/>
  <c r="E424" i="3"/>
  <c r="C424" i="3"/>
  <c r="I423" i="3"/>
  <c r="G423" i="3"/>
  <c r="E423" i="3"/>
  <c r="C423" i="3"/>
  <c r="I422" i="3"/>
  <c r="G422" i="3"/>
  <c r="E422" i="3"/>
  <c r="C422" i="3"/>
  <c r="I421" i="3"/>
  <c r="G421" i="3"/>
  <c r="E421" i="3"/>
  <c r="C421" i="3"/>
  <c r="I420" i="3"/>
  <c r="G420" i="3"/>
  <c r="E420" i="3"/>
  <c r="C420" i="3"/>
  <c r="I419" i="3"/>
  <c r="G419" i="3"/>
  <c r="E419" i="3"/>
  <c r="C419" i="3"/>
  <c r="I418" i="3"/>
  <c r="G418" i="3"/>
  <c r="E418" i="3"/>
  <c r="C418" i="3"/>
  <c r="I417" i="3"/>
  <c r="G417" i="3"/>
  <c r="E417" i="3"/>
  <c r="C417" i="3"/>
  <c r="I416" i="3"/>
  <c r="G416" i="3"/>
  <c r="E416" i="3"/>
  <c r="C416" i="3"/>
  <c r="I415" i="3"/>
  <c r="G415" i="3"/>
  <c r="E415" i="3"/>
  <c r="C415" i="3"/>
  <c r="I414" i="3"/>
  <c r="G414" i="3"/>
  <c r="E414" i="3"/>
  <c r="C414" i="3"/>
  <c r="I413" i="3"/>
  <c r="G413" i="3"/>
  <c r="E413" i="3"/>
  <c r="C413" i="3"/>
  <c r="I412" i="3"/>
  <c r="G412" i="3"/>
  <c r="E412" i="3"/>
  <c r="C412" i="3"/>
  <c r="I411" i="3"/>
  <c r="G411" i="3"/>
  <c r="E411" i="3"/>
  <c r="C411" i="3"/>
  <c r="I410" i="3"/>
  <c r="G410" i="3"/>
  <c r="E410" i="3"/>
  <c r="C410" i="3"/>
  <c r="I409" i="3"/>
  <c r="G409" i="3"/>
  <c r="E409" i="3"/>
  <c r="C409" i="3"/>
  <c r="I408" i="3"/>
  <c r="G408" i="3"/>
  <c r="E408" i="3"/>
  <c r="C408" i="3"/>
  <c r="I407" i="3"/>
  <c r="G407" i="3"/>
  <c r="E407" i="3"/>
  <c r="C407" i="3"/>
  <c r="I406" i="3"/>
  <c r="G406" i="3"/>
  <c r="E406" i="3"/>
  <c r="C406" i="3"/>
  <c r="I405" i="3"/>
  <c r="G405" i="3"/>
  <c r="E405" i="3"/>
  <c r="C405" i="3"/>
  <c r="I404" i="3"/>
  <c r="G404" i="3"/>
  <c r="E404" i="3"/>
  <c r="C404" i="3"/>
  <c r="I403" i="3"/>
  <c r="G403" i="3"/>
  <c r="E403" i="3"/>
  <c r="C403" i="3"/>
  <c r="I402" i="3"/>
  <c r="G402" i="3"/>
  <c r="E402" i="3"/>
  <c r="C402" i="3"/>
  <c r="I401" i="3"/>
  <c r="G401" i="3"/>
  <c r="E401" i="3"/>
  <c r="C401" i="3"/>
  <c r="I400" i="3"/>
  <c r="G400" i="3"/>
  <c r="E400" i="3"/>
  <c r="C400" i="3"/>
  <c r="I399" i="3"/>
  <c r="G399" i="3"/>
  <c r="E399" i="3"/>
  <c r="C399" i="3"/>
  <c r="I398" i="3"/>
  <c r="G398" i="3"/>
  <c r="E398" i="3"/>
  <c r="C398" i="3"/>
  <c r="I397" i="3"/>
  <c r="G397" i="3"/>
  <c r="E397" i="3"/>
  <c r="C397" i="3"/>
  <c r="I396" i="3"/>
  <c r="G396" i="3"/>
  <c r="E396" i="3"/>
  <c r="C396" i="3"/>
  <c r="I395" i="3"/>
  <c r="G395" i="3"/>
  <c r="E395" i="3"/>
  <c r="C395" i="3"/>
  <c r="I394" i="3"/>
  <c r="G394" i="3"/>
  <c r="E394" i="3"/>
  <c r="C394" i="3"/>
  <c r="I393" i="3"/>
  <c r="G393" i="3"/>
  <c r="E393" i="3"/>
  <c r="C393" i="3"/>
  <c r="I392" i="3"/>
  <c r="G392" i="3"/>
  <c r="E392" i="3"/>
  <c r="C392" i="3"/>
  <c r="I391" i="3"/>
  <c r="G391" i="3"/>
  <c r="E391" i="3"/>
  <c r="C391" i="3"/>
  <c r="I390" i="3"/>
  <c r="G390" i="3"/>
  <c r="E390" i="3"/>
  <c r="C390" i="3"/>
  <c r="I389" i="3"/>
  <c r="G389" i="3"/>
  <c r="E389" i="3"/>
  <c r="C389" i="3"/>
  <c r="I388" i="3"/>
  <c r="G388" i="3"/>
  <c r="E388" i="3"/>
  <c r="C388" i="3"/>
  <c r="I387" i="3"/>
  <c r="G387" i="3"/>
  <c r="E387" i="3"/>
  <c r="C387" i="3"/>
  <c r="I386" i="3"/>
  <c r="G386" i="3"/>
  <c r="E386" i="3"/>
  <c r="C386" i="3"/>
  <c r="I385" i="3"/>
  <c r="G385" i="3"/>
  <c r="E385" i="3"/>
  <c r="C385" i="3"/>
  <c r="I384" i="3"/>
  <c r="G384" i="3"/>
  <c r="E384" i="3"/>
  <c r="C384" i="3"/>
  <c r="I383" i="3"/>
  <c r="G383" i="3"/>
  <c r="E383" i="3"/>
  <c r="C383" i="3"/>
  <c r="I382" i="3"/>
  <c r="G382" i="3"/>
  <c r="E382" i="3"/>
  <c r="C382" i="3"/>
  <c r="I381" i="3"/>
  <c r="G381" i="3"/>
  <c r="E381" i="3"/>
  <c r="C381" i="3"/>
  <c r="I380" i="3"/>
  <c r="G380" i="3"/>
  <c r="E380" i="3"/>
  <c r="C380" i="3"/>
  <c r="I379" i="3"/>
  <c r="G379" i="3"/>
  <c r="E379" i="3"/>
  <c r="C379" i="3"/>
  <c r="I378" i="3"/>
  <c r="G378" i="3"/>
  <c r="E378" i="3"/>
  <c r="C378" i="3"/>
  <c r="I377" i="3"/>
  <c r="G377" i="3"/>
  <c r="E377" i="3"/>
  <c r="C377" i="3"/>
  <c r="I376" i="3"/>
  <c r="G376" i="3"/>
  <c r="E376" i="3"/>
  <c r="C376" i="3"/>
  <c r="I375" i="3"/>
  <c r="G375" i="3"/>
  <c r="E375" i="3"/>
  <c r="C375" i="3"/>
  <c r="I374" i="3"/>
  <c r="G374" i="3"/>
  <c r="E374" i="3"/>
  <c r="C374" i="3"/>
  <c r="I373" i="3"/>
  <c r="G373" i="3"/>
  <c r="E373" i="3"/>
  <c r="C373" i="3"/>
  <c r="I372" i="3"/>
  <c r="G372" i="3"/>
  <c r="E372" i="3"/>
  <c r="C372" i="3"/>
  <c r="I371" i="3"/>
  <c r="G371" i="3"/>
  <c r="E371" i="3"/>
  <c r="C371" i="3"/>
  <c r="I370" i="3"/>
  <c r="G370" i="3"/>
  <c r="E370" i="3"/>
  <c r="C370" i="3"/>
  <c r="I369" i="3"/>
  <c r="G369" i="3"/>
  <c r="E369" i="3"/>
  <c r="C369" i="3"/>
  <c r="I368" i="3"/>
  <c r="G368" i="3"/>
  <c r="E368" i="3"/>
  <c r="C368" i="3"/>
  <c r="I367" i="3"/>
  <c r="G367" i="3"/>
  <c r="E367" i="3"/>
  <c r="C367" i="3"/>
  <c r="I366" i="3"/>
  <c r="G366" i="3"/>
  <c r="E366" i="3"/>
  <c r="C366" i="3"/>
  <c r="I365" i="3"/>
  <c r="G365" i="3"/>
  <c r="E365" i="3"/>
  <c r="C365" i="3"/>
  <c r="I364" i="3"/>
  <c r="G364" i="3"/>
  <c r="E364" i="3"/>
  <c r="C364" i="3"/>
  <c r="I363" i="3"/>
  <c r="G363" i="3"/>
  <c r="E363" i="3"/>
  <c r="C363" i="3"/>
  <c r="I362" i="3"/>
  <c r="G362" i="3"/>
  <c r="E362" i="3"/>
  <c r="C362" i="3"/>
  <c r="I361" i="3"/>
  <c r="G361" i="3"/>
  <c r="E361" i="3"/>
  <c r="C361" i="3"/>
  <c r="I360" i="3"/>
  <c r="G360" i="3"/>
  <c r="E360" i="3"/>
  <c r="C360" i="3"/>
  <c r="I359" i="3"/>
  <c r="G359" i="3"/>
  <c r="E359" i="3"/>
  <c r="C359" i="3"/>
  <c r="I358" i="3"/>
  <c r="G358" i="3"/>
  <c r="E358" i="3"/>
  <c r="C358" i="3"/>
  <c r="I357" i="3"/>
  <c r="G357" i="3"/>
  <c r="E357" i="3"/>
  <c r="C357" i="3"/>
  <c r="I356" i="3"/>
  <c r="G356" i="3"/>
  <c r="E356" i="3"/>
  <c r="C356" i="3"/>
  <c r="I355" i="3"/>
  <c r="G355" i="3"/>
  <c r="E355" i="3"/>
  <c r="C355" i="3"/>
  <c r="I354" i="3"/>
  <c r="G354" i="3"/>
  <c r="E354" i="3"/>
  <c r="C354" i="3"/>
  <c r="I353" i="3"/>
  <c r="G353" i="3"/>
  <c r="E353" i="3"/>
  <c r="C353" i="3"/>
  <c r="I352" i="3"/>
  <c r="G352" i="3"/>
  <c r="E352" i="3"/>
  <c r="C352" i="3"/>
  <c r="I351" i="3"/>
  <c r="G351" i="3"/>
  <c r="E351" i="3"/>
  <c r="C351" i="3"/>
  <c r="I350" i="3"/>
  <c r="G350" i="3"/>
  <c r="E350" i="3"/>
  <c r="C350" i="3"/>
  <c r="I349" i="3"/>
  <c r="G349" i="3"/>
  <c r="E349" i="3"/>
  <c r="C349" i="3"/>
  <c r="I348" i="3"/>
  <c r="G348" i="3"/>
  <c r="E348" i="3"/>
  <c r="C348" i="3"/>
  <c r="I347" i="3"/>
  <c r="G347" i="3"/>
  <c r="E347" i="3"/>
  <c r="C347" i="3"/>
  <c r="I346" i="3"/>
  <c r="G346" i="3"/>
  <c r="E346" i="3"/>
  <c r="C346" i="3"/>
  <c r="I345" i="3"/>
  <c r="G345" i="3"/>
  <c r="E345" i="3"/>
  <c r="C345" i="3"/>
  <c r="I344" i="3"/>
  <c r="G344" i="3"/>
  <c r="E344" i="3"/>
  <c r="C344" i="3"/>
  <c r="I343" i="3"/>
  <c r="G343" i="3"/>
  <c r="E343" i="3"/>
  <c r="C343" i="3"/>
  <c r="I342" i="3"/>
  <c r="G342" i="3"/>
  <c r="E342" i="3"/>
  <c r="C342" i="3"/>
  <c r="I341" i="3"/>
  <c r="G341" i="3"/>
  <c r="E341" i="3"/>
  <c r="C341" i="3"/>
  <c r="I340" i="3"/>
  <c r="G340" i="3"/>
  <c r="E340" i="3"/>
  <c r="C340" i="3"/>
  <c r="I339" i="3"/>
  <c r="G339" i="3"/>
  <c r="E339" i="3"/>
  <c r="C339" i="3"/>
  <c r="I338" i="3"/>
  <c r="G338" i="3"/>
  <c r="E338" i="3"/>
  <c r="C338" i="3"/>
  <c r="I337" i="3"/>
  <c r="G337" i="3"/>
  <c r="E337" i="3"/>
  <c r="C337" i="3"/>
  <c r="I336" i="3"/>
  <c r="G336" i="3"/>
  <c r="E336" i="3"/>
  <c r="C336" i="3"/>
  <c r="I335" i="3"/>
  <c r="G335" i="3"/>
  <c r="E335" i="3"/>
  <c r="C335" i="3"/>
  <c r="I334" i="3"/>
  <c r="G334" i="3"/>
  <c r="E334" i="3"/>
  <c r="C334" i="3"/>
  <c r="I333" i="3"/>
  <c r="G333" i="3"/>
  <c r="E333" i="3"/>
  <c r="C333" i="3"/>
  <c r="I332" i="3"/>
  <c r="G332" i="3"/>
  <c r="E332" i="3"/>
  <c r="C332" i="3"/>
  <c r="I331" i="3"/>
  <c r="G331" i="3"/>
  <c r="E331" i="3"/>
  <c r="C331" i="3"/>
  <c r="I330" i="3"/>
  <c r="G330" i="3"/>
  <c r="E330" i="3"/>
  <c r="C330" i="3"/>
  <c r="I329" i="3"/>
  <c r="G329" i="3"/>
  <c r="E329" i="3"/>
  <c r="C329" i="3"/>
  <c r="I328" i="3"/>
  <c r="G328" i="3"/>
  <c r="E328" i="3"/>
  <c r="C328" i="3"/>
  <c r="I327" i="3"/>
  <c r="G327" i="3"/>
  <c r="E327" i="3"/>
  <c r="C327" i="3"/>
  <c r="I326" i="3"/>
  <c r="G326" i="3"/>
  <c r="E326" i="3"/>
  <c r="C326" i="3"/>
  <c r="I325" i="3"/>
  <c r="G325" i="3"/>
  <c r="E325" i="3"/>
  <c r="C325" i="3"/>
  <c r="I324" i="3"/>
  <c r="G324" i="3"/>
  <c r="E324" i="3"/>
  <c r="C324" i="3"/>
  <c r="I323" i="3"/>
  <c r="G323" i="3"/>
  <c r="E323" i="3"/>
  <c r="C323" i="3"/>
  <c r="I322" i="3"/>
  <c r="G322" i="3"/>
  <c r="E322" i="3"/>
  <c r="C322" i="3"/>
  <c r="I321" i="3"/>
  <c r="G321" i="3"/>
  <c r="E321" i="3"/>
  <c r="C321" i="3"/>
  <c r="I320" i="3"/>
  <c r="G320" i="3"/>
  <c r="E320" i="3"/>
  <c r="C320" i="3"/>
  <c r="I319" i="3"/>
  <c r="G319" i="3"/>
  <c r="E319" i="3"/>
  <c r="C319" i="3"/>
  <c r="I318" i="3"/>
  <c r="G318" i="3"/>
  <c r="E318" i="3"/>
  <c r="C318" i="3"/>
  <c r="I317" i="3"/>
  <c r="G317" i="3"/>
  <c r="E317" i="3"/>
  <c r="C317" i="3"/>
  <c r="I316" i="3"/>
  <c r="G316" i="3"/>
  <c r="E316" i="3"/>
  <c r="C316" i="3"/>
  <c r="I315" i="3"/>
  <c r="G315" i="3"/>
  <c r="E315" i="3"/>
  <c r="C315" i="3"/>
  <c r="I314" i="3"/>
  <c r="G314" i="3"/>
  <c r="E314" i="3"/>
  <c r="C314" i="3"/>
  <c r="I313" i="3"/>
  <c r="G313" i="3"/>
  <c r="E313" i="3"/>
  <c r="C313" i="3"/>
  <c r="I312" i="3"/>
  <c r="G312" i="3"/>
  <c r="E312" i="3"/>
  <c r="C312" i="3"/>
  <c r="I311" i="3"/>
  <c r="G311" i="3"/>
  <c r="E311" i="3"/>
  <c r="C311" i="3"/>
  <c r="I310" i="3"/>
  <c r="G310" i="3"/>
  <c r="E310" i="3"/>
  <c r="C310" i="3"/>
  <c r="I309" i="3"/>
  <c r="G309" i="3"/>
  <c r="E309" i="3"/>
  <c r="C309" i="3"/>
  <c r="I308" i="3"/>
  <c r="G308" i="3"/>
  <c r="E308" i="3"/>
  <c r="C308" i="3"/>
  <c r="I307" i="3"/>
  <c r="G307" i="3"/>
  <c r="E307" i="3"/>
  <c r="C307" i="3"/>
  <c r="I306" i="3"/>
  <c r="G306" i="3"/>
  <c r="E306" i="3"/>
  <c r="C306" i="3"/>
  <c r="I305" i="3"/>
  <c r="G305" i="3"/>
  <c r="E305" i="3"/>
  <c r="C305" i="3"/>
  <c r="I304" i="3"/>
  <c r="G304" i="3"/>
  <c r="E304" i="3"/>
  <c r="C304" i="3"/>
  <c r="I303" i="3"/>
  <c r="G303" i="3"/>
  <c r="E303" i="3"/>
  <c r="C303" i="3"/>
  <c r="I302" i="3"/>
  <c r="G302" i="3"/>
  <c r="E302" i="3"/>
  <c r="C302" i="3"/>
  <c r="I301" i="3"/>
  <c r="G301" i="3"/>
  <c r="E301" i="3"/>
  <c r="C301" i="3"/>
  <c r="I300" i="3"/>
  <c r="G300" i="3"/>
  <c r="E300" i="3"/>
  <c r="C300" i="3"/>
  <c r="I299" i="3"/>
  <c r="G299" i="3"/>
  <c r="E299" i="3"/>
  <c r="C299" i="3"/>
  <c r="I298" i="3"/>
  <c r="G298" i="3"/>
  <c r="E298" i="3"/>
  <c r="C298" i="3"/>
  <c r="I297" i="3"/>
  <c r="G297" i="3"/>
  <c r="E297" i="3"/>
  <c r="C297" i="3"/>
  <c r="I296" i="3"/>
  <c r="G296" i="3"/>
  <c r="E296" i="3"/>
  <c r="C296" i="3"/>
  <c r="I295" i="3"/>
  <c r="G295" i="3"/>
  <c r="E295" i="3"/>
  <c r="C295" i="3"/>
  <c r="I294" i="3"/>
  <c r="G294" i="3"/>
  <c r="E294" i="3"/>
  <c r="C294" i="3"/>
  <c r="I293" i="3"/>
  <c r="G293" i="3"/>
  <c r="E293" i="3"/>
  <c r="C293" i="3"/>
  <c r="I292" i="3"/>
  <c r="G292" i="3"/>
  <c r="E292" i="3"/>
  <c r="C292" i="3"/>
  <c r="I291" i="3"/>
  <c r="G291" i="3"/>
  <c r="E291" i="3"/>
  <c r="C291" i="3"/>
  <c r="I290" i="3"/>
  <c r="G290" i="3"/>
  <c r="E290" i="3"/>
  <c r="C290" i="3"/>
  <c r="I289" i="3"/>
  <c r="G289" i="3"/>
  <c r="E289" i="3"/>
  <c r="C289" i="3"/>
  <c r="I288" i="3"/>
  <c r="G288" i="3"/>
  <c r="E288" i="3"/>
  <c r="C288" i="3"/>
  <c r="I287" i="3"/>
  <c r="G287" i="3"/>
  <c r="E287" i="3"/>
  <c r="C287" i="3"/>
  <c r="I286" i="3"/>
  <c r="G286" i="3"/>
  <c r="E286" i="3"/>
  <c r="C286" i="3"/>
  <c r="I285" i="3"/>
  <c r="G285" i="3"/>
  <c r="E285" i="3"/>
  <c r="C285" i="3"/>
  <c r="I284" i="3"/>
  <c r="G284" i="3"/>
  <c r="E284" i="3"/>
  <c r="C284" i="3"/>
  <c r="I283" i="3"/>
  <c r="G283" i="3"/>
  <c r="E283" i="3"/>
  <c r="C283" i="3"/>
  <c r="I282" i="3"/>
  <c r="G282" i="3"/>
  <c r="E282" i="3"/>
  <c r="C282" i="3"/>
  <c r="I281" i="3"/>
  <c r="G281" i="3"/>
  <c r="E281" i="3"/>
  <c r="C281" i="3"/>
  <c r="I280" i="3"/>
  <c r="G280" i="3"/>
  <c r="E280" i="3"/>
  <c r="C280" i="3"/>
  <c r="I279" i="3"/>
  <c r="G279" i="3"/>
  <c r="E279" i="3"/>
  <c r="C279" i="3"/>
  <c r="I278" i="3"/>
  <c r="G278" i="3"/>
  <c r="E278" i="3"/>
  <c r="C278" i="3"/>
  <c r="I277" i="3"/>
  <c r="G277" i="3"/>
  <c r="E277" i="3"/>
  <c r="C277" i="3"/>
  <c r="I276" i="3"/>
  <c r="G276" i="3"/>
  <c r="E276" i="3"/>
  <c r="C276" i="3"/>
  <c r="I275" i="3"/>
  <c r="G275" i="3"/>
  <c r="E275" i="3"/>
  <c r="C275" i="3"/>
  <c r="I274" i="3"/>
  <c r="G274" i="3"/>
  <c r="E274" i="3"/>
  <c r="C274" i="3"/>
  <c r="I273" i="3"/>
  <c r="G273" i="3"/>
  <c r="E273" i="3"/>
  <c r="C273" i="3"/>
  <c r="I272" i="3"/>
  <c r="G272" i="3"/>
  <c r="E272" i="3"/>
  <c r="C272" i="3"/>
  <c r="I271" i="3"/>
  <c r="G271" i="3"/>
  <c r="E271" i="3"/>
  <c r="C271" i="3"/>
  <c r="I270" i="3"/>
  <c r="G270" i="3"/>
  <c r="E270" i="3"/>
  <c r="C270" i="3"/>
  <c r="I269" i="3"/>
  <c r="G269" i="3"/>
  <c r="E269" i="3"/>
  <c r="C269" i="3"/>
  <c r="I268" i="3"/>
  <c r="G268" i="3"/>
  <c r="E268" i="3"/>
  <c r="C268" i="3"/>
  <c r="I267" i="3"/>
  <c r="G267" i="3"/>
  <c r="E267" i="3"/>
  <c r="C267" i="3"/>
  <c r="I266" i="3"/>
  <c r="G266" i="3"/>
  <c r="E266" i="3"/>
  <c r="C266" i="3"/>
  <c r="I265" i="3"/>
  <c r="G265" i="3"/>
  <c r="E265" i="3"/>
  <c r="C265" i="3"/>
  <c r="I264" i="3"/>
  <c r="G264" i="3"/>
  <c r="E264" i="3"/>
  <c r="C264" i="3"/>
  <c r="I263" i="3"/>
  <c r="G263" i="3"/>
  <c r="E263" i="3"/>
  <c r="C263" i="3"/>
  <c r="I262" i="3"/>
  <c r="G262" i="3"/>
  <c r="E262" i="3"/>
  <c r="C262" i="3"/>
  <c r="I261" i="3"/>
  <c r="G261" i="3"/>
  <c r="E261" i="3"/>
  <c r="C261" i="3"/>
  <c r="I260" i="3"/>
  <c r="G260" i="3"/>
  <c r="E260" i="3"/>
  <c r="C260" i="3"/>
  <c r="I259" i="3"/>
  <c r="G259" i="3"/>
  <c r="E259" i="3"/>
  <c r="C259" i="3"/>
  <c r="I258" i="3"/>
  <c r="G258" i="3"/>
  <c r="E258" i="3"/>
  <c r="C258" i="3"/>
  <c r="I257" i="3"/>
  <c r="G257" i="3"/>
  <c r="E257" i="3"/>
  <c r="C257" i="3"/>
  <c r="I256" i="3"/>
  <c r="G256" i="3"/>
  <c r="E256" i="3"/>
  <c r="C256" i="3"/>
  <c r="I255" i="3"/>
  <c r="G255" i="3"/>
  <c r="E255" i="3"/>
  <c r="C255" i="3"/>
  <c r="I254" i="3"/>
  <c r="G254" i="3"/>
  <c r="E254" i="3"/>
  <c r="C254" i="3"/>
  <c r="I253" i="3"/>
  <c r="G253" i="3"/>
  <c r="E253" i="3"/>
  <c r="C253" i="3"/>
  <c r="I252" i="3"/>
  <c r="G252" i="3"/>
  <c r="E252" i="3"/>
  <c r="C252" i="3"/>
  <c r="I251" i="3"/>
  <c r="G251" i="3"/>
  <c r="E251" i="3"/>
  <c r="C251" i="3"/>
  <c r="I250" i="3"/>
  <c r="G250" i="3"/>
  <c r="E250" i="3"/>
  <c r="C250" i="3"/>
  <c r="I249" i="3"/>
  <c r="G249" i="3"/>
  <c r="E249" i="3"/>
  <c r="C249" i="3"/>
  <c r="I248" i="3"/>
  <c r="G248" i="3"/>
  <c r="E248" i="3"/>
  <c r="C248" i="3"/>
  <c r="I247" i="3"/>
  <c r="G247" i="3"/>
  <c r="E247" i="3"/>
  <c r="C247" i="3"/>
  <c r="I246" i="3"/>
  <c r="G246" i="3"/>
  <c r="E246" i="3"/>
  <c r="C246" i="3"/>
  <c r="I245" i="3"/>
  <c r="G245" i="3"/>
  <c r="E245" i="3"/>
  <c r="C245" i="3"/>
  <c r="I244" i="3"/>
  <c r="G244" i="3"/>
  <c r="E244" i="3"/>
  <c r="C244" i="3"/>
  <c r="I243" i="3"/>
  <c r="G243" i="3"/>
  <c r="E243" i="3"/>
  <c r="C243" i="3"/>
  <c r="I242" i="3"/>
  <c r="G242" i="3"/>
  <c r="E242" i="3"/>
  <c r="C242" i="3"/>
  <c r="I241" i="3"/>
  <c r="G241" i="3"/>
  <c r="E241" i="3"/>
  <c r="C241" i="3"/>
  <c r="I240" i="3"/>
  <c r="G240" i="3"/>
  <c r="E240" i="3"/>
  <c r="C240" i="3"/>
  <c r="I239" i="3"/>
  <c r="G239" i="3"/>
  <c r="E239" i="3"/>
  <c r="C239" i="3"/>
  <c r="I238" i="3"/>
  <c r="G238" i="3"/>
  <c r="E238" i="3"/>
  <c r="C238" i="3"/>
  <c r="I237" i="3"/>
  <c r="G237" i="3"/>
  <c r="E237" i="3"/>
  <c r="C237" i="3"/>
  <c r="I236" i="3"/>
  <c r="G236" i="3"/>
  <c r="E236" i="3"/>
  <c r="C236" i="3"/>
  <c r="I235" i="3"/>
  <c r="G235" i="3"/>
  <c r="E235" i="3"/>
  <c r="C235" i="3"/>
  <c r="I234" i="3"/>
  <c r="G234" i="3"/>
  <c r="E234" i="3"/>
  <c r="C234" i="3"/>
  <c r="I233" i="3"/>
  <c r="G233" i="3"/>
  <c r="E233" i="3"/>
  <c r="C233" i="3"/>
  <c r="I232" i="3"/>
  <c r="G232" i="3"/>
  <c r="E232" i="3"/>
  <c r="C232" i="3"/>
  <c r="I231" i="3"/>
  <c r="G231" i="3"/>
  <c r="E231" i="3"/>
  <c r="C231" i="3"/>
  <c r="I230" i="3"/>
  <c r="G230" i="3"/>
  <c r="E230" i="3"/>
  <c r="C230" i="3"/>
  <c r="I229" i="3"/>
  <c r="G229" i="3"/>
  <c r="E229" i="3"/>
  <c r="C229" i="3"/>
  <c r="I228" i="3"/>
  <c r="G228" i="3"/>
  <c r="E228" i="3"/>
  <c r="C228" i="3"/>
  <c r="I227" i="3"/>
  <c r="G227" i="3"/>
  <c r="E227" i="3"/>
  <c r="C227" i="3"/>
  <c r="I226" i="3"/>
  <c r="G226" i="3"/>
  <c r="E226" i="3"/>
  <c r="C226" i="3"/>
  <c r="I225" i="3"/>
  <c r="G225" i="3"/>
  <c r="E225" i="3"/>
  <c r="C225" i="3"/>
  <c r="I224" i="3"/>
  <c r="G224" i="3"/>
  <c r="E224" i="3"/>
  <c r="C224" i="3"/>
  <c r="I223" i="3"/>
  <c r="G223" i="3"/>
  <c r="E223" i="3"/>
  <c r="C223" i="3"/>
  <c r="I222" i="3"/>
  <c r="G222" i="3"/>
  <c r="E222" i="3"/>
  <c r="C222" i="3"/>
  <c r="I221" i="3"/>
  <c r="G221" i="3"/>
  <c r="E221" i="3"/>
  <c r="C221" i="3"/>
  <c r="I220" i="3"/>
  <c r="G220" i="3"/>
  <c r="E220" i="3"/>
  <c r="C220" i="3"/>
  <c r="I219" i="3"/>
  <c r="G219" i="3"/>
  <c r="E219" i="3"/>
  <c r="C219" i="3"/>
  <c r="I218" i="3"/>
  <c r="G218" i="3"/>
  <c r="E218" i="3"/>
  <c r="C218" i="3"/>
  <c r="I217" i="3"/>
  <c r="G217" i="3"/>
  <c r="E217" i="3"/>
  <c r="C217" i="3"/>
  <c r="I216" i="3"/>
  <c r="G216" i="3"/>
  <c r="E216" i="3"/>
  <c r="C216" i="3"/>
  <c r="I215" i="3"/>
  <c r="G215" i="3"/>
  <c r="E215" i="3"/>
  <c r="C215" i="3"/>
  <c r="I214" i="3"/>
  <c r="G214" i="3"/>
  <c r="E214" i="3"/>
  <c r="C214" i="3"/>
  <c r="I213" i="3"/>
  <c r="G213" i="3"/>
  <c r="E213" i="3"/>
  <c r="C213" i="3"/>
  <c r="I212" i="3"/>
  <c r="G212" i="3"/>
  <c r="E212" i="3"/>
  <c r="C212" i="3"/>
  <c r="I211" i="3"/>
  <c r="G211" i="3"/>
  <c r="E211" i="3"/>
  <c r="C211" i="3"/>
  <c r="I210" i="3"/>
  <c r="G210" i="3"/>
  <c r="E210" i="3"/>
  <c r="C210" i="3"/>
  <c r="I209" i="3"/>
  <c r="G209" i="3"/>
  <c r="E209" i="3"/>
  <c r="C209" i="3"/>
  <c r="I208" i="3"/>
  <c r="G208" i="3"/>
  <c r="E208" i="3"/>
  <c r="C208" i="3"/>
  <c r="I207" i="3"/>
  <c r="G207" i="3"/>
  <c r="E207" i="3"/>
  <c r="C207" i="3"/>
  <c r="I206" i="3"/>
  <c r="G206" i="3"/>
  <c r="E206" i="3"/>
  <c r="C206" i="3"/>
  <c r="I205" i="3"/>
  <c r="G205" i="3"/>
  <c r="E205" i="3"/>
  <c r="C205" i="3"/>
  <c r="I204" i="3"/>
  <c r="G204" i="3"/>
  <c r="E204" i="3"/>
  <c r="C204" i="3"/>
  <c r="I203" i="3"/>
  <c r="G203" i="3"/>
  <c r="E203" i="3"/>
  <c r="C203" i="3"/>
  <c r="I202" i="3"/>
  <c r="G202" i="3"/>
  <c r="E202" i="3"/>
  <c r="C202" i="3"/>
  <c r="I201" i="3"/>
  <c r="G201" i="3"/>
  <c r="E201" i="3"/>
  <c r="C201" i="3"/>
  <c r="I200" i="3"/>
  <c r="G200" i="3"/>
  <c r="E200" i="3"/>
  <c r="C200" i="3"/>
  <c r="I199" i="3"/>
  <c r="G199" i="3"/>
  <c r="E199" i="3"/>
  <c r="C199" i="3"/>
  <c r="I198" i="3"/>
  <c r="G198" i="3"/>
  <c r="E198" i="3"/>
  <c r="C198" i="3"/>
  <c r="I197" i="3"/>
  <c r="G197" i="3"/>
  <c r="E197" i="3"/>
  <c r="C197" i="3"/>
  <c r="I196" i="3"/>
  <c r="G196" i="3"/>
  <c r="E196" i="3"/>
  <c r="C196" i="3"/>
  <c r="I195" i="3"/>
  <c r="G195" i="3"/>
  <c r="E195" i="3"/>
  <c r="C195" i="3"/>
  <c r="I194" i="3"/>
  <c r="G194" i="3"/>
  <c r="E194" i="3"/>
  <c r="C194" i="3"/>
  <c r="I193" i="3"/>
  <c r="G193" i="3"/>
  <c r="E193" i="3"/>
  <c r="C193" i="3"/>
  <c r="I192" i="3"/>
  <c r="G192" i="3"/>
  <c r="E192" i="3"/>
  <c r="C192" i="3"/>
  <c r="I191" i="3"/>
  <c r="G191" i="3"/>
  <c r="E191" i="3"/>
  <c r="C191" i="3"/>
  <c r="I190" i="3"/>
  <c r="G190" i="3"/>
  <c r="E190" i="3"/>
  <c r="C190" i="3"/>
  <c r="I189" i="3"/>
  <c r="G189" i="3"/>
  <c r="E189" i="3"/>
  <c r="C189" i="3"/>
  <c r="I188" i="3"/>
  <c r="G188" i="3"/>
  <c r="E188" i="3"/>
  <c r="C188" i="3"/>
  <c r="I187" i="3"/>
  <c r="G187" i="3"/>
  <c r="E187" i="3"/>
  <c r="C187" i="3"/>
  <c r="I186" i="3"/>
  <c r="G186" i="3"/>
  <c r="E186" i="3"/>
  <c r="C186" i="3"/>
  <c r="I185" i="3"/>
  <c r="G185" i="3"/>
  <c r="E185" i="3"/>
  <c r="C185" i="3"/>
  <c r="I184" i="3"/>
  <c r="G184" i="3"/>
  <c r="E184" i="3"/>
  <c r="C184" i="3"/>
  <c r="I183" i="3"/>
  <c r="G183" i="3"/>
  <c r="E183" i="3"/>
  <c r="C183" i="3"/>
  <c r="I182" i="3"/>
  <c r="G182" i="3"/>
  <c r="E182" i="3"/>
  <c r="C182" i="3"/>
  <c r="I181" i="3"/>
  <c r="G181" i="3"/>
  <c r="E181" i="3"/>
  <c r="C181" i="3"/>
  <c r="I180" i="3"/>
  <c r="G180" i="3"/>
  <c r="E180" i="3"/>
  <c r="C180" i="3"/>
  <c r="I179" i="3"/>
  <c r="G179" i="3"/>
  <c r="E179" i="3"/>
  <c r="C179" i="3"/>
  <c r="I178" i="3"/>
  <c r="G178" i="3"/>
  <c r="E178" i="3"/>
  <c r="C178" i="3"/>
  <c r="I177" i="3"/>
  <c r="G177" i="3"/>
  <c r="E177" i="3"/>
  <c r="C177" i="3"/>
  <c r="I176" i="3"/>
  <c r="G176" i="3"/>
  <c r="E176" i="3"/>
  <c r="C176" i="3"/>
  <c r="I175" i="3"/>
  <c r="G175" i="3"/>
  <c r="E175" i="3"/>
  <c r="C175" i="3"/>
  <c r="I174" i="3"/>
  <c r="G174" i="3"/>
  <c r="E174" i="3"/>
  <c r="C174" i="3"/>
  <c r="I173" i="3"/>
  <c r="G173" i="3"/>
  <c r="E173" i="3"/>
  <c r="C173" i="3"/>
  <c r="I172" i="3"/>
  <c r="G172" i="3"/>
  <c r="E172" i="3"/>
  <c r="C172" i="3"/>
  <c r="I171" i="3"/>
  <c r="G171" i="3"/>
  <c r="E171" i="3"/>
  <c r="C171" i="3"/>
  <c r="I170" i="3"/>
  <c r="G170" i="3"/>
  <c r="E170" i="3"/>
  <c r="C170" i="3"/>
  <c r="I169" i="3"/>
  <c r="G169" i="3"/>
  <c r="E169" i="3"/>
  <c r="C169" i="3"/>
  <c r="I168" i="3"/>
  <c r="G168" i="3"/>
  <c r="E168" i="3"/>
  <c r="C168" i="3"/>
  <c r="I167" i="3"/>
  <c r="G167" i="3"/>
  <c r="E167" i="3"/>
  <c r="C167" i="3"/>
  <c r="I166" i="3"/>
  <c r="G166" i="3"/>
  <c r="E166" i="3"/>
  <c r="C166" i="3"/>
  <c r="I165" i="3"/>
  <c r="G165" i="3"/>
  <c r="E165" i="3"/>
  <c r="C165" i="3"/>
  <c r="I164" i="3"/>
  <c r="G164" i="3"/>
  <c r="E164" i="3"/>
  <c r="C164" i="3"/>
  <c r="I163" i="3"/>
  <c r="G163" i="3"/>
  <c r="E163" i="3"/>
  <c r="C163" i="3"/>
  <c r="I162" i="3"/>
  <c r="G162" i="3"/>
  <c r="E162" i="3"/>
  <c r="C162" i="3"/>
  <c r="I161" i="3"/>
  <c r="G161" i="3"/>
  <c r="E161" i="3"/>
  <c r="C161" i="3"/>
  <c r="I160" i="3"/>
  <c r="G160" i="3"/>
  <c r="E160" i="3"/>
  <c r="C160" i="3"/>
  <c r="I159" i="3"/>
  <c r="G159" i="3"/>
  <c r="E159" i="3"/>
  <c r="C159" i="3"/>
  <c r="I158" i="3"/>
  <c r="G158" i="3"/>
  <c r="E158" i="3"/>
  <c r="C158" i="3"/>
  <c r="I157" i="3"/>
  <c r="G157" i="3"/>
  <c r="E157" i="3"/>
  <c r="C157" i="3"/>
  <c r="I156" i="3"/>
  <c r="G156" i="3"/>
  <c r="E156" i="3"/>
  <c r="C156" i="3"/>
  <c r="I155" i="3"/>
  <c r="G155" i="3"/>
  <c r="E155" i="3"/>
  <c r="C155" i="3"/>
  <c r="I154" i="3"/>
  <c r="G154" i="3"/>
  <c r="E154" i="3"/>
  <c r="C154" i="3"/>
  <c r="I153" i="3"/>
  <c r="G153" i="3"/>
  <c r="E153" i="3"/>
  <c r="C153" i="3"/>
  <c r="I152" i="3"/>
  <c r="G152" i="3"/>
  <c r="E152" i="3"/>
  <c r="C152" i="3"/>
  <c r="I151" i="3"/>
  <c r="G151" i="3"/>
  <c r="E151" i="3"/>
  <c r="C151" i="3"/>
  <c r="I150" i="3"/>
  <c r="G150" i="3"/>
  <c r="E150" i="3"/>
  <c r="C150" i="3"/>
  <c r="I149" i="3"/>
  <c r="G149" i="3"/>
  <c r="E149" i="3"/>
  <c r="C149" i="3"/>
  <c r="I148" i="3"/>
  <c r="G148" i="3"/>
  <c r="E148" i="3"/>
  <c r="C148" i="3"/>
  <c r="I147" i="3"/>
  <c r="G147" i="3"/>
  <c r="E147" i="3"/>
  <c r="C147" i="3"/>
  <c r="I146" i="3"/>
  <c r="G146" i="3"/>
  <c r="E146" i="3"/>
  <c r="C146" i="3"/>
  <c r="I145" i="3"/>
  <c r="G145" i="3"/>
  <c r="E145" i="3"/>
  <c r="C145" i="3"/>
  <c r="I144" i="3"/>
  <c r="G144" i="3"/>
  <c r="E144" i="3"/>
  <c r="C144" i="3"/>
  <c r="I143" i="3"/>
  <c r="G143" i="3"/>
  <c r="E143" i="3"/>
  <c r="C143" i="3"/>
  <c r="I142" i="3"/>
  <c r="G142" i="3"/>
  <c r="E142" i="3"/>
  <c r="C142" i="3"/>
  <c r="I141" i="3"/>
  <c r="G141" i="3"/>
  <c r="E141" i="3"/>
  <c r="C141" i="3"/>
  <c r="I140" i="3"/>
  <c r="G140" i="3"/>
  <c r="E140" i="3"/>
  <c r="C140" i="3"/>
  <c r="I139" i="3"/>
  <c r="G139" i="3"/>
  <c r="E139" i="3"/>
  <c r="C139" i="3"/>
  <c r="I138" i="3"/>
  <c r="G138" i="3"/>
  <c r="E138" i="3"/>
  <c r="C138" i="3"/>
  <c r="I137" i="3"/>
  <c r="G137" i="3"/>
  <c r="E137" i="3"/>
  <c r="C137" i="3"/>
  <c r="I136" i="3"/>
  <c r="G136" i="3"/>
  <c r="E136" i="3"/>
  <c r="C136" i="3"/>
  <c r="I135" i="3"/>
  <c r="G135" i="3"/>
  <c r="E135" i="3"/>
  <c r="C135" i="3"/>
  <c r="I134" i="3"/>
  <c r="G134" i="3"/>
  <c r="E134" i="3"/>
  <c r="C134" i="3"/>
  <c r="I133" i="3"/>
  <c r="G133" i="3"/>
  <c r="E133" i="3"/>
  <c r="C133" i="3"/>
  <c r="I132" i="3"/>
  <c r="G132" i="3"/>
  <c r="E132" i="3"/>
  <c r="C132" i="3"/>
  <c r="I131" i="3"/>
  <c r="G131" i="3"/>
  <c r="E131" i="3"/>
  <c r="C131" i="3"/>
  <c r="I130" i="3"/>
  <c r="G130" i="3"/>
  <c r="E130" i="3"/>
  <c r="C130" i="3"/>
  <c r="I129" i="3"/>
  <c r="G129" i="3"/>
  <c r="E129" i="3"/>
  <c r="C129" i="3"/>
  <c r="I128" i="3"/>
  <c r="G128" i="3"/>
  <c r="E128" i="3"/>
  <c r="C128" i="3"/>
  <c r="I127" i="3"/>
  <c r="G127" i="3"/>
  <c r="E127" i="3"/>
  <c r="C127" i="3"/>
  <c r="I126" i="3"/>
  <c r="G126" i="3"/>
  <c r="E126" i="3"/>
  <c r="C126" i="3"/>
  <c r="I125" i="3"/>
  <c r="G125" i="3"/>
  <c r="E125" i="3"/>
  <c r="C125" i="3"/>
  <c r="I124" i="3"/>
  <c r="G124" i="3"/>
  <c r="E124" i="3"/>
  <c r="C124" i="3"/>
  <c r="I123" i="3"/>
  <c r="G123" i="3"/>
  <c r="E123" i="3"/>
  <c r="C123" i="3"/>
  <c r="I122" i="3"/>
  <c r="G122" i="3"/>
  <c r="E122" i="3"/>
  <c r="C122" i="3"/>
  <c r="I121" i="3"/>
  <c r="G121" i="3"/>
  <c r="E121" i="3"/>
  <c r="C121" i="3"/>
  <c r="I120" i="3"/>
  <c r="G120" i="3"/>
  <c r="E120" i="3"/>
  <c r="C120" i="3"/>
  <c r="I119" i="3"/>
  <c r="G119" i="3"/>
  <c r="E119" i="3"/>
  <c r="C119" i="3"/>
  <c r="I118" i="3"/>
  <c r="G118" i="3"/>
  <c r="E118" i="3"/>
  <c r="C118" i="3"/>
  <c r="I117" i="3"/>
  <c r="G117" i="3"/>
  <c r="E117" i="3"/>
  <c r="C117" i="3"/>
  <c r="I116" i="3"/>
  <c r="G116" i="3"/>
  <c r="E116" i="3"/>
  <c r="C116" i="3"/>
  <c r="I115" i="3"/>
  <c r="G115" i="3"/>
  <c r="E115" i="3"/>
  <c r="C115" i="3"/>
  <c r="I114" i="3"/>
  <c r="G114" i="3"/>
  <c r="E114" i="3"/>
  <c r="C114" i="3"/>
  <c r="I113" i="3"/>
  <c r="G113" i="3"/>
  <c r="E113" i="3"/>
  <c r="C113" i="3"/>
  <c r="I112" i="3"/>
  <c r="G112" i="3"/>
  <c r="E112" i="3"/>
  <c r="C112" i="3"/>
  <c r="I111" i="3"/>
  <c r="G111" i="3"/>
  <c r="E111" i="3"/>
  <c r="C111" i="3"/>
  <c r="I110" i="3"/>
  <c r="G110" i="3"/>
  <c r="E110" i="3"/>
  <c r="C110" i="3"/>
  <c r="I109" i="3"/>
  <c r="G109" i="3"/>
  <c r="E109" i="3"/>
  <c r="C109" i="3"/>
  <c r="I108" i="3"/>
  <c r="G108" i="3"/>
  <c r="E108" i="3"/>
  <c r="C108" i="3"/>
  <c r="I107" i="3"/>
  <c r="G107" i="3"/>
  <c r="E107" i="3"/>
  <c r="C107" i="3"/>
  <c r="I106" i="3"/>
  <c r="G106" i="3"/>
  <c r="E106" i="3"/>
  <c r="C106" i="3"/>
  <c r="I105" i="3"/>
  <c r="G105" i="3"/>
  <c r="E105" i="3"/>
  <c r="C105" i="3"/>
  <c r="I104" i="3"/>
  <c r="G104" i="3"/>
  <c r="E104" i="3"/>
  <c r="C104" i="3"/>
  <c r="I103" i="3"/>
  <c r="G103" i="3"/>
  <c r="E103" i="3"/>
  <c r="C103" i="3"/>
  <c r="I102" i="3"/>
  <c r="G102" i="3"/>
  <c r="E102" i="3"/>
  <c r="C102" i="3"/>
  <c r="I101" i="3"/>
  <c r="G101" i="3"/>
  <c r="E101" i="3"/>
  <c r="C101" i="3"/>
  <c r="I100" i="3"/>
  <c r="G100" i="3"/>
  <c r="E100" i="3"/>
  <c r="C100" i="3"/>
  <c r="I99" i="3"/>
  <c r="G99" i="3"/>
  <c r="E99" i="3"/>
  <c r="C99" i="3"/>
  <c r="I98" i="3"/>
  <c r="G98" i="3"/>
  <c r="E98" i="3"/>
  <c r="C98" i="3"/>
  <c r="I97" i="3"/>
  <c r="G97" i="3"/>
  <c r="E97" i="3"/>
  <c r="C97" i="3"/>
  <c r="I96" i="3"/>
  <c r="G96" i="3"/>
  <c r="E96" i="3"/>
  <c r="C96" i="3"/>
  <c r="I95" i="3"/>
  <c r="G95" i="3"/>
  <c r="E95" i="3"/>
  <c r="C95" i="3"/>
  <c r="I94" i="3"/>
  <c r="G94" i="3"/>
  <c r="E94" i="3"/>
  <c r="C94" i="3"/>
  <c r="I93" i="3"/>
  <c r="G93" i="3"/>
  <c r="E93" i="3"/>
  <c r="C93" i="3"/>
  <c r="I92" i="3"/>
  <c r="G92" i="3"/>
  <c r="E92" i="3"/>
  <c r="C92" i="3"/>
  <c r="I91" i="3"/>
  <c r="G91" i="3"/>
  <c r="E91" i="3"/>
  <c r="C91" i="3"/>
  <c r="I90" i="3"/>
  <c r="G90" i="3"/>
  <c r="E90" i="3"/>
  <c r="C90" i="3"/>
  <c r="I89" i="3"/>
  <c r="G89" i="3"/>
  <c r="E89" i="3"/>
  <c r="C89" i="3"/>
  <c r="I88" i="3"/>
  <c r="G88" i="3"/>
  <c r="E88" i="3"/>
  <c r="C88" i="3"/>
  <c r="I87" i="3"/>
  <c r="G87" i="3"/>
  <c r="E87" i="3"/>
  <c r="C87" i="3"/>
  <c r="I86" i="3"/>
  <c r="G86" i="3"/>
  <c r="E86" i="3"/>
  <c r="C86" i="3"/>
  <c r="I85" i="3"/>
  <c r="G85" i="3"/>
  <c r="E85" i="3"/>
  <c r="C85" i="3"/>
  <c r="I84" i="3"/>
  <c r="G84" i="3"/>
  <c r="E84" i="3"/>
  <c r="C84" i="3"/>
  <c r="I83" i="3"/>
  <c r="G83" i="3"/>
  <c r="E83" i="3"/>
  <c r="C83" i="3"/>
  <c r="I82" i="3"/>
  <c r="G82" i="3"/>
  <c r="E82" i="3"/>
  <c r="C82" i="3"/>
  <c r="I81" i="3"/>
  <c r="G81" i="3"/>
  <c r="E81" i="3"/>
  <c r="C81" i="3"/>
  <c r="I80" i="3"/>
  <c r="G80" i="3"/>
  <c r="E80" i="3"/>
  <c r="C80" i="3"/>
  <c r="I79" i="3"/>
  <c r="G79" i="3"/>
  <c r="E79" i="3"/>
  <c r="C79" i="3"/>
  <c r="I78" i="3"/>
  <c r="G78" i="3"/>
  <c r="E78" i="3"/>
  <c r="C78" i="3"/>
  <c r="I77" i="3"/>
  <c r="G77" i="3"/>
  <c r="E77" i="3"/>
  <c r="C77" i="3"/>
  <c r="I76" i="3"/>
  <c r="G76" i="3"/>
  <c r="E76" i="3"/>
  <c r="C76" i="3"/>
  <c r="I75" i="3"/>
  <c r="G75" i="3"/>
  <c r="E75" i="3"/>
  <c r="C75" i="3"/>
  <c r="I74" i="3"/>
  <c r="G74" i="3"/>
  <c r="E74" i="3"/>
  <c r="C74" i="3"/>
  <c r="I73" i="3"/>
  <c r="G73" i="3"/>
  <c r="E73" i="3"/>
  <c r="C73" i="3"/>
  <c r="I72" i="3"/>
  <c r="G72" i="3"/>
  <c r="E72" i="3"/>
  <c r="C72" i="3"/>
  <c r="I71" i="3"/>
  <c r="G71" i="3"/>
  <c r="E71" i="3"/>
  <c r="C71" i="3"/>
  <c r="I70" i="3"/>
  <c r="G70" i="3"/>
  <c r="E70" i="3"/>
  <c r="C70" i="3"/>
  <c r="I69" i="3"/>
  <c r="G69" i="3"/>
  <c r="E69" i="3"/>
  <c r="C69" i="3"/>
  <c r="I68" i="3"/>
  <c r="G68" i="3"/>
  <c r="E68" i="3"/>
  <c r="C68" i="3"/>
  <c r="I67" i="3"/>
  <c r="G67" i="3"/>
  <c r="E67" i="3"/>
  <c r="C67" i="3"/>
  <c r="I66" i="3"/>
  <c r="G66" i="3"/>
  <c r="E66" i="3"/>
  <c r="C66" i="3"/>
  <c r="I65" i="3"/>
  <c r="G65" i="3"/>
  <c r="E65" i="3"/>
  <c r="C65" i="3"/>
  <c r="I64" i="3"/>
  <c r="G64" i="3"/>
  <c r="E64" i="3"/>
  <c r="C64" i="3"/>
  <c r="I63" i="3"/>
  <c r="G63" i="3"/>
  <c r="E63" i="3"/>
  <c r="C63" i="3"/>
  <c r="I62" i="3"/>
  <c r="G62" i="3"/>
  <c r="E62" i="3"/>
  <c r="C62" i="3"/>
  <c r="I61" i="3"/>
  <c r="G61" i="3"/>
  <c r="E61" i="3"/>
  <c r="C61" i="3"/>
  <c r="I60" i="3"/>
  <c r="G60" i="3"/>
  <c r="E60" i="3"/>
  <c r="C60" i="3"/>
  <c r="I59" i="3"/>
  <c r="G59" i="3"/>
  <c r="E59" i="3"/>
  <c r="C59" i="3"/>
  <c r="I58" i="3"/>
  <c r="G58" i="3"/>
  <c r="E58" i="3"/>
  <c r="C58" i="3"/>
  <c r="I57" i="3"/>
  <c r="G57" i="3"/>
  <c r="E57" i="3"/>
  <c r="C57" i="3"/>
  <c r="I56" i="3"/>
  <c r="G56" i="3"/>
  <c r="E56" i="3"/>
  <c r="C56" i="3"/>
  <c r="I55" i="3"/>
  <c r="G55" i="3"/>
  <c r="E55" i="3"/>
  <c r="C55" i="3"/>
  <c r="I54" i="3"/>
  <c r="G54" i="3"/>
  <c r="E54" i="3"/>
  <c r="C54" i="3"/>
  <c r="I53" i="3"/>
  <c r="G53" i="3"/>
  <c r="E53" i="3"/>
  <c r="C53" i="3"/>
  <c r="I52" i="3"/>
  <c r="G52" i="3"/>
  <c r="E52" i="3"/>
  <c r="C52" i="3"/>
  <c r="I51" i="3"/>
  <c r="G51" i="3"/>
  <c r="E51" i="3"/>
  <c r="C51" i="3"/>
  <c r="I50" i="3"/>
  <c r="G50" i="3"/>
  <c r="E50" i="3"/>
  <c r="C50" i="3"/>
  <c r="I49" i="3"/>
  <c r="G49" i="3"/>
  <c r="E49" i="3"/>
  <c r="C49" i="3"/>
  <c r="I48" i="3"/>
  <c r="G48" i="3"/>
  <c r="E48" i="3"/>
  <c r="C48" i="3"/>
  <c r="I47" i="3"/>
  <c r="G47" i="3"/>
  <c r="E47" i="3"/>
  <c r="C47" i="3"/>
  <c r="I46" i="3"/>
  <c r="G46" i="3"/>
  <c r="E46" i="3"/>
  <c r="C46" i="3"/>
  <c r="I45" i="3"/>
  <c r="G45" i="3"/>
  <c r="E45" i="3"/>
  <c r="C45" i="3"/>
  <c r="I44" i="3"/>
  <c r="G44" i="3"/>
  <c r="E44" i="3"/>
  <c r="C44" i="3"/>
  <c r="I43" i="3"/>
  <c r="G43" i="3"/>
  <c r="E43" i="3"/>
  <c r="C43" i="3"/>
  <c r="I42" i="3"/>
  <c r="G42" i="3"/>
  <c r="E42" i="3"/>
  <c r="C42" i="3"/>
  <c r="I41" i="3"/>
  <c r="G41" i="3"/>
  <c r="E41" i="3"/>
  <c r="C41" i="3"/>
  <c r="I40" i="3"/>
  <c r="G40" i="3"/>
  <c r="E40" i="3"/>
  <c r="C40" i="3"/>
  <c r="I39" i="3"/>
  <c r="G39" i="3"/>
  <c r="E39" i="3"/>
  <c r="C39" i="3"/>
  <c r="I38" i="3"/>
  <c r="G38" i="3"/>
  <c r="E38" i="3"/>
  <c r="C38" i="3"/>
  <c r="I37" i="3"/>
  <c r="G37" i="3"/>
  <c r="E37" i="3"/>
  <c r="C37" i="3"/>
  <c r="I36" i="3"/>
  <c r="G36" i="3"/>
  <c r="E36" i="3"/>
  <c r="C36" i="3"/>
  <c r="I35" i="3"/>
  <c r="G35" i="3"/>
  <c r="E35" i="3"/>
  <c r="C35" i="3"/>
  <c r="I34" i="3"/>
  <c r="G34" i="3"/>
  <c r="E34" i="3"/>
  <c r="C34" i="3"/>
  <c r="I33" i="3"/>
  <c r="G33" i="3"/>
  <c r="E33" i="3"/>
  <c r="C33" i="3"/>
  <c r="I32" i="3"/>
  <c r="G32" i="3"/>
  <c r="E32" i="3"/>
  <c r="C32" i="3"/>
  <c r="I31" i="3"/>
  <c r="G31" i="3"/>
  <c r="E31" i="3"/>
  <c r="C31" i="3"/>
  <c r="I30" i="3"/>
  <c r="G30" i="3"/>
  <c r="E30" i="3"/>
  <c r="C30" i="3"/>
  <c r="I29" i="3"/>
  <c r="G29" i="3"/>
  <c r="E29" i="3"/>
  <c r="C29" i="3"/>
  <c r="I28" i="3"/>
  <c r="G28" i="3"/>
  <c r="E28" i="3"/>
  <c r="C28" i="3"/>
  <c r="I27" i="3"/>
  <c r="G27" i="3"/>
  <c r="E27" i="3"/>
  <c r="C27" i="3"/>
  <c r="I26" i="3"/>
  <c r="G26" i="3"/>
  <c r="E26" i="3"/>
  <c r="C26" i="3"/>
  <c r="I25" i="3"/>
  <c r="G25" i="3"/>
  <c r="E25" i="3"/>
  <c r="C25" i="3"/>
  <c r="I24" i="3"/>
  <c r="G24" i="3"/>
  <c r="E24" i="3"/>
  <c r="C24" i="3"/>
  <c r="I23" i="3"/>
  <c r="G23" i="3"/>
  <c r="E23" i="3"/>
  <c r="C23" i="3"/>
  <c r="I22" i="3"/>
  <c r="G22" i="3"/>
  <c r="E22" i="3"/>
  <c r="C22" i="3"/>
  <c r="I21" i="3"/>
  <c r="G21" i="3"/>
  <c r="E21" i="3"/>
  <c r="C21" i="3"/>
  <c r="I20" i="3"/>
  <c r="G20" i="3"/>
  <c r="E20" i="3"/>
  <c r="C20" i="3"/>
  <c r="I19" i="3"/>
  <c r="G19" i="3"/>
  <c r="E19" i="3"/>
  <c r="C19" i="3"/>
  <c r="I18" i="3"/>
  <c r="G18" i="3"/>
  <c r="E18" i="3"/>
  <c r="C18" i="3"/>
  <c r="I17" i="3"/>
  <c r="G17" i="3"/>
  <c r="E17" i="3"/>
  <c r="C17" i="3"/>
  <c r="I16" i="3"/>
  <c r="G16" i="3"/>
  <c r="E16" i="3"/>
  <c r="C16" i="3"/>
  <c r="I15" i="3"/>
  <c r="G15" i="3"/>
  <c r="E15" i="3"/>
  <c r="C15" i="3"/>
  <c r="I14" i="3"/>
  <c r="G14" i="3"/>
  <c r="E14" i="3"/>
  <c r="C14" i="3"/>
  <c r="I13" i="3"/>
  <c r="G13" i="3"/>
  <c r="E13" i="3"/>
  <c r="C13" i="3"/>
  <c r="I12" i="3"/>
  <c r="G12" i="3"/>
  <c r="E12" i="3"/>
  <c r="C12" i="3"/>
  <c r="I11" i="3"/>
  <c r="G11" i="3"/>
  <c r="E11" i="3"/>
  <c r="C11" i="3"/>
  <c r="I10" i="3"/>
  <c r="G10" i="3"/>
  <c r="E10" i="3"/>
  <c r="C10" i="3"/>
  <c r="I9" i="3"/>
  <c r="G9" i="3"/>
  <c r="E9" i="3"/>
  <c r="C9" i="3"/>
  <c r="I8" i="3"/>
  <c r="G8" i="3"/>
  <c r="E8" i="3"/>
  <c r="C8" i="3"/>
  <c r="I7" i="3"/>
  <c r="G7" i="3"/>
  <c r="E7" i="3"/>
  <c r="C7" i="3"/>
  <c r="I6" i="3"/>
  <c r="G6" i="3"/>
  <c r="E6" i="3"/>
  <c r="C6" i="3"/>
  <c r="I5" i="3"/>
  <c r="G5" i="3"/>
  <c r="E5" i="3"/>
  <c r="C5" i="3"/>
  <c r="I4" i="3"/>
  <c r="G4" i="3"/>
  <c r="E4" i="3"/>
  <c r="C4" i="3"/>
  <c r="I3" i="3"/>
  <c r="G3" i="3"/>
  <c r="E3" i="3"/>
  <c r="C3" i="3"/>
  <c r="I2" i="3"/>
  <c r="G2" i="3"/>
  <c r="E2" i="3"/>
  <c r="C2" i="3"/>
  <c r="R4980" i="1"/>
  <c r="I4980" i="1"/>
  <c r="G4980" i="1"/>
  <c r="E4980" i="1"/>
  <c r="C4980" i="1"/>
  <c r="R4979" i="1"/>
  <c r="I4979" i="1"/>
  <c r="G4979" i="1"/>
  <c r="E4979" i="1"/>
  <c r="C4979" i="1"/>
  <c r="R4978" i="1"/>
  <c r="I4978" i="1"/>
  <c r="G4978" i="1"/>
  <c r="E4978" i="1"/>
  <c r="C4978" i="1"/>
  <c r="R4977" i="1"/>
  <c r="I4977" i="1"/>
  <c r="G4977" i="1"/>
  <c r="E4977" i="1"/>
  <c r="C4977" i="1"/>
  <c r="R4976" i="1"/>
  <c r="I4976" i="1"/>
  <c r="G4976" i="1"/>
  <c r="E4976" i="1"/>
  <c r="C4976" i="1"/>
  <c r="R4975" i="1"/>
  <c r="I4975" i="1"/>
  <c r="G4975" i="1"/>
  <c r="E4975" i="1"/>
  <c r="C4975" i="1"/>
  <c r="R4974" i="1"/>
  <c r="I4974" i="1"/>
  <c r="G4974" i="1"/>
  <c r="E4974" i="1"/>
  <c r="C4974" i="1"/>
  <c r="R4973" i="1"/>
  <c r="I4973" i="1"/>
  <c r="G4973" i="1"/>
  <c r="E4973" i="1"/>
  <c r="C4973" i="1"/>
  <c r="R4972" i="1"/>
  <c r="I4972" i="1"/>
  <c r="G4972" i="1"/>
  <c r="E4972" i="1"/>
  <c r="C4972" i="1"/>
  <c r="R4971" i="1"/>
  <c r="I4971" i="1"/>
  <c r="G4971" i="1"/>
  <c r="E4971" i="1"/>
  <c r="C4971" i="1"/>
  <c r="R4970" i="1"/>
  <c r="I4970" i="1"/>
  <c r="G4970" i="1"/>
  <c r="E4970" i="1"/>
  <c r="C4970" i="1"/>
  <c r="R4969" i="1"/>
  <c r="I4969" i="1"/>
  <c r="G4969" i="1"/>
  <c r="E4969" i="1"/>
  <c r="C4969" i="1"/>
  <c r="R4968" i="1"/>
  <c r="I4968" i="1"/>
  <c r="G4968" i="1"/>
  <c r="E4968" i="1"/>
  <c r="C4968" i="1"/>
  <c r="R4967" i="1"/>
  <c r="I4967" i="1"/>
  <c r="G4967" i="1"/>
  <c r="E4967" i="1"/>
  <c r="C4967" i="1"/>
  <c r="R4966" i="1"/>
  <c r="I4966" i="1"/>
  <c r="G4966" i="1"/>
  <c r="E4966" i="1"/>
  <c r="C4966" i="1"/>
  <c r="R4965" i="1"/>
  <c r="I4965" i="1"/>
  <c r="G4965" i="1"/>
  <c r="E4965" i="1"/>
  <c r="C4965" i="1"/>
  <c r="R4964" i="1"/>
  <c r="I4964" i="1"/>
  <c r="G4964" i="1"/>
  <c r="E4964" i="1"/>
  <c r="C4964" i="1"/>
  <c r="R4963" i="1"/>
  <c r="I4963" i="1"/>
  <c r="G4963" i="1"/>
  <c r="E4963" i="1"/>
  <c r="C4963" i="1"/>
  <c r="R4962" i="1"/>
  <c r="I4962" i="1"/>
  <c r="G4962" i="1"/>
  <c r="E4962" i="1"/>
  <c r="C4962" i="1"/>
  <c r="R4961" i="1"/>
  <c r="I4961" i="1"/>
  <c r="G4961" i="1"/>
  <c r="E4961" i="1"/>
  <c r="C4961" i="1"/>
  <c r="R4960" i="1"/>
  <c r="I4960" i="1"/>
  <c r="G4960" i="1"/>
  <c r="E4960" i="1"/>
  <c r="C4960" i="1"/>
  <c r="R4959" i="1"/>
  <c r="I4959" i="1"/>
  <c r="G4959" i="1"/>
  <c r="E4959" i="1"/>
  <c r="C4959" i="1"/>
  <c r="R4958" i="1"/>
  <c r="I4958" i="1"/>
  <c r="G4958" i="1"/>
  <c r="E4958" i="1"/>
  <c r="C4958" i="1"/>
  <c r="R4957" i="1"/>
  <c r="I4957" i="1"/>
  <c r="G4957" i="1"/>
  <c r="E4957" i="1"/>
  <c r="C4957" i="1"/>
  <c r="R4956" i="1"/>
  <c r="I4956" i="1"/>
  <c r="G4956" i="1"/>
  <c r="E4956" i="1"/>
  <c r="C4956" i="1"/>
  <c r="R4955" i="1"/>
  <c r="I4955" i="1"/>
  <c r="G4955" i="1"/>
  <c r="E4955" i="1"/>
  <c r="C4955" i="1"/>
  <c r="R4954" i="1"/>
  <c r="I4954" i="1"/>
  <c r="G4954" i="1"/>
  <c r="E4954" i="1"/>
  <c r="C4954" i="1"/>
  <c r="R4953" i="1"/>
  <c r="I4953" i="1"/>
  <c r="G4953" i="1"/>
  <c r="E4953" i="1"/>
  <c r="C4953" i="1"/>
  <c r="R4952" i="1"/>
  <c r="I4952" i="1"/>
  <c r="G4952" i="1"/>
  <c r="E4952" i="1"/>
  <c r="C4952" i="1"/>
  <c r="R4951" i="1"/>
  <c r="I4951" i="1"/>
  <c r="G4951" i="1"/>
  <c r="E4951" i="1"/>
  <c r="C4951" i="1"/>
  <c r="R4950" i="1"/>
  <c r="I4950" i="1"/>
  <c r="G4950" i="1"/>
  <c r="E4950" i="1"/>
  <c r="C4950" i="1"/>
  <c r="R4949" i="1"/>
  <c r="I4949" i="1"/>
  <c r="G4949" i="1"/>
  <c r="E4949" i="1"/>
  <c r="C4949" i="1"/>
  <c r="R4948" i="1"/>
  <c r="I4948" i="1"/>
  <c r="G4948" i="1"/>
  <c r="E4948" i="1"/>
  <c r="C4948" i="1"/>
  <c r="R4947" i="1"/>
  <c r="I4947" i="1"/>
  <c r="G4947" i="1"/>
  <c r="E4947" i="1"/>
  <c r="C4947" i="1"/>
  <c r="R4946" i="1"/>
  <c r="I4946" i="1"/>
  <c r="G4946" i="1"/>
  <c r="E4946" i="1"/>
  <c r="C4946" i="1"/>
  <c r="R4945" i="1"/>
  <c r="I4945" i="1"/>
  <c r="G4945" i="1"/>
  <c r="E4945" i="1"/>
  <c r="C4945" i="1"/>
  <c r="R4944" i="1"/>
  <c r="I4944" i="1"/>
  <c r="G4944" i="1"/>
  <c r="E4944" i="1"/>
  <c r="C4944" i="1"/>
  <c r="R4943" i="1"/>
  <c r="I4943" i="1"/>
  <c r="G4943" i="1"/>
  <c r="E4943" i="1"/>
  <c r="C4943" i="1"/>
  <c r="R4942" i="1"/>
  <c r="I4942" i="1"/>
  <c r="G4942" i="1"/>
  <c r="E4942" i="1"/>
  <c r="C4942" i="1"/>
  <c r="R4941" i="1"/>
  <c r="I4941" i="1"/>
  <c r="G4941" i="1"/>
  <c r="E4941" i="1"/>
  <c r="C4941" i="1"/>
  <c r="R4940" i="1"/>
  <c r="I4940" i="1"/>
  <c r="G4940" i="1"/>
  <c r="E4940" i="1"/>
  <c r="C4940" i="1"/>
  <c r="R4939" i="1"/>
  <c r="I4939" i="1"/>
  <c r="G4939" i="1"/>
  <c r="E4939" i="1"/>
  <c r="C4939" i="1"/>
  <c r="R4938" i="1"/>
  <c r="I4938" i="1"/>
  <c r="G4938" i="1"/>
  <c r="E4938" i="1"/>
  <c r="C4938" i="1"/>
  <c r="R4937" i="1"/>
  <c r="I4937" i="1"/>
  <c r="G4937" i="1"/>
  <c r="E4937" i="1"/>
  <c r="C4937" i="1"/>
  <c r="R4936" i="1"/>
  <c r="I4936" i="1"/>
  <c r="G4936" i="1"/>
  <c r="E4936" i="1"/>
  <c r="C4936" i="1"/>
  <c r="R4935" i="1"/>
  <c r="I4935" i="1"/>
  <c r="G4935" i="1"/>
  <c r="E4935" i="1"/>
  <c r="C4935" i="1"/>
  <c r="R4934" i="1"/>
  <c r="I4934" i="1"/>
  <c r="G4934" i="1"/>
  <c r="E4934" i="1"/>
  <c r="C4934" i="1"/>
  <c r="R4933" i="1"/>
  <c r="I4933" i="1"/>
  <c r="G4933" i="1"/>
  <c r="E4933" i="1"/>
  <c r="C4933" i="1"/>
  <c r="R4932" i="1"/>
  <c r="I4932" i="1"/>
  <c r="G4932" i="1"/>
  <c r="E4932" i="1"/>
  <c r="C4932" i="1"/>
  <c r="R4931" i="1"/>
  <c r="I4931" i="1"/>
  <c r="G4931" i="1"/>
  <c r="E4931" i="1"/>
  <c r="C4931" i="1"/>
  <c r="R4930" i="1"/>
  <c r="I4930" i="1"/>
  <c r="G4930" i="1"/>
  <c r="E4930" i="1"/>
  <c r="C4930" i="1"/>
  <c r="R4929" i="1"/>
  <c r="I4929" i="1"/>
  <c r="G4929" i="1"/>
  <c r="E4929" i="1"/>
  <c r="C4929" i="1"/>
  <c r="R4928" i="1"/>
  <c r="I4928" i="1"/>
  <c r="G4928" i="1"/>
  <c r="E4928" i="1"/>
  <c r="C4928" i="1"/>
  <c r="R4927" i="1"/>
  <c r="I4927" i="1"/>
  <c r="G4927" i="1"/>
  <c r="E4927" i="1"/>
  <c r="C4927" i="1"/>
  <c r="R4926" i="1"/>
  <c r="I4926" i="1"/>
  <c r="G4926" i="1"/>
  <c r="E4926" i="1"/>
  <c r="C4926" i="1"/>
  <c r="R4925" i="1"/>
  <c r="I4925" i="1"/>
  <c r="G4925" i="1"/>
  <c r="E4925" i="1"/>
  <c r="C4925" i="1"/>
  <c r="R4924" i="1"/>
  <c r="I4924" i="1"/>
  <c r="G4924" i="1"/>
  <c r="E4924" i="1"/>
  <c r="C4924" i="1"/>
  <c r="R4923" i="1"/>
  <c r="I4923" i="1"/>
  <c r="G4923" i="1"/>
  <c r="E4923" i="1"/>
  <c r="C4923" i="1"/>
  <c r="R4922" i="1"/>
  <c r="I4922" i="1"/>
  <c r="G4922" i="1"/>
  <c r="E4922" i="1"/>
  <c r="C4922" i="1"/>
  <c r="R4921" i="1"/>
  <c r="I4921" i="1"/>
  <c r="G4921" i="1"/>
  <c r="E4921" i="1"/>
  <c r="C4921" i="1"/>
  <c r="R4920" i="1"/>
  <c r="I4920" i="1"/>
  <c r="G4920" i="1"/>
  <c r="E4920" i="1"/>
  <c r="C4920" i="1"/>
  <c r="R4919" i="1"/>
  <c r="I4919" i="1"/>
  <c r="G4919" i="1"/>
  <c r="E4919" i="1"/>
  <c r="C4919" i="1"/>
  <c r="R4918" i="1"/>
  <c r="I4918" i="1"/>
  <c r="G4918" i="1"/>
  <c r="E4918" i="1"/>
  <c r="C4918" i="1"/>
  <c r="R4917" i="1"/>
  <c r="I4917" i="1"/>
  <c r="G4917" i="1"/>
  <c r="E4917" i="1"/>
  <c r="C4917" i="1"/>
  <c r="R4916" i="1"/>
  <c r="I4916" i="1"/>
  <c r="G4916" i="1"/>
  <c r="E4916" i="1"/>
  <c r="C4916" i="1"/>
  <c r="R4915" i="1"/>
  <c r="I4915" i="1"/>
  <c r="G4915" i="1"/>
  <c r="E4915" i="1"/>
  <c r="C4915" i="1"/>
  <c r="R4914" i="1"/>
  <c r="I4914" i="1"/>
  <c r="G4914" i="1"/>
  <c r="E4914" i="1"/>
  <c r="C4914" i="1"/>
  <c r="R4913" i="1"/>
  <c r="I4913" i="1"/>
  <c r="G4913" i="1"/>
  <c r="E4913" i="1"/>
  <c r="C4913" i="1"/>
  <c r="R4912" i="1"/>
  <c r="I4912" i="1"/>
  <c r="G4912" i="1"/>
  <c r="E4912" i="1"/>
  <c r="C4912" i="1"/>
  <c r="R4911" i="1"/>
  <c r="I4911" i="1"/>
  <c r="G4911" i="1"/>
  <c r="E4911" i="1"/>
  <c r="C4911" i="1"/>
  <c r="R4910" i="1"/>
  <c r="I4910" i="1"/>
  <c r="G4910" i="1"/>
  <c r="E4910" i="1"/>
  <c r="C4910" i="1"/>
  <c r="R4909" i="1"/>
  <c r="I4909" i="1"/>
  <c r="G4909" i="1"/>
  <c r="E4909" i="1"/>
  <c r="C4909" i="1"/>
  <c r="R4908" i="1"/>
  <c r="I4908" i="1"/>
  <c r="G4908" i="1"/>
  <c r="E4908" i="1"/>
  <c r="C4908" i="1"/>
  <c r="R4907" i="1"/>
  <c r="I4907" i="1"/>
  <c r="G4907" i="1"/>
  <c r="E4907" i="1"/>
  <c r="C4907" i="1"/>
  <c r="R4906" i="1"/>
  <c r="I4906" i="1"/>
  <c r="G4906" i="1"/>
  <c r="E4906" i="1"/>
  <c r="C4906" i="1"/>
  <c r="R4905" i="1"/>
  <c r="I4905" i="1"/>
  <c r="G4905" i="1"/>
  <c r="E4905" i="1"/>
  <c r="C4905" i="1"/>
  <c r="R4904" i="1"/>
  <c r="I4904" i="1"/>
  <c r="G4904" i="1"/>
  <c r="E4904" i="1"/>
  <c r="C4904" i="1"/>
  <c r="R4903" i="1"/>
  <c r="I4903" i="1"/>
  <c r="G4903" i="1"/>
  <c r="E4903" i="1"/>
  <c r="C4903" i="1"/>
  <c r="R4902" i="1"/>
  <c r="I4902" i="1"/>
  <c r="G4902" i="1"/>
  <c r="E4902" i="1"/>
  <c r="C4902" i="1"/>
  <c r="R4901" i="1"/>
  <c r="I4901" i="1"/>
  <c r="G4901" i="1"/>
  <c r="E4901" i="1"/>
  <c r="C4901" i="1"/>
  <c r="R4900" i="1"/>
  <c r="I4900" i="1"/>
  <c r="G4900" i="1"/>
  <c r="E4900" i="1"/>
  <c r="C4900" i="1"/>
  <c r="R4899" i="1"/>
  <c r="I4899" i="1"/>
  <c r="G4899" i="1"/>
  <c r="E4899" i="1"/>
  <c r="C4899" i="1"/>
  <c r="R4898" i="1"/>
  <c r="I4898" i="1"/>
  <c r="G4898" i="1"/>
  <c r="E4898" i="1"/>
  <c r="C4898" i="1"/>
  <c r="R4897" i="1"/>
  <c r="I4897" i="1"/>
  <c r="G4897" i="1"/>
  <c r="E4897" i="1"/>
  <c r="C4897" i="1"/>
  <c r="R4896" i="1"/>
  <c r="I4896" i="1"/>
  <c r="G4896" i="1"/>
  <c r="E4896" i="1"/>
  <c r="C4896" i="1"/>
  <c r="R4895" i="1"/>
  <c r="I4895" i="1"/>
  <c r="G4895" i="1"/>
  <c r="E4895" i="1"/>
  <c r="C4895" i="1"/>
  <c r="R4894" i="1"/>
  <c r="I4894" i="1"/>
  <c r="G4894" i="1"/>
  <c r="E4894" i="1"/>
  <c r="C4894" i="1"/>
  <c r="R4893" i="1"/>
  <c r="I4893" i="1"/>
  <c r="G4893" i="1"/>
  <c r="E4893" i="1"/>
  <c r="C4893" i="1"/>
  <c r="R4892" i="1"/>
  <c r="I4892" i="1"/>
  <c r="G4892" i="1"/>
  <c r="E4892" i="1"/>
  <c r="C4892" i="1"/>
  <c r="R4891" i="1"/>
  <c r="I4891" i="1"/>
  <c r="G4891" i="1"/>
  <c r="E4891" i="1"/>
  <c r="C4891" i="1"/>
  <c r="R4890" i="1"/>
  <c r="I4890" i="1"/>
  <c r="G4890" i="1"/>
  <c r="E4890" i="1"/>
  <c r="C4890" i="1"/>
  <c r="R4889" i="1"/>
  <c r="I4889" i="1"/>
  <c r="G4889" i="1"/>
  <c r="E4889" i="1"/>
  <c r="C4889" i="1"/>
  <c r="R4888" i="1"/>
  <c r="I4888" i="1"/>
  <c r="G4888" i="1"/>
  <c r="E4888" i="1"/>
  <c r="C4888" i="1"/>
  <c r="R4887" i="1"/>
  <c r="I4887" i="1"/>
  <c r="G4887" i="1"/>
  <c r="E4887" i="1"/>
  <c r="C4887" i="1"/>
  <c r="R4886" i="1"/>
  <c r="I4886" i="1"/>
  <c r="G4886" i="1"/>
  <c r="E4886" i="1"/>
  <c r="C4886" i="1"/>
  <c r="R4885" i="1"/>
  <c r="I4885" i="1"/>
  <c r="G4885" i="1"/>
  <c r="E4885" i="1"/>
  <c r="C4885" i="1"/>
  <c r="R4884" i="1"/>
  <c r="I4884" i="1"/>
  <c r="G4884" i="1"/>
  <c r="E4884" i="1"/>
  <c r="C4884" i="1"/>
  <c r="R4883" i="1"/>
  <c r="I4883" i="1"/>
  <c r="G4883" i="1"/>
  <c r="E4883" i="1"/>
  <c r="C4883" i="1"/>
  <c r="R4882" i="1"/>
  <c r="I4882" i="1"/>
  <c r="G4882" i="1"/>
  <c r="E4882" i="1"/>
  <c r="C4882" i="1"/>
  <c r="R4881" i="1"/>
  <c r="I4881" i="1"/>
  <c r="G4881" i="1"/>
  <c r="E4881" i="1"/>
  <c r="C4881" i="1"/>
  <c r="R4880" i="1"/>
  <c r="I4880" i="1"/>
  <c r="G4880" i="1"/>
  <c r="E4880" i="1"/>
  <c r="C4880" i="1"/>
  <c r="R4879" i="1"/>
  <c r="I4879" i="1"/>
  <c r="G4879" i="1"/>
  <c r="E4879" i="1"/>
  <c r="C4879" i="1"/>
  <c r="R4878" i="1"/>
  <c r="I4878" i="1"/>
  <c r="G4878" i="1"/>
  <c r="E4878" i="1"/>
  <c r="C4878" i="1"/>
  <c r="R4877" i="1"/>
  <c r="I4877" i="1"/>
  <c r="G4877" i="1"/>
  <c r="E4877" i="1"/>
  <c r="C4877" i="1"/>
  <c r="R4876" i="1"/>
  <c r="I4876" i="1"/>
  <c r="G4876" i="1"/>
  <c r="E4876" i="1"/>
  <c r="C4876" i="1"/>
  <c r="R4875" i="1"/>
  <c r="I4875" i="1"/>
  <c r="G4875" i="1"/>
  <c r="E4875" i="1"/>
  <c r="C4875" i="1"/>
  <c r="R4874" i="1"/>
  <c r="I4874" i="1"/>
  <c r="G4874" i="1"/>
  <c r="E4874" i="1"/>
  <c r="C4874" i="1"/>
  <c r="R4873" i="1"/>
  <c r="I4873" i="1"/>
  <c r="G4873" i="1"/>
  <c r="E4873" i="1"/>
  <c r="C4873" i="1"/>
  <c r="R4872" i="1"/>
  <c r="I4872" i="1"/>
  <c r="G4872" i="1"/>
  <c r="E4872" i="1"/>
  <c r="C4872" i="1"/>
  <c r="R4871" i="1"/>
  <c r="I4871" i="1"/>
  <c r="G4871" i="1"/>
  <c r="E4871" i="1"/>
  <c r="C4871" i="1"/>
  <c r="R4870" i="1"/>
  <c r="I4870" i="1"/>
  <c r="G4870" i="1"/>
  <c r="E4870" i="1"/>
  <c r="C4870" i="1"/>
  <c r="R4869" i="1"/>
  <c r="I4869" i="1"/>
  <c r="G4869" i="1"/>
  <c r="E4869" i="1"/>
  <c r="C4869" i="1"/>
  <c r="R4868" i="1"/>
  <c r="I4868" i="1"/>
  <c r="G4868" i="1"/>
  <c r="E4868" i="1"/>
  <c r="C4868" i="1"/>
  <c r="R4867" i="1"/>
  <c r="I4867" i="1"/>
  <c r="G4867" i="1"/>
  <c r="E4867" i="1"/>
  <c r="C4867" i="1"/>
  <c r="R4866" i="1"/>
  <c r="I4866" i="1"/>
  <c r="G4866" i="1"/>
  <c r="E4866" i="1"/>
  <c r="C4866" i="1"/>
  <c r="R4865" i="1"/>
  <c r="I4865" i="1"/>
  <c r="G4865" i="1"/>
  <c r="E4865" i="1"/>
  <c r="C4865" i="1"/>
  <c r="R4864" i="1"/>
  <c r="I4864" i="1"/>
  <c r="G4864" i="1"/>
  <c r="E4864" i="1"/>
  <c r="C4864" i="1"/>
  <c r="R4863" i="1"/>
  <c r="I4863" i="1"/>
  <c r="G4863" i="1"/>
  <c r="E4863" i="1"/>
  <c r="C4863" i="1"/>
  <c r="R4862" i="1"/>
  <c r="I4862" i="1"/>
  <c r="G4862" i="1"/>
  <c r="E4862" i="1"/>
  <c r="C4862" i="1"/>
  <c r="R4861" i="1"/>
  <c r="I4861" i="1"/>
  <c r="G4861" i="1"/>
  <c r="E4861" i="1"/>
  <c r="C4861" i="1"/>
  <c r="R4860" i="1"/>
  <c r="I4860" i="1"/>
  <c r="G4860" i="1"/>
  <c r="E4860" i="1"/>
  <c r="C4860" i="1"/>
  <c r="R4859" i="1"/>
  <c r="I4859" i="1"/>
  <c r="G4859" i="1"/>
  <c r="E4859" i="1"/>
  <c r="C4859" i="1"/>
  <c r="R4858" i="1"/>
  <c r="I4858" i="1"/>
  <c r="G4858" i="1"/>
  <c r="E4858" i="1"/>
  <c r="C4858" i="1"/>
  <c r="R4857" i="1"/>
  <c r="I4857" i="1"/>
  <c r="G4857" i="1"/>
  <c r="E4857" i="1"/>
  <c r="C4857" i="1"/>
  <c r="R4856" i="1"/>
  <c r="I4856" i="1"/>
  <c r="G4856" i="1"/>
  <c r="E4856" i="1"/>
  <c r="C4856" i="1"/>
  <c r="R4855" i="1"/>
  <c r="I4855" i="1"/>
  <c r="G4855" i="1"/>
  <c r="E4855" i="1"/>
  <c r="C4855" i="1"/>
  <c r="R4854" i="1"/>
  <c r="I4854" i="1"/>
  <c r="G4854" i="1"/>
  <c r="E4854" i="1"/>
  <c r="C4854" i="1"/>
  <c r="R4853" i="1"/>
  <c r="I4853" i="1"/>
  <c r="G4853" i="1"/>
  <c r="E4853" i="1"/>
  <c r="C4853" i="1"/>
  <c r="R4852" i="1"/>
  <c r="I4852" i="1"/>
  <c r="G4852" i="1"/>
  <c r="E4852" i="1"/>
  <c r="C4852" i="1"/>
  <c r="R4851" i="1"/>
  <c r="I4851" i="1"/>
  <c r="G4851" i="1"/>
  <c r="E4851" i="1"/>
  <c r="C4851" i="1"/>
  <c r="R4850" i="1"/>
  <c r="I4850" i="1"/>
  <c r="G4850" i="1"/>
  <c r="E4850" i="1"/>
  <c r="C4850" i="1"/>
  <c r="R4849" i="1"/>
  <c r="I4849" i="1"/>
  <c r="G4849" i="1"/>
  <c r="E4849" i="1"/>
  <c r="C4849" i="1"/>
  <c r="R4848" i="1"/>
  <c r="I4848" i="1"/>
  <c r="G4848" i="1"/>
  <c r="E4848" i="1"/>
  <c r="C4848" i="1"/>
  <c r="R4847" i="1"/>
  <c r="I4847" i="1"/>
  <c r="G4847" i="1"/>
  <c r="E4847" i="1"/>
  <c r="C4847" i="1"/>
  <c r="R4846" i="1"/>
  <c r="I4846" i="1"/>
  <c r="G4846" i="1"/>
  <c r="E4846" i="1"/>
  <c r="C4846" i="1"/>
  <c r="R4845" i="1"/>
  <c r="I4845" i="1"/>
  <c r="G4845" i="1"/>
  <c r="E4845" i="1"/>
  <c r="C4845" i="1"/>
  <c r="R4844" i="1"/>
  <c r="I4844" i="1"/>
  <c r="G4844" i="1"/>
  <c r="E4844" i="1"/>
  <c r="C4844" i="1"/>
  <c r="R4843" i="1"/>
  <c r="I4843" i="1"/>
  <c r="G4843" i="1"/>
  <c r="E4843" i="1"/>
  <c r="C4843" i="1"/>
  <c r="R4842" i="1"/>
  <c r="I4842" i="1"/>
  <c r="G4842" i="1"/>
  <c r="E4842" i="1"/>
  <c r="C4842" i="1"/>
  <c r="R4841" i="1"/>
  <c r="I4841" i="1"/>
  <c r="G4841" i="1"/>
  <c r="E4841" i="1"/>
  <c r="C4841" i="1"/>
  <c r="R4840" i="1"/>
  <c r="I4840" i="1"/>
  <c r="G4840" i="1"/>
  <c r="E4840" i="1"/>
  <c r="C4840" i="1"/>
  <c r="R4839" i="1"/>
  <c r="I4839" i="1"/>
  <c r="G4839" i="1"/>
  <c r="E4839" i="1"/>
  <c r="C4839" i="1"/>
  <c r="R4838" i="1"/>
  <c r="I4838" i="1"/>
  <c r="G4838" i="1"/>
  <c r="E4838" i="1"/>
  <c r="C4838" i="1"/>
  <c r="R4837" i="1"/>
  <c r="I4837" i="1"/>
  <c r="G4837" i="1"/>
  <c r="E4837" i="1"/>
  <c r="C4837" i="1"/>
  <c r="R4836" i="1"/>
  <c r="I4836" i="1"/>
  <c r="G4836" i="1"/>
  <c r="E4836" i="1"/>
  <c r="C4836" i="1"/>
  <c r="R4835" i="1"/>
  <c r="I4835" i="1"/>
  <c r="G4835" i="1"/>
  <c r="E4835" i="1"/>
  <c r="C4835" i="1"/>
  <c r="R4834" i="1"/>
  <c r="I4834" i="1"/>
  <c r="G4834" i="1"/>
  <c r="E4834" i="1"/>
  <c r="C4834" i="1"/>
  <c r="R4833" i="1"/>
  <c r="I4833" i="1"/>
  <c r="G4833" i="1"/>
  <c r="E4833" i="1"/>
  <c r="C4833" i="1"/>
  <c r="R4832" i="1"/>
  <c r="I4832" i="1"/>
  <c r="G4832" i="1"/>
  <c r="E4832" i="1"/>
  <c r="C4832" i="1"/>
  <c r="R4831" i="1"/>
  <c r="I4831" i="1"/>
  <c r="G4831" i="1"/>
  <c r="E4831" i="1"/>
  <c r="C4831" i="1"/>
  <c r="R4830" i="1"/>
  <c r="I4830" i="1"/>
  <c r="G4830" i="1"/>
  <c r="E4830" i="1"/>
  <c r="C4830" i="1"/>
  <c r="R4829" i="1"/>
  <c r="I4829" i="1"/>
  <c r="G4829" i="1"/>
  <c r="E4829" i="1"/>
  <c r="C4829" i="1"/>
  <c r="R4828" i="1"/>
  <c r="I4828" i="1"/>
  <c r="G4828" i="1"/>
  <c r="E4828" i="1"/>
  <c r="C4828" i="1"/>
  <c r="R4827" i="1"/>
  <c r="I4827" i="1"/>
  <c r="G4827" i="1"/>
  <c r="E4827" i="1"/>
  <c r="C4827" i="1"/>
  <c r="R4826" i="1"/>
  <c r="I4826" i="1"/>
  <c r="G4826" i="1"/>
  <c r="E4826" i="1"/>
  <c r="C4826" i="1"/>
  <c r="R4825" i="1"/>
  <c r="I4825" i="1"/>
  <c r="G4825" i="1"/>
  <c r="E4825" i="1"/>
  <c r="C4825" i="1"/>
  <c r="R4824" i="1"/>
  <c r="I4824" i="1"/>
  <c r="G4824" i="1"/>
  <c r="E4824" i="1"/>
  <c r="C4824" i="1"/>
  <c r="R4823" i="1"/>
  <c r="I4823" i="1"/>
  <c r="G4823" i="1"/>
  <c r="E4823" i="1"/>
  <c r="C4823" i="1"/>
  <c r="R4822" i="1"/>
  <c r="I4822" i="1"/>
  <c r="G4822" i="1"/>
  <c r="E4822" i="1"/>
  <c r="C4822" i="1"/>
  <c r="R4821" i="1"/>
  <c r="I4821" i="1"/>
  <c r="G4821" i="1"/>
  <c r="E4821" i="1"/>
  <c r="C4821" i="1"/>
  <c r="R4820" i="1"/>
  <c r="I4820" i="1"/>
  <c r="G4820" i="1"/>
  <c r="E4820" i="1"/>
  <c r="C4820" i="1"/>
  <c r="R4819" i="1"/>
  <c r="I4819" i="1"/>
  <c r="G4819" i="1"/>
  <c r="E4819" i="1"/>
  <c r="C4819" i="1"/>
  <c r="R4818" i="1"/>
  <c r="I4818" i="1"/>
  <c r="G4818" i="1"/>
  <c r="E4818" i="1"/>
  <c r="C4818" i="1"/>
  <c r="R4817" i="1"/>
  <c r="I4817" i="1"/>
  <c r="G4817" i="1"/>
  <c r="E4817" i="1"/>
  <c r="C4817" i="1"/>
  <c r="R4816" i="1"/>
  <c r="I4816" i="1"/>
  <c r="G4816" i="1"/>
  <c r="E4816" i="1"/>
  <c r="C4816" i="1"/>
  <c r="R4815" i="1"/>
  <c r="I4815" i="1"/>
  <c r="G4815" i="1"/>
  <c r="E4815" i="1"/>
  <c r="C4815" i="1"/>
  <c r="R4814" i="1"/>
  <c r="I4814" i="1"/>
  <c r="G4814" i="1"/>
  <c r="E4814" i="1"/>
  <c r="C4814" i="1"/>
  <c r="R4813" i="1"/>
  <c r="I4813" i="1"/>
  <c r="G4813" i="1"/>
  <c r="E4813" i="1"/>
  <c r="C4813" i="1"/>
  <c r="R4812" i="1"/>
  <c r="I4812" i="1"/>
  <c r="G4812" i="1"/>
  <c r="E4812" i="1"/>
  <c r="C4812" i="1"/>
  <c r="R4811" i="1"/>
  <c r="I4811" i="1"/>
  <c r="G4811" i="1"/>
  <c r="E4811" i="1"/>
  <c r="C4811" i="1"/>
  <c r="R4810" i="1"/>
  <c r="I4810" i="1"/>
  <c r="G4810" i="1"/>
  <c r="E4810" i="1"/>
  <c r="C4810" i="1"/>
  <c r="R4809" i="1"/>
  <c r="I4809" i="1"/>
  <c r="G4809" i="1"/>
  <c r="E4809" i="1"/>
  <c r="C4809" i="1"/>
  <c r="R4808" i="1"/>
  <c r="I4808" i="1"/>
  <c r="G4808" i="1"/>
  <c r="E4808" i="1"/>
  <c r="C4808" i="1"/>
  <c r="R4807" i="1"/>
  <c r="I4807" i="1"/>
  <c r="G4807" i="1"/>
  <c r="E4807" i="1"/>
  <c r="C4807" i="1"/>
  <c r="R4806" i="1"/>
  <c r="I4806" i="1"/>
  <c r="G4806" i="1"/>
  <c r="E4806" i="1"/>
  <c r="C4806" i="1"/>
  <c r="R4805" i="1"/>
  <c r="I4805" i="1"/>
  <c r="G4805" i="1"/>
  <c r="E4805" i="1"/>
  <c r="C4805" i="1"/>
  <c r="R4804" i="1"/>
  <c r="I4804" i="1"/>
  <c r="G4804" i="1"/>
  <c r="E4804" i="1"/>
  <c r="C4804" i="1"/>
  <c r="R4803" i="1"/>
  <c r="I4803" i="1"/>
  <c r="G4803" i="1"/>
  <c r="E4803" i="1"/>
  <c r="C4803" i="1"/>
  <c r="R4802" i="1"/>
  <c r="I4802" i="1"/>
  <c r="G4802" i="1"/>
  <c r="E4802" i="1"/>
  <c r="C4802" i="1"/>
  <c r="R4801" i="1"/>
  <c r="I4801" i="1"/>
  <c r="G4801" i="1"/>
  <c r="E4801" i="1"/>
  <c r="C4801" i="1"/>
  <c r="R4800" i="1"/>
  <c r="I4800" i="1"/>
  <c r="G4800" i="1"/>
  <c r="E4800" i="1"/>
  <c r="C4800" i="1"/>
  <c r="R4799" i="1"/>
  <c r="I4799" i="1"/>
  <c r="G4799" i="1"/>
  <c r="E4799" i="1"/>
  <c r="C4799" i="1"/>
  <c r="R4798" i="1"/>
  <c r="I4798" i="1"/>
  <c r="G4798" i="1"/>
  <c r="E4798" i="1"/>
  <c r="C4798" i="1"/>
  <c r="R4797" i="1"/>
  <c r="I4797" i="1"/>
  <c r="G4797" i="1"/>
  <c r="E4797" i="1"/>
  <c r="C4797" i="1"/>
  <c r="R4796" i="1"/>
  <c r="I4796" i="1"/>
  <c r="G4796" i="1"/>
  <c r="E4796" i="1"/>
  <c r="C4796" i="1"/>
  <c r="R4795" i="1"/>
  <c r="I4795" i="1"/>
  <c r="G4795" i="1"/>
  <c r="E4795" i="1"/>
  <c r="C4795" i="1"/>
  <c r="R4794" i="1"/>
  <c r="I4794" i="1"/>
  <c r="G4794" i="1"/>
  <c r="E4794" i="1"/>
  <c r="C4794" i="1"/>
  <c r="R4793" i="1"/>
  <c r="I4793" i="1"/>
  <c r="G4793" i="1"/>
  <c r="E4793" i="1"/>
  <c r="C4793" i="1"/>
  <c r="R4792" i="1"/>
  <c r="I4792" i="1"/>
  <c r="G4792" i="1"/>
  <c r="E4792" i="1"/>
  <c r="C4792" i="1"/>
  <c r="R4791" i="1"/>
  <c r="I4791" i="1"/>
  <c r="G4791" i="1"/>
  <c r="E4791" i="1"/>
  <c r="C4791" i="1"/>
  <c r="R4790" i="1"/>
  <c r="I4790" i="1"/>
  <c r="G4790" i="1"/>
  <c r="E4790" i="1"/>
  <c r="C4790" i="1"/>
  <c r="R4789" i="1"/>
  <c r="I4789" i="1"/>
  <c r="G4789" i="1"/>
  <c r="E4789" i="1"/>
  <c r="C4789" i="1"/>
  <c r="R4788" i="1"/>
  <c r="I4788" i="1"/>
  <c r="G4788" i="1"/>
  <c r="E4788" i="1"/>
  <c r="C4788" i="1"/>
  <c r="R4787" i="1"/>
  <c r="I4787" i="1"/>
  <c r="G4787" i="1"/>
  <c r="E4787" i="1"/>
  <c r="C4787" i="1"/>
  <c r="R4786" i="1"/>
  <c r="I4786" i="1"/>
  <c r="G4786" i="1"/>
  <c r="E4786" i="1"/>
  <c r="C4786" i="1"/>
  <c r="R4785" i="1"/>
  <c r="I4785" i="1"/>
  <c r="G4785" i="1"/>
  <c r="E4785" i="1"/>
  <c r="C4785" i="1"/>
  <c r="R4784" i="1"/>
  <c r="I4784" i="1"/>
  <c r="G4784" i="1"/>
  <c r="E4784" i="1"/>
  <c r="C4784" i="1"/>
  <c r="R4783" i="1"/>
  <c r="I4783" i="1"/>
  <c r="G4783" i="1"/>
  <c r="E4783" i="1"/>
  <c r="C4783" i="1"/>
  <c r="R4782" i="1"/>
  <c r="I4782" i="1"/>
  <c r="G4782" i="1"/>
  <c r="E4782" i="1"/>
  <c r="C4782" i="1"/>
  <c r="R4781" i="1"/>
  <c r="I4781" i="1"/>
  <c r="G4781" i="1"/>
  <c r="E4781" i="1"/>
  <c r="C4781" i="1"/>
  <c r="R4780" i="1"/>
  <c r="I4780" i="1"/>
  <c r="G4780" i="1"/>
  <c r="E4780" i="1"/>
  <c r="C4780" i="1"/>
  <c r="R4779" i="1"/>
  <c r="I4779" i="1"/>
  <c r="G4779" i="1"/>
  <c r="E4779" i="1"/>
  <c r="C4779" i="1"/>
  <c r="R4778" i="1"/>
  <c r="I4778" i="1"/>
  <c r="G4778" i="1"/>
  <c r="E4778" i="1"/>
  <c r="C4778" i="1"/>
  <c r="R4777" i="1"/>
  <c r="I4777" i="1"/>
  <c r="G4777" i="1"/>
  <c r="E4777" i="1"/>
  <c r="C4777" i="1"/>
  <c r="R4776" i="1"/>
  <c r="I4776" i="1"/>
  <c r="G4776" i="1"/>
  <c r="E4776" i="1"/>
  <c r="C4776" i="1"/>
  <c r="R4775" i="1"/>
  <c r="I4775" i="1"/>
  <c r="G4775" i="1"/>
  <c r="E4775" i="1"/>
  <c r="C4775" i="1"/>
  <c r="R4774" i="1"/>
  <c r="I4774" i="1"/>
  <c r="G4774" i="1"/>
  <c r="E4774" i="1"/>
  <c r="C4774" i="1"/>
  <c r="R4773" i="1"/>
  <c r="I4773" i="1"/>
  <c r="G4773" i="1"/>
  <c r="E4773" i="1"/>
  <c r="C4773" i="1"/>
  <c r="R4772" i="1"/>
  <c r="I4772" i="1"/>
  <c r="G4772" i="1"/>
  <c r="E4772" i="1"/>
  <c r="C4772" i="1"/>
  <c r="R4771" i="1"/>
  <c r="I4771" i="1"/>
  <c r="G4771" i="1"/>
  <c r="E4771" i="1"/>
  <c r="C4771" i="1"/>
  <c r="R4770" i="1"/>
  <c r="I4770" i="1"/>
  <c r="G4770" i="1"/>
  <c r="E4770" i="1"/>
  <c r="C4770" i="1"/>
  <c r="R4769" i="1"/>
  <c r="I4769" i="1"/>
  <c r="G4769" i="1"/>
  <c r="E4769" i="1"/>
  <c r="C4769" i="1"/>
  <c r="R4768" i="1"/>
  <c r="I4768" i="1"/>
  <c r="G4768" i="1"/>
  <c r="E4768" i="1"/>
  <c r="C4768" i="1"/>
  <c r="R4767" i="1"/>
  <c r="I4767" i="1"/>
  <c r="G4767" i="1"/>
  <c r="E4767" i="1"/>
  <c r="C4767" i="1"/>
  <c r="R4766" i="1"/>
  <c r="I4766" i="1"/>
  <c r="G4766" i="1"/>
  <c r="E4766" i="1"/>
  <c r="C4766" i="1"/>
  <c r="R4765" i="1"/>
  <c r="I4765" i="1"/>
  <c r="G4765" i="1"/>
  <c r="E4765" i="1"/>
  <c r="C4765" i="1"/>
  <c r="R4764" i="1"/>
  <c r="I4764" i="1"/>
  <c r="G4764" i="1"/>
  <c r="E4764" i="1"/>
  <c r="C4764" i="1"/>
  <c r="R4763" i="1"/>
  <c r="I4763" i="1"/>
  <c r="G4763" i="1"/>
  <c r="E4763" i="1"/>
  <c r="C4763" i="1"/>
  <c r="R4762" i="1"/>
  <c r="I4762" i="1"/>
  <c r="G4762" i="1"/>
  <c r="E4762" i="1"/>
  <c r="C4762" i="1"/>
  <c r="R4761" i="1"/>
  <c r="I4761" i="1"/>
  <c r="G4761" i="1"/>
  <c r="E4761" i="1"/>
  <c r="C4761" i="1"/>
  <c r="R4760" i="1"/>
  <c r="I4760" i="1"/>
  <c r="G4760" i="1"/>
  <c r="E4760" i="1"/>
  <c r="C4760" i="1"/>
  <c r="R4759" i="1"/>
  <c r="I4759" i="1"/>
  <c r="G4759" i="1"/>
  <c r="E4759" i="1"/>
  <c r="C4759" i="1"/>
  <c r="R4758" i="1"/>
  <c r="I4758" i="1"/>
  <c r="G4758" i="1"/>
  <c r="E4758" i="1"/>
  <c r="C4758" i="1"/>
  <c r="R4757" i="1"/>
  <c r="I4757" i="1"/>
  <c r="G4757" i="1"/>
  <c r="E4757" i="1"/>
  <c r="C4757" i="1"/>
  <c r="R4756" i="1"/>
  <c r="I4756" i="1"/>
  <c r="G4756" i="1"/>
  <c r="E4756" i="1"/>
  <c r="C4756" i="1"/>
  <c r="R4755" i="1"/>
  <c r="I4755" i="1"/>
  <c r="G4755" i="1"/>
  <c r="E4755" i="1"/>
  <c r="C4755" i="1"/>
  <c r="R4754" i="1"/>
  <c r="I4754" i="1"/>
  <c r="G4754" i="1"/>
  <c r="E4754" i="1"/>
  <c r="C4754" i="1"/>
  <c r="R4753" i="1"/>
  <c r="I4753" i="1"/>
  <c r="G4753" i="1"/>
  <c r="E4753" i="1"/>
  <c r="C4753" i="1"/>
  <c r="R4752" i="1"/>
  <c r="I4752" i="1"/>
  <c r="G4752" i="1"/>
  <c r="E4752" i="1"/>
  <c r="C4752" i="1"/>
  <c r="R4751" i="1"/>
  <c r="I4751" i="1"/>
  <c r="G4751" i="1"/>
  <c r="E4751" i="1"/>
  <c r="C4751" i="1"/>
  <c r="R4750" i="1"/>
  <c r="I4750" i="1"/>
  <c r="G4750" i="1"/>
  <c r="E4750" i="1"/>
  <c r="C4750" i="1"/>
  <c r="R4749" i="1"/>
  <c r="I4749" i="1"/>
  <c r="G4749" i="1"/>
  <c r="E4749" i="1"/>
  <c r="C4749" i="1"/>
  <c r="R4748" i="1"/>
  <c r="I4748" i="1"/>
  <c r="G4748" i="1"/>
  <c r="E4748" i="1"/>
  <c r="C4748" i="1"/>
  <c r="R4747" i="1"/>
  <c r="I4747" i="1"/>
  <c r="G4747" i="1"/>
  <c r="E4747" i="1"/>
  <c r="C4747" i="1"/>
  <c r="R4746" i="1"/>
  <c r="I4746" i="1"/>
  <c r="G4746" i="1"/>
  <c r="E4746" i="1"/>
  <c r="C4746" i="1"/>
  <c r="R4745" i="1"/>
  <c r="I4745" i="1"/>
  <c r="G4745" i="1"/>
  <c r="E4745" i="1"/>
  <c r="C4745" i="1"/>
  <c r="R4744" i="1"/>
  <c r="I4744" i="1"/>
  <c r="G4744" i="1"/>
  <c r="E4744" i="1"/>
  <c r="C4744" i="1"/>
  <c r="R4743" i="1"/>
  <c r="I4743" i="1"/>
  <c r="G4743" i="1"/>
  <c r="E4743" i="1"/>
  <c r="C4743" i="1"/>
  <c r="R4742" i="1"/>
  <c r="I4742" i="1"/>
  <c r="G4742" i="1"/>
  <c r="E4742" i="1"/>
  <c r="C4742" i="1"/>
  <c r="R4741" i="1"/>
  <c r="I4741" i="1"/>
  <c r="G4741" i="1"/>
  <c r="E4741" i="1"/>
  <c r="C4741" i="1"/>
  <c r="R4740" i="1"/>
  <c r="I4740" i="1"/>
  <c r="G4740" i="1"/>
  <c r="E4740" i="1"/>
  <c r="C4740" i="1"/>
  <c r="R4739" i="1"/>
  <c r="I4739" i="1"/>
  <c r="G4739" i="1"/>
  <c r="E4739" i="1"/>
  <c r="C4739" i="1"/>
  <c r="R4738" i="1"/>
  <c r="I4738" i="1"/>
  <c r="G4738" i="1"/>
  <c r="E4738" i="1"/>
  <c r="C4738" i="1"/>
  <c r="R4737" i="1"/>
  <c r="I4737" i="1"/>
  <c r="G4737" i="1"/>
  <c r="E4737" i="1"/>
  <c r="C4737" i="1"/>
  <c r="R4736" i="1"/>
  <c r="I4736" i="1"/>
  <c r="G4736" i="1"/>
  <c r="E4736" i="1"/>
  <c r="C4736" i="1"/>
  <c r="R4735" i="1"/>
  <c r="I4735" i="1"/>
  <c r="G4735" i="1"/>
  <c r="E4735" i="1"/>
  <c r="C4735" i="1"/>
  <c r="R4734" i="1"/>
  <c r="I4734" i="1"/>
  <c r="G4734" i="1"/>
  <c r="E4734" i="1"/>
  <c r="C4734" i="1"/>
  <c r="R4733" i="1"/>
  <c r="I4733" i="1"/>
  <c r="G4733" i="1"/>
  <c r="E4733" i="1"/>
  <c r="C4733" i="1"/>
  <c r="R4732" i="1"/>
  <c r="I4732" i="1"/>
  <c r="G4732" i="1"/>
  <c r="E4732" i="1"/>
  <c r="C4732" i="1"/>
  <c r="R4731" i="1"/>
  <c r="I4731" i="1"/>
  <c r="G4731" i="1"/>
  <c r="E4731" i="1"/>
  <c r="C4731" i="1"/>
  <c r="R4730" i="1"/>
  <c r="I4730" i="1"/>
  <c r="G4730" i="1"/>
  <c r="E4730" i="1"/>
  <c r="C4730" i="1"/>
  <c r="R4729" i="1"/>
  <c r="I4729" i="1"/>
  <c r="G4729" i="1"/>
  <c r="E4729" i="1"/>
  <c r="C4729" i="1"/>
  <c r="R4728" i="1"/>
  <c r="I4728" i="1"/>
  <c r="G4728" i="1"/>
  <c r="E4728" i="1"/>
  <c r="C4728" i="1"/>
  <c r="R4727" i="1"/>
  <c r="I4727" i="1"/>
  <c r="G4727" i="1"/>
  <c r="E4727" i="1"/>
  <c r="C4727" i="1"/>
  <c r="R4726" i="1"/>
  <c r="I4726" i="1"/>
  <c r="G4726" i="1"/>
  <c r="E4726" i="1"/>
  <c r="C4726" i="1"/>
  <c r="R4725" i="1"/>
  <c r="I4725" i="1"/>
  <c r="G4725" i="1"/>
  <c r="E4725" i="1"/>
  <c r="C4725" i="1"/>
  <c r="R4724" i="1"/>
  <c r="I4724" i="1"/>
  <c r="G4724" i="1"/>
  <c r="E4724" i="1"/>
  <c r="C4724" i="1"/>
  <c r="R4723" i="1"/>
  <c r="I4723" i="1"/>
  <c r="G4723" i="1"/>
  <c r="E4723" i="1"/>
  <c r="C4723" i="1"/>
  <c r="R4722" i="1"/>
  <c r="I4722" i="1"/>
  <c r="G4722" i="1"/>
  <c r="E4722" i="1"/>
  <c r="C4722" i="1"/>
  <c r="R4721" i="1"/>
  <c r="I4721" i="1"/>
  <c r="G4721" i="1"/>
  <c r="E4721" i="1"/>
  <c r="C4721" i="1"/>
  <c r="R4720" i="1"/>
  <c r="I4720" i="1"/>
  <c r="G4720" i="1"/>
  <c r="E4720" i="1"/>
  <c r="C4720" i="1"/>
  <c r="R4719" i="1"/>
  <c r="I4719" i="1"/>
  <c r="G4719" i="1"/>
  <c r="E4719" i="1"/>
  <c r="C4719" i="1"/>
  <c r="R4718" i="1"/>
  <c r="I4718" i="1"/>
  <c r="G4718" i="1"/>
  <c r="E4718" i="1"/>
  <c r="C4718" i="1"/>
  <c r="R4717" i="1"/>
  <c r="I4717" i="1"/>
  <c r="G4717" i="1"/>
  <c r="E4717" i="1"/>
  <c r="C4717" i="1"/>
  <c r="R4716" i="1"/>
  <c r="I4716" i="1"/>
  <c r="G4716" i="1"/>
  <c r="E4716" i="1"/>
  <c r="C4716" i="1"/>
  <c r="R4715" i="1"/>
  <c r="I4715" i="1"/>
  <c r="G4715" i="1"/>
  <c r="E4715" i="1"/>
  <c r="C4715" i="1"/>
  <c r="R4714" i="1"/>
  <c r="I4714" i="1"/>
  <c r="G4714" i="1"/>
  <c r="E4714" i="1"/>
  <c r="C4714" i="1"/>
  <c r="R4713" i="1"/>
  <c r="I4713" i="1"/>
  <c r="G4713" i="1"/>
  <c r="E4713" i="1"/>
  <c r="C4713" i="1"/>
  <c r="R4712" i="1"/>
  <c r="I4712" i="1"/>
  <c r="G4712" i="1"/>
  <c r="E4712" i="1"/>
  <c r="C4712" i="1"/>
  <c r="R4711" i="1"/>
  <c r="I4711" i="1"/>
  <c r="G4711" i="1"/>
  <c r="E4711" i="1"/>
  <c r="C4711" i="1"/>
  <c r="R4710" i="1"/>
  <c r="I4710" i="1"/>
  <c r="G4710" i="1"/>
  <c r="E4710" i="1"/>
  <c r="C4710" i="1"/>
  <c r="R4709" i="1"/>
  <c r="I4709" i="1"/>
  <c r="G4709" i="1"/>
  <c r="E4709" i="1"/>
  <c r="C4709" i="1"/>
  <c r="R4708" i="1"/>
  <c r="I4708" i="1"/>
  <c r="G4708" i="1"/>
  <c r="E4708" i="1"/>
  <c r="C4708" i="1"/>
  <c r="R4707" i="1"/>
  <c r="I4707" i="1"/>
  <c r="G4707" i="1"/>
  <c r="E4707" i="1"/>
  <c r="C4707" i="1"/>
  <c r="R4706" i="1"/>
  <c r="I4706" i="1"/>
  <c r="G4706" i="1"/>
  <c r="E4706" i="1"/>
  <c r="C4706" i="1"/>
  <c r="R4705" i="1"/>
  <c r="I4705" i="1"/>
  <c r="G4705" i="1"/>
  <c r="E4705" i="1"/>
  <c r="C4705" i="1"/>
  <c r="R4704" i="1"/>
  <c r="I4704" i="1"/>
  <c r="G4704" i="1"/>
  <c r="E4704" i="1"/>
  <c r="C4704" i="1"/>
  <c r="R4703" i="1"/>
  <c r="I4703" i="1"/>
  <c r="G4703" i="1"/>
  <c r="E4703" i="1"/>
  <c r="C4703" i="1"/>
  <c r="R4702" i="1"/>
  <c r="I4702" i="1"/>
  <c r="G4702" i="1"/>
  <c r="E4702" i="1"/>
  <c r="C4702" i="1"/>
  <c r="R4701" i="1"/>
  <c r="I4701" i="1"/>
  <c r="G4701" i="1"/>
  <c r="E4701" i="1"/>
  <c r="C4701" i="1"/>
  <c r="R4700" i="1"/>
  <c r="I4700" i="1"/>
  <c r="G4700" i="1"/>
  <c r="E4700" i="1"/>
  <c r="C4700" i="1"/>
  <c r="R4699" i="1"/>
  <c r="I4699" i="1"/>
  <c r="G4699" i="1"/>
  <c r="E4699" i="1"/>
  <c r="C4699" i="1"/>
  <c r="R4698" i="1"/>
  <c r="I4698" i="1"/>
  <c r="G4698" i="1"/>
  <c r="E4698" i="1"/>
  <c r="C4698" i="1"/>
  <c r="R4697" i="1"/>
  <c r="I4697" i="1"/>
  <c r="G4697" i="1"/>
  <c r="E4697" i="1"/>
  <c r="C4697" i="1"/>
  <c r="R4696" i="1"/>
  <c r="I4696" i="1"/>
  <c r="G4696" i="1"/>
  <c r="E4696" i="1"/>
  <c r="C4696" i="1"/>
  <c r="R4695" i="1"/>
  <c r="I4695" i="1"/>
  <c r="G4695" i="1"/>
  <c r="E4695" i="1"/>
  <c r="C4695" i="1"/>
  <c r="R4694" i="1"/>
  <c r="I4694" i="1"/>
  <c r="G4694" i="1"/>
  <c r="E4694" i="1"/>
  <c r="C4694" i="1"/>
  <c r="R4693" i="1"/>
  <c r="I4693" i="1"/>
  <c r="G4693" i="1"/>
  <c r="E4693" i="1"/>
  <c r="C4693" i="1"/>
  <c r="R4692" i="1"/>
  <c r="I4692" i="1"/>
  <c r="G4692" i="1"/>
  <c r="E4692" i="1"/>
  <c r="C4692" i="1"/>
  <c r="R4691" i="1"/>
  <c r="I4691" i="1"/>
  <c r="G4691" i="1"/>
  <c r="E4691" i="1"/>
  <c r="C4691" i="1"/>
  <c r="R4690" i="1"/>
  <c r="I4690" i="1"/>
  <c r="G4690" i="1"/>
  <c r="E4690" i="1"/>
  <c r="C4690" i="1"/>
  <c r="R4689" i="1"/>
  <c r="I4689" i="1"/>
  <c r="G4689" i="1"/>
  <c r="E4689" i="1"/>
  <c r="C4689" i="1"/>
  <c r="R4688" i="1"/>
  <c r="I4688" i="1"/>
  <c r="G4688" i="1"/>
  <c r="E4688" i="1"/>
  <c r="C4688" i="1"/>
  <c r="R4687" i="1"/>
  <c r="I4687" i="1"/>
  <c r="G4687" i="1"/>
  <c r="E4687" i="1"/>
  <c r="C4687" i="1"/>
  <c r="R4686" i="1"/>
  <c r="I4686" i="1"/>
  <c r="G4686" i="1"/>
  <c r="E4686" i="1"/>
  <c r="C4686" i="1"/>
  <c r="R4685" i="1"/>
  <c r="I4685" i="1"/>
  <c r="G4685" i="1"/>
  <c r="E4685" i="1"/>
  <c r="C4685" i="1"/>
  <c r="R4684" i="1"/>
  <c r="I4684" i="1"/>
  <c r="G4684" i="1"/>
  <c r="E4684" i="1"/>
  <c r="C4684" i="1"/>
  <c r="R4683" i="1"/>
  <c r="I4683" i="1"/>
  <c r="G4683" i="1"/>
  <c r="E4683" i="1"/>
  <c r="C4683" i="1"/>
  <c r="R4682" i="1"/>
  <c r="I4682" i="1"/>
  <c r="G4682" i="1"/>
  <c r="E4682" i="1"/>
  <c r="C4682" i="1"/>
  <c r="R4681" i="1"/>
  <c r="I4681" i="1"/>
  <c r="G4681" i="1"/>
  <c r="E4681" i="1"/>
  <c r="C4681" i="1"/>
  <c r="R4680" i="1"/>
  <c r="I4680" i="1"/>
  <c r="G4680" i="1"/>
  <c r="E4680" i="1"/>
  <c r="C4680" i="1"/>
  <c r="R4679" i="1"/>
  <c r="I4679" i="1"/>
  <c r="G4679" i="1"/>
  <c r="E4679" i="1"/>
  <c r="C4679" i="1"/>
  <c r="R4678" i="1"/>
  <c r="I4678" i="1"/>
  <c r="G4678" i="1"/>
  <c r="E4678" i="1"/>
  <c r="C4678" i="1"/>
  <c r="R4677" i="1"/>
  <c r="I4677" i="1"/>
  <c r="G4677" i="1"/>
  <c r="E4677" i="1"/>
  <c r="C4677" i="1"/>
  <c r="R4676" i="1"/>
  <c r="I4676" i="1"/>
  <c r="G4676" i="1"/>
  <c r="E4676" i="1"/>
  <c r="C4676" i="1"/>
  <c r="R4675" i="1"/>
  <c r="I4675" i="1"/>
  <c r="G4675" i="1"/>
  <c r="E4675" i="1"/>
  <c r="C4675" i="1"/>
  <c r="R4674" i="1"/>
  <c r="I4674" i="1"/>
  <c r="G4674" i="1"/>
  <c r="E4674" i="1"/>
  <c r="C4674" i="1"/>
  <c r="R4673" i="1"/>
  <c r="I4673" i="1"/>
  <c r="G4673" i="1"/>
  <c r="E4673" i="1"/>
  <c r="C4673" i="1"/>
  <c r="R4672" i="1"/>
  <c r="I4672" i="1"/>
  <c r="G4672" i="1"/>
  <c r="E4672" i="1"/>
  <c r="C4672" i="1"/>
  <c r="R4671" i="1"/>
  <c r="I4671" i="1"/>
  <c r="G4671" i="1"/>
  <c r="E4671" i="1"/>
  <c r="C4671" i="1"/>
  <c r="R4670" i="1"/>
  <c r="I4670" i="1"/>
  <c r="G4670" i="1"/>
  <c r="E4670" i="1"/>
  <c r="C4670" i="1"/>
  <c r="R4669" i="1"/>
  <c r="I4669" i="1"/>
  <c r="G4669" i="1"/>
  <c r="E4669" i="1"/>
  <c r="C4669" i="1"/>
  <c r="R4668" i="1"/>
  <c r="I4668" i="1"/>
  <c r="G4668" i="1"/>
  <c r="E4668" i="1"/>
  <c r="C4668" i="1"/>
  <c r="R4667" i="1"/>
  <c r="I4667" i="1"/>
  <c r="G4667" i="1"/>
  <c r="E4667" i="1"/>
  <c r="C4667" i="1"/>
  <c r="R4666" i="1"/>
  <c r="I4666" i="1"/>
  <c r="G4666" i="1"/>
  <c r="E4666" i="1"/>
  <c r="C4666" i="1"/>
  <c r="R4665" i="1"/>
  <c r="I4665" i="1"/>
  <c r="G4665" i="1"/>
  <c r="E4665" i="1"/>
  <c r="C4665" i="1"/>
  <c r="R4664" i="1"/>
  <c r="I4664" i="1"/>
  <c r="G4664" i="1"/>
  <c r="E4664" i="1"/>
  <c r="C4664" i="1"/>
  <c r="R4663" i="1"/>
  <c r="I4663" i="1"/>
  <c r="G4663" i="1"/>
  <c r="E4663" i="1"/>
  <c r="C4663" i="1"/>
  <c r="R4662" i="1"/>
  <c r="I4662" i="1"/>
  <c r="G4662" i="1"/>
  <c r="E4662" i="1"/>
  <c r="C4662" i="1"/>
  <c r="R4661" i="1"/>
  <c r="I4661" i="1"/>
  <c r="G4661" i="1"/>
  <c r="E4661" i="1"/>
  <c r="C4661" i="1"/>
  <c r="R4660" i="1"/>
  <c r="I4660" i="1"/>
  <c r="G4660" i="1"/>
  <c r="E4660" i="1"/>
  <c r="C4660" i="1"/>
  <c r="R4659" i="1"/>
  <c r="I4659" i="1"/>
  <c r="G4659" i="1"/>
  <c r="E4659" i="1"/>
  <c r="C4659" i="1"/>
  <c r="R4658" i="1"/>
  <c r="I4658" i="1"/>
  <c r="G4658" i="1"/>
  <c r="E4658" i="1"/>
  <c r="C4658" i="1"/>
  <c r="R4657" i="1"/>
  <c r="I4657" i="1"/>
  <c r="G4657" i="1"/>
  <c r="E4657" i="1"/>
  <c r="C4657" i="1"/>
  <c r="R4656" i="1"/>
  <c r="I4656" i="1"/>
  <c r="G4656" i="1"/>
  <c r="E4656" i="1"/>
  <c r="C4656" i="1"/>
  <c r="R4655" i="1"/>
  <c r="I4655" i="1"/>
  <c r="G4655" i="1"/>
  <c r="E4655" i="1"/>
  <c r="C4655" i="1"/>
  <c r="R4654" i="1"/>
  <c r="I4654" i="1"/>
  <c r="G4654" i="1"/>
  <c r="E4654" i="1"/>
  <c r="C4654" i="1"/>
  <c r="R4653" i="1"/>
  <c r="I4653" i="1"/>
  <c r="G4653" i="1"/>
  <c r="E4653" i="1"/>
  <c r="C4653" i="1"/>
  <c r="R4652" i="1"/>
  <c r="I4652" i="1"/>
  <c r="G4652" i="1"/>
  <c r="E4652" i="1"/>
  <c r="C4652" i="1"/>
  <c r="R4651" i="1"/>
  <c r="I4651" i="1"/>
  <c r="G4651" i="1"/>
  <c r="E4651" i="1"/>
  <c r="C4651" i="1"/>
  <c r="R4650" i="1"/>
  <c r="I4650" i="1"/>
  <c r="G4650" i="1"/>
  <c r="E4650" i="1"/>
  <c r="C4650" i="1"/>
  <c r="R4649" i="1"/>
  <c r="I4649" i="1"/>
  <c r="G4649" i="1"/>
  <c r="E4649" i="1"/>
  <c r="C4649" i="1"/>
  <c r="R4648" i="1"/>
  <c r="I4648" i="1"/>
  <c r="G4648" i="1"/>
  <c r="E4648" i="1"/>
  <c r="C4648" i="1"/>
  <c r="R4647" i="1"/>
  <c r="I4647" i="1"/>
  <c r="G4647" i="1"/>
  <c r="E4647" i="1"/>
  <c r="C4647" i="1"/>
  <c r="R4646" i="1"/>
  <c r="I4646" i="1"/>
  <c r="G4646" i="1"/>
  <c r="E4646" i="1"/>
  <c r="C4646" i="1"/>
  <c r="R4645" i="1"/>
  <c r="I4645" i="1"/>
  <c r="G4645" i="1"/>
  <c r="E4645" i="1"/>
  <c r="C4645" i="1"/>
  <c r="R4644" i="1"/>
  <c r="I4644" i="1"/>
  <c r="G4644" i="1"/>
  <c r="E4644" i="1"/>
  <c r="C4644" i="1"/>
  <c r="R4643" i="1"/>
  <c r="I4643" i="1"/>
  <c r="G4643" i="1"/>
  <c r="E4643" i="1"/>
  <c r="C4643" i="1"/>
  <c r="R4642" i="1"/>
  <c r="I4642" i="1"/>
  <c r="G4642" i="1"/>
  <c r="E4642" i="1"/>
  <c r="C4642" i="1"/>
  <c r="R4641" i="1"/>
  <c r="I4641" i="1"/>
  <c r="G4641" i="1"/>
  <c r="E4641" i="1"/>
  <c r="C4641" i="1"/>
  <c r="R4640" i="1"/>
  <c r="I4640" i="1"/>
  <c r="G4640" i="1"/>
  <c r="E4640" i="1"/>
  <c r="C4640" i="1"/>
  <c r="R4639" i="1"/>
  <c r="I4639" i="1"/>
  <c r="G4639" i="1"/>
  <c r="E4639" i="1"/>
  <c r="C4639" i="1"/>
  <c r="R4638" i="1"/>
  <c r="I4638" i="1"/>
  <c r="G4638" i="1"/>
  <c r="E4638" i="1"/>
  <c r="C4638" i="1"/>
  <c r="R4637" i="1"/>
  <c r="I4637" i="1"/>
  <c r="G4637" i="1"/>
  <c r="E4637" i="1"/>
  <c r="C4637" i="1"/>
  <c r="R4636" i="1"/>
  <c r="I4636" i="1"/>
  <c r="G4636" i="1"/>
  <c r="E4636" i="1"/>
  <c r="C4636" i="1"/>
  <c r="R4635" i="1"/>
  <c r="I4635" i="1"/>
  <c r="G4635" i="1"/>
  <c r="E4635" i="1"/>
  <c r="C4635" i="1"/>
  <c r="R4634" i="1"/>
  <c r="I4634" i="1"/>
  <c r="G4634" i="1"/>
  <c r="E4634" i="1"/>
  <c r="C4634" i="1"/>
  <c r="R4633" i="1"/>
  <c r="I4633" i="1"/>
  <c r="G4633" i="1"/>
  <c r="E4633" i="1"/>
  <c r="C4633" i="1"/>
  <c r="R4632" i="1"/>
  <c r="I4632" i="1"/>
  <c r="G4632" i="1"/>
  <c r="E4632" i="1"/>
  <c r="C4632" i="1"/>
  <c r="R4631" i="1"/>
  <c r="I4631" i="1"/>
  <c r="G4631" i="1"/>
  <c r="E4631" i="1"/>
  <c r="C4631" i="1"/>
  <c r="R4630" i="1"/>
  <c r="I4630" i="1"/>
  <c r="G4630" i="1"/>
  <c r="E4630" i="1"/>
  <c r="C4630" i="1"/>
  <c r="R4629" i="1"/>
  <c r="I4629" i="1"/>
  <c r="G4629" i="1"/>
  <c r="E4629" i="1"/>
  <c r="C4629" i="1"/>
  <c r="R4628" i="1"/>
  <c r="I4628" i="1"/>
  <c r="G4628" i="1"/>
  <c r="E4628" i="1"/>
  <c r="C4628" i="1"/>
  <c r="R4627" i="1"/>
  <c r="I4627" i="1"/>
  <c r="G4627" i="1"/>
  <c r="E4627" i="1"/>
  <c r="C4627" i="1"/>
  <c r="R4626" i="1"/>
  <c r="I4626" i="1"/>
  <c r="G4626" i="1"/>
  <c r="E4626" i="1"/>
  <c r="C4626" i="1"/>
  <c r="R4625" i="1"/>
  <c r="I4625" i="1"/>
  <c r="G4625" i="1"/>
  <c r="E4625" i="1"/>
  <c r="C4625" i="1"/>
  <c r="R4624" i="1"/>
  <c r="I4624" i="1"/>
  <c r="G4624" i="1"/>
  <c r="E4624" i="1"/>
  <c r="C4624" i="1"/>
  <c r="R4623" i="1"/>
  <c r="I4623" i="1"/>
  <c r="G4623" i="1"/>
  <c r="E4623" i="1"/>
  <c r="C4623" i="1"/>
  <c r="R4622" i="1"/>
  <c r="I4622" i="1"/>
  <c r="G4622" i="1"/>
  <c r="E4622" i="1"/>
  <c r="C4622" i="1"/>
  <c r="R4621" i="1"/>
  <c r="I4621" i="1"/>
  <c r="G4621" i="1"/>
  <c r="E4621" i="1"/>
  <c r="C4621" i="1"/>
  <c r="R4620" i="1"/>
  <c r="I4620" i="1"/>
  <c r="G4620" i="1"/>
  <c r="E4620" i="1"/>
  <c r="C4620" i="1"/>
  <c r="R4619" i="1"/>
  <c r="I4619" i="1"/>
  <c r="G4619" i="1"/>
  <c r="E4619" i="1"/>
  <c r="C4619" i="1"/>
  <c r="R4618" i="1"/>
  <c r="I4618" i="1"/>
  <c r="G4618" i="1"/>
  <c r="E4618" i="1"/>
  <c r="C4618" i="1"/>
  <c r="R4617" i="1"/>
  <c r="I4617" i="1"/>
  <c r="G4617" i="1"/>
  <c r="E4617" i="1"/>
  <c r="C4617" i="1"/>
  <c r="R4616" i="1"/>
  <c r="I4616" i="1"/>
  <c r="G4616" i="1"/>
  <c r="E4616" i="1"/>
  <c r="C4616" i="1"/>
  <c r="R4615" i="1"/>
  <c r="I4615" i="1"/>
  <c r="G4615" i="1"/>
  <c r="E4615" i="1"/>
  <c r="C4615" i="1"/>
  <c r="R4614" i="1"/>
  <c r="I4614" i="1"/>
  <c r="G4614" i="1"/>
  <c r="E4614" i="1"/>
  <c r="C4614" i="1"/>
  <c r="R4613" i="1"/>
  <c r="I4613" i="1"/>
  <c r="G4613" i="1"/>
  <c r="E4613" i="1"/>
  <c r="C4613" i="1"/>
  <c r="R4612" i="1"/>
  <c r="I4612" i="1"/>
  <c r="G4612" i="1"/>
  <c r="E4612" i="1"/>
  <c r="C4612" i="1"/>
  <c r="R4611" i="1"/>
  <c r="I4611" i="1"/>
  <c r="G4611" i="1"/>
  <c r="E4611" i="1"/>
  <c r="C4611" i="1"/>
  <c r="R4610" i="1"/>
  <c r="I4610" i="1"/>
  <c r="G4610" i="1"/>
  <c r="E4610" i="1"/>
  <c r="C4610" i="1"/>
  <c r="R4609" i="1"/>
  <c r="I4609" i="1"/>
  <c r="G4609" i="1"/>
  <c r="E4609" i="1"/>
  <c r="C4609" i="1"/>
  <c r="R4608" i="1"/>
  <c r="I4608" i="1"/>
  <c r="G4608" i="1"/>
  <c r="E4608" i="1"/>
  <c r="C4608" i="1"/>
  <c r="R4607" i="1"/>
  <c r="I4607" i="1"/>
  <c r="G4607" i="1"/>
  <c r="E4607" i="1"/>
  <c r="C4607" i="1"/>
  <c r="R4606" i="1"/>
  <c r="I4606" i="1"/>
  <c r="G4606" i="1"/>
  <c r="E4606" i="1"/>
  <c r="C4606" i="1"/>
  <c r="R4605" i="1"/>
  <c r="I4605" i="1"/>
  <c r="G4605" i="1"/>
  <c r="E4605" i="1"/>
  <c r="C4605" i="1"/>
  <c r="R4604" i="1"/>
  <c r="I4604" i="1"/>
  <c r="G4604" i="1"/>
  <c r="E4604" i="1"/>
  <c r="C4604" i="1"/>
  <c r="R4603" i="1"/>
  <c r="I4603" i="1"/>
  <c r="G4603" i="1"/>
  <c r="E4603" i="1"/>
  <c r="C4603" i="1"/>
  <c r="R4602" i="1"/>
  <c r="I4602" i="1"/>
  <c r="G4602" i="1"/>
  <c r="E4602" i="1"/>
  <c r="C4602" i="1"/>
  <c r="R4601" i="1"/>
  <c r="I4601" i="1"/>
  <c r="G4601" i="1"/>
  <c r="E4601" i="1"/>
  <c r="C4601" i="1"/>
  <c r="R4600" i="1"/>
  <c r="I4600" i="1"/>
  <c r="G4600" i="1"/>
  <c r="E4600" i="1"/>
  <c r="C4600" i="1"/>
  <c r="R4599" i="1"/>
  <c r="I4599" i="1"/>
  <c r="G4599" i="1"/>
  <c r="E4599" i="1"/>
  <c r="C4599" i="1"/>
  <c r="R4598" i="1"/>
  <c r="I4598" i="1"/>
  <c r="G4598" i="1"/>
  <c r="E4598" i="1"/>
  <c r="C4598" i="1"/>
  <c r="R4597" i="1"/>
  <c r="I4597" i="1"/>
  <c r="G4597" i="1"/>
  <c r="E4597" i="1"/>
  <c r="C4597" i="1"/>
  <c r="R4596" i="1"/>
  <c r="I4596" i="1"/>
  <c r="G4596" i="1"/>
  <c r="E4596" i="1"/>
  <c r="C4596" i="1"/>
  <c r="R4595" i="1"/>
  <c r="I4595" i="1"/>
  <c r="G4595" i="1"/>
  <c r="E4595" i="1"/>
  <c r="C4595" i="1"/>
  <c r="R4594" i="1"/>
  <c r="I4594" i="1"/>
  <c r="G4594" i="1"/>
  <c r="E4594" i="1"/>
  <c r="C4594" i="1"/>
  <c r="R4593" i="1"/>
  <c r="I4593" i="1"/>
  <c r="G4593" i="1"/>
  <c r="E4593" i="1"/>
  <c r="C4593" i="1"/>
  <c r="R4592" i="1"/>
  <c r="I4592" i="1"/>
  <c r="G4592" i="1"/>
  <c r="E4592" i="1"/>
  <c r="C4592" i="1"/>
  <c r="R4591" i="1"/>
  <c r="I4591" i="1"/>
  <c r="G4591" i="1"/>
  <c r="E4591" i="1"/>
  <c r="C4591" i="1"/>
  <c r="R4590" i="1"/>
  <c r="I4590" i="1"/>
  <c r="G4590" i="1"/>
  <c r="E4590" i="1"/>
  <c r="C4590" i="1"/>
  <c r="R4589" i="1"/>
  <c r="I4589" i="1"/>
  <c r="G4589" i="1"/>
  <c r="E4589" i="1"/>
  <c r="C4589" i="1"/>
  <c r="R4588" i="1"/>
  <c r="I4588" i="1"/>
  <c r="G4588" i="1"/>
  <c r="E4588" i="1"/>
  <c r="C4588" i="1"/>
  <c r="R4587" i="1"/>
  <c r="I4587" i="1"/>
  <c r="G4587" i="1"/>
  <c r="E4587" i="1"/>
  <c r="C4587" i="1"/>
  <c r="R4586" i="1"/>
  <c r="I4586" i="1"/>
  <c r="G4586" i="1"/>
  <c r="E4586" i="1"/>
  <c r="C4586" i="1"/>
  <c r="R4585" i="1"/>
  <c r="I4585" i="1"/>
  <c r="G4585" i="1"/>
  <c r="E4585" i="1"/>
  <c r="C4585" i="1"/>
  <c r="R4584" i="1"/>
  <c r="I4584" i="1"/>
  <c r="G4584" i="1"/>
  <c r="E4584" i="1"/>
  <c r="C4584" i="1"/>
  <c r="R4583" i="1"/>
  <c r="I4583" i="1"/>
  <c r="G4583" i="1"/>
  <c r="E4583" i="1"/>
  <c r="C4583" i="1"/>
  <c r="R4582" i="1"/>
  <c r="I4582" i="1"/>
  <c r="G4582" i="1"/>
  <c r="E4582" i="1"/>
  <c r="C4582" i="1"/>
  <c r="R4581" i="1"/>
  <c r="I4581" i="1"/>
  <c r="G4581" i="1"/>
  <c r="E4581" i="1"/>
  <c r="C4581" i="1"/>
  <c r="R4580" i="1"/>
  <c r="I4580" i="1"/>
  <c r="G4580" i="1"/>
  <c r="E4580" i="1"/>
  <c r="C4580" i="1"/>
  <c r="R4579" i="1"/>
  <c r="I4579" i="1"/>
  <c r="G4579" i="1"/>
  <c r="E4579" i="1"/>
  <c r="C4579" i="1"/>
  <c r="R4578" i="1"/>
  <c r="I4578" i="1"/>
  <c r="G4578" i="1"/>
  <c r="E4578" i="1"/>
  <c r="C4578" i="1"/>
  <c r="R4577" i="1"/>
  <c r="I4577" i="1"/>
  <c r="G4577" i="1"/>
  <c r="E4577" i="1"/>
  <c r="C4577" i="1"/>
  <c r="R4576" i="1"/>
  <c r="I4576" i="1"/>
  <c r="G4576" i="1"/>
  <c r="E4576" i="1"/>
  <c r="C4576" i="1"/>
  <c r="R4575" i="1"/>
  <c r="I4575" i="1"/>
  <c r="G4575" i="1"/>
  <c r="E4575" i="1"/>
  <c r="C4575" i="1"/>
  <c r="R4574" i="1"/>
  <c r="I4574" i="1"/>
  <c r="G4574" i="1"/>
  <c r="E4574" i="1"/>
  <c r="C4574" i="1"/>
  <c r="R4573" i="1"/>
  <c r="I4573" i="1"/>
  <c r="G4573" i="1"/>
  <c r="E4573" i="1"/>
  <c r="C4573" i="1"/>
  <c r="R4572" i="1"/>
  <c r="I4572" i="1"/>
  <c r="G4572" i="1"/>
  <c r="E4572" i="1"/>
  <c r="C4572" i="1"/>
  <c r="R4571" i="1"/>
  <c r="I4571" i="1"/>
  <c r="G4571" i="1"/>
  <c r="E4571" i="1"/>
  <c r="C4571" i="1"/>
  <c r="R4570" i="1"/>
  <c r="I4570" i="1"/>
  <c r="G4570" i="1"/>
  <c r="E4570" i="1"/>
  <c r="C4570" i="1"/>
  <c r="R4569" i="1"/>
  <c r="I4569" i="1"/>
  <c r="G4569" i="1"/>
  <c r="E4569" i="1"/>
  <c r="C4569" i="1"/>
  <c r="R4568" i="1"/>
  <c r="I4568" i="1"/>
  <c r="G4568" i="1"/>
  <c r="E4568" i="1"/>
  <c r="C4568" i="1"/>
  <c r="R4567" i="1"/>
  <c r="I4567" i="1"/>
  <c r="G4567" i="1"/>
  <c r="E4567" i="1"/>
  <c r="C4567" i="1"/>
  <c r="R4566" i="1"/>
  <c r="I4566" i="1"/>
  <c r="G4566" i="1"/>
  <c r="E4566" i="1"/>
  <c r="C4566" i="1"/>
  <c r="R4565" i="1"/>
  <c r="I4565" i="1"/>
  <c r="G4565" i="1"/>
  <c r="E4565" i="1"/>
  <c r="C4565" i="1"/>
  <c r="R4564" i="1"/>
  <c r="I4564" i="1"/>
  <c r="G4564" i="1"/>
  <c r="E4564" i="1"/>
  <c r="C4564" i="1"/>
  <c r="R4563" i="1"/>
  <c r="I4563" i="1"/>
  <c r="G4563" i="1"/>
  <c r="E4563" i="1"/>
  <c r="C4563" i="1"/>
  <c r="R4562" i="1"/>
  <c r="I4562" i="1"/>
  <c r="G4562" i="1"/>
  <c r="E4562" i="1"/>
  <c r="C4562" i="1"/>
  <c r="R4561" i="1"/>
  <c r="I4561" i="1"/>
  <c r="G4561" i="1"/>
  <c r="E4561" i="1"/>
  <c r="C4561" i="1"/>
  <c r="R4560" i="1"/>
  <c r="I4560" i="1"/>
  <c r="G4560" i="1"/>
  <c r="E4560" i="1"/>
  <c r="C4560" i="1"/>
  <c r="R4559" i="1"/>
  <c r="I4559" i="1"/>
  <c r="G4559" i="1"/>
  <c r="E4559" i="1"/>
  <c r="C4559" i="1"/>
  <c r="R4558" i="1"/>
  <c r="I4558" i="1"/>
  <c r="G4558" i="1"/>
  <c r="E4558" i="1"/>
  <c r="C4558" i="1"/>
  <c r="R4557" i="1"/>
  <c r="I4557" i="1"/>
  <c r="G4557" i="1"/>
  <c r="E4557" i="1"/>
  <c r="C4557" i="1"/>
  <c r="R4556" i="1"/>
  <c r="I4556" i="1"/>
  <c r="G4556" i="1"/>
  <c r="E4556" i="1"/>
  <c r="C4556" i="1"/>
  <c r="R4555" i="1"/>
  <c r="I4555" i="1"/>
  <c r="G4555" i="1"/>
  <c r="E4555" i="1"/>
  <c r="C4555" i="1"/>
  <c r="R4554" i="1"/>
  <c r="I4554" i="1"/>
  <c r="G4554" i="1"/>
  <c r="E4554" i="1"/>
  <c r="C4554" i="1"/>
  <c r="R4553" i="1"/>
  <c r="I4553" i="1"/>
  <c r="G4553" i="1"/>
  <c r="E4553" i="1"/>
  <c r="C4553" i="1"/>
  <c r="R4552" i="1"/>
  <c r="I4552" i="1"/>
  <c r="G4552" i="1"/>
  <c r="E4552" i="1"/>
  <c r="C4552" i="1"/>
  <c r="R4551" i="1"/>
  <c r="I4551" i="1"/>
  <c r="G4551" i="1"/>
  <c r="E4551" i="1"/>
  <c r="C4551" i="1"/>
  <c r="R4550" i="1"/>
  <c r="I4550" i="1"/>
  <c r="G4550" i="1"/>
  <c r="E4550" i="1"/>
  <c r="C4550" i="1"/>
  <c r="R4549" i="1"/>
  <c r="I4549" i="1"/>
  <c r="G4549" i="1"/>
  <c r="E4549" i="1"/>
  <c r="C4549" i="1"/>
  <c r="R4548" i="1"/>
  <c r="I4548" i="1"/>
  <c r="G4548" i="1"/>
  <c r="E4548" i="1"/>
  <c r="C4548" i="1"/>
  <c r="R4547" i="1"/>
  <c r="I4547" i="1"/>
  <c r="G4547" i="1"/>
  <c r="E4547" i="1"/>
  <c r="C4547" i="1"/>
  <c r="R4546" i="1"/>
  <c r="I4546" i="1"/>
  <c r="G4546" i="1"/>
  <c r="E4546" i="1"/>
  <c r="C4546" i="1"/>
  <c r="R4545" i="1"/>
  <c r="I4545" i="1"/>
  <c r="G4545" i="1"/>
  <c r="E4545" i="1"/>
  <c r="C4545" i="1"/>
  <c r="R4544" i="1"/>
  <c r="I4544" i="1"/>
  <c r="G4544" i="1"/>
  <c r="E4544" i="1"/>
  <c r="C4544" i="1"/>
  <c r="R4543" i="1"/>
  <c r="I4543" i="1"/>
  <c r="G4543" i="1"/>
  <c r="E4543" i="1"/>
  <c r="C4543" i="1"/>
  <c r="R4542" i="1"/>
  <c r="I4542" i="1"/>
  <c r="G4542" i="1"/>
  <c r="E4542" i="1"/>
  <c r="C4542" i="1"/>
  <c r="R4541" i="1"/>
  <c r="I4541" i="1"/>
  <c r="G4541" i="1"/>
  <c r="E4541" i="1"/>
  <c r="C4541" i="1"/>
  <c r="R4540" i="1"/>
  <c r="I4540" i="1"/>
  <c r="G4540" i="1"/>
  <c r="E4540" i="1"/>
  <c r="C4540" i="1"/>
  <c r="R4539" i="1"/>
  <c r="I4539" i="1"/>
  <c r="G4539" i="1"/>
  <c r="E4539" i="1"/>
  <c r="C4539" i="1"/>
  <c r="R4538" i="1"/>
  <c r="I4538" i="1"/>
  <c r="G4538" i="1"/>
  <c r="E4538" i="1"/>
  <c r="C4538" i="1"/>
  <c r="R4537" i="1"/>
  <c r="I4537" i="1"/>
  <c r="G4537" i="1"/>
  <c r="E4537" i="1"/>
  <c r="C4537" i="1"/>
  <c r="R4536" i="1"/>
  <c r="I4536" i="1"/>
  <c r="G4536" i="1"/>
  <c r="E4536" i="1"/>
  <c r="C4536" i="1"/>
  <c r="R4535" i="1"/>
  <c r="I4535" i="1"/>
  <c r="G4535" i="1"/>
  <c r="E4535" i="1"/>
  <c r="C4535" i="1"/>
  <c r="R4534" i="1"/>
  <c r="I4534" i="1"/>
  <c r="G4534" i="1"/>
  <c r="E4534" i="1"/>
  <c r="C4534" i="1"/>
  <c r="R4533" i="1"/>
  <c r="I4533" i="1"/>
  <c r="G4533" i="1"/>
  <c r="E4533" i="1"/>
  <c r="C4533" i="1"/>
  <c r="R4532" i="1"/>
  <c r="I4532" i="1"/>
  <c r="G4532" i="1"/>
  <c r="E4532" i="1"/>
  <c r="C4532" i="1"/>
  <c r="R4531" i="1"/>
  <c r="I4531" i="1"/>
  <c r="G4531" i="1"/>
  <c r="E4531" i="1"/>
  <c r="C4531" i="1"/>
  <c r="R4530" i="1"/>
  <c r="I4530" i="1"/>
  <c r="G4530" i="1"/>
  <c r="E4530" i="1"/>
  <c r="C4530" i="1"/>
  <c r="R4529" i="1"/>
  <c r="I4529" i="1"/>
  <c r="G4529" i="1"/>
  <c r="E4529" i="1"/>
  <c r="C4529" i="1"/>
  <c r="R4528" i="1"/>
  <c r="I4528" i="1"/>
  <c r="G4528" i="1"/>
  <c r="E4528" i="1"/>
  <c r="C4528" i="1"/>
  <c r="R4527" i="1"/>
  <c r="I4527" i="1"/>
  <c r="G4527" i="1"/>
  <c r="E4527" i="1"/>
  <c r="C4527" i="1"/>
  <c r="R4526" i="1"/>
  <c r="I4526" i="1"/>
  <c r="G4526" i="1"/>
  <c r="E4526" i="1"/>
  <c r="C4526" i="1"/>
  <c r="R4525" i="1"/>
  <c r="I4525" i="1"/>
  <c r="G4525" i="1"/>
  <c r="E4525" i="1"/>
  <c r="C4525" i="1"/>
  <c r="R4524" i="1"/>
  <c r="I4524" i="1"/>
  <c r="G4524" i="1"/>
  <c r="E4524" i="1"/>
  <c r="C4524" i="1"/>
  <c r="R4523" i="1"/>
  <c r="I4523" i="1"/>
  <c r="G4523" i="1"/>
  <c r="E4523" i="1"/>
  <c r="C4523" i="1"/>
  <c r="R4522" i="1"/>
  <c r="I4522" i="1"/>
  <c r="G4522" i="1"/>
  <c r="E4522" i="1"/>
  <c r="C4522" i="1"/>
  <c r="R4521" i="1"/>
  <c r="I4521" i="1"/>
  <c r="G4521" i="1"/>
  <c r="E4521" i="1"/>
  <c r="C4521" i="1"/>
  <c r="R4520" i="1"/>
  <c r="I4520" i="1"/>
  <c r="G4520" i="1"/>
  <c r="E4520" i="1"/>
  <c r="C4520" i="1"/>
  <c r="R4519" i="1"/>
  <c r="I4519" i="1"/>
  <c r="G4519" i="1"/>
  <c r="E4519" i="1"/>
  <c r="C4519" i="1"/>
  <c r="R4518" i="1"/>
  <c r="I4518" i="1"/>
  <c r="G4518" i="1"/>
  <c r="E4518" i="1"/>
  <c r="C4518" i="1"/>
  <c r="R4517" i="1"/>
  <c r="I4517" i="1"/>
  <c r="G4517" i="1"/>
  <c r="E4517" i="1"/>
  <c r="C4517" i="1"/>
  <c r="R4516" i="1"/>
  <c r="I4516" i="1"/>
  <c r="G4516" i="1"/>
  <c r="E4516" i="1"/>
  <c r="C4516" i="1"/>
  <c r="R4515" i="1"/>
  <c r="I4515" i="1"/>
  <c r="G4515" i="1"/>
  <c r="E4515" i="1"/>
  <c r="C4515" i="1"/>
  <c r="R4514" i="1"/>
  <c r="I4514" i="1"/>
  <c r="G4514" i="1"/>
  <c r="E4514" i="1"/>
  <c r="C4514" i="1"/>
  <c r="R4513" i="1"/>
  <c r="I4513" i="1"/>
  <c r="G4513" i="1"/>
  <c r="E4513" i="1"/>
  <c r="C4513" i="1"/>
  <c r="R4512" i="1"/>
  <c r="I4512" i="1"/>
  <c r="G4512" i="1"/>
  <c r="E4512" i="1"/>
  <c r="C4512" i="1"/>
  <c r="R4511" i="1"/>
  <c r="I4511" i="1"/>
  <c r="G4511" i="1"/>
  <c r="E4511" i="1"/>
  <c r="C4511" i="1"/>
  <c r="R4510" i="1"/>
  <c r="I4510" i="1"/>
  <c r="G4510" i="1"/>
  <c r="E4510" i="1"/>
  <c r="C4510" i="1"/>
  <c r="R4509" i="1"/>
  <c r="I4509" i="1"/>
  <c r="G4509" i="1"/>
  <c r="E4509" i="1"/>
  <c r="C4509" i="1"/>
  <c r="R4508" i="1"/>
  <c r="I4508" i="1"/>
  <c r="G4508" i="1"/>
  <c r="E4508" i="1"/>
  <c r="C4508" i="1"/>
  <c r="R4507" i="1"/>
  <c r="I4507" i="1"/>
  <c r="G4507" i="1"/>
  <c r="E4507" i="1"/>
  <c r="C4507" i="1"/>
  <c r="R4506" i="1"/>
  <c r="I4506" i="1"/>
  <c r="G4506" i="1"/>
  <c r="E4506" i="1"/>
  <c r="C4506" i="1"/>
  <c r="R4505" i="1"/>
  <c r="I4505" i="1"/>
  <c r="G4505" i="1"/>
  <c r="E4505" i="1"/>
  <c r="C4505" i="1"/>
  <c r="R4504" i="1"/>
  <c r="I4504" i="1"/>
  <c r="G4504" i="1"/>
  <c r="E4504" i="1"/>
  <c r="C4504" i="1"/>
  <c r="R4503" i="1"/>
  <c r="I4503" i="1"/>
  <c r="G4503" i="1"/>
  <c r="E4503" i="1"/>
  <c r="C4503" i="1"/>
  <c r="R4502" i="1"/>
  <c r="I4502" i="1"/>
  <c r="G4502" i="1"/>
  <c r="E4502" i="1"/>
  <c r="C4502" i="1"/>
  <c r="R4501" i="1"/>
  <c r="I4501" i="1"/>
  <c r="G4501" i="1"/>
  <c r="E4501" i="1"/>
  <c r="C4501" i="1"/>
  <c r="R4500" i="1"/>
  <c r="I4500" i="1"/>
  <c r="G4500" i="1"/>
  <c r="E4500" i="1"/>
  <c r="C4500" i="1"/>
  <c r="R4499" i="1"/>
  <c r="I4499" i="1"/>
  <c r="G4499" i="1"/>
  <c r="E4499" i="1"/>
  <c r="C4499" i="1"/>
  <c r="R4498" i="1"/>
  <c r="I4498" i="1"/>
  <c r="G4498" i="1"/>
  <c r="E4498" i="1"/>
  <c r="C4498" i="1"/>
  <c r="R4497" i="1"/>
  <c r="I4497" i="1"/>
  <c r="G4497" i="1"/>
  <c r="E4497" i="1"/>
  <c r="C4497" i="1"/>
  <c r="R4496" i="1"/>
  <c r="I4496" i="1"/>
  <c r="G4496" i="1"/>
  <c r="E4496" i="1"/>
  <c r="C4496" i="1"/>
  <c r="R4495" i="1"/>
  <c r="I4495" i="1"/>
  <c r="G4495" i="1"/>
  <c r="E4495" i="1"/>
  <c r="C4495" i="1"/>
  <c r="R4494" i="1"/>
  <c r="I4494" i="1"/>
  <c r="G4494" i="1"/>
  <c r="E4494" i="1"/>
  <c r="C4494" i="1"/>
  <c r="R4493" i="1"/>
  <c r="I4493" i="1"/>
  <c r="G4493" i="1"/>
  <c r="E4493" i="1"/>
  <c r="C4493" i="1"/>
  <c r="R4492" i="1"/>
  <c r="I4492" i="1"/>
  <c r="G4492" i="1"/>
  <c r="E4492" i="1"/>
  <c r="C4492" i="1"/>
  <c r="R4491" i="1"/>
  <c r="I4491" i="1"/>
  <c r="G4491" i="1"/>
  <c r="E4491" i="1"/>
  <c r="C4491" i="1"/>
  <c r="R4490" i="1"/>
  <c r="I4490" i="1"/>
  <c r="G4490" i="1"/>
  <c r="E4490" i="1"/>
  <c r="C4490" i="1"/>
  <c r="R4489" i="1"/>
  <c r="I4489" i="1"/>
  <c r="G4489" i="1"/>
  <c r="E4489" i="1"/>
  <c r="C4489" i="1"/>
  <c r="R4488" i="1"/>
  <c r="I4488" i="1"/>
  <c r="G4488" i="1"/>
  <c r="E4488" i="1"/>
  <c r="C4488" i="1"/>
  <c r="R4487" i="1"/>
  <c r="I4487" i="1"/>
  <c r="G4487" i="1"/>
  <c r="E4487" i="1"/>
  <c r="C4487" i="1"/>
  <c r="R4486" i="1"/>
  <c r="I4486" i="1"/>
  <c r="G4486" i="1"/>
  <c r="E4486" i="1"/>
  <c r="C4486" i="1"/>
  <c r="R4485" i="1"/>
  <c r="I4485" i="1"/>
  <c r="G4485" i="1"/>
  <c r="E4485" i="1"/>
  <c r="C4485" i="1"/>
  <c r="R4484" i="1"/>
  <c r="I4484" i="1"/>
  <c r="G4484" i="1"/>
  <c r="E4484" i="1"/>
  <c r="C4484" i="1"/>
  <c r="R4483" i="1"/>
  <c r="I4483" i="1"/>
  <c r="G4483" i="1"/>
  <c r="E4483" i="1"/>
  <c r="C4483" i="1"/>
  <c r="R4482" i="1"/>
  <c r="I4482" i="1"/>
  <c r="G4482" i="1"/>
  <c r="E4482" i="1"/>
  <c r="C4482" i="1"/>
  <c r="R4481" i="1"/>
  <c r="I4481" i="1"/>
  <c r="G4481" i="1"/>
  <c r="E4481" i="1"/>
  <c r="C4481" i="1"/>
  <c r="R4480" i="1"/>
  <c r="I4480" i="1"/>
  <c r="G4480" i="1"/>
  <c r="E4480" i="1"/>
  <c r="C4480" i="1"/>
  <c r="R4479" i="1"/>
  <c r="I4479" i="1"/>
  <c r="G4479" i="1"/>
  <c r="E4479" i="1"/>
  <c r="C4479" i="1"/>
  <c r="R4478" i="1"/>
  <c r="I4478" i="1"/>
  <c r="G4478" i="1"/>
  <c r="E4478" i="1"/>
  <c r="C4478" i="1"/>
  <c r="R4477" i="1"/>
  <c r="I4477" i="1"/>
  <c r="G4477" i="1"/>
  <c r="E4477" i="1"/>
  <c r="C4477" i="1"/>
  <c r="R4476" i="1"/>
  <c r="I4476" i="1"/>
  <c r="G4476" i="1"/>
  <c r="E4476" i="1"/>
  <c r="C4476" i="1"/>
  <c r="R4475" i="1"/>
  <c r="I4475" i="1"/>
  <c r="G4475" i="1"/>
  <c r="E4475" i="1"/>
  <c r="C4475" i="1"/>
  <c r="R4474" i="1"/>
  <c r="I4474" i="1"/>
  <c r="G4474" i="1"/>
  <c r="E4474" i="1"/>
  <c r="C4474" i="1"/>
  <c r="R4473" i="1"/>
  <c r="I4473" i="1"/>
  <c r="G4473" i="1"/>
  <c r="E4473" i="1"/>
  <c r="C4473" i="1"/>
  <c r="R4472" i="1"/>
  <c r="I4472" i="1"/>
  <c r="G4472" i="1"/>
  <c r="E4472" i="1"/>
  <c r="C4472" i="1"/>
  <c r="R4471" i="1"/>
  <c r="I4471" i="1"/>
  <c r="G4471" i="1"/>
  <c r="E4471" i="1"/>
  <c r="C4471" i="1"/>
  <c r="R4470" i="1"/>
  <c r="I4470" i="1"/>
  <c r="G4470" i="1"/>
  <c r="E4470" i="1"/>
  <c r="C4470" i="1"/>
  <c r="R4469" i="1"/>
  <c r="I4469" i="1"/>
  <c r="G4469" i="1"/>
  <c r="E4469" i="1"/>
  <c r="C4469" i="1"/>
  <c r="R4468" i="1"/>
  <c r="I4468" i="1"/>
  <c r="G4468" i="1"/>
  <c r="E4468" i="1"/>
  <c r="C4468" i="1"/>
  <c r="R4467" i="1"/>
  <c r="I4467" i="1"/>
  <c r="G4467" i="1"/>
  <c r="E4467" i="1"/>
  <c r="C4467" i="1"/>
  <c r="R4466" i="1"/>
  <c r="I4466" i="1"/>
  <c r="G4466" i="1"/>
  <c r="E4466" i="1"/>
  <c r="C4466" i="1"/>
  <c r="R4465" i="1"/>
  <c r="I4465" i="1"/>
  <c r="G4465" i="1"/>
  <c r="E4465" i="1"/>
  <c r="C4465" i="1"/>
  <c r="R4464" i="1"/>
  <c r="I4464" i="1"/>
  <c r="G4464" i="1"/>
  <c r="E4464" i="1"/>
  <c r="C4464" i="1"/>
  <c r="R4463" i="1"/>
  <c r="I4463" i="1"/>
  <c r="G4463" i="1"/>
  <c r="E4463" i="1"/>
  <c r="C4463" i="1"/>
  <c r="R4462" i="1"/>
  <c r="I4462" i="1"/>
  <c r="G4462" i="1"/>
  <c r="E4462" i="1"/>
  <c r="C4462" i="1"/>
  <c r="R4461" i="1"/>
  <c r="I4461" i="1"/>
  <c r="G4461" i="1"/>
  <c r="E4461" i="1"/>
  <c r="C4461" i="1"/>
  <c r="R4460" i="1"/>
  <c r="I4460" i="1"/>
  <c r="G4460" i="1"/>
  <c r="E4460" i="1"/>
  <c r="C4460" i="1"/>
  <c r="R4459" i="1"/>
  <c r="I4459" i="1"/>
  <c r="G4459" i="1"/>
  <c r="E4459" i="1"/>
  <c r="C4459" i="1"/>
  <c r="R4458" i="1"/>
  <c r="I4458" i="1"/>
  <c r="G4458" i="1"/>
  <c r="E4458" i="1"/>
  <c r="C4458" i="1"/>
  <c r="R4457" i="1"/>
  <c r="I4457" i="1"/>
  <c r="G4457" i="1"/>
  <c r="E4457" i="1"/>
  <c r="C4457" i="1"/>
  <c r="R4456" i="1"/>
  <c r="I4456" i="1"/>
  <c r="G4456" i="1"/>
  <c r="E4456" i="1"/>
  <c r="C4456" i="1"/>
  <c r="R4455" i="1"/>
  <c r="I4455" i="1"/>
  <c r="G4455" i="1"/>
  <c r="E4455" i="1"/>
  <c r="C4455" i="1"/>
  <c r="R4454" i="1"/>
  <c r="I4454" i="1"/>
  <c r="G4454" i="1"/>
  <c r="E4454" i="1"/>
  <c r="C4454" i="1"/>
  <c r="R4453" i="1"/>
  <c r="I4453" i="1"/>
  <c r="G4453" i="1"/>
  <c r="E4453" i="1"/>
  <c r="C4453" i="1"/>
  <c r="R4452" i="1"/>
  <c r="I4452" i="1"/>
  <c r="G4452" i="1"/>
  <c r="E4452" i="1"/>
  <c r="C4452" i="1"/>
  <c r="R4451" i="1"/>
  <c r="I4451" i="1"/>
  <c r="G4451" i="1"/>
  <c r="E4451" i="1"/>
  <c r="C4451" i="1"/>
  <c r="R4450" i="1"/>
  <c r="I4450" i="1"/>
  <c r="G4450" i="1"/>
  <c r="E4450" i="1"/>
  <c r="C4450" i="1"/>
  <c r="R4449" i="1"/>
  <c r="I4449" i="1"/>
  <c r="G4449" i="1"/>
  <c r="E4449" i="1"/>
  <c r="C4449" i="1"/>
  <c r="R4448" i="1"/>
  <c r="I4448" i="1"/>
  <c r="G4448" i="1"/>
  <c r="E4448" i="1"/>
  <c r="C4448" i="1"/>
  <c r="R4447" i="1"/>
  <c r="I4447" i="1"/>
  <c r="G4447" i="1"/>
  <c r="E4447" i="1"/>
  <c r="C4447" i="1"/>
  <c r="R4446" i="1"/>
  <c r="I4446" i="1"/>
  <c r="G4446" i="1"/>
  <c r="E4446" i="1"/>
  <c r="C4446" i="1"/>
  <c r="R4445" i="1"/>
  <c r="I4445" i="1"/>
  <c r="G4445" i="1"/>
  <c r="E4445" i="1"/>
  <c r="C4445" i="1"/>
  <c r="R4444" i="1"/>
  <c r="I4444" i="1"/>
  <c r="G4444" i="1"/>
  <c r="E4444" i="1"/>
  <c r="C4444" i="1"/>
  <c r="R4443" i="1"/>
  <c r="I4443" i="1"/>
  <c r="G4443" i="1"/>
  <c r="E4443" i="1"/>
  <c r="C4443" i="1"/>
  <c r="R4442" i="1"/>
  <c r="I4442" i="1"/>
  <c r="G4442" i="1"/>
  <c r="E4442" i="1"/>
  <c r="C4442" i="1"/>
  <c r="R4441" i="1"/>
  <c r="I4441" i="1"/>
  <c r="G4441" i="1"/>
  <c r="E4441" i="1"/>
  <c r="C4441" i="1"/>
  <c r="R4440" i="1"/>
  <c r="I4440" i="1"/>
  <c r="G4440" i="1"/>
  <c r="E4440" i="1"/>
  <c r="C4440" i="1"/>
  <c r="R4439" i="1"/>
  <c r="I4439" i="1"/>
  <c r="G4439" i="1"/>
  <c r="E4439" i="1"/>
  <c r="C4439" i="1"/>
  <c r="R4438" i="1"/>
  <c r="I4438" i="1"/>
  <c r="G4438" i="1"/>
  <c r="E4438" i="1"/>
  <c r="C4438" i="1"/>
  <c r="R4437" i="1"/>
  <c r="I4437" i="1"/>
  <c r="G4437" i="1"/>
  <c r="E4437" i="1"/>
  <c r="C4437" i="1"/>
  <c r="R4436" i="1"/>
  <c r="I4436" i="1"/>
  <c r="G4436" i="1"/>
  <c r="E4436" i="1"/>
  <c r="C4436" i="1"/>
  <c r="R4435" i="1"/>
  <c r="I4435" i="1"/>
  <c r="G4435" i="1"/>
  <c r="E4435" i="1"/>
  <c r="C4435" i="1"/>
  <c r="R4434" i="1"/>
  <c r="I4434" i="1"/>
  <c r="G4434" i="1"/>
  <c r="E4434" i="1"/>
  <c r="C4434" i="1"/>
  <c r="R4433" i="1"/>
  <c r="I4433" i="1"/>
  <c r="G4433" i="1"/>
  <c r="E4433" i="1"/>
  <c r="C4433" i="1"/>
  <c r="R4432" i="1"/>
  <c r="I4432" i="1"/>
  <c r="G4432" i="1"/>
  <c r="E4432" i="1"/>
  <c r="C4432" i="1"/>
  <c r="R4431" i="1"/>
  <c r="I4431" i="1"/>
  <c r="G4431" i="1"/>
  <c r="E4431" i="1"/>
  <c r="C4431" i="1"/>
  <c r="R4430" i="1"/>
  <c r="I4430" i="1"/>
  <c r="G4430" i="1"/>
  <c r="E4430" i="1"/>
  <c r="C4430" i="1"/>
  <c r="R4429" i="1"/>
  <c r="I4429" i="1"/>
  <c r="G4429" i="1"/>
  <c r="E4429" i="1"/>
  <c r="C4429" i="1"/>
  <c r="R4428" i="1"/>
  <c r="I4428" i="1"/>
  <c r="G4428" i="1"/>
  <c r="E4428" i="1"/>
  <c r="C4428" i="1"/>
  <c r="R4427" i="1"/>
  <c r="I4427" i="1"/>
  <c r="G4427" i="1"/>
  <c r="E4427" i="1"/>
  <c r="C4427" i="1"/>
  <c r="R4426" i="1"/>
  <c r="I4426" i="1"/>
  <c r="G4426" i="1"/>
  <c r="E4426" i="1"/>
  <c r="C4426" i="1"/>
  <c r="R4425" i="1"/>
  <c r="I4425" i="1"/>
  <c r="G4425" i="1"/>
  <c r="E4425" i="1"/>
  <c r="C4425" i="1"/>
  <c r="R4424" i="1"/>
  <c r="I4424" i="1"/>
  <c r="G4424" i="1"/>
  <c r="E4424" i="1"/>
  <c r="C4424" i="1"/>
  <c r="R4423" i="1"/>
  <c r="I4423" i="1"/>
  <c r="G4423" i="1"/>
  <c r="E4423" i="1"/>
  <c r="C4423" i="1"/>
  <c r="R4422" i="1"/>
  <c r="I4422" i="1"/>
  <c r="G4422" i="1"/>
  <c r="E4422" i="1"/>
  <c r="C4422" i="1"/>
  <c r="R4421" i="1"/>
  <c r="I4421" i="1"/>
  <c r="G4421" i="1"/>
  <c r="E4421" i="1"/>
  <c r="C4421" i="1"/>
  <c r="R4420" i="1"/>
  <c r="I4420" i="1"/>
  <c r="G4420" i="1"/>
  <c r="E4420" i="1"/>
  <c r="C4420" i="1"/>
  <c r="R4419" i="1"/>
  <c r="I4419" i="1"/>
  <c r="G4419" i="1"/>
  <c r="E4419" i="1"/>
  <c r="C4419" i="1"/>
  <c r="R4418" i="1"/>
  <c r="I4418" i="1"/>
  <c r="G4418" i="1"/>
  <c r="E4418" i="1"/>
  <c r="C4418" i="1"/>
  <c r="R4417" i="1"/>
  <c r="I4417" i="1"/>
  <c r="G4417" i="1"/>
  <c r="E4417" i="1"/>
  <c r="C4417" i="1"/>
  <c r="R4416" i="1"/>
  <c r="I4416" i="1"/>
  <c r="G4416" i="1"/>
  <c r="E4416" i="1"/>
  <c r="C4416" i="1"/>
  <c r="R4415" i="1"/>
  <c r="I4415" i="1"/>
  <c r="G4415" i="1"/>
  <c r="E4415" i="1"/>
  <c r="C4415" i="1"/>
  <c r="R4414" i="1"/>
  <c r="I4414" i="1"/>
  <c r="G4414" i="1"/>
  <c r="E4414" i="1"/>
  <c r="C4414" i="1"/>
  <c r="R4413" i="1"/>
  <c r="I4413" i="1"/>
  <c r="G4413" i="1"/>
  <c r="E4413" i="1"/>
  <c r="C4413" i="1"/>
  <c r="R4412" i="1"/>
  <c r="I4412" i="1"/>
  <c r="G4412" i="1"/>
  <c r="E4412" i="1"/>
  <c r="C4412" i="1"/>
  <c r="R4411" i="1"/>
  <c r="I4411" i="1"/>
  <c r="G4411" i="1"/>
  <c r="E4411" i="1"/>
  <c r="C4411" i="1"/>
  <c r="R4410" i="1"/>
  <c r="I4410" i="1"/>
  <c r="G4410" i="1"/>
  <c r="E4410" i="1"/>
  <c r="C4410" i="1"/>
  <c r="R4409" i="1"/>
  <c r="I4409" i="1"/>
  <c r="G4409" i="1"/>
  <c r="E4409" i="1"/>
  <c r="C4409" i="1"/>
  <c r="R4408" i="1"/>
  <c r="I4408" i="1"/>
  <c r="G4408" i="1"/>
  <c r="E4408" i="1"/>
  <c r="C4408" i="1"/>
  <c r="R4407" i="1"/>
  <c r="I4407" i="1"/>
  <c r="G4407" i="1"/>
  <c r="E4407" i="1"/>
  <c r="C4407" i="1"/>
  <c r="R4406" i="1"/>
  <c r="I4406" i="1"/>
  <c r="G4406" i="1"/>
  <c r="E4406" i="1"/>
  <c r="C4406" i="1"/>
  <c r="R4405" i="1"/>
  <c r="I4405" i="1"/>
  <c r="G4405" i="1"/>
  <c r="E4405" i="1"/>
  <c r="C4405" i="1"/>
  <c r="R4404" i="1"/>
  <c r="I4404" i="1"/>
  <c r="G4404" i="1"/>
  <c r="E4404" i="1"/>
  <c r="C4404" i="1"/>
  <c r="R4403" i="1"/>
  <c r="I4403" i="1"/>
  <c r="G4403" i="1"/>
  <c r="E4403" i="1"/>
  <c r="C4403" i="1"/>
  <c r="R4402" i="1"/>
  <c r="I4402" i="1"/>
  <c r="G4402" i="1"/>
  <c r="E4402" i="1"/>
  <c r="C4402" i="1"/>
  <c r="R4401" i="1"/>
  <c r="I4401" i="1"/>
  <c r="G4401" i="1"/>
  <c r="E4401" i="1"/>
  <c r="C4401" i="1"/>
  <c r="R4400" i="1"/>
  <c r="I4400" i="1"/>
  <c r="G4400" i="1"/>
  <c r="E4400" i="1"/>
  <c r="C4400" i="1"/>
  <c r="R4399" i="1"/>
  <c r="I4399" i="1"/>
  <c r="G4399" i="1"/>
  <c r="E4399" i="1"/>
  <c r="C4399" i="1"/>
  <c r="R4398" i="1"/>
  <c r="I4398" i="1"/>
  <c r="G4398" i="1"/>
  <c r="E4398" i="1"/>
  <c r="C4398" i="1"/>
  <c r="R4397" i="1"/>
  <c r="I4397" i="1"/>
  <c r="G4397" i="1"/>
  <c r="E4397" i="1"/>
  <c r="C4397" i="1"/>
  <c r="R4396" i="1"/>
  <c r="I4396" i="1"/>
  <c r="G4396" i="1"/>
  <c r="E4396" i="1"/>
  <c r="C4396" i="1"/>
  <c r="R4395" i="1"/>
  <c r="I4395" i="1"/>
  <c r="G4395" i="1"/>
  <c r="E4395" i="1"/>
  <c r="C4395" i="1"/>
  <c r="R4394" i="1"/>
  <c r="I4394" i="1"/>
  <c r="G4394" i="1"/>
  <c r="E4394" i="1"/>
  <c r="C4394" i="1"/>
  <c r="R4393" i="1"/>
  <c r="I4393" i="1"/>
  <c r="G4393" i="1"/>
  <c r="E4393" i="1"/>
  <c r="C4393" i="1"/>
  <c r="R4392" i="1"/>
  <c r="I4392" i="1"/>
  <c r="G4392" i="1"/>
  <c r="E4392" i="1"/>
  <c r="C4392" i="1"/>
  <c r="R4391" i="1"/>
  <c r="I4391" i="1"/>
  <c r="G4391" i="1"/>
  <c r="E4391" i="1"/>
  <c r="C4391" i="1"/>
  <c r="R4390" i="1"/>
  <c r="I4390" i="1"/>
  <c r="G4390" i="1"/>
  <c r="E4390" i="1"/>
  <c r="C4390" i="1"/>
  <c r="R4389" i="1"/>
  <c r="I4389" i="1"/>
  <c r="G4389" i="1"/>
  <c r="E4389" i="1"/>
  <c r="C4389" i="1"/>
  <c r="R4388" i="1"/>
  <c r="I4388" i="1"/>
  <c r="G4388" i="1"/>
  <c r="E4388" i="1"/>
  <c r="C4388" i="1"/>
  <c r="R4387" i="1"/>
  <c r="I4387" i="1"/>
  <c r="G4387" i="1"/>
  <c r="E4387" i="1"/>
  <c r="C4387" i="1"/>
  <c r="R4386" i="1"/>
  <c r="I4386" i="1"/>
  <c r="G4386" i="1"/>
  <c r="E4386" i="1"/>
  <c r="C4386" i="1"/>
  <c r="R4385" i="1"/>
  <c r="I4385" i="1"/>
  <c r="G4385" i="1"/>
  <c r="E4385" i="1"/>
  <c r="C4385" i="1"/>
  <c r="R4384" i="1"/>
  <c r="I4384" i="1"/>
  <c r="G4384" i="1"/>
  <c r="E4384" i="1"/>
  <c r="C4384" i="1"/>
  <c r="R4383" i="1"/>
  <c r="I4383" i="1"/>
  <c r="G4383" i="1"/>
  <c r="E4383" i="1"/>
  <c r="C4383" i="1"/>
  <c r="R4382" i="1"/>
  <c r="I4382" i="1"/>
  <c r="G4382" i="1"/>
  <c r="E4382" i="1"/>
  <c r="C4382" i="1"/>
  <c r="R4381" i="1"/>
  <c r="I4381" i="1"/>
  <c r="G4381" i="1"/>
  <c r="E4381" i="1"/>
  <c r="C4381" i="1"/>
  <c r="R4380" i="1"/>
  <c r="I4380" i="1"/>
  <c r="G4380" i="1"/>
  <c r="E4380" i="1"/>
  <c r="C4380" i="1"/>
  <c r="R4379" i="1"/>
  <c r="I4379" i="1"/>
  <c r="G4379" i="1"/>
  <c r="E4379" i="1"/>
  <c r="C4379" i="1"/>
  <c r="R4378" i="1"/>
  <c r="I4378" i="1"/>
  <c r="G4378" i="1"/>
  <c r="E4378" i="1"/>
  <c r="C4378" i="1"/>
  <c r="R4377" i="1"/>
  <c r="I4377" i="1"/>
  <c r="G4377" i="1"/>
  <c r="E4377" i="1"/>
  <c r="C4377" i="1"/>
  <c r="R4376" i="1"/>
  <c r="I4376" i="1"/>
  <c r="G4376" i="1"/>
  <c r="E4376" i="1"/>
  <c r="C4376" i="1"/>
  <c r="R4375" i="1"/>
  <c r="I4375" i="1"/>
  <c r="G4375" i="1"/>
  <c r="E4375" i="1"/>
  <c r="C4375" i="1"/>
  <c r="R4374" i="1"/>
  <c r="I4374" i="1"/>
  <c r="G4374" i="1"/>
  <c r="E4374" i="1"/>
  <c r="C4374" i="1"/>
  <c r="R4373" i="1"/>
  <c r="I4373" i="1"/>
  <c r="G4373" i="1"/>
  <c r="E4373" i="1"/>
  <c r="C4373" i="1"/>
  <c r="R4372" i="1"/>
  <c r="I4372" i="1"/>
  <c r="G4372" i="1"/>
  <c r="E4372" i="1"/>
  <c r="C4372" i="1"/>
  <c r="R4371" i="1"/>
  <c r="I4371" i="1"/>
  <c r="G4371" i="1"/>
  <c r="E4371" i="1"/>
  <c r="C4371" i="1"/>
  <c r="R4370" i="1"/>
  <c r="I4370" i="1"/>
  <c r="G4370" i="1"/>
  <c r="E4370" i="1"/>
  <c r="C4370" i="1"/>
  <c r="R4369" i="1"/>
  <c r="I4369" i="1"/>
  <c r="G4369" i="1"/>
  <c r="E4369" i="1"/>
  <c r="C4369" i="1"/>
  <c r="R4368" i="1"/>
  <c r="I4368" i="1"/>
  <c r="G4368" i="1"/>
  <c r="E4368" i="1"/>
  <c r="C4368" i="1"/>
  <c r="R4367" i="1"/>
  <c r="I4367" i="1"/>
  <c r="G4367" i="1"/>
  <c r="E4367" i="1"/>
  <c r="C4367" i="1"/>
  <c r="R4366" i="1"/>
  <c r="I4366" i="1"/>
  <c r="G4366" i="1"/>
  <c r="E4366" i="1"/>
  <c r="C4366" i="1"/>
  <c r="R4365" i="1"/>
  <c r="I4365" i="1"/>
  <c r="G4365" i="1"/>
  <c r="E4365" i="1"/>
  <c r="C4365" i="1"/>
  <c r="R4364" i="1"/>
  <c r="I4364" i="1"/>
  <c r="G4364" i="1"/>
  <c r="E4364" i="1"/>
  <c r="C4364" i="1"/>
  <c r="R4363" i="1"/>
  <c r="I4363" i="1"/>
  <c r="G4363" i="1"/>
  <c r="E4363" i="1"/>
  <c r="C4363" i="1"/>
  <c r="R4362" i="1"/>
  <c r="I4362" i="1"/>
  <c r="G4362" i="1"/>
  <c r="E4362" i="1"/>
  <c r="C4362" i="1"/>
  <c r="R4361" i="1"/>
  <c r="I4361" i="1"/>
  <c r="G4361" i="1"/>
  <c r="E4361" i="1"/>
  <c r="C4361" i="1"/>
  <c r="R4360" i="1"/>
  <c r="I4360" i="1"/>
  <c r="G4360" i="1"/>
  <c r="E4360" i="1"/>
  <c r="C4360" i="1"/>
  <c r="R4359" i="1"/>
  <c r="I4359" i="1"/>
  <c r="G4359" i="1"/>
  <c r="E4359" i="1"/>
  <c r="C4359" i="1"/>
  <c r="R4358" i="1"/>
  <c r="I4358" i="1"/>
  <c r="G4358" i="1"/>
  <c r="E4358" i="1"/>
  <c r="C4358" i="1"/>
  <c r="R4357" i="1"/>
  <c r="I4357" i="1"/>
  <c r="G4357" i="1"/>
  <c r="E4357" i="1"/>
  <c r="C4357" i="1"/>
  <c r="R4356" i="1"/>
  <c r="I4356" i="1"/>
  <c r="G4356" i="1"/>
  <c r="E4356" i="1"/>
  <c r="C4356" i="1"/>
  <c r="R4355" i="1"/>
  <c r="I4355" i="1"/>
  <c r="G4355" i="1"/>
  <c r="E4355" i="1"/>
  <c r="C4355" i="1"/>
  <c r="R4354" i="1"/>
  <c r="I4354" i="1"/>
  <c r="G4354" i="1"/>
  <c r="E4354" i="1"/>
  <c r="C4354" i="1"/>
  <c r="R4353" i="1"/>
  <c r="I4353" i="1"/>
  <c r="G4353" i="1"/>
  <c r="E4353" i="1"/>
  <c r="C4353" i="1"/>
  <c r="R4352" i="1"/>
  <c r="I4352" i="1"/>
  <c r="G4352" i="1"/>
  <c r="E4352" i="1"/>
  <c r="C4352" i="1"/>
  <c r="R4351" i="1"/>
  <c r="I4351" i="1"/>
  <c r="G4351" i="1"/>
  <c r="E4351" i="1"/>
  <c r="C4351" i="1"/>
  <c r="R4350" i="1"/>
  <c r="I4350" i="1"/>
  <c r="G4350" i="1"/>
  <c r="E4350" i="1"/>
  <c r="C4350" i="1"/>
  <c r="R4349" i="1"/>
  <c r="I4349" i="1"/>
  <c r="G4349" i="1"/>
  <c r="E4349" i="1"/>
  <c r="C4349" i="1"/>
  <c r="R4348" i="1"/>
  <c r="I4348" i="1"/>
  <c r="G4348" i="1"/>
  <c r="E4348" i="1"/>
  <c r="C4348" i="1"/>
  <c r="R4347" i="1"/>
  <c r="I4347" i="1"/>
  <c r="G4347" i="1"/>
  <c r="E4347" i="1"/>
  <c r="C4347" i="1"/>
  <c r="R4346" i="1"/>
  <c r="I4346" i="1"/>
  <c r="G4346" i="1"/>
  <c r="E4346" i="1"/>
  <c r="C4346" i="1"/>
  <c r="R4345" i="1"/>
  <c r="I4345" i="1"/>
  <c r="G4345" i="1"/>
  <c r="E4345" i="1"/>
  <c r="C4345" i="1"/>
  <c r="R4344" i="1"/>
  <c r="I4344" i="1"/>
  <c r="G4344" i="1"/>
  <c r="E4344" i="1"/>
  <c r="C4344" i="1"/>
  <c r="R4343" i="1"/>
  <c r="I4343" i="1"/>
  <c r="G4343" i="1"/>
  <c r="E4343" i="1"/>
  <c r="C4343" i="1"/>
  <c r="R4342" i="1"/>
  <c r="I4342" i="1"/>
  <c r="G4342" i="1"/>
  <c r="E4342" i="1"/>
  <c r="C4342" i="1"/>
  <c r="R4341" i="1"/>
  <c r="I4341" i="1"/>
  <c r="G4341" i="1"/>
  <c r="E4341" i="1"/>
  <c r="C4341" i="1"/>
  <c r="R4340" i="1"/>
  <c r="I4340" i="1"/>
  <c r="G4340" i="1"/>
  <c r="E4340" i="1"/>
  <c r="C4340" i="1"/>
  <c r="R4339" i="1"/>
  <c r="I4339" i="1"/>
  <c r="G4339" i="1"/>
  <c r="E4339" i="1"/>
  <c r="C4339" i="1"/>
  <c r="R4338" i="1"/>
  <c r="I4338" i="1"/>
  <c r="G4338" i="1"/>
  <c r="E4338" i="1"/>
  <c r="C4338" i="1"/>
  <c r="R4337" i="1"/>
  <c r="I4337" i="1"/>
  <c r="G4337" i="1"/>
  <c r="E4337" i="1"/>
  <c r="C4337" i="1"/>
  <c r="R4336" i="1"/>
  <c r="I4336" i="1"/>
  <c r="G4336" i="1"/>
  <c r="E4336" i="1"/>
  <c r="C4336" i="1"/>
  <c r="R4335" i="1"/>
  <c r="I4335" i="1"/>
  <c r="G4335" i="1"/>
  <c r="E4335" i="1"/>
  <c r="C4335" i="1"/>
  <c r="R4334" i="1"/>
  <c r="I4334" i="1"/>
  <c r="G4334" i="1"/>
  <c r="E4334" i="1"/>
  <c r="C4334" i="1"/>
  <c r="R4333" i="1"/>
  <c r="I4333" i="1"/>
  <c r="G4333" i="1"/>
  <c r="E4333" i="1"/>
  <c r="C4333" i="1"/>
  <c r="R4332" i="1"/>
  <c r="I4332" i="1"/>
  <c r="G4332" i="1"/>
  <c r="E4332" i="1"/>
  <c r="C4332" i="1"/>
  <c r="R4331" i="1"/>
  <c r="I4331" i="1"/>
  <c r="G4331" i="1"/>
  <c r="E4331" i="1"/>
  <c r="C4331" i="1"/>
  <c r="R4330" i="1"/>
  <c r="I4330" i="1"/>
  <c r="G4330" i="1"/>
  <c r="E4330" i="1"/>
  <c r="C4330" i="1"/>
  <c r="R4329" i="1"/>
  <c r="I4329" i="1"/>
  <c r="G4329" i="1"/>
  <c r="E4329" i="1"/>
  <c r="C4329" i="1"/>
  <c r="R4328" i="1"/>
  <c r="I4328" i="1"/>
  <c r="G4328" i="1"/>
  <c r="E4328" i="1"/>
  <c r="C4328" i="1"/>
  <c r="R4327" i="1"/>
  <c r="I4327" i="1"/>
  <c r="G4327" i="1"/>
  <c r="E4327" i="1"/>
  <c r="C4327" i="1"/>
  <c r="R4326" i="1"/>
  <c r="I4326" i="1"/>
  <c r="G4326" i="1"/>
  <c r="E4326" i="1"/>
  <c r="C4326" i="1"/>
  <c r="R4325" i="1"/>
  <c r="I4325" i="1"/>
  <c r="G4325" i="1"/>
  <c r="E4325" i="1"/>
  <c r="C4325" i="1"/>
  <c r="R4324" i="1"/>
  <c r="I4324" i="1"/>
  <c r="G4324" i="1"/>
  <c r="E4324" i="1"/>
  <c r="C4324" i="1"/>
  <c r="R4323" i="1"/>
  <c r="I4323" i="1"/>
  <c r="G4323" i="1"/>
  <c r="E4323" i="1"/>
  <c r="C4323" i="1"/>
  <c r="R4322" i="1"/>
  <c r="I4322" i="1"/>
  <c r="G4322" i="1"/>
  <c r="E4322" i="1"/>
  <c r="C4322" i="1"/>
  <c r="R4321" i="1"/>
  <c r="I4321" i="1"/>
  <c r="G4321" i="1"/>
  <c r="E4321" i="1"/>
  <c r="C4321" i="1"/>
  <c r="R4320" i="1"/>
  <c r="I4320" i="1"/>
  <c r="G4320" i="1"/>
  <c r="E4320" i="1"/>
  <c r="C4320" i="1"/>
  <c r="R4319" i="1"/>
  <c r="I4319" i="1"/>
  <c r="G4319" i="1"/>
  <c r="E4319" i="1"/>
  <c r="C4319" i="1"/>
  <c r="R4318" i="1"/>
  <c r="I4318" i="1"/>
  <c r="G4318" i="1"/>
  <c r="E4318" i="1"/>
  <c r="C4318" i="1"/>
  <c r="R4317" i="1"/>
  <c r="I4317" i="1"/>
  <c r="G4317" i="1"/>
  <c r="E4317" i="1"/>
  <c r="C4317" i="1"/>
  <c r="R4316" i="1"/>
  <c r="I4316" i="1"/>
  <c r="G4316" i="1"/>
  <c r="E4316" i="1"/>
  <c r="C4316" i="1"/>
  <c r="R4315" i="1"/>
  <c r="I4315" i="1"/>
  <c r="G4315" i="1"/>
  <c r="E4315" i="1"/>
  <c r="C4315" i="1"/>
  <c r="R4314" i="1"/>
  <c r="I4314" i="1"/>
  <c r="G4314" i="1"/>
  <c r="E4314" i="1"/>
  <c r="C4314" i="1"/>
  <c r="R4313" i="1"/>
  <c r="I4313" i="1"/>
  <c r="G4313" i="1"/>
  <c r="E4313" i="1"/>
  <c r="C4313" i="1"/>
  <c r="R4312" i="1"/>
  <c r="I4312" i="1"/>
  <c r="G4312" i="1"/>
  <c r="E4312" i="1"/>
  <c r="C4312" i="1"/>
  <c r="R4311" i="1"/>
  <c r="I4311" i="1"/>
  <c r="G4311" i="1"/>
  <c r="E4311" i="1"/>
  <c r="C4311" i="1"/>
  <c r="R4310" i="1"/>
  <c r="I4310" i="1"/>
  <c r="G4310" i="1"/>
  <c r="E4310" i="1"/>
  <c r="C4310" i="1"/>
  <c r="R4309" i="1"/>
  <c r="I4309" i="1"/>
  <c r="G4309" i="1"/>
  <c r="E4309" i="1"/>
  <c r="C4309" i="1"/>
  <c r="R4308" i="1"/>
  <c r="I4308" i="1"/>
  <c r="G4308" i="1"/>
  <c r="E4308" i="1"/>
  <c r="C4308" i="1"/>
  <c r="R4307" i="1"/>
  <c r="I4307" i="1"/>
  <c r="G4307" i="1"/>
  <c r="E4307" i="1"/>
  <c r="C4307" i="1"/>
  <c r="R4306" i="1"/>
  <c r="I4306" i="1"/>
  <c r="G4306" i="1"/>
  <c r="E4306" i="1"/>
  <c r="C4306" i="1"/>
  <c r="R4305" i="1"/>
  <c r="I4305" i="1"/>
  <c r="G4305" i="1"/>
  <c r="E4305" i="1"/>
  <c r="C4305" i="1"/>
  <c r="R4304" i="1"/>
  <c r="I4304" i="1"/>
  <c r="G4304" i="1"/>
  <c r="E4304" i="1"/>
  <c r="C4304" i="1"/>
  <c r="R4303" i="1"/>
  <c r="I4303" i="1"/>
  <c r="G4303" i="1"/>
  <c r="E4303" i="1"/>
  <c r="C4303" i="1"/>
  <c r="R4302" i="1"/>
  <c r="I4302" i="1"/>
  <c r="G4302" i="1"/>
  <c r="E4302" i="1"/>
  <c r="C4302" i="1"/>
  <c r="R4301" i="1"/>
  <c r="I4301" i="1"/>
  <c r="G4301" i="1"/>
  <c r="E4301" i="1"/>
  <c r="C4301" i="1"/>
  <c r="R4300" i="1"/>
  <c r="I4300" i="1"/>
  <c r="G4300" i="1"/>
  <c r="E4300" i="1"/>
  <c r="C4300" i="1"/>
  <c r="R4299" i="1"/>
  <c r="I4299" i="1"/>
  <c r="G4299" i="1"/>
  <c r="E4299" i="1"/>
  <c r="C4299" i="1"/>
  <c r="R4298" i="1"/>
  <c r="I4298" i="1"/>
  <c r="G4298" i="1"/>
  <c r="E4298" i="1"/>
  <c r="C4298" i="1"/>
  <c r="R4297" i="1"/>
  <c r="I4297" i="1"/>
  <c r="G4297" i="1"/>
  <c r="E4297" i="1"/>
  <c r="C4297" i="1"/>
  <c r="R4296" i="1"/>
  <c r="I4296" i="1"/>
  <c r="G4296" i="1"/>
  <c r="E4296" i="1"/>
  <c r="C4296" i="1"/>
  <c r="R4295" i="1"/>
  <c r="I4295" i="1"/>
  <c r="G4295" i="1"/>
  <c r="E4295" i="1"/>
  <c r="C4295" i="1"/>
  <c r="R4294" i="1"/>
  <c r="I4294" i="1"/>
  <c r="G4294" i="1"/>
  <c r="E4294" i="1"/>
  <c r="C4294" i="1"/>
  <c r="R4293" i="1"/>
  <c r="I4293" i="1"/>
  <c r="G4293" i="1"/>
  <c r="E4293" i="1"/>
  <c r="C4293" i="1"/>
  <c r="R4292" i="1"/>
  <c r="I4292" i="1"/>
  <c r="G4292" i="1"/>
  <c r="E4292" i="1"/>
  <c r="C4292" i="1"/>
  <c r="R4291" i="1"/>
  <c r="I4291" i="1"/>
  <c r="G4291" i="1"/>
  <c r="E4291" i="1"/>
  <c r="C4291" i="1"/>
  <c r="R4290" i="1"/>
  <c r="I4290" i="1"/>
  <c r="G4290" i="1"/>
  <c r="E4290" i="1"/>
  <c r="C4290" i="1"/>
  <c r="R4289" i="1"/>
  <c r="I4289" i="1"/>
  <c r="G4289" i="1"/>
  <c r="E4289" i="1"/>
  <c r="C4289" i="1"/>
  <c r="R4288" i="1"/>
  <c r="I4288" i="1"/>
  <c r="G4288" i="1"/>
  <c r="E4288" i="1"/>
  <c r="C4288" i="1"/>
  <c r="R4287" i="1"/>
  <c r="I4287" i="1"/>
  <c r="G4287" i="1"/>
  <c r="E4287" i="1"/>
  <c r="C4287" i="1"/>
  <c r="R4286" i="1"/>
  <c r="I4286" i="1"/>
  <c r="G4286" i="1"/>
  <c r="E4286" i="1"/>
  <c r="C4286" i="1"/>
  <c r="R4285" i="1"/>
  <c r="I4285" i="1"/>
  <c r="G4285" i="1"/>
  <c r="E4285" i="1"/>
  <c r="C4285" i="1"/>
  <c r="R4284" i="1"/>
  <c r="I4284" i="1"/>
  <c r="G4284" i="1"/>
  <c r="E4284" i="1"/>
  <c r="C4284" i="1"/>
  <c r="R4283" i="1"/>
  <c r="I4283" i="1"/>
  <c r="G4283" i="1"/>
  <c r="E4283" i="1"/>
  <c r="C4283" i="1"/>
  <c r="R4282" i="1"/>
  <c r="I4282" i="1"/>
  <c r="G4282" i="1"/>
  <c r="E4282" i="1"/>
  <c r="C4282" i="1"/>
  <c r="R4281" i="1"/>
  <c r="I4281" i="1"/>
  <c r="G4281" i="1"/>
  <c r="E4281" i="1"/>
  <c r="C4281" i="1"/>
  <c r="R4280" i="1"/>
  <c r="I4280" i="1"/>
  <c r="G4280" i="1"/>
  <c r="E4280" i="1"/>
  <c r="C4280" i="1"/>
  <c r="R4279" i="1"/>
  <c r="I4279" i="1"/>
  <c r="G4279" i="1"/>
  <c r="E4279" i="1"/>
  <c r="C4279" i="1"/>
  <c r="R4278" i="1"/>
  <c r="I4278" i="1"/>
  <c r="G4278" i="1"/>
  <c r="E4278" i="1"/>
  <c r="C4278" i="1"/>
  <c r="R4277" i="1"/>
  <c r="I4277" i="1"/>
  <c r="G4277" i="1"/>
  <c r="E4277" i="1"/>
  <c r="C4277" i="1"/>
  <c r="R4276" i="1"/>
  <c r="I4276" i="1"/>
  <c r="G4276" i="1"/>
  <c r="E4276" i="1"/>
  <c r="C4276" i="1"/>
  <c r="R4275" i="1"/>
  <c r="I4275" i="1"/>
  <c r="G4275" i="1"/>
  <c r="E4275" i="1"/>
  <c r="C4275" i="1"/>
  <c r="R4274" i="1"/>
  <c r="I4274" i="1"/>
  <c r="G4274" i="1"/>
  <c r="E4274" i="1"/>
  <c r="C4274" i="1"/>
  <c r="R4273" i="1"/>
  <c r="I4273" i="1"/>
  <c r="G4273" i="1"/>
  <c r="E4273" i="1"/>
  <c r="C4273" i="1"/>
  <c r="R4272" i="1"/>
  <c r="I4272" i="1"/>
  <c r="G4272" i="1"/>
  <c r="E4272" i="1"/>
  <c r="C4272" i="1"/>
  <c r="R4271" i="1"/>
  <c r="I4271" i="1"/>
  <c r="G4271" i="1"/>
  <c r="E4271" i="1"/>
  <c r="C4271" i="1"/>
  <c r="R4270" i="1"/>
  <c r="I4270" i="1"/>
  <c r="G4270" i="1"/>
  <c r="E4270" i="1"/>
  <c r="C4270" i="1"/>
  <c r="R4269" i="1"/>
  <c r="I4269" i="1"/>
  <c r="G4269" i="1"/>
  <c r="E4269" i="1"/>
  <c r="C4269" i="1"/>
  <c r="R4268" i="1"/>
  <c r="I4268" i="1"/>
  <c r="G4268" i="1"/>
  <c r="E4268" i="1"/>
  <c r="C4268" i="1"/>
  <c r="R4267" i="1"/>
  <c r="I4267" i="1"/>
  <c r="G4267" i="1"/>
  <c r="E4267" i="1"/>
  <c r="C4267" i="1"/>
  <c r="R4266" i="1"/>
  <c r="I4266" i="1"/>
  <c r="G4266" i="1"/>
  <c r="E4266" i="1"/>
  <c r="C4266" i="1"/>
  <c r="R4265" i="1"/>
  <c r="I4265" i="1"/>
  <c r="G4265" i="1"/>
  <c r="E4265" i="1"/>
  <c r="C4265" i="1"/>
  <c r="R4264" i="1"/>
  <c r="I4264" i="1"/>
  <c r="G4264" i="1"/>
  <c r="E4264" i="1"/>
  <c r="C4264" i="1"/>
  <c r="R4263" i="1"/>
  <c r="I4263" i="1"/>
  <c r="G4263" i="1"/>
  <c r="E4263" i="1"/>
  <c r="C4263" i="1"/>
  <c r="R4262" i="1"/>
  <c r="I4262" i="1"/>
  <c r="G4262" i="1"/>
  <c r="E4262" i="1"/>
  <c r="C4262" i="1"/>
  <c r="R4261" i="1"/>
  <c r="I4261" i="1"/>
  <c r="G4261" i="1"/>
  <c r="E4261" i="1"/>
  <c r="C4261" i="1"/>
  <c r="R4260" i="1"/>
  <c r="I4260" i="1"/>
  <c r="G4260" i="1"/>
  <c r="E4260" i="1"/>
  <c r="C4260" i="1"/>
  <c r="R4259" i="1"/>
  <c r="I4259" i="1"/>
  <c r="G4259" i="1"/>
  <c r="E4259" i="1"/>
  <c r="C4259" i="1"/>
  <c r="R4258" i="1"/>
  <c r="I4258" i="1"/>
  <c r="G4258" i="1"/>
  <c r="E4258" i="1"/>
  <c r="C4258" i="1"/>
  <c r="R4257" i="1"/>
  <c r="I4257" i="1"/>
  <c r="G4257" i="1"/>
  <c r="E4257" i="1"/>
  <c r="C4257" i="1"/>
  <c r="R4256" i="1"/>
  <c r="I4256" i="1"/>
  <c r="G4256" i="1"/>
  <c r="E4256" i="1"/>
  <c r="C4256" i="1"/>
  <c r="R4255" i="1"/>
  <c r="I4255" i="1"/>
  <c r="G4255" i="1"/>
  <c r="E4255" i="1"/>
  <c r="C4255" i="1"/>
  <c r="R4254" i="1"/>
  <c r="I4254" i="1"/>
  <c r="G4254" i="1"/>
  <c r="E4254" i="1"/>
  <c r="C4254" i="1"/>
  <c r="R4253" i="1"/>
  <c r="I4253" i="1"/>
  <c r="G4253" i="1"/>
  <c r="E4253" i="1"/>
  <c r="C4253" i="1"/>
  <c r="R4252" i="1"/>
  <c r="I4252" i="1"/>
  <c r="G4252" i="1"/>
  <c r="E4252" i="1"/>
  <c r="C4252" i="1"/>
  <c r="R4251" i="1"/>
  <c r="I4251" i="1"/>
  <c r="G4251" i="1"/>
  <c r="E4251" i="1"/>
  <c r="C4251" i="1"/>
  <c r="R4250" i="1"/>
  <c r="I4250" i="1"/>
  <c r="G4250" i="1"/>
  <c r="E4250" i="1"/>
  <c r="C4250" i="1"/>
  <c r="R4249" i="1"/>
  <c r="I4249" i="1"/>
  <c r="G4249" i="1"/>
  <c r="E4249" i="1"/>
  <c r="C4249" i="1"/>
  <c r="R4248" i="1"/>
  <c r="I4248" i="1"/>
  <c r="G4248" i="1"/>
  <c r="E4248" i="1"/>
  <c r="C4248" i="1"/>
  <c r="R4247" i="1"/>
  <c r="I4247" i="1"/>
  <c r="G4247" i="1"/>
  <c r="E4247" i="1"/>
  <c r="C4247" i="1"/>
  <c r="R4246" i="1"/>
  <c r="I4246" i="1"/>
  <c r="G4246" i="1"/>
  <c r="E4246" i="1"/>
  <c r="C4246" i="1"/>
  <c r="R4245" i="1"/>
  <c r="I4245" i="1"/>
  <c r="G4245" i="1"/>
  <c r="E4245" i="1"/>
  <c r="C4245" i="1"/>
  <c r="R4244" i="1"/>
  <c r="I4244" i="1"/>
  <c r="G4244" i="1"/>
  <c r="E4244" i="1"/>
  <c r="C4244" i="1"/>
  <c r="R4243" i="1"/>
  <c r="I4243" i="1"/>
  <c r="G4243" i="1"/>
  <c r="E4243" i="1"/>
  <c r="C4243" i="1"/>
  <c r="R4242" i="1"/>
  <c r="I4242" i="1"/>
  <c r="G4242" i="1"/>
  <c r="E4242" i="1"/>
  <c r="C4242" i="1"/>
  <c r="R4241" i="1"/>
  <c r="I4241" i="1"/>
  <c r="G4241" i="1"/>
  <c r="E4241" i="1"/>
  <c r="C4241" i="1"/>
  <c r="R4240" i="1"/>
  <c r="I4240" i="1"/>
  <c r="G4240" i="1"/>
  <c r="E4240" i="1"/>
  <c r="C4240" i="1"/>
  <c r="R4239" i="1"/>
  <c r="I4239" i="1"/>
  <c r="G4239" i="1"/>
  <c r="E4239" i="1"/>
  <c r="C4239" i="1"/>
  <c r="R4238" i="1"/>
  <c r="I4238" i="1"/>
  <c r="G4238" i="1"/>
  <c r="E4238" i="1"/>
  <c r="C4238" i="1"/>
  <c r="R4237" i="1"/>
  <c r="I4237" i="1"/>
  <c r="G4237" i="1"/>
  <c r="E4237" i="1"/>
  <c r="C4237" i="1"/>
  <c r="R4236" i="1"/>
  <c r="I4236" i="1"/>
  <c r="G4236" i="1"/>
  <c r="E4236" i="1"/>
  <c r="C4236" i="1"/>
  <c r="R4235" i="1"/>
  <c r="I4235" i="1"/>
  <c r="G4235" i="1"/>
  <c r="E4235" i="1"/>
  <c r="C4235" i="1"/>
  <c r="R4234" i="1"/>
  <c r="I4234" i="1"/>
  <c r="G4234" i="1"/>
  <c r="E4234" i="1"/>
  <c r="C4234" i="1"/>
  <c r="R4233" i="1"/>
  <c r="I4233" i="1"/>
  <c r="G4233" i="1"/>
  <c r="E4233" i="1"/>
  <c r="C4233" i="1"/>
  <c r="R4232" i="1"/>
  <c r="I4232" i="1"/>
  <c r="G4232" i="1"/>
  <c r="E4232" i="1"/>
  <c r="C4232" i="1"/>
  <c r="R4231" i="1"/>
  <c r="I4231" i="1"/>
  <c r="G4231" i="1"/>
  <c r="E4231" i="1"/>
  <c r="C4231" i="1"/>
  <c r="R4230" i="1"/>
  <c r="I4230" i="1"/>
  <c r="G4230" i="1"/>
  <c r="E4230" i="1"/>
  <c r="C4230" i="1"/>
  <c r="R4229" i="1"/>
  <c r="I4229" i="1"/>
  <c r="G4229" i="1"/>
  <c r="E4229" i="1"/>
  <c r="C4229" i="1"/>
  <c r="R4228" i="1"/>
  <c r="I4228" i="1"/>
  <c r="G4228" i="1"/>
  <c r="E4228" i="1"/>
  <c r="C4228" i="1"/>
  <c r="R4227" i="1"/>
  <c r="I4227" i="1"/>
  <c r="G4227" i="1"/>
  <c r="E4227" i="1"/>
  <c r="C4227" i="1"/>
  <c r="R4226" i="1"/>
  <c r="I4226" i="1"/>
  <c r="G4226" i="1"/>
  <c r="E4226" i="1"/>
  <c r="C4226" i="1"/>
  <c r="R4225" i="1"/>
  <c r="I4225" i="1"/>
  <c r="G4225" i="1"/>
  <c r="E4225" i="1"/>
  <c r="C4225" i="1"/>
  <c r="R4224" i="1"/>
  <c r="I4224" i="1"/>
  <c r="G4224" i="1"/>
  <c r="E4224" i="1"/>
  <c r="C4224" i="1"/>
  <c r="R4223" i="1"/>
  <c r="I4223" i="1"/>
  <c r="G4223" i="1"/>
  <c r="E4223" i="1"/>
  <c r="C4223" i="1"/>
  <c r="R4222" i="1"/>
  <c r="I4222" i="1"/>
  <c r="G4222" i="1"/>
  <c r="E4222" i="1"/>
  <c r="C4222" i="1"/>
  <c r="R4221" i="1"/>
  <c r="I4221" i="1"/>
  <c r="G4221" i="1"/>
  <c r="E4221" i="1"/>
  <c r="C4221" i="1"/>
  <c r="R4220" i="1"/>
  <c r="I4220" i="1"/>
  <c r="G4220" i="1"/>
  <c r="E4220" i="1"/>
  <c r="C4220" i="1"/>
  <c r="R4219" i="1"/>
  <c r="I4219" i="1"/>
  <c r="G4219" i="1"/>
  <c r="E4219" i="1"/>
  <c r="C4219" i="1"/>
  <c r="R4218" i="1"/>
  <c r="I4218" i="1"/>
  <c r="G4218" i="1"/>
  <c r="E4218" i="1"/>
  <c r="C4218" i="1"/>
  <c r="R4217" i="1"/>
  <c r="I4217" i="1"/>
  <c r="G4217" i="1"/>
  <c r="E4217" i="1"/>
  <c r="C4217" i="1"/>
  <c r="R4216" i="1"/>
  <c r="I4216" i="1"/>
  <c r="G4216" i="1"/>
  <c r="E4216" i="1"/>
  <c r="C4216" i="1"/>
  <c r="R4215" i="1"/>
  <c r="I4215" i="1"/>
  <c r="G4215" i="1"/>
  <c r="E4215" i="1"/>
  <c r="C4215" i="1"/>
  <c r="R4214" i="1"/>
  <c r="I4214" i="1"/>
  <c r="G4214" i="1"/>
  <c r="E4214" i="1"/>
  <c r="C4214" i="1"/>
  <c r="R4213" i="1"/>
  <c r="I4213" i="1"/>
  <c r="G4213" i="1"/>
  <c r="E4213" i="1"/>
  <c r="C4213" i="1"/>
  <c r="R4212" i="1"/>
  <c r="I4212" i="1"/>
  <c r="G4212" i="1"/>
  <c r="E4212" i="1"/>
  <c r="C4212" i="1"/>
  <c r="R4211" i="1"/>
  <c r="I4211" i="1"/>
  <c r="G4211" i="1"/>
  <c r="E4211" i="1"/>
  <c r="C4211" i="1"/>
  <c r="R4210" i="1"/>
  <c r="I4210" i="1"/>
  <c r="G4210" i="1"/>
  <c r="E4210" i="1"/>
  <c r="C4210" i="1"/>
  <c r="R4209" i="1"/>
  <c r="I4209" i="1"/>
  <c r="G4209" i="1"/>
  <c r="E4209" i="1"/>
  <c r="C4209" i="1"/>
  <c r="R4208" i="1"/>
  <c r="I4208" i="1"/>
  <c r="G4208" i="1"/>
  <c r="E4208" i="1"/>
  <c r="C4208" i="1"/>
  <c r="R4207" i="1"/>
  <c r="I4207" i="1"/>
  <c r="G4207" i="1"/>
  <c r="E4207" i="1"/>
  <c r="C4207" i="1"/>
  <c r="R4206" i="1"/>
  <c r="I4206" i="1"/>
  <c r="G4206" i="1"/>
  <c r="E4206" i="1"/>
  <c r="C4206" i="1"/>
  <c r="R4205" i="1"/>
  <c r="I4205" i="1"/>
  <c r="G4205" i="1"/>
  <c r="E4205" i="1"/>
  <c r="C4205" i="1"/>
  <c r="R4204" i="1"/>
  <c r="I4204" i="1"/>
  <c r="G4204" i="1"/>
  <c r="E4204" i="1"/>
  <c r="C4204" i="1"/>
  <c r="R4203" i="1"/>
  <c r="I4203" i="1"/>
  <c r="G4203" i="1"/>
  <c r="E4203" i="1"/>
  <c r="C4203" i="1"/>
  <c r="R4202" i="1"/>
  <c r="I4202" i="1"/>
  <c r="G4202" i="1"/>
  <c r="E4202" i="1"/>
  <c r="C4202" i="1"/>
  <c r="R4201" i="1"/>
  <c r="I4201" i="1"/>
  <c r="G4201" i="1"/>
  <c r="E4201" i="1"/>
  <c r="C4201" i="1"/>
  <c r="R4200" i="1"/>
  <c r="I4200" i="1"/>
  <c r="G4200" i="1"/>
  <c r="E4200" i="1"/>
  <c r="C4200" i="1"/>
  <c r="R4199" i="1"/>
  <c r="I4199" i="1"/>
  <c r="G4199" i="1"/>
  <c r="E4199" i="1"/>
  <c r="C4199" i="1"/>
  <c r="R4198" i="1"/>
  <c r="I4198" i="1"/>
  <c r="G4198" i="1"/>
  <c r="E4198" i="1"/>
  <c r="C4198" i="1"/>
  <c r="R4197" i="1"/>
  <c r="I4197" i="1"/>
  <c r="G4197" i="1"/>
  <c r="E4197" i="1"/>
  <c r="C4197" i="1"/>
  <c r="R4196" i="1"/>
  <c r="I4196" i="1"/>
  <c r="G4196" i="1"/>
  <c r="E4196" i="1"/>
  <c r="C4196" i="1"/>
  <c r="R4195" i="1"/>
  <c r="I4195" i="1"/>
  <c r="G4195" i="1"/>
  <c r="E4195" i="1"/>
  <c r="C4195" i="1"/>
  <c r="R4194" i="1"/>
  <c r="I4194" i="1"/>
  <c r="G4194" i="1"/>
  <c r="E4194" i="1"/>
  <c r="C4194" i="1"/>
  <c r="R4193" i="1"/>
  <c r="I4193" i="1"/>
  <c r="G4193" i="1"/>
  <c r="E4193" i="1"/>
  <c r="C4193" i="1"/>
  <c r="R4192" i="1"/>
  <c r="I4192" i="1"/>
  <c r="G4192" i="1"/>
  <c r="E4192" i="1"/>
  <c r="C4192" i="1"/>
  <c r="R4191" i="1"/>
  <c r="I4191" i="1"/>
  <c r="G4191" i="1"/>
  <c r="E4191" i="1"/>
  <c r="C4191" i="1"/>
  <c r="R4190" i="1"/>
  <c r="I4190" i="1"/>
  <c r="G4190" i="1"/>
  <c r="E4190" i="1"/>
  <c r="C4190" i="1"/>
  <c r="R4189" i="1"/>
  <c r="I4189" i="1"/>
  <c r="G4189" i="1"/>
  <c r="E4189" i="1"/>
  <c r="C4189" i="1"/>
  <c r="R4188" i="1"/>
  <c r="I4188" i="1"/>
  <c r="G4188" i="1"/>
  <c r="E4188" i="1"/>
  <c r="C4188" i="1"/>
  <c r="R4187" i="1"/>
  <c r="I4187" i="1"/>
  <c r="G4187" i="1"/>
  <c r="E4187" i="1"/>
  <c r="C4187" i="1"/>
  <c r="R4186" i="1"/>
  <c r="I4186" i="1"/>
  <c r="G4186" i="1"/>
  <c r="E4186" i="1"/>
  <c r="C4186" i="1"/>
  <c r="R4185" i="1"/>
  <c r="I4185" i="1"/>
  <c r="G4185" i="1"/>
  <c r="E4185" i="1"/>
  <c r="C4185" i="1"/>
  <c r="R4184" i="1"/>
  <c r="I4184" i="1"/>
  <c r="G4184" i="1"/>
  <c r="E4184" i="1"/>
  <c r="C4184" i="1"/>
  <c r="R4183" i="1"/>
  <c r="I4183" i="1"/>
  <c r="G4183" i="1"/>
  <c r="E4183" i="1"/>
  <c r="C4183" i="1"/>
  <c r="R4182" i="1"/>
  <c r="I4182" i="1"/>
  <c r="G4182" i="1"/>
  <c r="E4182" i="1"/>
  <c r="C4182" i="1"/>
  <c r="R4181" i="1"/>
  <c r="I4181" i="1"/>
  <c r="G4181" i="1"/>
  <c r="E4181" i="1"/>
  <c r="C4181" i="1"/>
  <c r="R4180" i="1"/>
  <c r="I4180" i="1"/>
  <c r="G4180" i="1"/>
  <c r="E4180" i="1"/>
  <c r="C4180" i="1"/>
  <c r="R4179" i="1"/>
  <c r="I4179" i="1"/>
  <c r="G4179" i="1"/>
  <c r="E4179" i="1"/>
  <c r="C4179" i="1"/>
  <c r="R4178" i="1"/>
  <c r="I4178" i="1"/>
  <c r="G4178" i="1"/>
  <c r="E4178" i="1"/>
  <c r="C4178" i="1"/>
  <c r="R4177" i="1"/>
  <c r="I4177" i="1"/>
  <c r="G4177" i="1"/>
  <c r="E4177" i="1"/>
  <c r="C4177" i="1"/>
  <c r="R4176" i="1"/>
  <c r="I4176" i="1"/>
  <c r="G4176" i="1"/>
  <c r="E4176" i="1"/>
  <c r="C4176" i="1"/>
  <c r="R4175" i="1"/>
  <c r="I4175" i="1"/>
  <c r="G4175" i="1"/>
  <c r="E4175" i="1"/>
  <c r="C4175" i="1"/>
  <c r="R4174" i="1"/>
  <c r="I4174" i="1"/>
  <c r="G4174" i="1"/>
  <c r="E4174" i="1"/>
  <c r="C4174" i="1"/>
  <c r="R4173" i="1"/>
  <c r="I4173" i="1"/>
  <c r="G4173" i="1"/>
  <c r="E4173" i="1"/>
  <c r="C4173" i="1"/>
  <c r="R4172" i="1"/>
  <c r="I4172" i="1"/>
  <c r="G4172" i="1"/>
  <c r="E4172" i="1"/>
  <c r="C4172" i="1"/>
  <c r="R4171" i="1"/>
  <c r="I4171" i="1"/>
  <c r="G4171" i="1"/>
  <c r="E4171" i="1"/>
  <c r="C4171" i="1"/>
  <c r="R4170" i="1"/>
  <c r="I4170" i="1"/>
  <c r="G4170" i="1"/>
  <c r="E4170" i="1"/>
  <c r="C4170" i="1"/>
  <c r="R4169" i="1"/>
  <c r="I4169" i="1"/>
  <c r="G4169" i="1"/>
  <c r="E4169" i="1"/>
  <c r="C4169" i="1"/>
  <c r="R4168" i="1"/>
  <c r="I4168" i="1"/>
  <c r="G4168" i="1"/>
  <c r="E4168" i="1"/>
  <c r="C4168" i="1"/>
  <c r="R4167" i="1"/>
  <c r="I4167" i="1"/>
  <c r="G4167" i="1"/>
  <c r="E4167" i="1"/>
  <c r="C4167" i="1"/>
  <c r="R4166" i="1"/>
  <c r="I4166" i="1"/>
  <c r="G4166" i="1"/>
  <c r="E4166" i="1"/>
  <c r="C4166" i="1"/>
  <c r="R4165" i="1"/>
  <c r="I4165" i="1"/>
  <c r="G4165" i="1"/>
  <c r="E4165" i="1"/>
  <c r="C4165" i="1"/>
  <c r="R4164" i="1"/>
  <c r="I4164" i="1"/>
  <c r="G4164" i="1"/>
  <c r="E4164" i="1"/>
  <c r="C4164" i="1"/>
  <c r="R4163" i="1"/>
  <c r="I4163" i="1"/>
  <c r="G4163" i="1"/>
  <c r="E4163" i="1"/>
  <c r="C4163" i="1"/>
  <c r="R4162" i="1"/>
  <c r="I4162" i="1"/>
  <c r="G4162" i="1"/>
  <c r="E4162" i="1"/>
  <c r="C4162" i="1"/>
  <c r="R4161" i="1"/>
  <c r="I4161" i="1"/>
  <c r="G4161" i="1"/>
  <c r="E4161" i="1"/>
  <c r="C4161" i="1"/>
  <c r="R4160" i="1"/>
  <c r="I4160" i="1"/>
  <c r="G4160" i="1"/>
  <c r="E4160" i="1"/>
  <c r="C4160" i="1"/>
  <c r="R4159" i="1"/>
  <c r="I4159" i="1"/>
  <c r="G4159" i="1"/>
  <c r="E4159" i="1"/>
  <c r="C4159" i="1"/>
  <c r="R4158" i="1"/>
  <c r="I4158" i="1"/>
  <c r="G4158" i="1"/>
  <c r="E4158" i="1"/>
  <c r="C4158" i="1"/>
  <c r="R4157" i="1"/>
  <c r="I4157" i="1"/>
  <c r="G4157" i="1"/>
  <c r="E4157" i="1"/>
  <c r="C4157" i="1"/>
  <c r="R4156" i="1"/>
  <c r="I4156" i="1"/>
  <c r="G4156" i="1"/>
  <c r="E4156" i="1"/>
  <c r="C4156" i="1"/>
  <c r="R4155" i="1"/>
  <c r="I4155" i="1"/>
  <c r="G4155" i="1"/>
  <c r="E4155" i="1"/>
  <c r="C4155" i="1"/>
  <c r="R4154" i="1"/>
  <c r="I4154" i="1"/>
  <c r="G4154" i="1"/>
  <c r="E4154" i="1"/>
  <c r="C4154" i="1"/>
  <c r="R4153" i="1"/>
  <c r="I4153" i="1"/>
  <c r="G4153" i="1"/>
  <c r="E4153" i="1"/>
  <c r="C4153" i="1"/>
  <c r="R4152" i="1"/>
  <c r="I4152" i="1"/>
  <c r="G4152" i="1"/>
  <c r="E4152" i="1"/>
  <c r="C4152" i="1"/>
  <c r="R4151" i="1"/>
  <c r="I4151" i="1"/>
  <c r="G4151" i="1"/>
  <c r="E4151" i="1"/>
  <c r="C4151" i="1"/>
  <c r="R4150" i="1"/>
  <c r="I4150" i="1"/>
  <c r="G4150" i="1"/>
  <c r="E4150" i="1"/>
  <c r="C4150" i="1"/>
  <c r="R4149" i="1"/>
  <c r="I4149" i="1"/>
  <c r="G4149" i="1"/>
  <c r="E4149" i="1"/>
  <c r="C4149" i="1"/>
  <c r="R4148" i="1"/>
  <c r="I4148" i="1"/>
  <c r="G4148" i="1"/>
  <c r="E4148" i="1"/>
  <c r="C4148" i="1"/>
  <c r="R4147" i="1"/>
  <c r="I4147" i="1"/>
  <c r="G4147" i="1"/>
  <c r="E4147" i="1"/>
  <c r="C4147" i="1"/>
  <c r="R4146" i="1"/>
  <c r="I4146" i="1"/>
  <c r="G4146" i="1"/>
  <c r="E4146" i="1"/>
  <c r="C4146" i="1"/>
  <c r="R4145" i="1"/>
  <c r="I4145" i="1"/>
  <c r="G4145" i="1"/>
  <c r="E4145" i="1"/>
  <c r="C4145" i="1"/>
  <c r="R4144" i="1"/>
  <c r="I4144" i="1"/>
  <c r="G4144" i="1"/>
  <c r="E4144" i="1"/>
  <c r="C4144" i="1"/>
  <c r="R4143" i="1"/>
  <c r="I4143" i="1"/>
  <c r="G4143" i="1"/>
  <c r="E4143" i="1"/>
  <c r="C4143" i="1"/>
  <c r="R4142" i="1"/>
  <c r="I4142" i="1"/>
  <c r="G4142" i="1"/>
  <c r="E4142" i="1"/>
  <c r="C4142" i="1"/>
  <c r="R4141" i="1"/>
  <c r="I4141" i="1"/>
  <c r="G4141" i="1"/>
  <c r="E4141" i="1"/>
  <c r="C4141" i="1"/>
  <c r="R4140" i="1"/>
  <c r="I4140" i="1"/>
  <c r="G4140" i="1"/>
  <c r="E4140" i="1"/>
  <c r="C4140" i="1"/>
  <c r="R4139" i="1"/>
  <c r="I4139" i="1"/>
  <c r="G4139" i="1"/>
  <c r="E4139" i="1"/>
  <c r="C4139" i="1"/>
  <c r="R4138" i="1"/>
  <c r="I4138" i="1"/>
  <c r="G4138" i="1"/>
  <c r="E4138" i="1"/>
  <c r="C4138" i="1"/>
  <c r="R4137" i="1"/>
  <c r="I4137" i="1"/>
  <c r="G4137" i="1"/>
  <c r="E4137" i="1"/>
  <c r="C4137" i="1"/>
  <c r="R4136" i="1"/>
  <c r="I4136" i="1"/>
  <c r="G4136" i="1"/>
  <c r="E4136" i="1"/>
  <c r="C4136" i="1"/>
  <c r="R4135" i="1"/>
  <c r="I4135" i="1"/>
  <c r="G4135" i="1"/>
  <c r="E4135" i="1"/>
  <c r="C4135" i="1"/>
  <c r="R4134" i="1"/>
  <c r="I4134" i="1"/>
  <c r="G4134" i="1"/>
  <c r="E4134" i="1"/>
  <c r="C4134" i="1"/>
  <c r="R4133" i="1"/>
  <c r="I4133" i="1"/>
  <c r="G4133" i="1"/>
  <c r="E4133" i="1"/>
  <c r="C4133" i="1"/>
  <c r="R4132" i="1"/>
  <c r="I4132" i="1"/>
  <c r="G4132" i="1"/>
  <c r="E4132" i="1"/>
  <c r="C4132" i="1"/>
  <c r="R4131" i="1"/>
  <c r="I4131" i="1"/>
  <c r="G4131" i="1"/>
  <c r="E4131" i="1"/>
  <c r="C4131" i="1"/>
  <c r="R4130" i="1"/>
  <c r="I4130" i="1"/>
  <c r="G4130" i="1"/>
  <c r="E4130" i="1"/>
  <c r="C4130" i="1"/>
  <c r="R4129" i="1"/>
  <c r="I4129" i="1"/>
  <c r="G4129" i="1"/>
  <c r="E4129" i="1"/>
  <c r="C4129" i="1"/>
  <c r="R4128" i="1"/>
  <c r="I4128" i="1"/>
  <c r="G4128" i="1"/>
  <c r="E4128" i="1"/>
  <c r="C4128" i="1"/>
  <c r="R4127" i="1"/>
  <c r="I4127" i="1"/>
  <c r="G4127" i="1"/>
  <c r="E4127" i="1"/>
  <c r="C4127" i="1"/>
  <c r="R4126" i="1"/>
  <c r="I4126" i="1"/>
  <c r="G4126" i="1"/>
  <c r="E4126" i="1"/>
  <c r="C4126" i="1"/>
  <c r="R4125" i="1"/>
  <c r="I4125" i="1"/>
  <c r="G4125" i="1"/>
  <c r="E4125" i="1"/>
  <c r="C4125" i="1"/>
  <c r="R4124" i="1"/>
  <c r="I4124" i="1"/>
  <c r="G4124" i="1"/>
  <c r="E4124" i="1"/>
  <c r="C4124" i="1"/>
  <c r="R4123" i="1"/>
  <c r="I4123" i="1"/>
  <c r="G4123" i="1"/>
  <c r="E4123" i="1"/>
  <c r="C4123" i="1"/>
  <c r="R4122" i="1"/>
  <c r="I4122" i="1"/>
  <c r="G4122" i="1"/>
  <c r="E4122" i="1"/>
  <c r="C4122" i="1"/>
  <c r="R4121" i="1"/>
  <c r="I4121" i="1"/>
  <c r="G4121" i="1"/>
  <c r="E4121" i="1"/>
  <c r="C4121" i="1"/>
  <c r="R4120" i="1"/>
  <c r="I4120" i="1"/>
  <c r="G4120" i="1"/>
  <c r="E4120" i="1"/>
  <c r="C4120" i="1"/>
  <c r="R4119" i="1"/>
  <c r="I4119" i="1"/>
  <c r="G4119" i="1"/>
  <c r="E4119" i="1"/>
  <c r="C4119" i="1"/>
  <c r="R4118" i="1"/>
  <c r="I4118" i="1"/>
  <c r="G4118" i="1"/>
  <c r="E4118" i="1"/>
  <c r="C4118" i="1"/>
  <c r="R4117" i="1"/>
  <c r="I4117" i="1"/>
  <c r="G4117" i="1"/>
  <c r="E4117" i="1"/>
  <c r="C4117" i="1"/>
  <c r="R4116" i="1"/>
  <c r="I4116" i="1"/>
  <c r="G4116" i="1"/>
  <c r="E4116" i="1"/>
  <c r="C4116" i="1"/>
  <c r="R4115" i="1"/>
  <c r="I4115" i="1"/>
  <c r="G4115" i="1"/>
  <c r="E4115" i="1"/>
  <c r="C4115" i="1"/>
  <c r="R4114" i="1"/>
  <c r="I4114" i="1"/>
  <c r="G4114" i="1"/>
  <c r="E4114" i="1"/>
  <c r="C4114" i="1"/>
  <c r="R4113" i="1"/>
  <c r="I4113" i="1"/>
  <c r="G4113" i="1"/>
  <c r="E4113" i="1"/>
  <c r="C4113" i="1"/>
  <c r="R4112" i="1"/>
  <c r="I4112" i="1"/>
  <c r="G4112" i="1"/>
  <c r="E4112" i="1"/>
  <c r="C4112" i="1"/>
  <c r="R4111" i="1"/>
  <c r="I4111" i="1"/>
  <c r="G4111" i="1"/>
  <c r="E4111" i="1"/>
  <c r="C4111" i="1"/>
  <c r="R4110" i="1"/>
  <c r="I4110" i="1"/>
  <c r="G4110" i="1"/>
  <c r="E4110" i="1"/>
  <c r="C4110" i="1"/>
  <c r="R4109" i="1"/>
  <c r="I4109" i="1"/>
  <c r="G4109" i="1"/>
  <c r="E4109" i="1"/>
  <c r="C4109" i="1"/>
  <c r="R4108" i="1"/>
  <c r="I4108" i="1"/>
  <c r="G4108" i="1"/>
  <c r="E4108" i="1"/>
  <c r="C4108" i="1"/>
  <c r="R4107" i="1"/>
  <c r="I4107" i="1"/>
  <c r="G4107" i="1"/>
  <c r="E4107" i="1"/>
  <c r="C4107" i="1"/>
  <c r="R4106" i="1"/>
  <c r="I4106" i="1"/>
  <c r="G4106" i="1"/>
  <c r="E4106" i="1"/>
  <c r="C4106" i="1"/>
  <c r="R4105" i="1"/>
  <c r="I4105" i="1"/>
  <c r="G4105" i="1"/>
  <c r="E4105" i="1"/>
  <c r="C4105" i="1"/>
  <c r="R4104" i="1"/>
  <c r="I4104" i="1"/>
  <c r="G4104" i="1"/>
  <c r="E4104" i="1"/>
  <c r="C4104" i="1"/>
  <c r="R4103" i="1"/>
  <c r="I4103" i="1"/>
  <c r="G4103" i="1"/>
  <c r="E4103" i="1"/>
  <c r="C4103" i="1"/>
  <c r="R4102" i="1"/>
  <c r="I4102" i="1"/>
  <c r="G4102" i="1"/>
  <c r="E4102" i="1"/>
  <c r="C4102" i="1"/>
  <c r="R4101" i="1"/>
  <c r="I4101" i="1"/>
  <c r="G4101" i="1"/>
  <c r="E4101" i="1"/>
  <c r="C4101" i="1"/>
  <c r="R4100" i="1"/>
  <c r="I4100" i="1"/>
  <c r="G4100" i="1"/>
  <c r="E4100" i="1"/>
  <c r="C4100" i="1"/>
  <c r="R4099" i="1"/>
  <c r="I4099" i="1"/>
  <c r="G4099" i="1"/>
  <c r="E4099" i="1"/>
  <c r="C4099" i="1"/>
  <c r="R4098" i="1"/>
  <c r="I4098" i="1"/>
  <c r="G4098" i="1"/>
  <c r="E4098" i="1"/>
  <c r="C4098" i="1"/>
  <c r="R4097" i="1"/>
  <c r="I4097" i="1"/>
  <c r="G4097" i="1"/>
  <c r="E4097" i="1"/>
  <c r="C4097" i="1"/>
  <c r="R4096" i="1"/>
  <c r="I4096" i="1"/>
  <c r="G4096" i="1"/>
  <c r="E4096" i="1"/>
  <c r="C4096" i="1"/>
  <c r="R4095" i="1"/>
  <c r="I4095" i="1"/>
  <c r="G4095" i="1"/>
  <c r="E4095" i="1"/>
  <c r="C4095" i="1"/>
  <c r="R4094" i="1"/>
  <c r="I4094" i="1"/>
  <c r="G4094" i="1"/>
  <c r="E4094" i="1"/>
  <c r="C4094" i="1"/>
  <c r="R4093" i="1"/>
  <c r="I4093" i="1"/>
  <c r="G4093" i="1"/>
  <c r="E4093" i="1"/>
  <c r="C4093" i="1"/>
  <c r="R4092" i="1"/>
  <c r="I4092" i="1"/>
  <c r="G4092" i="1"/>
  <c r="E4092" i="1"/>
  <c r="C4092" i="1"/>
  <c r="R4091" i="1"/>
  <c r="I4091" i="1"/>
  <c r="G4091" i="1"/>
  <c r="E4091" i="1"/>
  <c r="C4091" i="1"/>
  <c r="R4090" i="1"/>
  <c r="I4090" i="1"/>
  <c r="G4090" i="1"/>
  <c r="E4090" i="1"/>
  <c r="C4090" i="1"/>
  <c r="R4089" i="1"/>
  <c r="I4089" i="1"/>
  <c r="G4089" i="1"/>
  <c r="E4089" i="1"/>
  <c r="C4089" i="1"/>
  <c r="R4088" i="1"/>
  <c r="I4088" i="1"/>
  <c r="G4088" i="1"/>
  <c r="E4088" i="1"/>
  <c r="C4088" i="1"/>
  <c r="R4087" i="1"/>
  <c r="I4087" i="1"/>
  <c r="G4087" i="1"/>
  <c r="E4087" i="1"/>
  <c r="C4087" i="1"/>
  <c r="R4086" i="1"/>
  <c r="I4086" i="1"/>
  <c r="G4086" i="1"/>
  <c r="E4086" i="1"/>
  <c r="C4086" i="1"/>
  <c r="R4085" i="1"/>
  <c r="I4085" i="1"/>
  <c r="G4085" i="1"/>
  <c r="E4085" i="1"/>
  <c r="C4085" i="1"/>
  <c r="R4084" i="1"/>
  <c r="I4084" i="1"/>
  <c r="G4084" i="1"/>
  <c r="E4084" i="1"/>
  <c r="C4084" i="1"/>
  <c r="R4083" i="1"/>
  <c r="I4083" i="1"/>
  <c r="G4083" i="1"/>
  <c r="E4083" i="1"/>
  <c r="C4083" i="1"/>
  <c r="R4082" i="1"/>
  <c r="I4082" i="1"/>
  <c r="G4082" i="1"/>
  <c r="E4082" i="1"/>
  <c r="C4082" i="1"/>
  <c r="R4081" i="1"/>
  <c r="I4081" i="1"/>
  <c r="G4081" i="1"/>
  <c r="E4081" i="1"/>
  <c r="C4081" i="1"/>
  <c r="R4080" i="1"/>
  <c r="I4080" i="1"/>
  <c r="G4080" i="1"/>
  <c r="E4080" i="1"/>
  <c r="C4080" i="1"/>
  <c r="R4079" i="1"/>
  <c r="I4079" i="1"/>
  <c r="G4079" i="1"/>
  <c r="E4079" i="1"/>
  <c r="C4079" i="1"/>
  <c r="R4078" i="1"/>
  <c r="I4078" i="1"/>
  <c r="G4078" i="1"/>
  <c r="E4078" i="1"/>
  <c r="C4078" i="1"/>
  <c r="R4077" i="1"/>
  <c r="I4077" i="1"/>
  <c r="G4077" i="1"/>
  <c r="E4077" i="1"/>
  <c r="C4077" i="1"/>
  <c r="R4076" i="1"/>
  <c r="I4076" i="1"/>
  <c r="G4076" i="1"/>
  <c r="E4076" i="1"/>
  <c r="C4076" i="1"/>
  <c r="R4075" i="1"/>
  <c r="I4075" i="1"/>
  <c r="G4075" i="1"/>
  <c r="E4075" i="1"/>
  <c r="C4075" i="1"/>
  <c r="R4074" i="1"/>
  <c r="I4074" i="1"/>
  <c r="G4074" i="1"/>
  <c r="E4074" i="1"/>
  <c r="C4074" i="1"/>
  <c r="R4073" i="1"/>
  <c r="I4073" i="1"/>
  <c r="G4073" i="1"/>
  <c r="E4073" i="1"/>
  <c r="C4073" i="1"/>
  <c r="R4072" i="1"/>
  <c r="I4072" i="1"/>
  <c r="G4072" i="1"/>
  <c r="E4072" i="1"/>
  <c r="C4072" i="1"/>
  <c r="R4071" i="1"/>
  <c r="I4071" i="1"/>
  <c r="G4071" i="1"/>
  <c r="E4071" i="1"/>
  <c r="C4071" i="1"/>
  <c r="R4070" i="1"/>
  <c r="I4070" i="1"/>
  <c r="G4070" i="1"/>
  <c r="E4070" i="1"/>
  <c r="C4070" i="1"/>
  <c r="R4069" i="1"/>
  <c r="I4069" i="1"/>
  <c r="G4069" i="1"/>
  <c r="E4069" i="1"/>
  <c r="C4069" i="1"/>
  <c r="R4068" i="1"/>
  <c r="I4068" i="1"/>
  <c r="G4068" i="1"/>
  <c r="E4068" i="1"/>
  <c r="C4068" i="1"/>
  <c r="R4067" i="1"/>
  <c r="I4067" i="1"/>
  <c r="G4067" i="1"/>
  <c r="E4067" i="1"/>
  <c r="C4067" i="1"/>
  <c r="R4066" i="1"/>
  <c r="I4066" i="1"/>
  <c r="G4066" i="1"/>
  <c r="E4066" i="1"/>
  <c r="C4066" i="1"/>
  <c r="R4065" i="1"/>
  <c r="I4065" i="1"/>
  <c r="G4065" i="1"/>
  <c r="E4065" i="1"/>
  <c r="C4065" i="1"/>
  <c r="R4064" i="1"/>
  <c r="I4064" i="1"/>
  <c r="G4064" i="1"/>
  <c r="E4064" i="1"/>
  <c r="C4064" i="1"/>
  <c r="R4063" i="1"/>
  <c r="I4063" i="1"/>
  <c r="G4063" i="1"/>
  <c r="E4063" i="1"/>
  <c r="C4063" i="1"/>
  <c r="R4062" i="1"/>
  <c r="I4062" i="1"/>
  <c r="G4062" i="1"/>
  <c r="E4062" i="1"/>
  <c r="C4062" i="1"/>
  <c r="R4061" i="1"/>
  <c r="I4061" i="1"/>
  <c r="G4061" i="1"/>
  <c r="E4061" i="1"/>
  <c r="C4061" i="1"/>
  <c r="R4060" i="1"/>
  <c r="I4060" i="1"/>
  <c r="G4060" i="1"/>
  <c r="E4060" i="1"/>
  <c r="C4060" i="1"/>
  <c r="R4059" i="1"/>
  <c r="I4059" i="1"/>
  <c r="G4059" i="1"/>
  <c r="E4059" i="1"/>
  <c r="C4059" i="1"/>
  <c r="R4058" i="1"/>
  <c r="I4058" i="1"/>
  <c r="G4058" i="1"/>
  <c r="E4058" i="1"/>
  <c r="C4058" i="1"/>
  <c r="R4057" i="1"/>
  <c r="I4057" i="1"/>
  <c r="G4057" i="1"/>
  <c r="E4057" i="1"/>
  <c r="C4057" i="1"/>
  <c r="R4056" i="1"/>
  <c r="I4056" i="1"/>
  <c r="G4056" i="1"/>
  <c r="E4056" i="1"/>
  <c r="C4056" i="1"/>
  <c r="R4055" i="1"/>
  <c r="I4055" i="1"/>
  <c r="G4055" i="1"/>
  <c r="E4055" i="1"/>
  <c r="C4055" i="1"/>
  <c r="R4054" i="1"/>
  <c r="I4054" i="1"/>
  <c r="G4054" i="1"/>
  <c r="E4054" i="1"/>
  <c r="C4054" i="1"/>
  <c r="R4053" i="1"/>
  <c r="I4053" i="1"/>
  <c r="G4053" i="1"/>
  <c r="E4053" i="1"/>
  <c r="C4053" i="1"/>
  <c r="R4052" i="1"/>
  <c r="I4052" i="1"/>
  <c r="G4052" i="1"/>
  <c r="E4052" i="1"/>
  <c r="C4052" i="1"/>
  <c r="R4051" i="1"/>
  <c r="I4051" i="1"/>
  <c r="G4051" i="1"/>
  <c r="E4051" i="1"/>
  <c r="C4051" i="1"/>
  <c r="R4050" i="1"/>
  <c r="I4050" i="1"/>
  <c r="G4050" i="1"/>
  <c r="E4050" i="1"/>
  <c r="C4050" i="1"/>
  <c r="R4049" i="1"/>
  <c r="I4049" i="1"/>
  <c r="G4049" i="1"/>
  <c r="E4049" i="1"/>
  <c r="C4049" i="1"/>
  <c r="R4048" i="1"/>
  <c r="I4048" i="1"/>
  <c r="G4048" i="1"/>
  <c r="E4048" i="1"/>
  <c r="C4048" i="1"/>
  <c r="R4047" i="1"/>
  <c r="I4047" i="1"/>
  <c r="G4047" i="1"/>
  <c r="E4047" i="1"/>
  <c r="C4047" i="1"/>
  <c r="R4046" i="1"/>
  <c r="I4046" i="1"/>
  <c r="G4046" i="1"/>
  <c r="E4046" i="1"/>
  <c r="C4046" i="1"/>
  <c r="R4045" i="1"/>
  <c r="I4045" i="1"/>
  <c r="G4045" i="1"/>
  <c r="E4045" i="1"/>
  <c r="C4045" i="1"/>
  <c r="R4044" i="1"/>
  <c r="I4044" i="1"/>
  <c r="G4044" i="1"/>
  <c r="E4044" i="1"/>
  <c r="C4044" i="1"/>
  <c r="R4043" i="1"/>
  <c r="I4043" i="1"/>
  <c r="G4043" i="1"/>
  <c r="E4043" i="1"/>
  <c r="C4043" i="1"/>
  <c r="R4042" i="1"/>
  <c r="I4042" i="1"/>
  <c r="G4042" i="1"/>
  <c r="E4042" i="1"/>
  <c r="C4042" i="1"/>
  <c r="R4041" i="1"/>
  <c r="I4041" i="1"/>
  <c r="G4041" i="1"/>
  <c r="E4041" i="1"/>
  <c r="C4041" i="1"/>
  <c r="R4040" i="1"/>
  <c r="I4040" i="1"/>
  <c r="G4040" i="1"/>
  <c r="E4040" i="1"/>
  <c r="C4040" i="1"/>
  <c r="R4039" i="1"/>
  <c r="I4039" i="1"/>
  <c r="G4039" i="1"/>
  <c r="E4039" i="1"/>
  <c r="C4039" i="1"/>
  <c r="R4038" i="1"/>
  <c r="I4038" i="1"/>
  <c r="G4038" i="1"/>
  <c r="E4038" i="1"/>
  <c r="C4038" i="1"/>
  <c r="R4037" i="1"/>
  <c r="I4037" i="1"/>
  <c r="G4037" i="1"/>
  <c r="E4037" i="1"/>
  <c r="C4037" i="1"/>
  <c r="R4036" i="1"/>
  <c r="I4036" i="1"/>
  <c r="G4036" i="1"/>
  <c r="E4036" i="1"/>
  <c r="C4036" i="1"/>
  <c r="R4035" i="1"/>
  <c r="I4035" i="1"/>
  <c r="G4035" i="1"/>
  <c r="E4035" i="1"/>
  <c r="C4035" i="1"/>
  <c r="R4034" i="1"/>
  <c r="I4034" i="1"/>
  <c r="G4034" i="1"/>
  <c r="E4034" i="1"/>
  <c r="C4034" i="1"/>
  <c r="R4033" i="1"/>
  <c r="I4033" i="1"/>
  <c r="G4033" i="1"/>
  <c r="E4033" i="1"/>
  <c r="C4033" i="1"/>
  <c r="R4032" i="1"/>
  <c r="I4032" i="1"/>
  <c r="G4032" i="1"/>
  <c r="E4032" i="1"/>
  <c r="C4032" i="1"/>
  <c r="R4031" i="1"/>
  <c r="I4031" i="1"/>
  <c r="G4031" i="1"/>
  <c r="E4031" i="1"/>
  <c r="C4031" i="1"/>
  <c r="R4030" i="1"/>
  <c r="I4030" i="1"/>
  <c r="G4030" i="1"/>
  <c r="E4030" i="1"/>
  <c r="C4030" i="1"/>
  <c r="R4029" i="1"/>
  <c r="I4029" i="1"/>
  <c r="G4029" i="1"/>
  <c r="E4029" i="1"/>
  <c r="C4029" i="1"/>
  <c r="R4028" i="1"/>
  <c r="I4028" i="1"/>
  <c r="G4028" i="1"/>
  <c r="E4028" i="1"/>
  <c r="C4028" i="1"/>
  <c r="R4027" i="1"/>
  <c r="I4027" i="1"/>
  <c r="G4027" i="1"/>
  <c r="E4027" i="1"/>
  <c r="C4027" i="1"/>
  <c r="R4026" i="1"/>
  <c r="I4026" i="1"/>
  <c r="G4026" i="1"/>
  <c r="E4026" i="1"/>
  <c r="C4026" i="1"/>
  <c r="R4025" i="1"/>
  <c r="I4025" i="1"/>
  <c r="G4025" i="1"/>
  <c r="E4025" i="1"/>
  <c r="C4025" i="1"/>
  <c r="R4024" i="1"/>
  <c r="I4024" i="1"/>
  <c r="G4024" i="1"/>
  <c r="E4024" i="1"/>
  <c r="C4024" i="1"/>
  <c r="R4023" i="1"/>
  <c r="I4023" i="1"/>
  <c r="G4023" i="1"/>
  <c r="E4023" i="1"/>
  <c r="C4023" i="1"/>
  <c r="R4022" i="1"/>
  <c r="I4022" i="1"/>
  <c r="G4022" i="1"/>
  <c r="E4022" i="1"/>
  <c r="C4022" i="1"/>
  <c r="R4021" i="1"/>
  <c r="I4021" i="1"/>
  <c r="G4021" i="1"/>
  <c r="E4021" i="1"/>
  <c r="C4021" i="1"/>
  <c r="R4020" i="1"/>
  <c r="I4020" i="1"/>
  <c r="G4020" i="1"/>
  <c r="E4020" i="1"/>
  <c r="C4020" i="1"/>
  <c r="R4019" i="1"/>
  <c r="I4019" i="1"/>
  <c r="G4019" i="1"/>
  <c r="E4019" i="1"/>
  <c r="C4019" i="1"/>
  <c r="R4018" i="1"/>
  <c r="I4018" i="1"/>
  <c r="G4018" i="1"/>
  <c r="E4018" i="1"/>
  <c r="C4018" i="1"/>
  <c r="R4017" i="1"/>
  <c r="I4017" i="1"/>
  <c r="G4017" i="1"/>
  <c r="E4017" i="1"/>
  <c r="C4017" i="1"/>
  <c r="R4016" i="1"/>
  <c r="I4016" i="1"/>
  <c r="G4016" i="1"/>
  <c r="E4016" i="1"/>
  <c r="C4016" i="1"/>
  <c r="R4015" i="1"/>
  <c r="I4015" i="1"/>
  <c r="G4015" i="1"/>
  <c r="E4015" i="1"/>
  <c r="C4015" i="1"/>
  <c r="R4014" i="1"/>
  <c r="I4014" i="1"/>
  <c r="G4014" i="1"/>
  <c r="E4014" i="1"/>
  <c r="C4014" i="1"/>
  <c r="R4013" i="1"/>
  <c r="I4013" i="1"/>
  <c r="G4013" i="1"/>
  <c r="E4013" i="1"/>
  <c r="C4013" i="1"/>
  <c r="R4012" i="1"/>
  <c r="I4012" i="1"/>
  <c r="G4012" i="1"/>
  <c r="E4012" i="1"/>
  <c r="C4012" i="1"/>
  <c r="R4011" i="1"/>
  <c r="I4011" i="1"/>
  <c r="G4011" i="1"/>
  <c r="E4011" i="1"/>
  <c r="C4011" i="1"/>
  <c r="R4010" i="1"/>
  <c r="I4010" i="1"/>
  <c r="G4010" i="1"/>
  <c r="E4010" i="1"/>
  <c r="C4010" i="1"/>
  <c r="R4009" i="1"/>
  <c r="I4009" i="1"/>
  <c r="G4009" i="1"/>
  <c r="E4009" i="1"/>
  <c r="C4009" i="1"/>
  <c r="R4008" i="1"/>
  <c r="I4008" i="1"/>
  <c r="G4008" i="1"/>
  <c r="E4008" i="1"/>
  <c r="C4008" i="1"/>
  <c r="R4007" i="1"/>
  <c r="I4007" i="1"/>
  <c r="G4007" i="1"/>
  <c r="E4007" i="1"/>
  <c r="C4007" i="1"/>
  <c r="R4006" i="1"/>
  <c r="I4006" i="1"/>
  <c r="G4006" i="1"/>
  <c r="E4006" i="1"/>
  <c r="C4006" i="1"/>
  <c r="R4005" i="1"/>
  <c r="I4005" i="1"/>
  <c r="G4005" i="1"/>
  <c r="E4005" i="1"/>
  <c r="C4005" i="1"/>
  <c r="R4004" i="1"/>
  <c r="I4004" i="1"/>
  <c r="G4004" i="1"/>
  <c r="E4004" i="1"/>
  <c r="C4004" i="1"/>
  <c r="R4003" i="1"/>
  <c r="I4003" i="1"/>
  <c r="G4003" i="1"/>
  <c r="E4003" i="1"/>
  <c r="C4003" i="1"/>
  <c r="R4002" i="1"/>
  <c r="I4002" i="1"/>
  <c r="G4002" i="1"/>
  <c r="E4002" i="1"/>
  <c r="C4002" i="1"/>
  <c r="R4001" i="1"/>
  <c r="I4001" i="1"/>
  <c r="G4001" i="1"/>
  <c r="E4001" i="1"/>
  <c r="C4001" i="1"/>
  <c r="R4000" i="1"/>
  <c r="I4000" i="1"/>
  <c r="G4000" i="1"/>
  <c r="E4000" i="1"/>
  <c r="C4000" i="1"/>
  <c r="R3999" i="1"/>
  <c r="I3999" i="1"/>
  <c r="G3999" i="1"/>
  <c r="E3999" i="1"/>
  <c r="C3999" i="1"/>
  <c r="R3998" i="1"/>
  <c r="I3998" i="1"/>
  <c r="G3998" i="1"/>
  <c r="E3998" i="1"/>
  <c r="C3998" i="1"/>
  <c r="R3997" i="1"/>
  <c r="I3997" i="1"/>
  <c r="G3997" i="1"/>
  <c r="E3997" i="1"/>
  <c r="C3997" i="1"/>
  <c r="R3996" i="1"/>
  <c r="I3996" i="1"/>
  <c r="G3996" i="1"/>
  <c r="E3996" i="1"/>
  <c r="C3996" i="1"/>
  <c r="R3995" i="1"/>
  <c r="I3995" i="1"/>
  <c r="G3995" i="1"/>
  <c r="E3995" i="1"/>
  <c r="C3995" i="1"/>
  <c r="R3994" i="1"/>
  <c r="I3994" i="1"/>
  <c r="G3994" i="1"/>
  <c r="E3994" i="1"/>
  <c r="C3994" i="1"/>
  <c r="R3993" i="1"/>
  <c r="I3993" i="1"/>
  <c r="G3993" i="1"/>
  <c r="E3993" i="1"/>
  <c r="C3993" i="1"/>
  <c r="R3992" i="1"/>
  <c r="I3992" i="1"/>
  <c r="G3992" i="1"/>
  <c r="E3992" i="1"/>
  <c r="C3992" i="1"/>
  <c r="R3991" i="1"/>
  <c r="I3991" i="1"/>
  <c r="G3991" i="1"/>
  <c r="E3991" i="1"/>
  <c r="C3991" i="1"/>
  <c r="R3990" i="1"/>
  <c r="I3990" i="1"/>
  <c r="G3990" i="1"/>
  <c r="E3990" i="1"/>
  <c r="C3990" i="1"/>
  <c r="R3989" i="1"/>
  <c r="I3989" i="1"/>
  <c r="G3989" i="1"/>
  <c r="E3989" i="1"/>
  <c r="C3989" i="1"/>
  <c r="R3988" i="1"/>
  <c r="I3988" i="1"/>
  <c r="G3988" i="1"/>
  <c r="E3988" i="1"/>
  <c r="C3988" i="1"/>
  <c r="R3987" i="1"/>
  <c r="I3987" i="1"/>
  <c r="G3987" i="1"/>
  <c r="E3987" i="1"/>
  <c r="C3987" i="1"/>
  <c r="R3986" i="1"/>
  <c r="I3986" i="1"/>
  <c r="G3986" i="1"/>
  <c r="E3986" i="1"/>
  <c r="C3986" i="1"/>
  <c r="R3985" i="1"/>
  <c r="I3985" i="1"/>
  <c r="G3985" i="1"/>
  <c r="E3985" i="1"/>
  <c r="C3985" i="1"/>
  <c r="R3984" i="1"/>
  <c r="I3984" i="1"/>
  <c r="G3984" i="1"/>
  <c r="E3984" i="1"/>
  <c r="C3984" i="1"/>
  <c r="R3983" i="1"/>
  <c r="I3983" i="1"/>
  <c r="G3983" i="1"/>
  <c r="E3983" i="1"/>
  <c r="C3983" i="1"/>
  <c r="R3982" i="1"/>
  <c r="I3982" i="1"/>
  <c r="G3982" i="1"/>
  <c r="E3982" i="1"/>
  <c r="C3982" i="1"/>
  <c r="R3981" i="1"/>
  <c r="I3981" i="1"/>
  <c r="G3981" i="1"/>
  <c r="E3981" i="1"/>
  <c r="C3981" i="1"/>
  <c r="R3980" i="1"/>
  <c r="I3980" i="1"/>
  <c r="G3980" i="1"/>
  <c r="E3980" i="1"/>
  <c r="C3980" i="1"/>
  <c r="R3979" i="1"/>
  <c r="I3979" i="1"/>
  <c r="G3979" i="1"/>
  <c r="E3979" i="1"/>
  <c r="C3979" i="1"/>
  <c r="R3978" i="1"/>
  <c r="I3978" i="1"/>
  <c r="G3978" i="1"/>
  <c r="E3978" i="1"/>
  <c r="C3978" i="1"/>
  <c r="R3977" i="1"/>
  <c r="I3977" i="1"/>
  <c r="G3977" i="1"/>
  <c r="E3977" i="1"/>
  <c r="C3977" i="1"/>
  <c r="R3976" i="1"/>
  <c r="I3976" i="1"/>
  <c r="G3976" i="1"/>
  <c r="E3976" i="1"/>
  <c r="C3976" i="1"/>
  <c r="R3975" i="1"/>
  <c r="I3975" i="1"/>
  <c r="G3975" i="1"/>
  <c r="E3975" i="1"/>
  <c r="C3975" i="1"/>
  <c r="R3974" i="1"/>
  <c r="I3974" i="1"/>
  <c r="G3974" i="1"/>
  <c r="E3974" i="1"/>
  <c r="C3974" i="1"/>
  <c r="R3973" i="1"/>
  <c r="I3973" i="1"/>
  <c r="G3973" i="1"/>
  <c r="E3973" i="1"/>
  <c r="C3973" i="1"/>
  <c r="R3972" i="1"/>
  <c r="I3972" i="1"/>
  <c r="G3972" i="1"/>
  <c r="E3972" i="1"/>
  <c r="C3972" i="1"/>
  <c r="R3971" i="1"/>
  <c r="I3971" i="1"/>
  <c r="G3971" i="1"/>
  <c r="E3971" i="1"/>
  <c r="C3971" i="1"/>
  <c r="R3970" i="1"/>
  <c r="I3970" i="1"/>
  <c r="G3970" i="1"/>
  <c r="E3970" i="1"/>
  <c r="C3970" i="1"/>
  <c r="R3969" i="1"/>
  <c r="I3969" i="1"/>
  <c r="G3969" i="1"/>
  <c r="E3969" i="1"/>
  <c r="C3969" i="1"/>
  <c r="R3968" i="1"/>
  <c r="I3968" i="1"/>
  <c r="G3968" i="1"/>
  <c r="E3968" i="1"/>
  <c r="C3968" i="1"/>
  <c r="R3967" i="1"/>
  <c r="I3967" i="1"/>
  <c r="G3967" i="1"/>
  <c r="E3967" i="1"/>
  <c r="C3967" i="1"/>
  <c r="R3966" i="1"/>
  <c r="I3966" i="1"/>
  <c r="G3966" i="1"/>
  <c r="E3966" i="1"/>
  <c r="C3966" i="1"/>
  <c r="R3965" i="1"/>
  <c r="I3965" i="1"/>
  <c r="G3965" i="1"/>
  <c r="E3965" i="1"/>
  <c r="C3965" i="1"/>
  <c r="R3964" i="1"/>
  <c r="I3964" i="1"/>
  <c r="G3964" i="1"/>
  <c r="E3964" i="1"/>
  <c r="C3964" i="1"/>
  <c r="R3963" i="1"/>
  <c r="I3963" i="1"/>
  <c r="G3963" i="1"/>
  <c r="E3963" i="1"/>
  <c r="C3963" i="1"/>
  <c r="R3962" i="1"/>
  <c r="I3962" i="1"/>
  <c r="G3962" i="1"/>
  <c r="E3962" i="1"/>
  <c r="C3962" i="1"/>
  <c r="R3961" i="1"/>
  <c r="I3961" i="1"/>
  <c r="G3961" i="1"/>
  <c r="E3961" i="1"/>
  <c r="C3961" i="1"/>
  <c r="R3960" i="1"/>
  <c r="I3960" i="1"/>
  <c r="G3960" i="1"/>
  <c r="E3960" i="1"/>
  <c r="C3960" i="1"/>
  <c r="R3959" i="1"/>
  <c r="I3959" i="1"/>
  <c r="G3959" i="1"/>
  <c r="E3959" i="1"/>
  <c r="C3959" i="1"/>
  <c r="R3958" i="1"/>
  <c r="I3958" i="1"/>
  <c r="G3958" i="1"/>
  <c r="E3958" i="1"/>
  <c r="C3958" i="1"/>
  <c r="R3957" i="1"/>
  <c r="I3957" i="1"/>
  <c r="G3957" i="1"/>
  <c r="E3957" i="1"/>
  <c r="C3957" i="1"/>
  <c r="R3956" i="1"/>
  <c r="I3956" i="1"/>
  <c r="G3956" i="1"/>
  <c r="E3956" i="1"/>
  <c r="C3956" i="1"/>
  <c r="R3955" i="1"/>
  <c r="I3955" i="1"/>
  <c r="G3955" i="1"/>
  <c r="E3955" i="1"/>
  <c r="C3955" i="1"/>
  <c r="R3954" i="1"/>
  <c r="I3954" i="1"/>
  <c r="G3954" i="1"/>
  <c r="E3954" i="1"/>
  <c r="C3954" i="1"/>
  <c r="R3953" i="1"/>
  <c r="I3953" i="1"/>
  <c r="G3953" i="1"/>
  <c r="E3953" i="1"/>
  <c r="C3953" i="1"/>
  <c r="R3952" i="1"/>
  <c r="I3952" i="1"/>
  <c r="G3952" i="1"/>
  <c r="E3952" i="1"/>
  <c r="C3952" i="1"/>
  <c r="R3951" i="1"/>
  <c r="I3951" i="1"/>
  <c r="G3951" i="1"/>
  <c r="E3951" i="1"/>
  <c r="C3951" i="1"/>
  <c r="R3950" i="1"/>
  <c r="I3950" i="1"/>
  <c r="G3950" i="1"/>
  <c r="E3950" i="1"/>
  <c r="C3950" i="1"/>
  <c r="R3949" i="1"/>
  <c r="I3949" i="1"/>
  <c r="G3949" i="1"/>
  <c r="E3949" i="1"/>
  <c r="C3949" i="1"/>
  <c r="R3948" i="1"/>
  <c r="I3948" i="1"/>
  <c r="G3948" i="1"/>
  <c r="E3948" i="1"/>
  <c r="C3948" i="1"/>
  <c r="R3947" i="1"/>
  <c r="I3947" i="1"/>
  <c r="G3947" i="1"/>
  <c r="E3947" i="1"/>
  <c r="C3947" i="1"/>
  <c r="R3946" i="1"/>
  <c r="I3946" i="1"/>
  <c r="G3946" i="1"/>
  <c r="E3946" i="1"/>
  <c r="C3946" i="1"/>
  <c r="R3945" i="1"/>
  <c r="I3945" i="1"/>
  <c r="G3945" i="1"/>
  <c r="E3945" i="1"/>
  <c r="C3945" i="1"/>
  <c r="R3944" i="1"/>
  <c r="I3944" i="1"/>
  <c r="G3944" i="1"/>
  <c r="E3944" i="1"/>
  <c r="C3944" i="1"/>
  <c r="R3943" i="1"/>
  <c r="I3943" i="1"/>
  <c r="G3943" i="1"/>
  <c r="E3943" i="1"/>
  <c r="C3943" i="1"/>
  <c r="R3942" i="1"/>
  <c r="I3942" i="1"/>
  <c r="G3942" i="1"/>
  <c r="E3942" i="1"/>
  <c r="C3942" i="1"/>
  <c r="R3941" i="1"/>
  <c r="I3941" i="1"/>
  <c r="G3941" i="1"/>
  <c r="E3941" i="1"/>
  <c r="C3941" i="1"/>
  <c r="R3940" i="1"/>
  <c r="I3940" i="1"/>
  <c r="G3940" i="1"/>
  <c r="E3940" i="1"/>
  <c r="C3940" i="1"/>
  <c r="R3939" i="1"/>
  <c r="I3939" i="1"/>
  <c r="G3939" i="1"/>
  <c r="E3939" i="1"/>
  <c r="C3939" i="1"/>
  <c r="R3938" i="1"/>
  <c r="I3938" i="1"/>
  <c r="G3938" i="1"/>
  <c r="E3938" i="1"/>
  <c r="C3938" i="1"/>
  <c r="R3937" i="1"/>
  <c r="I3937" i="1"/>
  <c r="G3937" i="1"/>
  <c r="E3937" i="1"/>
  <c r="C3937" i="1"/>
  <c r="R3936" i="1"/>
  <c r="I3936" i="1"/>
  <c r="G3936" i="1"/>
  <c r="E3936" i="1"/>
  <c r="C3936" i="1"/>
  <c r="R3935" i="1"/>
  <c r="I3935" i="1"/>
  <c r="G3935" i="1"/>
  <c r="E3935" i="1"/>
  <c r="C3935" i="1"/>
  <c r="R3934" i="1"/>
  <c r="I3934" i="1"/>
  <c r="G3934" i="1"/>
  <c r="E3934" i="1"/>
  <c r="C3934" i="1"/>
  <c r="R3933" i="1"/>
  <c r="I3933" i="1"/>
  <c r="G3933" i="1"/>
  <c r="E3933" i="1"/>
  <c r="C3933" i="1"/>
  <c r="R3932" i="1"/>
  <c r="I3932" i="1"/>
  <c r="G3932" i="1"/>
  <c r="E3932" i="1"/>
  <c r="C3932" i="1"/>
  <c r="R3931" i="1"/>
  <c r="I3931" i="1"/>
  <c r="G3931" i="1"/>
  <c r="E3931" i="1"/>
  <c r="C3931" i="1"/>
  <c r="R3930" i="1"/>
  <c r="I3930" i="1"/>
  <c r="G3930" i="1"/>
  <c r="E3930" i="1"/>
  <c r="C3930" i="1"/>
  <c r="R3929" i="1"/>
  <c r="I3929" i="1"/>
  <c r="G3929" i="1"/>
  <c r="E3929" i="1"/>
  <c r="C3929" i="1"/>
  <c r="R3928" i="1"/>
  <c r="I3928" i="1"/>
  <c r="G3928" i="1"/>
  <c r="E3928" i="1"/>
  <c r="C3928" i="1"/>
  <c r="R3927" i="1"/>
  <c r="I3927" i="1"/>
  <c r="G3927" i="1"/>
  <c r="E3927" i="1"/>
  <c r="C3927" i="1"/>
  <c r="R3926" i="1"/>
  <c r="I3926" i="1"/>
  <c r="G3926" i="1"/>
  <c r="E3926" i="1"/>
  <c r="C3926" i="1"/>
  <c r="R3925" i="1"/>
  <c r="I3925" i="1"/>
  <c r="G3925" i="1"/>
  <c r="E3925" i="1"/>
  <c r="C3925" i="1"/>
  <c r="R3924" i="1"/>
  <c r="I3924" i="1"/>
  <c r="G3924" i="1"/>
  <c r="E3924" i="1"/>
  <c r="C3924" i="1"/>
  <c r="R3923" i="1"/>
  <c r="I3923" i="1"/>
  <c r="G3923" i="1"/>
  <c r="E3923" i="1"/>
  <c r="C3923" i="1"/>
  <c r="R3922" i="1"/>
  <c r="I3922" i="1"/>
  <c r="G3922" i="1"/>
  <c r="E3922" i="1"/>
  <c r="C3922" i="1"/>
  <c r="R3921" i="1"/>
  <c r="I3921" i="1"/>
  <c r="G3921" i="1"/>
  <c r="E3921" i="1"/>
  <c r="C3921" i="1"/>
  <c r="R3920" i="1"/>
  <c r="I3920" i="1"/>
  <c r="G3920" i="1"/>
  <c r="E3920" i="1"/>
  <c r="C3920" i="1"/>
  <c r="R3919" i="1"/>
  <c r="I3919" i="1"/>
  <c r="G3919" i="1"/>
  <c r="E3919" i="1"/>
  <c r="C3919" i="1"/>
  <c r="R3918" i="1"/>
  <c r="I3918" i="1"/>
  <c r="G3918" i="1"/>
  <c r="E3918" i="1"/>
  <c r="C3918" i="1"/>
  <c r="R3917" i="1"/>
  <c r="I3917" i="1"/>
  <c r="G3917" i="1"/>
  <c r="E3917" i="1"/>
  <c r="C3917" i="1"/>
  <c r="R3916" i="1"/>
  <c r="I3916" i="1"/>
  <c r="G3916" i="1"/>
  <c r="E3916" i="1"/>
  <c r="C3916" i="1"/>
  <c r="R3915" i="1"/>
  <c r="I3915" i="1"/>
  <c r="G3915" i="1"/>
  <c r="E3915" i="1"/>
  <c r="C3915" i="1"/>
  <c r="R3914" i="1"/>
  <c r="I3914" i="1"/>
  <c r="G3914" i="1"/>
  <c r="E3914" i="1"/>
  <c r="C3914" i="1"/>
  <c r="R3913" i="1"/>
  <c r="I3913" i="1"/>
  <c r="G3913" i="1"/>
  <c r="E3913" i="1"/>
  <c r="C3913" i="1"/>
  <c r="R3912" i="1"/>
  <c r="I3912" i="1"/>
  <c r="G3912" i="1"/>
  <c r="E3912" i="1"/>
  <c r="C3912" i="1"/>
  <c r="R3911" i="1"/>
  <c r="I3911" i="1"/>
  <c r="G3911" i="1"/>
  <c r="E3911" i="1"/>
  <c r="C3911" i="1"/>
  <c r="R3910" i="1"/>
  <c r="I3910" i="1"/>
  <c r="G3910" i="1"/>
  <c r="E3910" i="1"/>
  <c r="C3910" i="1"/>
  <c r="R3909" i="1"/>
  <c r="I3909" i="1"/>
  <c r="G3909" i="1"/>
  <c r="E3909" i="1"/>
  <c r="C3909" i="1"/>
  <c r="R3908" i="1"/>
  <c r="I3908" i="1"/>
  <c r="G3908" i="1"/>
  <c r="E3908" i="1"/>
  <c r="C3908" i="1"/>
  <c r="R3907" i="1"/>
  <c r="I3907" i="1"/>
  <c r="G3907" i="1"/>
  <c r="E3907" i="1"/>
  <c r="C3907" i="1"/>
  <c r="R3906" i="1"/>
  <c r="I3906" i="1"/>
  <c r="G3906" i="1"/>
  <c r="E3906" i="1"/>
  <c r="C3906" i="1"/>
  <c r="R3905" i="1"/>
  <c r="I3905" i="1"/>
  <c r="G3905" i="1"/>
  <c r="E3905" i="1"/>
  <c r="C3905" i="1"/>
  <c r="R3904" i="1"/>
  <c r="I3904" i="1"/>
  <c r="G3904" i="1"/>
  <c r="E3904" i="1"/>
  <c r="C3904" i="1"/>
  <c r="R3903" i="1"/>
  <c r="I3903" i="1"/>
  <c r="G3903" i="1"/>
  <c r="E3903" i="1"/>
  <c r="C3903" i="1"/>
  <c r="R3902" i="1"/>
  <c r="I3902" i="1"/>
  <c r="G3902" i="1"/>
  <c r="E3902" i="1"/>
  <c r="C3902" i="1"/>
  <c r="R3901" i="1"/>
  <c r="I3901" i="1"/>
  <c r="G3901" i="1"/>
  <c r="E3901" i="1"/>
  <c r="C3901" i="1"/>
  <c r="R3900" i="1"/>
  <c r="I3900" i="1"/>
  <c r="G3900" i="1"/>
  <c r="E3900" i="1"/>
  <c r="C3900" i="1"/>
  <c r="R3899" i="1"/>
  <c r="I3899" i="1"/>
  <c r="G3899" i="1"/>
  <c r="E3899" i="1"/>
  <c r="C3899" i="1"/>
  <c r="R3898" i="1"/>
  <c r="I3898" i="1"/>
  <c r="G3898" i="1"/>
  <c r="E3898" i="1"/>
  <c r="C3898" i="1"/>
  <c r="R3897" i="1"/>
  <c r="I3897" i="1"/>
  <c r="G3897" i="1"/>
  <c r="E3897" i="1"/>
  <c r="C3897" i="1"/>
  <c r="R3896" i="1"/>
  <c r="I3896" i="1"/>
  <c r="G3896" i="1"/>
  <c r="E3896" i="1"/>
  <c r="C3896" i="1"/>
  <c r="R3895" i="1"/>
  <c r="I3895" i="1"/>
  <c r="G3895" i="1"/>
  <c r="E3895" i="1"/>
  <c r="C3895" i="1"/>
  <c r="R3894" i="1"/>
  <c r="I3894" i="1"/>
  <c r="G3894" i="1"/>
  <c r="E3894" i="1"/>
  <c r="C3894" i="1"/>
  <c r="R3893" i="1"/>
  <c r="I3893" i="1"/>
  <c r="G3893" i="1"/>
  <c r="E3893" i="1"/>
  <c r="C3893" i="1"/>
  <c r="R3892" i="1"/>
  <c r="I3892" i="1"/>
  <c r="G3892" i="1"/>
  <c r="E3892" i="1"/>
  <c r="C3892" i="1"/>
  <c r="R3891" i="1"/>
  <c r="I3891" i="1"/>
  <c r="G3891" i="1"/>
  <c r="E3891" i="1"/>
  <c r="C3891" i="1"/>
  <c r="R3890" i="1"/>
  <c r="I3890" i="1"/>
  <c r="G3890" i="1"/>
  <c r="E3890" i="1"/>
  <c r="C3890" i="1"/>
  <c r="R3889" i="1"/>
  <c r="I3889" i="1"/>
  <c r="G3889" i="1"/>
  <c r="E3889" i="1"/>
  <c r="C3889" i="1"/>
  <c r="R3888" i="1"/>
  <c r="I3888" i="1"/>
  <c r="G3888" i="1"/>
  <c r="E3888" i="1"/>
  <c r="C3888" i="1"/>
  <c r="R3887" i="1"/>
  <c r="I3887" i="1"/>
  <c r="G3887" i="1"/>
  <c r="E3887" i="1"/>
  <c r="C3887" i="1"/>
  <c r="R3886" i="1"/>
  <c r="I3886" i="1"/>
  <c r="G3886" i="1"/>
  <c r="E3886" i="1"/>
  <c r="C3886" i="1"/>
  <c r="R3885" i="1"/>
  <c r="I3885" i="1"/>
  <c r="G3885" i="1"/>
  <c r="E3885" i="1"/>
  <c r="C3885" i="1"/>
  <c r="R3884" i="1"/>
  <c r="I3884" i="1"/>
  <c r="G3884" i="1"/>
  <c r="E3884" i="1"/>
  <c r="C3884" i="1"/>
  <c r="R3883" i="1"/>
  <c r="I3883" i="1"/>
  <c r="G3883" i="1"/>
  <c r="E3883" i="1"/>
  <c r="C3883" i="1"/>
  <c r="R3882" i="1"/>
  <c r="I3882" i="1"/>
  <c r="G3882" i="1"/>
  <c r="E3882" i="1"/>
  <c r="C3882" i="1"/>
  <c r="R3881" i="1"/>
  <c r="I3881" i="1"/>
  <c r="G3881" i="1"/>
  <c r="E3881" i="1"/>
  <c r="C3881" i="1"/>
  <c r="R3880" i="1"/>
  <c r="I3880" i="1"/>
  <c r="G3880" i="1"/>
  <c r="E3880" i="1"/>
  <c r="C3880" i="1"/>
  <c r="R3879" i="1"/>
  <c r="I3879" i="1"/>
  <c r="G3879" i="1"/>
  <c r="E3879" i="1"/>
  <c r="C3879" i="1"/>
  <c r="R3878" i="1"/>
  <c r="I3878" i="1"/>
  <c r="G3878" i="1"/>
  <c r="E3878" i="1"/>
  <c r="C3878" i="1"/>
  <c r="R3877" i="1"/>
  <c r="I3877" i="1"/>
  <c r="G3877" i="1"/>
  <c r="E3877" i="1"/>
  <c r="C3877" i="1"/>
  <c r="R3876" i="1"/>
  <c r="I3876" i="1"/>
  <c r="G3876" i="1"/>
  <c r="E3876" i="1"/>
  <c r="C3876" i="1"/>
  <c r="R3875" i="1"/>
  <c r="I3875" i="1"/>
  <c r="G3875" i="1"/>
  <c r="E3875" i="1"/>
  <c r="C3875" i="1"/>
  <c r="R3874" i="1"/>
  <c r="I3874" i="1"/>
  <c r="G3874" i="1"/>
  <c r="E3874" i="1"/>
  <c r="C3874" i="1"/>
  <c r="R3873" i="1"/>
  <c r="I3873" i="1"/>
  <c r="G3873" i="1"/>
  <c r="E3873" i="1"/>
  <c r="C3873" i="1"/>
  <c r="R3872" i="1"/>
  <c r="I3872" i="1"/>
  <c r="G3872" i="1"/>
  <c r="E3872" i="1"/>
  <c r="C3872" i="1"/>
  <c r="R3871" i="1"/>
  <c r="I3871" i="1"/>
  <c r="G3871" i="1"/>
  <c r="E3871" i="1"/>
  <c r="C3871" i="1"/>
  <c r="R3870" i="1"/>
  <c r="I3870" i="1"/>
  <c r="G3870" i="1"/>
  <c r="E3870" i="1"/>
  <c r="C3870" i="1"/>
  <c r="R3869" i="1"/>
  <c r="I3869" i="1"/>
  <c r="G3869" i="1"/>
  <c r="E3869" i="1"/>
  <c r="C3869" i="1"/>
  <c r="R3868" i="1"/>
  <c r="I3868" i="1"/>
  <c r="G3868" i="1"/>
  <c r="E3868" i="1"/>
  <c r="C3868" i="1"/>
  <c r="R3867" i="1"/>
  <c r="I3867" i="1"/>
  <c r="G3867" i="1"/>
  <c r="E3867" i="1"/>
  <c r="C3867" i="1"/>
  <c r="R3866" i="1"/>
  <c r="I3866" i="1"/>
  <c r="G3866" i="1"/>
  <c r="E3866" i="1"/>
  <c r="C3866" i="1"/>
  <c r="R3865" i="1"/>
  <c r="I3865" i="1"/>
  <c r="G3865" i="1"/>
  <c r="E3865" i="1"/>
  <c r="C3865" i="1"/>
  <c r="R3864" i="1"/>
  <c r="I3864" i="1"/>
  <c r="G3864" i="1"/>
  <c r="E3864" i="1"/>
  <c r="C3864" i="1"/>
  <c r="R3863" i="1"/>
  <c r="I3863" i="1"/>
  <c r="G3863" i="1"/>
  <c r="E3863" i="1"/>
  <c r="C3863" i="1"/>
  <c r="R3862" i="1"/>
  <c r="I3862" i="1"/>
  <c r="G3862" i="1"/>
  <c r="E3862" i="1"/>
  <c r="C3862" i="1"/>
  <c r="R3861" i="1"/>
  <c r="I3861" i="1"/>
  <c r="G3861" i="1"/>
  <c r="E3861" i="1"/>
  <c r="C3861" i="1"/>
  <c r="R3860" i="1"/>
  <c r="I3860" i="1"/>
  <c r="G3860" i="1"/>
  <c r="E3860" i="1"/>
  <c r="C3860" i="1"/>
  <c r="R3859" i="1"/>
  <c r="I3859" i="1"/>
  <c r="G3859" i="1"/>
  <c r="E3859" i="1"/>
  <c r="C3859" i="1"/>
  <c r="R3858" i="1"/>
  <c r="I3858" i="1"/>
  <c r="G3858" i="1"/>
  <c r="E3858" i="1"/>
  <c r="C3858" i="1"/>
  <c r="R3857" i="1"/>
  <c r="I3857" i="1"/>
  <c r="G3857" i="1"/>
  <c r="E3857" i="1"/>
  <c r="C3857" i="1"/>
  <c r="R3856" i="1"/>
  <c r="I3856" i="1"/>
  <c r="G3856" i="1"/>
  <c r="E3856" i="1"/>
  <c r="C3856" i="1"/>
  <c r="R3855" i="1"/>
  <c r="I3855" i="1"/>
  <c r="G3855" i="1"/>
  <c r="E3855" i="1"/>
  <c r="C3855" i="1"/>
  <c r="R3854" i="1"/>
  <c r="I3854" i="1"/>
  <c r="G3854" i="1"/>
  <c r="E3854" i="1"/>
  <c r="C3854" i="1"/>
  <c r="R3853" i="1"/>
  <c r="I3853" i="1"/>
  <c r="G3853" i="1"/>
  <c r="E3853" i="1"/>
  <c r="C3853" i="1"/>
  <c r="R3852" i="1"/>
  <c r="I3852" i="1"/>
  <c r="G3852" i="1"/>
  <c r="E3852" i="1"/>
  <c r="C3852" i="1"/>
  <c r="R3851" i="1"/>
  <c r="I3851" i="1"/>
  <c r="G3851" i="1"/>
  <c r="E3851" i="1"/>
  <c r="C3851" i="1"/>
  <c r="R3850" i="1"/>
  <c r="I3850" i="1"/>
  <c r="G3850" i="1"/>
  <c r="E3850" i="1"/>
  <c r="C3850" i="1"/>
  <c r="R3849" i="1"/>
  <c r="I3849" i="1"/>
  <c r="G3849" i="1"/>
  <c r="E3849" i="1"/>
  <c r="C3849" i="1"/>
  <c r="R3848" i="1"/>
  <c r="I3848" i="1"/>
  <c r="G3848" i="1"/>
  <c r="E3848" i="1"/>
  <c r="C3848" i="1"/>
  <c r="R3847" i="1"/>
  <c r="I3847" i="1"/>
  <c r="G3847" i="1"/>
  <c r="E3847" i="1"/>
  <c r="C3847" i="1"/>
  <c r="R3846" i="1"/>
  <c r="I3846" i="1"/>
  <c r="G3846" i="1"/>
  <c r="E3846" i="1"/>
  <c r="C3846" i="1"/>
  <c r="R3845" i="1"/>
  <c r="I3845" i="1"/>
  <c r="G3845" i="1"/>
  <c r="E3845" i="1"/>
  <c r="C3845" i="1"/>
  <c r="R3844" i="1"/>
  <c r="I3844" i="1"/>
  <c r="G3844" i="1"/>
  <c r="E3844" i="1"/>
  <c r="C3844" i="1"/>
  <c r="R3843" i="1"/>
  <c r="I3843" i="1"/>
  <c r="G3843" i="1"/>
  <c r="E3843" i="1"/>
  <c r="C3843" i="1"/>
  <c r="R3842" i="1"/>
  <c r="I3842" i="1"/>
  <c r="G3842" i="1"/>
  <c r="E3842" i="1"/>
  <c r="C3842" i="1"/>
  <c r="R3841" i="1"/>
  <c r="I3841" i="1"/>
  <c r="G3841" i="1"/>
  <c r="E3841" i="1"/>
  <c r="C3841" i="1"/>
  <c r="R3840" i="1"/>
  <c r="I3840" i="1"/>
  <c r="G3840" i="1"/>
  <c r="E3840" i="1"/>
  <c r="C3840" i="1"/>
  <c r="R3839" i="1"/>
  <c r="I3839" i="1"/>
  <c r="G3839" i="1"/>
  <c r="E3839" i="1"/>
  <c r="C3839" i="1"/>
  <c r="R3838" i="1"/>
  <c r="I3838" i="1"/>
  <c r="G3838" i="1"/>
  <c r="E3838" i="1"/>
  <c r="C3838" i="1"/>
  <c r="R3837" i="1"/>
  <c r="I3837" i="1"/>
  <c r="G3837" i="1"/>
  <c r="E3837" i="1"/>
  <c r="C3837" i="1"/>
  <c r="R3836" i="1"/>
  <c r="I3836" i="1"/>
  <c r="G3836" i="1"/>
  <c r="E3836" i="1"/>
  <c r="C3836" i="1"/>
  <c r="R3835" i="1"/>
  <c r="I3835" i="1"/>
  <c r="G3835" i="1"/>
  <c r="E3835" i="1"/>
  <c r="C3835" i="1"/>
  <c r="R3834" i="1"/>
  <c r="I3834" i="1"/>
  <c r="G3834" i="1"/>
  <c r="E3834" i="1"/>
  <c r="C3834" i="1"/>
  <c r="R3833" i="1"/>
  <c r="I3833" i="1"/>
  <c r="G3833" i="1"/>
  <c r="E3833" i="1"/>
  <c r="C3833" i="1"/>
  <c r="R3832" i="1"/>
  <c r="I3832" i="1"/>
  <c r="G3832" i="1"/>
  <c r="E3832" i="1"/>
  <c r="C3832" i="1"/>
  <c r="R3831" i="1"/>
  <c r="I3831" i="1"/>
  <c r="G3831" i="1"/>
  <c r="E3831" i="1"/>
  <c r="C3831" i="1"/>
  <c r="R3830" i="1"/>
  <c r="I3830" i="1"/>
  <c r="G3830" i="1"/>
  <c r="E3830" i="1"/>
  <c r="C3830" i="1"/>
  <c r="R3829" i="1"/>
  <c r="I3829" i="1"/>
  <c r="G3829" i="1"/>
  <c r="E3829" i="1"/>
  <c r="C3829" i="1"/>
  <c r="R3828" i="1"/>
  <c r="I3828" i="1"/>
  <c r="G3828" i="1"/>
  <c r="E3828" i="1"/>
  <c r="C3828" i="1"/>
  <c r="R3827" i="1"/>
  <c r="I3827" i="1"/>
  <c r="G3827" i="1"/>
  <c r="E3827" i="1"/>
  <c r="C3827" i="1"/>
  <c r="R3826" i="1"/>
  <c r="I3826" i="1"/>
  <c r="G3826" i="1"/>
  <c r="E3826" i="1"/>
  <c r="C3826" i="1"/>
  <c r="R3825" i="1"/>
  <c r="I3825" i="1"/>
  <c r="G3825" i="1"/>
  <c r="E3825" i="1"/>
  <c r="C3825" i="1"/>
  <c r="R3824" i="1"/>
  <c r="I3824" i="1"/>
  <c r="G3824" i="1"/>
  <c r="E3824" i="1"/>
  <c r="C3824" i="1"/>
  <c r="R3823" i="1"/>
  <c r="I3823" i="1"/>
  <c r="G3823" i="1"/>
  <c r="E3823" i="1"/>
  <c r="C3823" i="1"/>
  <c r="R3822" i="1"/>
  <c r="I3822" i="1"/>
  <c r="G3822" i="1"/>
  <c r="E3822" i="1"/>
  <c r="C3822" i="1"/>
  <c r="R3821" i="1"/>
  <c r="I3821" i="1"/>
  <c r="G3821" i="1"/>
  <c r="E3821" i="1"/>
  <c r="C3821" i="1"/>
  <c r="R3820" i="1"/>
  <c r="I3820" i="1"/>
  <c r="G3820" i="1"/>
  <c r="E3820" i="1"/>
  <c r="C3820" i="1"/>
  <c r="R3819" i="1"/>
  <c r="I3819" i="1"/>
  <c r="G3819" i="1"/>
  <c r="E3819" i="1"/>
  <c r="C3819" i="1"/>
  <c r="R3818" i="1"/>
  <c r="I3818" i="1"/>
  <c r="G3818" i="1"/>
  <c r="E3818" i="1"/>
  <c r="C3818" i="1"/>
  <c r="R3817" i="1"/>
  <c r="I3817" i="1"/>
  <c r="G3817" i="1"/>
  <c r="E3817" i="1"/>
  <c r="C3817" i="1"/>
  <c r="R3816" i="1"/>
  <c r="I3816" i="1"/>
  <c r="G3816" i="1"/>
  <c r="E3816" i="1"/>
  <c r="C3816" i="1"/>
  <c r="R3815" i="1"/>
  <c r="I3815" i="1"/>
  <c r="G3815" i="1"/>
  <c r="E3815" i="1"/>
  <c r="C3815" i="1"/>
  <c r="R3814" i="1"/>
  <c r="I3814" i="1"/>
  <c r="G3814" i="1"/>
  <c r="E3814" i="1"/>
  <c r="C3814" i="1"/>
  <c r="R3813" i="1"/>
  <c r="I3813" i="1"/>
  <c r="G3813" i="1"/>
  <c r="E3813" i="1"/>
  <c r="C3813" i="1"/>
  <c r="R3812" i="1"/>
  <c r="I3812" i="1"/>
  <c r="G3812" i="1"/>
  <c r="E3812" i="1"/>
  <c r="C3812" i="1"/>
  <c r="R3811" i="1"/>
  <c r="I3811" i="1"/>
  <c r="G3811" i="1"/>
  <c r="E3811" i="1"/>
  <c r="C3811" i="1"/>
  <c r="R3810" i="1"/>
  <c r="I3810" i="1"/>
  <c r="G3810" i="1"/>
  <c r="E3810" i="1"/>
  <c r="C3810" i="1"/>
  <c r="R3809" i="1"/>
  <c r="I3809" i="1"/>
  <c r="G3809" i="1"/>
  <c r="E3809" i="1"/>
  <c r="C3809" i="1"/>
  <c r="R3808" i="1"/>
  <c r="I3808" i="1"/>
  <c r="G3808" i="1"/>
  <c r="E3808" i="1"/>
  <c r="C3808" i="1"/>
  <c r="R3807" i="1"/>
  <c r="I3807" i="1"/>
  <c r="G3807" i="1"/>
  <c r="E3807" i="1"/>
  <c r="C3807" i="1"/>
  <c r="R3806" i="1"/>
  <c r="I3806" i="1"/>
  <c r="G3806" i="1"/>
  <c r="E3806" i="1"/>
  <c r="C3806" i="1"/>
  <c r="R3805" i="1"/>
  <c r="I3805" i="1"/>
  <c r="G3805" i="1"/>
  <c r="E3805" i="1"/>
  <c r="C3805" i="1"/>
  <c r="R3804" i="1"/>
  <c r="I3804" i="1"/>
  <c r="G3804" i="1"/>
  <c r="E3804" i="1"/>
  <c r="C3804" i="1"/>
  <c r="R3803" i="1"/>
  <c r="I3803" i="1"/>
  <c r="G3803" i="1"/>
  <c r="E3803" i="1"/>
  <c r="C3803" i="1"/>
  <c r="R3802" i="1"/>
  <c r="I3802" i="1"/>
  <c r="G3802" i="1"/>
  <c r="E3802" i="1"/>
  <c r="C3802" i="1"/>
  <c r="R3801" i="1"/>
  <c r="I3801" i="1"/>
  <c r="G3801" i="1"/>
  <c r="E3801" i="1"/>
  <c r="C3801" i="1"/>
  <c r="R3800" i="1"/>
  <c r="I3800" i="1"/>
  <c r="G3800" i="1"/>
  <c r="E3800" i="1"/>
  <c r="C3800" i="1"/>
  <c r="R3799" i="1"/>
  <c r="I3799" i="1"/>
  <c r="G3799" i="1"/>
  <c r="E3799" i="1"/>
  <c r="C3799" i="1"/>
  <c r="R3798" i="1"/>
  <c r="I3798" i="1"/>
  <c r="G3798" i="1"/>
  <c r="E3798" i="1"/>
  <c r="C3798" i="1"/>
  <c r="R3797" i="1"/>
  <c r="I3797" i="1"/>
  <c r="G3797" i="1"/>
  <c r="E3797" i="1"/>
  <c r="C3797" i="1"/>
  <c r="R3796" i="1"/>
  <c r="I3796" i="1"/>
  <c r="G3796" i="1"/>
  <c r="E3796" i="1"/>
  <c r="C3796" i="1"/>
  <c r="R3795" i="1"/>
  <c r="I3795" i="1"/>
  <c r="G3795" i="1"/>
  <c r="E3795" i="1"/>
  <c r="C3795" i="1"/>
  <c r="R3794" i="1"/>
  <c r="I3794" i="1"/>
  <c r="G3794" i="1"/>
  <c r="E3794" i="1"/>
  <c r="C3794" i="1"/>
  <c r="R3793" i="1"/>
  <c r="I3793" i="1"/>
  <c r="G3793" i="1"/>
  <c r="E3793" i="1"/>
  <c r="C3793" i="1"/>
  <c r="R3792" i="1"/>
  <c r="I3792" i="1"/>
  <c r="G3792" i="1"/>
  <c r="E3792" i="1"/>
  <c r="C3792" i="1"/>
  <c r="R3791" i="1"/>
  <c r="I3791" i="1"/>
  <c r="G3791" i="1"/>
  <c r="E3791" i="1"/>
  <c r="C3791" i="1"/>
  <c r="R3790" i="1"/>
  <c r="I3790" i="1"/>
  <c r="G3790" i="1"/>
  <c r="E3790" i="1"/>
  <c r="C3790" i="1"/>
  <c r="R3789" i="1"/>
  <c r="I3789" i="1"/>
  <c r="G3789" i="1"/>
  <c r="E3789" i="1"/>
  <c r="C3789" i="1"/>
  <c r="R3788" i="1"/>
  <c r="I3788" i="1"/>
  <c r="G3788" i="1"/>
  <c r="E3788" i="1"/>
  <c r="C3788" i="1"/>
  <c r="R3787" i="1"/>
  <c r="I3787" i="1"/>
  <c r="G3787" i="1"/>
  <c r="E3787" i="1"/>
  <c r="C3787" i="1"/>
  <c r="R3786" i="1"/>
  <c r="I3786" i="1"/>
  <c r="G3786" i="1"/>
  <c r="E3786" i="1"/>
  <c r="C3786" i="1"/>
  <c r="R3785" i="1"/>
  <c r="I3785" i="1"/>
  <c r="G3785" i="1"/>
  <c r="E3785" i="1"/>
  <c r="C3785" i="1"/>
  <c r="R3784" i="1"/>
  <c r="I3784" i="1"/>
  <c r="G3784" i="1"/>
  <c r="E3784" i="1"/>
  <c r="C3784" i="1"/>
  <c r="R3783" i="1"/>
  <c r="I3783" i="1"/>
  <c r="G3783" i="1"/>
  <c r="E3783" i="1"/>
  <c r="C3783" i="1"/>
  <c r="R3782" i="1"/>
  <c r="I3782" i="1"/>
  <c r="G3782" i="1"/>
  <c r="E3782" i="1"/>
  <c r="C3782" i="1"/>
  <c r="R3781" i="1"/>
  <c r="I3781" i="1"/>
  <c r="G3781" i="1"/>
  <c r="E3781" i="1"/>
  <c r="C3781" i="1"/>
  <c r="R3780" i="1"/>
  <c r="I3780" i="1"/>
  <c r="G3780" i="1"/>
  <c r="E3780" i="1"/>
  <c r="C3780" i="1"/>
  <c r="R3779" i="1"/>
  <c r="I3779" i="1"/>
  <c r="G3779" i="1"/>
  <c r="E3779" i="1"/>
  <c r="C3779" i="1"/>
  <c r="R3778" i="1"/>
  <c r="I3778" i="1"/>
  <c r="G3778" i="1"/>
  <c r="E3778" i="1"/>
  <c r="C3778" i="1"/>
  <c r="R3777" i="1"/>
  <c r="I3777" i="1"/>
  <c r="G3777" i="1"/>
  <c r="E3777" i="1"/>
  <c r="C3777" i="1"/>
  <c r="R3776" i="1"/>
  <c r="I3776" i="1"/>
  <c r="G3776" i="1"/>
  <c r="E3776" i="1"/>
  <c r="C3776" i="1"/>
  <c r="R3775" i="1"/>
  <c r="I3775" i="1"/>
  <c r="G3775" i="1"/>
  <c r="E3775" i="1"/>
  <c r="C3775" i="1"/>
  <c r="R3774" i="1"/>
  <c r="I3774" i="1"/>
  <c r="G3774" i="1"/>
  <c r="E3774" i="1"/>
  <c r="C3774" i="1"/>
  <c r="R3773" i="1"/>
  <c r="I3773" i="1"/>
  <c r="G3773" i="1"/>
  <c r="E3773" i="1"/>
  <c r="C3773" i="1"/>
  <c r="R3772" i="1"/>
  <c r="I3772" i="1"/>
  <c r="G3772" i="1"/>
  <c r="E3772" i="1"/>
  <c r="C3772" i="1"/>
  <c r="R3771" i="1"/>
  <c r="I3771" i="1"/>
  <c r="G3771" i="1"/>
  <c r="E3771" i="1"/>
  <c r="C3771" i="1"/>
  <c r="R3770" i="1"/>
  <c r="I3770" i="1"/>
  <c r="G3770" i="1"/>
  <c r="E3770" i="1"/>
  <c r="C3770" i="1"/>
  <c r="R3769" i="1"/>
  <c r="I3769" i="1"/>
  <c r="G3769" i="1"/>
  <c r="E3769" i="1"/>
  <c r="C3769" i="1"/>
  <c r="R3768" i="1"/>
  <c r="I3768" i="1"/>
  <c r="G3768" i="1"/>
  <c r="E3768" i="1"/>
  <c r="C3768" i="1"/>
  <c r="R3767" i="1"/>
  <c r="I3767" i="1"/>
  <c r="G3767" i="1"/>
  <c r="E3767" i="1"/>
  <c r="C3767" i="1"/>
  <c r="R3766" i="1"/>
  <c r="I3766" i="1"/>
  <c r="G3766" i="1"/>
  <c r="E3766" i="1"/>
  <c r="C3766" i="1"/>
  <c r="R3765" i="1"/>
  <c r="I3765" i="1"/>
  <c r="G3765" i="1"/>
  <c r="E3765" i="1"/>
  <c r="C3765" i="1"/>
  <c r="R3764" i="1"/>
  <c r="I3764" i="1"/>
  <c r="G3764" i="1"/>
  <c r="E3764" i="1"/>
  <c r="C3764" i="1"/>
  <c r="R3763" i="1"/>
  <c r="I3763" i="1"/>
  <c r="G3763" i="1"/>
  <c r="E3763" i="1"/>
  <c r="C3763" i="1"/>
  <c r="R3762" i="1"/>
  <c r="I3762" i="1"/>
  <c r="G3762" i="1"/>
  <c r="E3762" i="1"/>
  <c r="C3762" i="1"/>
  <c r="R3761" i="1"/>
  <c r="I3761" i="1"/>
  <c r="G3761" i="1"/>
  <c r="E3761" i="1"/>
  <c r="C3761" i="1"/>
  <c r="R3760" i="1"/>
  <c r="I3760" i="1"/>
  <c r="G3760" i="1"/>
  <c r="E3760" i="1"/>
  <c r="C3760" i="1"/>
  <c r="R3759" i="1"/>
  <c r="I3759" i="1"/>
  <c r="G3759" i="1"/>
  <c r="E3759" i="1"/>
  <c r="C3759" i="1"/>
  <c r="R3758" i="1"/>
  <c r="I3758" i="1"/>
  <c r="G3758" i="1"/>
  <c r="E3758" i="1"/>
  <c r="C3758" i="1"/>
  <c r="R3757" i="1"/>
  <c r="I3757" i="1"/>
  <c r="G3757" i="1"/>
  <c r="E3757" i="1"/>
  <c r="C3757" i="1"/>
  <c r="R3756" i="1"/>
  <c r="I3756" i="1"/>
  <c r="G3756" i="1"/>
  <c r="E3756" i="1"/>
  <c r="C3756" i="1"/>
  <c r="R3755" i="1"/>
  <c r="I3755" i="1"/>
  <c r="G3755" i="1"/>
  <c r="E3755" i="1"/>
  <c r="C3755" i="1"/>
  <c r="R3754" i="1"/>
  <c r="I3754" i="1"/>
  <c r="G3754" i="1"/>
  <c r="E3754" i="1"/>
  <c r="C3754" i="1"/>
  <c r="R3753" i="1"/>
  <c r="I3753" i="1"/>
  <c r="G3753" i="1"/>
  <c r="E3753" i="1"/>
  <c r="C3753" i="1"/>
  <c r="R3752" i="1"/>
  <c r="I3752" i="1"/>
  <c r="G3752" i="1"/>
  <c r="E3752" i="1"/>
  <c r="C3752" i="1"/>
  <c r="R3751" i="1"/>
  <c r="I3751" i="1"/>
  <c r="G3751" i="1"/>
  <c r="E3751" i="1"/>
  <c r="C3751" i="1"/>
  <c r="R3750" i="1"/>
  <c r="I3750" i="1"/>
  <c r="G3750" i="1"/>
  <c r="E3750" i="1"/>
  <c r="C3750" i="1"/>
  <c r="R3749" i="1"/>
  <c r="I3749" i="1"/>
  <c r="G3749" i="1"/>
  <c r="E3749" i="1"/>
  <c r="C3749" i="1"/>
  <c r="R3748" i="1"/>
  <c r="I3748" i="1"/>
  <c r="G3748" i="1"/>
  <c r="E3748" i="1"/>
  <c r="C3748" i="1"/>
  <c r="R3747" i="1"/>
  <c r="I3747" i="1"/>
  <c r="G3747" i="1"/>
  <c r="E3747" i="1"/>
  <c r="C3747" i="1"/>
  <c r="R3746" i="1"/>
  <c r="I3746" i="1"/>
  <c r="G3746" i="1"/>
  <c r="E3746" i="1"/>
  <c r="C3746" i="1"/>
  <c r="R3745" i="1"/>
  <c r="I3745" i="1"/>
  <c r="G3745" i="1"/>
  <c r="E3745" i="1"/>
  <c r="C3745" i="1"/>
  <c r="R3744" i="1"/>
  <c r="I3744" i="1"/>
  <c r="G3744" i="1"/>
  <c r="E3744" i="1"/>
  <c r="C3744" i="1"/>
  <c r="R3743" i="1"/>
  <c r="I3743" i="1"/>
  <c r="G3743" i="1"/>
  <c r="E3743" i="1"/>
  <c r="C3743" i="1"/>
  <c r="R3742" i="1"/>
  <c r="I3742" i="1"/>
  <c r="G3742" i="1"/>
  <c r="E3742" i="1"/>
  <c r="C3742" i="1"/>
  <c r="R3741" i="1"/>
  <c r="I3741" i="1"/>
  <c r="G3741" i="1"/>
  <c r="E3741" i="1"/>
  <c r="C3741" i="1"/>
  <c r="R3740" i="1"/>
  <c r="I3740" i="1"/>
  <c r="G3740" i="1"/>
  <c r="E3740" i="1"/>
  <c r="C3740" i="1"/>
  <c r="R3739" i="1"/>
  <c r="I3739" i="1"/>
  <c r="G3739" i="1"/>
  <c r="E3739" i="1"/>
  <c r="C3739" i="1"/>
  <c r="R3738" i="1"/>
  <c r="I3738" i="1"/>
  <c r="G3738" i="1"/>
  <c r="E3738" i="1"/>
  <c r="C3738" i="1"/>
  <c r="R3737" i="1"/>
  <c r="I3737" i="1"/>
  <c r="G3737" i="1"/>
  <c r="E3737" i="1"/>
  <c r="C3737" i="1"/>
  <c r="R3736" i="1"/>
  <c r="I3736" i="1"/>
  <c r="G3736" i="1"/>
  <c r="E3736" i="1"/>
  <c r="C3736" i="1"/>
  <c r="R3735" i="1"/>
  <c r="I3735" i="1"/>
  <c r="G3735" i="1"/>
  <c r="E3735" i="1"/>
  <c r="C3735" i="1"/>
  <c r="R3734" i="1"/>
  <c r="I3734" i="1"/>
  <c r="G3734" i="1"/>
  <c r="E3734" i="1"/>
  <c r="C3734" i="1"/>
  <c r="R3733" i="1"/>
  <c r="I3733" i="1"/>
  <c r="G3733" i="1"/>
  <c r="E3733" i="1"/>
  <c r="C3733" i="1"/>
  <c r="R3732" i="1"/>
  <c r="I3732" i="1"/>
  <c r="G3732" i="1"/>
  <c r="E3732" i="1"/>
  <c r="C3732" i="1"/>
  <c r="R3731" i="1"/>
  <c r="I3731" i="1"/>
  <c r="G3731" i="1"/>
  <c r="E3731" i="1"/>
  <c r="C3731" i="1"/>
  <c r="R3730" i="1"/>
  <c r="I3730" i="1"/>
  <c r="G3730" i="1"/>
  <c r="E3730" i="1"/>
  <c r="C3730" i="1"/>
  <c r="R3729" i="1"/>
  <c r="I3729" i="1"/>
  <c r="G3729" i="1"/>
  <c r="E3729" i="1"/>
  <c r="C3729" i="1"/>
  <c r="R3728" i="1"/>
  <c r="I3728" i="1"/>
  <c r="G3728" i="1"/>
  <c r="E3728" i="1"/>
  <c r="C3728" i="1"/>
  <c r="R3727" i="1"/>
  <c r="I3727" i="1"/>
  <c r="G3727" i="1"/>
  <c r="E3727" i="1"/>
  <c r="C3727" i="1"/>
  <c r="R3726" i="1"/>
  <c r="I3726" i="1"/>
  <c r="G3726" i="1"/>
  <c r="E3726" i="1"/>
  <c r="C3726" i="1"/>
  <c r="R3725" i="1"/>
  <c r="I3725" i="1"/>
  <c r="G3725" i="1"/>
  <c r="E3725" i="1"/>
  <c r="C3725" i="1"/>
  <c r="R3724" i="1"/>
  <c r="I3724" i="1"/>
  <c r="G3724" i="1"/>
  <c r="E3724" i="1"/>
  <c r="C3724" i="1"/>
  <c r="R3723" i="1"/>
  <c r="I3723" i="1"/>
  <c r="G3723" i="1"/>
  <c r="E3723" i="1"/>
  <c r="C3723" i="1"/>
  <c r="R3722" i="1"/>
  <c r="I3722" i="1"/>
  <c r="G3722" i="1"/>
  <c r="E3722" i="1"/>
  <c r="C3722" i="1"/>
  <c r="R3721" i="1"/>
  <c r="I3721" i="1"/>
  <c r="G3721" i="1"/>
  <c r="E3721" i="1"/>
  <c r="C3721" i="1"/>
  <c r="R3720" i="1"/>
  <c r="I3720" i="1"/>
  <c r="G3720" i="1"/>
  <c r="E3720" i="1"/>
  <c r="C3720" i="1"/>
  <c r="R3719" i="1"/>
  <c r="I3719" i="1"/>
  <c r="G3719" i="1"/>
  <c r="E3719" i="1"/>
  <c r="C3719" i="1"/>
  <c r="R3718" i="1"/>
  <c r="I3718" i="1"/>
  <c r="G3718" i="1"/>
  <c r="E3718" i="1"/>
  <c r="C3718" i="1"/>
  <c r="R3717" i="1"/>
  <c r="I3717" i="1"/>
  <c r="G3717" i="1"/>
  <c r="E3717" i="1"/>
  <c r="C3717" i="1"/>
  <c r="R3716" i="1"/>
  <c r="I3716" i="1"/>
  <c r="G3716" i="1"/>
  <c r="E3716" i="1"/>
  <c r="C3716" i="1"/>
  <c r="R3715" i="1"/>
  <c r="I3715" i="1"/>
  <c r="G3715" i="1"/>
  <c r="E3715" i="1"/>
  <c r="C3715" i="1"/>
  <c r="R3714" i="1"/>
  <c r="I3714" i="1"/>
  <c r="G3714" i="1"/>
  <c r="E3714" i="1"/>
  <c r="C3714" i="1"/>
  <c r="R3713" i="1"/>
  <c r="I3713" i="1"/>
  <c r="G3713" i="1"/>
  <c r="E3713" i="1"/>
  <c r="C3713" i="1"/>
  <c r="R3712" i="1"/>
  <c r="I3712" i="1"/>
  <c r="G3712" i="1"/>
  <c r="E3712" i="1"/>
  <c r="C3712" i="1"/>
  <c r="R3711" i="1"/>
  <c r="I3711" i="1"/>
  <c r="G3711" i="1"/>
  <c r="E3711" i="1"/>
  <c r="C3711" i="1"/>
  <c r="R3710" i="1"/>
  <c r="I3710" i="1"/>
  <c r="G3710" i="1"/>
  <c r="E3710" i="1"/>
  <c r="C3710" i="1"/>
  <c r="R3709" i="1"/>
  <c r="I3709" i="1"/>
  <c r="G3709" i="1"/>
  <c r="E3709" i="1"/>
  <c r="C3709" i="1"/>
  <c r="R3708" i="1"/>
  <c r="I3708" i="1"/>
  <c r="G3708" i="1"/>
  <c r="E3708" i="1"/>
  <c r="C3708" i="1"/>
  <c r="R3707" i="1"/>
  <c r="I3707" i="1"/>
  <c r="G3707" i="1"/>
  <c r="E3707" i="1"/>
  <c r="C3707" i="1"/>
  <c r="R3706" i="1"/>
  <c r="I3706" i="1"/>
  <c r="G3706" i="1"/>
  <c r="E3706" i="1"/>
  <c r="C3706" i="1"/>
  <c r="R3705" i="1"/>
  <c r="I3705" i="1"/>
  <c r="G3705" i="1"/>
  <c r="E3705" i="1"/>
  <c r="C3705" i="1"/>
  <c r="R3704" i="1"/>
  <c r="I3704" i="1"/>
  <c r="G3704" i="1"/>
  <c r="E3704" i="1"/>
  <c r="C3704" i="1"/>
  <c r="R3703" i="1"/>
  <c r="I3703" i="1"/>
  <c r="G3703" i="1"/>
  <c r="E3703" i="1"/>
  <c r="C3703" i="1"/>
  <c r="R3702" i="1"/>
  <c r="I3702" i="1"/>
  <c r="G3702" i="1"/>
  <c r="E3702" i="1"/>
  <c r="C3702" i="1"/>
  <c r="R3701" i="1"/>
  <c r="I3701" i="1"/>
  <c r="G3701" i="1"/>
  <c r="E3701" i="1"/>
  <c r="C3701" i="1"/>
  <c r="R3700" i="1"/>
  <c r="I3700" i="1"/>
  <c r="G3700" i="1"/>
  <c r="E3700" i="1"/>
  <c r="C3700" i="1"/>
  <c r="R3699" i="1"/>
  <c r="I3699" i="1"/>
  <c r="G3699" i="1"/>
  <c r="E3699" i="1"/>
  <c r="C3699" i="1"/>
  <c r="R3698" i="1"/>
  <c r="I3698" i="1"/>
  <c r="G3698" i="1"/>
  <c r="E3698" i="1"/>
  <c r="C3698" i="1"/>
  <c r="R3697" i="1"/>
  <c r="I3697" i="1"/>
  <c r="G3697" i="1"/>
  <c r="E3697" i="1"/>
  <c r="C3697" i="1"/>
  <c r="R3696" i="1"/>
  <c r="I3696" i="1"/>
  <c r="G3696" i="1"/>
  <c r="E3696" i="1"/>
  <c r="C3696" i="1"/>
  <c r="R3695" i="1"/>
  <c r="I3695" i="1"/>
  <c r="G3695" i="1"/>
  <c r="E3695" i="1"/>
  <c r="C3695" i="1"/>
  <c r="R3694" i="1"/>
  <c r="I3694" i="1"/>
  <c r="G3694" i="1"/>
  <c r="E3694" i="1"/>
  <c r="C3694" i="1"/>
  <c r="R3693" i="1"/>
  <c r="I3693" i="1"/>
  <c r="G3693" i="1"/>
  <c r="E3693" i="1"/>
  <c r="C3693" i="1"/>
  <c r="R3692" i="1"/>
  <c r="I3692" i="1"/>
  <c r="G3692" i="1"/>
  <c r="E3692" i="1"/>
  <c r="C3692" i="1"/>
  <c r="R3691" i="1"/>
  <c r="I3691" i="1"/>
  <c r="G3691" i="1"/>
  <c r="E3691" i="1"/>
  <c r="C3691" i="1"/>
  <c r="R3690" i="1"/>
  <c r="I3690" i="1"/>
  <c r="G3690" i="1"/>
  <c r="E3690" i="1"/>
  <c r="C3690" i="1"/>
  <c r="R3689" i="1"/>
  <c r="I3689" i="1"/>
  <c r="G3689" i="1"/>
  <c r="E3689" i="1"/>
  <c r="C3689" i="1"/>
  <c r="R3688" i="1"/>
  <c r="I3688" i="1"/>
  <c r="G3688" i="1"/>
  <c r="E3688" i="1"/>
  <c r="C3688" i="1"/>
  <c r="R3687" i="1"/>
  <c r="I3687" i="1"/>
  <c r="G3687" i="1"/>
  <c r="E3687" i="1"/>
  <c r="C3687" i="1"/>
  <c r="R3686" i="1"/>
  <c r="I3686" i="1"/>
  <c r="G3686" i="1"/>
  <c r="E3686" i="1"/>
  <c r="C3686" i="1"/>
  <c r="R3685" i="1"/>
  <c r="I3685" i="1"/>
  <c r="G3685" i="1"/>
  <c r="E3685" i="1"/>
  <c r="C3685" i="1"/>
  <c r="R3684" i="1"/>
  <c r="I3684" i="1"/>
  <c r="G3684" i="1"/>
  <c r="E3684" i="1"/>
  <c r="C3684" i="1"/>
  <c r="R3683" i="1"/>
  <c r="I3683" i="1"/>
  <c r="G3683" i="1"/>
  <c r="E3683" i="1"/>
  <c r="C3683" i="1"/>
  <c r="R3682" i="1"/>
  <c r="I3682" i="1"/>
  <c r="G3682" i="1"/>
  <c r="E3682" i="1"/>
  <c r="C3682" i="1"/>
  <c r="R3681" i="1"/>
  <c r="I3681" i="1"/>
  <c r="G3681" i="1"/>
  <c r="E3681" i="1"/>
  <c r="C3681" i="1"/>
  <c r="R3680" i="1"/>
  <c r="I3680" i="1"/>
  <c r="G3680" i="1"/>
  <c r="E3680" i="1"/>
  <c r="C3680" i="1"/>
  <c r="R3679" i="1"/>
  <c r="I3679" i="1"/>
  <c r="G3679" i="1"/>
  <c r="E3679" i="1"/>
  <c r="C3679" i="1"/>
  <c r="R3678" i="1"/>
  <c r="I3678" i="1"/>
  <c r="G3678" i="1"/>
  <c r="E3678" i="1"/>
  <c r="C3678" i="1"/>
  <c r="R3677" i="1"/>
  <c r="I3677" i="1"/>
  <c r="G3677" i="1"/>
  <c r="E3677" i="1"/>
  <c r="C3677" i="1"/>
  <c r="R3676" i="1"/>
  <c r="I3676" i="1"/>
  <c r="G3676" i="1"/>
  <c r="E3676" i="1"/>
  <c r="C3676" i="1"/>
  <c r="R3675" i="1"/>
  <c r="I3675" i="1"/>
  <c r="G3675" i="1"/>
  <c r="E3675" i="1"/>
  <c r="C3675" i="1"/>
  <c r="R3674" i="1"/>
  <c r="I3674" i="1"/>
  <c r="G3674" i="1"/>
  <c r="E3674" i="1"/>
  <c r="C3674" i="1"/>
  <c r="R3673" i="1"/>
  <c r="I3673" i="1"/>
  <c r="G3673" i="1"/>
  <c r="E3673" i="1"/>
  <c r="C3673" i="1"/>
  <c r="R3672" i="1"/>
  <c r="I3672" i="1"/>
  <c r="G3672" i="1"/>
  <c r="E3672" i="1"/>
  <c r="C3672" i="1"/>
  <c r="R3671" i="1"/>
  <c r="I3671" i="1"/>
  <c r="G3671" i="1"/>
  <c r="E3671" i="1"/>
  <c r="C3671" i="1"/>
  <c r="R3670" i="1"/>
  <c r="I3670" i="1"/>
  <c r="G3670" i="1"/>
  <c r="E3670" i="1"/>
  <c r="C3670" i="1"/>
  <c r="R3669" i="1"/>
  <c r="I3669" i="1"/>
  <c r="G3669" i="1"/>
  <c r="E3669" i="1"/>
  <c r="C3669" i="1"/>
  <c r="R3668" i="1"/>
  <c r="I3668" i="1"/>
  <c r="G3668" i="1"/>
  <c r="E3668" i="1"/>
  <c r="C3668" i="1"/>
  <c r="R3667" i="1"/>
  <c r="I3667" i="1"/>
  <c r="G3667" i="1"/>
  <c r="E3667" i="1"/>
  <c r="C3667" i="1"/>
  <c r="R3666" i="1"/>
  <c r="I3666" i="1"/>
  <c r="G3666" i="1"/>
  <c r="E3666" i="1"/>
  <c r="C3666" i="1"/>
  <c r="R3665" i="1"/>
  <c r="I3665" i="1"/>
  <c r="G3665" i="1"/>
  <c r="E3665" i="1"/>
  <c r="C3665" i="1"/>
  <c r="R3664" i="1"/>
  <c r="I3664" i="1"/>
  <c r="G3664" i="1"/>
  <c r="E3664" i="1"/>
  <c r="C3664" i="1"/>
  <c r="R3663" i="1"/>
  <c r="I3663" i="1"/>
  <c r="G3663" i="1"/>
  <c r="E3663" i="1"/>
  <c r="C3663" i="1"/>
  <c r="R3662" i="1"/>
  <c r="I3662" i="1"/>
  <c r="G3662" i="1"/>
  <c r="E3662" i="1"/>
  <c r="C3662" i="1"/>
  <c r="R3661" i="1"/>
  <c r="I3661" i="1"/>
  <c r="G3661" i="1"/>
  <c r="E3661" i="1"/>
  <c r="C3661" i="1"/>
  <c r="R3660" i="1"/>
  <c r="I3660" i="1"/>
  <c r="G3660" i="1"/>
  <c r="E3660" i="1"/>
  <c r="C3660" i="1"/>
  <c r="R3659" i="1"/>
  <c r="I3659" i="1"/>
  <c r="G3659" i="1"/>
  <c r="E3659" i="1"/>
  <c r="C3659" i="1"/>
  <c r="R3658" i="1"/>
  <c r="I3658" i="1"/>
  <c r="G3658" i="1"/>
  <c r="E3658" i="1"/>
  <c r="C3658" i="1"/>
  <c r="R3657" i="1"/>
  <c r="I3657" i="1"/>
  <c r="G3657" i="1"/>
  <c r="E3657" i="1"/>
  <c r="C3657" i="1"/>
  <c r="R3656" i="1"/>
  <c r="I3656" i="1"/>
  <c r="G3656" i="1"/>
  <c r="E3656" i="1"/>
  <c r="C3656" i="1"/>
  <c r="R3655" i="1"/>
  <c r="I3655" i="1"/>
  <c r="G3655" i="1"/>
  <c r="E3655" i="1"/>
  <c r="C3655" i="1"/>
  <c r="R3654" i="1"/>
  <c r="I3654" i="1"/>
  <c r="G3654" i="1"/>
  <c r="E3654" i="1"/>
  <c r="C3654" i="1"/>
  <c r="R3653" i="1"/>
  <c r="I3653" i="1"/>
  <c r="G3653" i="1"/>
  <c r="E3653" i="1"/>
  <c r="C3653" i="1"/>
  <c r="R3652" i="1"/>
  <c r="I3652" i="1"/>
  <c r="G3652" i="1"/>
  <c r="E3652" i="1"/>
  <c r="C3652" i="1"/>
  <c r="R3651" i="1"/>
  <c r="I3651" i="1"/>
  <c r="G3651" i="1"/>
  <c r="E3651" i="1"/>
  <c r="C3651" i="1"/>
  <c r="R3650" i="1"/>
  <c r="I3650" i="1"/>
  <c r="G3650" i="1"/>
  <c r="E3650" i="1"/>
  <c r="C3650" i="1"/>
  <c r="R3649" i="1"/>
  <c r="I3649" i="1"/>
  <c r="G3649" i="1"/>
  <c r="E3649" i="1"/>
  <c r="C3649" i="1"/>
  <c r="R3648" i="1"/>
  <c r="I3648" i="1"/>
  <c r="G3648" i="1"/>
  <c r="E3648" i="1"/>
  <c r="C3648" i="1"/>
  <c r="R3647" i="1"/>
  <c r="I3647" i="1"/>
  <c r="G3647" i="1"/>
  <c r="E3647" i="1"/>
  <c r="C3647" i="1"/>
  <c r="R3646" i="1"/>
  <c r="I3646" i="1"/>
  <c r="G3646" i="1"/>
  <c r="E3646" i="1"/>
  <c r="C3646" i="1"/>
  <c r="R3645" i="1"/>
  <c r="I3645" i="1"/>
  <c r="G3645" i="1"/>
  <c r="E3645" i="1"/>
  <c r="C3645" i="1"/>
  <c r="R3644" i="1"/>
  <c r="I3644" i="1"/>
  <c r="G3644" i="1"/>
  <c r="E3644" i="1"/>
  <c r="C3644" i="1"/>
  <c r="R3643" i="1"/>
  <c r="I3643" i="1"/>
  <c r="G3643" i="1"/>
  <c r="E3643" i="1"/>
  <c r="C3643" i="1"/>
  <c r="R3642" i="1"/>
  <c r="I3642" i="1"/>
  <c r="G3642" i="1"/>
  <c r="E3642" i="1"/>
  <c r="C3642" i="1"/>
  <c r="R3641" i="1"/>
  <c r="I3641" i="1"/>
  <c r="G3641" i="1"/>
  <c r="E3641" i="1"/>
  <c r="C3641" i="1"/>
  <c r="R3640" i="1"/>
  <c r="I3640" i="1"/>
  <c r="G3640" i="1"/>
  <c r="E3640" i="1"/>
  <c r="C3640" i="1"/>
  <c r="R3639" i="1"/>
  <c r="I3639" i="1"/>
  <c r="G3639" i="1"/>
  <c r="E3639" i="1"/>
  <c r="C3639" i="1"/>
  <c r="R3638" i="1"/>
  <c r="I3638" i="1"/>
  <c r="G3638" i="1"/>
  <c r="E3638" i="1"/>
  <c r="C3638" i="1"/>
  <c r="R3637" i="1"/>
  <c r="I3637" i="1"/>
  <c r="G3637" i="1"/>
  <c r="E3637" i="1"/>
  <c r="C3637" i="1"/>
  <c r="R3636" i="1"/>
  <c r="I3636" i="1"/>
  <c r="G3636" i="1"/>
  <c r="E3636" i="1"/>
  <c r="C3636" i="1"/>
  <c r="R3635" i="1"/>
  <c r="I3635" i="1"/>
  <c r="G3635" i="1"/>
  <c r="E3635" i="1"/>
  <c r="C3635" i="1"/>
  <c r="R3634" i="1"/>
  <c r="I3634" i="1"/>
  <c r="G3634" i="1"/>
  <c r="E3634" i="1"/>
  <c r="C3634" i="1"/>
  <c r="R3633" i="1"/>
  <c r="I3633" i="1"/>
  <c r="G3633" i="1"/>
  <c r="E3633" i="1"/>
  <c r="C3633" i="1"/>
  <c r="R3632" i="1"/>
  <c r="I3632" i="1"/>
  <c r="G3632" i="1"/>
  <c r="E3632" i="1"/>
  <c r="C3632" i="1"/>
  <c r="R3631" i="1"/>
  <c r="I3631" i="1"/>
  <c r="G3631" i="1"/>
  <c r="E3631" i="1"/>
  <c r="C3631" i="1"/>
  <c r="R3630" i="1"/>
  <c r="I3630" i="1"/>
  <c r="G3630" i="1"/>
  <c r="E3630" i="1"/>
  <c r="C3630" i="1"/>
  <c r="R3629" i="1"/>
  <c r="I3629" i="1"/>
  <c r="G3629" i="1"/>
  <c r="E3629" i="1"/>
  <c r="C3629" i="1"/>
  <c r="R3628" i="1"/>
  <c r="I3628" i="1"/>
  <c r="G3628" i="1"/>
  <c r="E3628" i="1"/>
  <c r="C3628" i="1"/>
  <c r="R3627" i="1"/>
  <c r="I3627" i="1"/>
  <c r="G3627" i="1"/>
  <c r="E3627" i="1"/>
  <c r="C3627" i="1"/>
  <c r="R3626" i="1"/>
  <c r="I3626" i="1"/>
  <c r="G3626" i="1"/>
  <c r="E3626" i="1"/>
  <c r="C3626" i="1"/>
  <c r="R3625" i="1"/>
  <c r="I3625" i="1"/>
  <c r="G3625" i="1"/>
  <c r="E3625" i="1"/>
  <c r="C3625" i="1"/>
  <c r="R3624" i="1"/>
  <c r="I3624" i="1"/>
  <c r="G3624" i="1"/>
  <c r="E3624" i="1"/>
  <c r="C3624" i="1"/>
  <c r="R3623" i="1"/>
  <c r="I3623" i="1"/>
  <c r="G3623" i="1"/>
  <c r="E3623" i="1"/>
  <c r="C3623" i="1"/>
  <c r="R3622" i="1"/>
  <c r="I3622" i="1"/>
  <c r="G3622" i="1"/>
  <c r="E3622" i="1"/>
  <c r="C3622" i="1"/>
  <c r="R3621" i="1"/>
  <c r="I3621" i="1"/>
  <c r="G3621" i="1"/>
  <c r="E3621" i="1"/>
  <c r="C3621" i="1"/>
  <c r="R3620" i="1"/>
  <c r="I3620" i="1"/>
  <c r="G3620" i="1"/>
  <c r="E3620" i="1"/>
  <c r="C3620" i="1"/>
  <c r="R3619" i="1"/>
  <c r="I3619" i="1"/>
  <c r="G3619" i="1"/>
  <c r="E3619" i="1"/>
  <c r="C3619" i="1"/>
  <c r="R3618" i="1"/>
  <c r="I3618" i="1"/>
  <c r="G3618" i="1"/>
  <c r="E3618" i="1"/>
  <c r="C3618" i="1"/>
  <c r="R3617" i="1"/>
  <c r="I3617" i="1"/>
  <c r="G3617" i="1"/>
  <c r="E3617" i="1"/>
  <c r="C3617" i="1"/>
  <c r="R3616" i="1"/>
  <c r="I3616" i="1"/>
  <c r="G3616" i="1"/>
  <c r="E3616" i="1"/>
  <c r="C3616" i="1"/>
  <c r="R3615" i="1"/>
  <c r="I3615" i="1"/>
  <c r="G3615" i="1"/>
  <c r="E3615" i="1"/>
  <c r="C3615" i="1"/>
  <c r="R3614" i="1"/>
  <c r="I3614" i="1"/>
  <c r="G3614" i="1"/>
  <c r="E3614" i="1"/>
  <c r="C3614" i="1"/>
  <c r="R3613" i="1"/>
  <c r="I3613" i="1"/>
  <c r="G3613" i="1"/>
  <c r="E3613" i="1"/>
  <c r="C3613" i="1"/>
  <c r="R3612" i="1"/>
  <c r="I3612" i="1"/>
  <c r="G3612" i="1"/>
  <c r="E3612" i="1"/>
  <c r="C3612" i="1"/>
  <c r="R3611" i="1"/>
  <c r="I3611" i="1"/>
  <c r="G3611" i="1"/>
  <c r="E3611" i="1"/>
  <c r="C3611" i="1"/>
  <c r="R3610" i="1"/>
  <c r="I3610" i="1"/>
  <c r="G3610" i="1"/>
  <c r="E3610" i="1"/>
  <c r="C3610" i="1"/>
  <c r="R3609" i="1"/>
  <c r="I3609" i="1"/>
  <c r="G3609" i="1"/>
  <c r="E3609" i="1"/>
  <c r="C3609" i="1"/>
  <c r="R3608" i="1"/>
  <c r="I3608" i="1"/>
  <c r="G3608" i="1"/>
  <c r="E3608" i="1"/>
  <c r="C3608" i="1"/>
  <c r="R3607" i="1"/>
  <c r="I3607" i="1"/>
  <c r="G3607" i="1"/>
  <c r="E3607" i="1"/>
  <c r="C3607" i="1"/>
  <c r="R3606" i="1"/>
  <c r="I3606" i="1"/>
  <c r="G3606" i="1"/>
  <c r="E3606" i="1"/>
  <c r="C3606" i="1"/>
  <c r="R3605" i="1"/>
  <c r="I3605" i="1"/>
  <c r="G3605" i="1"/>
  <c r="E3605" i="1"/>
  <c r="C3605" i="1"/>
  <c r="R3604" i="1"/>
  <c r="I3604" i="1"/>
  <c r="G3604" i="1"/>
  <c r="E3604" i="1"/>
  <c r="C3604" i="1"/>
  <c r="R3603" i="1"/>
  <c r="I3603" i="1"/>
  <c r="G3603" i="1"/>
  <c r="E3603" i="1"/>
  <c r="C3603" i="1"/>
  <c r="R3602" i="1"/>
  <c r="I3602" i="1"/>
  <c r="G3602" i="1"/>
  <c r="E3602" i="1"/>
  <c r="C3602" i="1"/>
  <c r="R3601" i="1"/>
  <c r="I3601" i="1"/>
  <c r="G3601" i="1"/>
  <c r="E3601" i="1"/>
  <c r="C3601" i="1"/>
  <c r="R3600" i="1"/>
  <c r="I3600" i="1"/>
  <c r="G3600" i="1"/>
  <c r="E3600" i="1"/>
  <c r="C3600" i="1"/>
  <c r="R3599" i="1"/>
  <c r="I3599" i="1"/>
  <c r="G3599" i="1"/>
  <c r="E3599" i="1"/>
  <c r="C3599" i="1"/>
  <c r="R3598" i="1"/>
  <c r="I3598" i="1"/>
  <c r="G3598" i="1"/>
  <c r="E3598" i="1"/>
  <c r="C3598" i="1"/>
  <c r="R3597" i="1"/>
  <c r="I3597" i="1"/>
  <c r="G3597" i="1"/>
  <c r="E3597" i="1"/>
  <c r="C3597" i="1"/>
  <c r="R3596" i="1"/>
  <c r="I3596" i="1"/>
  <c r="G3596" i="1"/>
  <c r="E3596" i="1"/>
  <c r="C3596" i="1"/>
  <c r="R3595" i="1"/>
  <c r="I3595" i="1"/>
  <c r="G3595" i="1"/>
  <c r="E3595" i="1"/>
  <c r="C3595" i="1"/>
  <c r="R3594" i="1"/>
  <c r="I3594" i="1"/>
  <c r="G3594" i="1"/>
  <c r="E3594" i="1"/>
  <c r="C3594" i="1"/>
  <c r="R3593" i="1"/>
  <c r="I3593" i="1"/>
  <c r="G3593" i="1"/>
  <c r="E3593" i="1"/>
  <c r="C3593" i="1"/>
  <c r="R3592" i="1"/>
  <c r="I3592" i="1"/>
  <c r="G3592" i="1"/>
  <c r="E3592" i="1"/>
  <c r="C3592" i="1"/>
  <c r="R3591" i="1"/>
  <c r="I3591" i="1"/>
  <c r="G3591" i="1"/>
  <c r="E3591" i="1"/>
  <c r="C3591" i="1"/>
  <c r="R3590" i="1"/>
  <c r="I3590" i="1"/>
  <c r="G3590" i="1"/>
  <c r="E3590" i="1"/>
  <c r="C3590" i="1"/>
  <c r="R3589" i="1"/>
  <c r="I3589" i="1"/>
  <c r="G3589" i="1"/>
  <c r="E3589" i="1"/>
  <c r="C3589" i="1"/>
  <c r="R3588" i="1"/>
  <c r="I3588" i="1"/>
  <c r="G3588" i="1"/>
  <c r="E3588" i="1"/>
  <c r="C3588" i="1"/>
  <c r="R3587" i="1"/>
  <c r="I3587" i="1"/>
  <c r="G3587" i="1"/>
  <c r="E3587" i="1"/>
  <c r="C3587" i="1"/>
  <c r="R3586" i="1"/>
  <c r="I3586" i="1"/>
  <c r="G3586" i="1"/>
  <c r="E3586" i="1"/>
  <c r="C3586" i="1"/>
  <c r="R3585" i="1"/>
  <c r="I3585" i="1"/>
  <c r="G3585" i="1"/>
  <c r="E3585" i="1"/>
  <c r="C3585" i="1"/>
  <c r="R3584" i="1"/>
  <c r="I3584" i="1"/>
  <c r="G3584" i="1"/>
  <c r="E3584" i="1"/>
  <c r="C3584" i="1"/>
  <c r="R3583" i="1"/>
  <c r="I3583" i="1"/>
  <c r="G3583" i="1"/>
  <c r="E3583" i="1"/>
  <c r="C3583" i="1"/>
  <c r="R3582" i="1"/>
  <c r="I3582" i="1"/>
  <c r="G3582" i="1"/>
  <c r="E3582" i="1"/>
  <c r="C3582" i="1"/>
  <c r="R3581" i="1"/>
  <c r="I3581" i="1"/>
  <c r="G3581" i="1"/>
  <c r="E3581" i="1"/>
  <c r="C3581" i="1"/>
  <c r="R3580" i="1"/>
  <c r="I3580" i="1"/>
  <c r="G3580" i="1"/>
  <c r="E3580" i="1"/>
  <c r="C3580" i="1"/>
  <c r="R3579" i="1"/>
  <c r="I3579" i="1"/>
  <c r="G3579" i="1"/>
  <c r="E3579" i="1"/>
  <c r="C3579" i="1"/>
  <c r="R3578" i="1"/>
  <c r="I3578" i="1"/>
  <c r="G3578" i="1"/>
  <c r="E3578" i="1"/>
  <c r="C3578" i="1"/>
  <c r="R3577" i="1"/>
  <c r="I3577" i="1"/>
  <c r="G3577" i="1"/>
  <c r="E3577" i="1"/>
  <c r="C3577" i="1"/>
  <c r="R3576" i="1"/>
  <c r="I3576" i="1"/>
  <c r="G3576" i="1"/>
  <c r="E3576" i="1"/>
  <c r="C3576" i="1"/>
  <c r="R3575" i="1"/>
  <c r="I3575" i="1"/>
  <c r="G3575" i="1"/>
  <c r="E3575" i="1"/>
  <c r="C3575" i="1"/>
  <c r="R3574" i="1"/>
  <c r="I3574" i="1"/>
  <c r="G3574" i="1"/>
  <c r="E3574" i="1"/>
  <c r="C3574" i="1"/>
  <c r="R3573" i="1"/>
  <c r="I3573" i="1"/>
  <c r="G3573" i="1"/>
  <c r="E3573" i="1"/>
  <c r="C3573" i="1"/>
  <c r="R3572" i="1"/>
  <c r="I3572" i="1"/>
  <c r="G3572" i="1"/>
  <c r="E3572" i="1"/>
  <c r="C3572" i="1"/>
  <c r="R3571" i="1"/>
  <c r="I3571" i="1"/>
  <c r="G3571" i="1"/>
  <c r="E3571" i="1"/>
  <c r="C3571" i="1"/>
  <c r="R3570" i="1"/>
  <c r="I3570" i="1"/>
  <c r="G3570" i="1"/>
  <c r="E3570" i="1"/>
  <c r="C3570" i="1"/>
  <c r="R3569" i="1"/>
  <c r="I3569" i="1"/>
  <c r="G3569" i="1"/>
  <c r="E3569" i="1"/>
  <c r="C3569" i="1"/>
  <c r="R3568" i="1"/>
  <c r="I3568" i="1"/>
  <c r="G3568" i="1"/>
  <c r="E3568" i="1"/>
  <c r="C3568" i="1"/>
  <c r="R3567" i="1"/>
  <c r="I3567" i="1"/>
  <c r="G3567" i="1"/>
  <c r="E3567" i="1"/>
  <c r="C3567" i="1"/>
  <c r="R3566" i="1"/>
  <c r="I3566" i="1"/>
  <c r="G3566" i="1"/>
  <c r="E3566" i="1"/>
  <c r="C3566" i="1"/>
  <c r="R3565" i="1"/>
  <c r="I3565" i="1"/>
  <c r="G3565" i="1"/>
  <c r="E3565" i="1"/>
  <c r="C3565" i="1"/>
  <c r="R3564" i="1"/>
  <c r="I3564" i="1"/>
  <c r="G3564" i="1"/>
  <c r="E3564" i="1"/>
  <c r="C3564" i="1"/>
  <c r="R3563" i="1"/>
  <c r="I3563" i="1"/>
  <c r="G3563" i="1"/>
  <c r="E3563" i="1"/>
  <c r="C3563" i="1"/>
  <c r="R3562" i="1"/>
  <c r="I3562" i="1"/>
  <c r="G3562" i="1"/>
  <c r="E3562" i="1"/>
  <c r="C3562" i="1"/>
  <c r="R3561" i="1"/>
  <c r="I3561" i="1"/>
  <c r="G3561" i="1"/>
  <c r="E3561" i="1"/>
  <c r="C3561" i="1"/>
  <c r="R3560" i="1"/>
  <c r="I3560" i="1"/>
  <c r="G3560" i="1"/>
  <c r="E3560" i="1"/>
  <c r="C3560" i="1"/>
  <c r="R3559" i="1"/>
  <c r="I3559" i="1"/>
  <c r="G3559" i="1"/>
  <c r="E3559" i="1"/>
  <c r="C3559" i="1"/>
  <c r="R3558" i="1"/>
  <c r="I3558" i="1"/>
  <c r="G3558" i="1"/>
  <c r="E3558" i="1"/>
  <c r="C3558" i="1"/>
  <c r="R3557" i="1"/>
  <c r="I3557" i="1"/>
  <c r="G3557" i="1"/>
  <c r="E3557" i="1"/>
  <c r="C3557" i="1"/>
  <c r="R3556" i="1"/>
  <c r="I3556" i="1"/>
  <c r="G3556" i="1"/>
  <c r="E3556" i="1"/>
  <c r="C3556" i="1"/>
  <c r="R3555" i="1"/>
  <c r="I3555" i="1"/>
  <c r="G3555" i="1"/>
  <c r="E3555" i="1"/>
  <c r="C3555" i="1"/>
  <c r="R3554" i="1"/>
  <c r="I3554" i="1"/>
  <c r="G3554" i="1"/>
  <c r="E3554" i="1"/>
  <c r="C3554" i="1"/>
  <c r="R3553" i="1"/>
  <c r="I3553" i="1"/>
  <c r="G3553" i="1"/>
  <c r="E3553" i="1"/>
  <c r="C3553" i="1"/>
  <c r="R3552" i="1"/>
  <c r="I3552" i="1"/>
  <c r="G3552" i="1"/>
  <c r="E3552" i="1"/>
  <c r="C3552" i="1"/>
  <c r="R3551" i="1"/>
  <c r="I3551" i="1"/>
  <c r="G3551" i="1"/>
  <c r="E3551" i="1"/>
  <c r="C3551" i="1"/>
  <c r="R3550" i="1"/>
  <c r="I3550" i="1"/>
  <c r="G3550" i="1"/>
  <c r="E3550" i="1"/>
  <c r="C3550" i="1"/>
  <c r="R3549" i="1"/>
  <c r="I3549" i="1"/>
  <c r="G3549" i="1"/>
  <c r="E3549" i="1"/>
  <c r="C3549" i="1"/>
  <c r="R3548" i="1"/>
  <c r="I3548" i="1"/>
  <c r="G3548" i="1"/>
  <c r="E3548" i="1"/>
  <c r="C3548" i="1"/>
  <c r="R3547" i="1"/>
  <c r="I3547" i="1"/>
  <c r="G3547" i="1"/>
  <c r="E3547" i="1"/>
  <c r="C3547" i="1"/>
  <c r="R3546" i="1"/>
  <c r="I3546" i="1"/>
  <c r="G3546" i="1"/>
  <c r="E3546" i="1"/>
  <c r="C3546" i="1"/>
  <c r="R3545" i="1"/>
  <c r="I3545" i="1"/>
  <c r="G3545" i="1"/>
  <c r="E3545" i="1"/>
  <c r="C3545" i="1"/>
  <c r="R3544" i="1"/>
  <c r="I3544" i="1"/>
  <c r="G3544" i="1"/>
  <c r="E3544" i="1"/>
  <c r="C3544" i="1"/>
  <c r="R3543" i="1"/>
  <c r="I3543" i="1"/>
  <c r="G3543" i="1"/>
  <c r="E3543" i="1"/>
  <c r="C3543" i="1"/>
  <c r="R3542" i="1"/>
  <c r="I3542" i="1"/>
  <c r="G3542" i="1"/>
  <c r="E3542" i="1"/>
  <c r="C3542" i="1"/>
  <c r="R3541" i="1"/>
  <c r="I3541" i="1"/>
  <c r="G3541" i="1"/>
  <c r="E3541" i="1"/>
  <c r="C3541" i="1"/>
  <c r="R3540" i="1"/>
  <c r="I3540" i="1"/>
  <c r="G3540" i="1"/>
  <c r="E3540" i="1"/>
  <c r="C3540" i="1"/>
  <c r="R3539" i="1"/>
  <c r="I3539" i="1"/>
  <c r="G3539" i="1"/>
  <c r="E3539" i="1"/>
  <c r="C3539" i="1"/>
  <c r="R3538" i="1"/>
  <c r="I3538" i="1"/>
  <c r="G3538" i="1"/>
  <c r="E3538" i="1"/>
  <c r="C3538" i="1"/>
  <c r="R3537" i="1"/>
  <c r="I3537" i="1"/>
  <c r="G3537" i="1"/>
  <c r="E3537" i="1"/>
  <c r="C3537" i="1"/>
  <c r="R3536" i="1"/>
  <c r="I3536" i="1"/>
  <c r="G3536" i="1"/>
  <c r="E3536" i="1"/>
  <c r="C3536" i="1"/>
  <c r="R3535" i="1"/>
  <c r="I3535" i="1"/>
  <c r="G3535" i="1"/>
  <c r="E3535" i="1"/>
  <c r="C3535" i="1"/>
  <c r="R3534" i="1"/>
  <c r="I3534" i="1"/>
  <c r="G3534" i="1"/>
  <c r="E3534" i="1"/>
  <c r="C3534" i="1"/>
  <c r="R3533" i="1"/>
  <c r="I3533" i="1"/>
  <c r="G3533" i="1"/>
  <c r="E3533" i="1"/>
  <c r="C3533" i="1"/>
  <c r="R3532" i="1"/>
  <c r="I3532" i="1"/>
  <c r="G3532" i="1"/>
  <c r="E3532" i="1"/>
  <c r="C3532" i="1"/>
  <c r="R3531" i="1"/>
  <c r="I3531" i="1"/>
  <c r="G3531" i="1"/>
  <c r="E3531" i="1"/>
  <c r="C3531" i="1"/>
  <c r="R3530" i="1"/>
  <c r="I3530" i="1"/>
  <c r="G3530" i="1"/>
  <c r="E3530" i="1"/>
  <c r="C3530" i="1"/>
  <c r="R3529" i="1"/>
  <c r="I3529" i="1"/>
  <c r="G3529" i="1"/>
  <c r="E3529" i="1"/>
  <c r="C3529" i="1"/>
  <c r="R3528" i="1"/>
  <c r="I3528" i="1"/>
  <c r="G3528" i="1"/>
  <c r="E3528" i="1"/>
  <c r="C3528" i="1"/>
  <c r="R3527" i="1"/>
  <c r="I3527" i="1"/>
  <c r="G3527" i="1"/>
  <c r="E3527" i="1"/>
  <c r="C3527" i="1"/>
  <c r="R3526" i="1"/>
  <c r="I3526" i="1"/>
  <c r="G3526" i="1"/>
  <c r="E3526" i="1"/>
  <c r="C3526" i="1"/>
  <c r="R3525" i="1"/>
  <c r="I3525" i="1"/>
  <c r="G3525" i="1"/>
  <c r="E3525" i="1"/>
  <c r="C3525" i="1"/>
  <c r="R3524" i="1"/>
  <c r="I3524" i="1"/>
  <c r="G3524" i="1"/>
  <c r="E3524" i="1"/>
  <c r="C3524" i="1"/>
  <c r="R3523" i="1"/>
  <c r="I3523" i="1"/>
  <c r="G3523" i="1"/>
  <c r="E3523" i="1"/>
  <c r="C3523" i="1"/>
  <c r="R3522" i="1"/>
  <c r="I3522" i="1"/>
  <c r="G3522" i="1"/>
  <c r="E3522" i="1"/>
  <c r="C3522" i="1"/>
  <c r="R3521" i="1"/>
  <c r="I3521" i="1"/>
  <c r="G3521" i="1"/>
  <c r="E3521" i="1"/>
  <c r="C3521" i="1"/>
  <c r="R3520" i="1"/>
  <c r="I3520" i="1"/>
  <c r="G3520" i="1"/>
  <c r="E3520" i="1"/>
  <c r="C3520" i="1"/>
  <c r="R3519" i="1"/>
  <c r="I3519" i="1"/>
  <c r="G3519" i="1"/>
  <c r="E3519" i="1"/>
  <c r="C3519" i="1"/>
  <c r="R3518" i="1"/>
  <c r="I3518" i="1"/>
  <c r="G3518" i="1"/>
  <c r="E3518" i="1"/>
  <c r="C3518" i="1"/>
  <c r="R3517" i="1"/>
  <c r="I3517" i="1"/>
  <c r="G3517" i="1"/>
  <c r="E3517" i="1"/>
  <c r="C3517" i="1"/>
  <c r="R3516" i="1"/>
  <c r="I3516" i="1"/>
  <c r="G3516" i="1"/>
  <c r="E3516" i="1"/>
  <c r="C3516" i="1"/>
  <c r="R3515" i="1"/>
  <c r="I3515" i="1"/>
  <c r="G3515" i="1"/>
  <c r="E3515" i="1"/>
  <c r="C3515" i="1"/>
  <c r="R3514" i="1"/>
  <c r="I3514" i="1"/>
  <c r="G3514" i="1"/>
  <c r="E3514" i="1"/>
  <c r="C3514" i="1"/>
  <c r="R3513" i="1"/>
  <c r="I3513" i="1"/>
  <c r="G3513" i="1"/>
  <c r="E3513" i="1"/>
  <c r="C3513" i="1"/>
  <c r="R3512" i="1"/>
  <c r="I3512" i="1"/>
  <c r="G3512" i="1"/>
  <c r="E3512" i="1"/>
  <c r="C3512" i="1"/>
  <c r="R3511" i="1"/>
  <c r="I3511" i="1"/>
  <c r="G3511" i="1"/>
  <c r="E3511" i="1"/>
  <c r="C3511" i="1"/>
  <c r="R3510" i="1"/>
  <c r="I3510" i="1"/>
  <c r="G3510" i="1"/>
  <c r="E3510" i="1"/>
  <c r="C3510" i="1"/>
  <c r="R3509" i="1"/>
  <c r="I3509" i="1"/>
  <c r="G3509" i="1"/>
  <c r="E3509" i="1"/>
  <c r="C3509" i="1"/>
  <c r="R3508" i="1"/>
  <c r="I3508" i="1"/>
  <c r="G3508" i="1"/>
  <c r="E3508" i="1"/>
  <c r="C3508" i="1"/>
  <c r="R3507" i="1"/>
  <c r="I3507" i="1"/>
  <c r="G3507" i="1"/>
  <c r="E3507" i="1"/>
  <c r="C3507" i="1"/>
  <c r="R3506" i="1"/>
  <c r="I3506" i="1"/>
  <c r="G3506" i="1"/>
  <c r="E3506" i="1"/>
  <c r="C3506" i="1"/>
  <c r="R3505" i="1"/>
  <c r="I3505" i="1"/>
  <c r="G3505" i="1"/>
  <c r="E3505" i="1"/>
  <c r="C3505" i="1"/>
  <c r="R3504" i="1"/>
  <c r="I3504" i="1"/>
  <c r="G3504" i="1"/>
  <c r="E3504" i="1"/>
  <c r="C3504" i="1"/>
  <c r="R3503" i="1"/>
  <c r="I3503" i="1"/>
  <c r="G3503" i="1"/>
  <c r="E3503" i="1"/>
  <c r="C3503" i="1"/>
  <c r="R3502" i="1"/>
  <c r="I3502" i="1"/>
  <c r="G3502" i="1"/>
  <c r="E3502" i="1"/>
  <c r="C3502" i="1"/>
  <c r="R3501" i="1"/>
  <c r="I3501" i="1"/>
  <c r="G3501" i="1"/>
  <c r="E3501" i="1"/>
  <c r="C3501" i="1"/>
  <c r="R3500" i="1"/>
  <c r="I3500" i="1"/>
  <c r="G3500" i="1"/>
  <c r="E3500" i="1"/>
  <c r="C3500" i="1"/>
  <c r="R3499" i="1"/>
  <c r="I3499" i="1"/>
  <c r="G3499" i="1"/>
  <c r="E3499" i="1"/>
  <c r="C3499" i="1"/>
  <c r="R3498" i="1"/>
  <c r="I3498" i="1"/>
  <c r="G3498" i="1"/>
  <c r="E3498" i="1"/>
  <c r="C3498" i="1"/>
  <c r="R3497" i="1"/>
  <c r="I3497" i="1"/>
  <c r="G3497" i="1"/>
  <c r="E3497" i="1"/>
  <c r="C3497" i="1"/>
  <c r="R3496" i="1"/>
  <c r="I3496" i="1"/>
  <c r="G3496" i="1"/>
  <c r="E3496" i="1"/>
  <c r="C3496" i="1"/>
  <c r="R3495" i="1"/>
  <c r="I3495" i="1"/>
  <c r="G3495" i="1"/>
  <c r="E3495" i="1"/>
  <c r="C3495" i="1"/>
  <c r="R3494" i="1"/>
  <c r="I3494" i="1"/>
  <c r="G3494" i="1"/>
  <c r="E3494" i="1"/>
  <c r="C3494" i="1"/>
  <c r="R3493" i="1"/>
  <c r="I3493" i="1"/>
  <c r="G3493" i="1"/>
  <c r="E3493" i="1"/>
  <c r="C3493" i="1"/>
  <c r="R3492" i="1"/>
  <c r="I3492" i="1"/>
  <c r="G3492" i="1"/>
  <c r="E3492" i="1"/>
  <c r="C3492" i="1"/>
  <c r="R3491" i="1"/>
  <c r="I3491" i="1"/>
  <c r="G3491" i="1"/>
  <c r="E3491" i="1"/>
  <c r="C3491" i="1"/>
  <c r="R3490" i="1"/>
  <c r="I3490" i="1"/>
  <c r="G3490" i="1"/>
  <c r="E3490" i="1"/>
  <c r="C3490" i="1"/>
  <c r="R3489" i="1"/>
  <c r="I3489" i="1"/>
  <c r="G3489" i="1"/>
  <c r="E3489" i="1"/>
  <c r="C3489" i="1"/>
  <c r="R3488" i="1"/>
  <c r="I3488" i="1"/>
  <c r="G3488" i="1"/>
  <c r="E3488" i="1"/>
  <c r="C3488" i="1"/>
  <c r="R3487" i="1"/>
  <c r="I3487" i="1"/>
  <c r="G3487" i="1"/>
  <c r="E3487" i="1"/>
  <c r="C3487" i="1"/>
  <c r="R3486" i="1"/>
  <c r="I3486" i="1"/>
  <c r="G3486" i="1"/>
  <c r="E3486" i="1"/>
  <c r="C3486" i="1"/>
  <c r="R3485" i="1"/>
  <c r="I3485" i="1"/>
  <c r="G3485" i="1"/>
  <c r="E3485" i="1"/>
  <c r="C3485" i="1"/>
  <c r="R3484" i="1"/>
  <c r="I3484" i="1"/>
  <c r="G3484" i="1"/>
  <c r="E3484" i="1"/>
  <c r="C3484" i="1"/>
  <c r="R3483" i="1"/>
  <c r="I3483" i="1"/>
  <c r="G3483" i="1"/>
  <c r="E3483" i="1"/>
  <c r="C3483" i="1"/>
  <c r="R3482" i="1"/>
  <c r="I3482" i="1"/>
  <c r="G3482" i="1"/>
  <c r="E3482" i="1"/>
  <c r="C3482" i="1"/>
  <c r="R3481" i="1"/>
  <c r="I3481" i="1"/>
  <c r="G3481" i="1"/>
  <c r="E3481" i="1"/>
  <c r="C3481" i="1"/>
  <c r="R3480" i="1"/>
  <c r="I3480" i="1"/>
  <c r="G3480" i="1"/>
  <c r="E3480" i="1"/>
  <c r="C3480" i="1"/>
  <c r="R3479" i="1"/>
  <c r="I3479" i="1"/>
  <c r="G3479" i="1"/>
  <c r="E3479" i="1"/>
  <c r="C3479" i="1"/>
  <c r="R3478" i="1"/>
  <c r="I3478" i="1"/>
  <c r="G3478" i="1"/>
  <c r="E3478" i="1"/>
  <c r="C3478" i="1"/>
  <c r="R3477" i="1"/>
  <c r="I3477" i="1"/>
  <c r="G3477" i="1"/>
  <c r="E3477" i="1"/>
  <c r="C3477" i="1"/>
  <c r="R3476" i="1"/>
  <c r="I3476" i="1"/>
  <c r="G3476" i="1"/>
  <c r="E3476" i="1"/>
  <c r="C3476" i="1"/>
  <c r="R3475" i="1"/>
  <c r="I3475" i="1"/>
  <c r="G3475" i="1"/>
  <c r="E3475" i="1"/>
  <c r="C3475" i="1"/>
  <c r="R3474" i="1"/>
  <c r="I3474" i="1"/>
  <c r="G3474" i="1"/>
  <c r="E3474" i="1"/>
  <c r="C3474" i="1"/>
  <c r="R3473" i="1"/>
  <c r="I3473" i="1"/>
  <c r="G3473" i="1"/>
  <c r="E3473" i="1"/>
  <c r="C3473" i="1"/>
  <c r="R3472" i="1"/>
  <c r="I3472" i="1"/>
  <c r="G3472" i="1"/>
  <c r="E3472" i="1"/>
  <c r="C3472" i="1"/>
  <c r="R3471" i="1"/>
  <c r="I3471" i="1"/>
  <c r="G3471" i="1"/>
  <c r="E3471" i="1"/>
  <c r="C3471" i="1"/>
  <c r="R3470" i="1"/>
  <c r="I3470" i="1"/>
  <c r="G3470" i="1"/>
  <c r="E3470" i="1"/>
  <c r="C3470" i="1"/>
  <c r="R3469" i="1"/>
  <c r="I3469" i="1"/>
  <c r="G3469" i="1"/>
  <c r="E3469" i="1"/>
  <c r="C3469" i="1"/>
  <c r="R3468" i="1"/>
  <c r="I3468" i="1"/>
  <c r="G3468" i="1"/>
  <c r="E3468" i="1"/>
  <c r="C3468" i="1"/>
  <c r="R3467" i="1"/>
  <c r="I3467" i="1"/>
  <c r="G3467" i="1"/>
  <c r="E3467" i="1"/>
  <c r="C3467" i="1"/>
  <c r="R3466" i="1"/>
  <c r="I3466" i="1"/>
  <c r="G3466" i="1"/>
  <c r="E3466" i="1"/>
  <c r="C3466" i="1"/>
  <c r="R3465" i="1"/>
  <c r="I3465" i="1"/>
  <c r="G3465" i="1"/>
  <c r="E3465" i="1"/>
  <c r="C3465" i="1"/>
  <c r="R3464" i="1"/>
  <c r="I3464" i="1"/>
  <c r="G3464" i="1"/>
  <c r="E3464" i="1"/>
  <c r="C3464" i="1"/>
  <c r="R3463" i="1"/>
  <c r="I3463" i="1"/>
  <c r="G3463" i="1"/>
  <c r="E3463" i="1"/>
  <c r="C3463" i="1"/>
  <c r="R3462" i="1"/>
  <c r="I3462" i="1"/>
  <c r="G3462" i="1"/>
  <c r="E3462" i="1"/>
  <c r="C3462" i="1"/>
  <c r="R3461" i="1"/>
  <c r="I3461" i="1"/>
  <c r="G3461" i="1"/>
  <c r="E3461" i="1"/>
  <c r="C3461" i="1"/>
  <c r="R3460" i="1"/>
  <c r="I3460" i="1"/>
  <c r="G3460" i="1"/>
  <c r="E3460" i="1"/>
  <c r="C3460" i="1"/>
  <c r="R3459" i="1"/>
  <c r="I3459" i="1"/>
  <c r="G3459" i="1"/>
  <c r="E3459" i="1"/>
  <c r="C3459" i="1"/>
  <c r="R3458" i="1"/>
  <c r="I3458" i="1"/>
  <c r="G3458" i="1"/>
  <c r="E3458" i="1"/>
  <c r="C3458" i="1"/>
  <c r="R3457" i="1"/>
  <c r="I3457" i="1"/>
  <c r="G3457" i="1"/>
  <c r="E3457" i="1"/>
  <c r="C3457" i="1"/>
  <c r="R3456" i="1"/>
  <c r="I3456" i="1"/>
  <c r="G3456" i="1"/>
  <c r="E3456" i="1"/>
  <c r="C3456" i="1"/>
  <c r="R3455" i="1"/>
  <c r="I3455" i="1"/>
  <c r="G3455" i="1"/>
  <c r="E3455" i="1"/>
  <c r="C3455" i="1"/>
  <c r="R3454" i="1"/>
  <c r="I3454" i="1"/>
  <c r="G3454" i="1"/>
  <c r="E3454" i="1"/>
  <c r="C3454" i="1"/>
  <c r="R3453" i="1"/>
  <c r="I3453" i="1"/>
  <c r="G3453" i="1"/>
  <c r="E3453" i="1"/>
  <c r="C3453" i="1"/>
  <c r="R3452" i="1"/>
  <c r="I3452" i="1"/>
  <c r="G3452" i="1"/>
  <c r="E3452" i="1"/>
  <c r="C3452" i="1"/>
  <c r="R3451" i="1"/>
  <c r="I3451" i="1"/>
  <c r="G3451" i="1"/>
  <c r="E3451" i="1"/>
  <c r="C3451" i="1"/>
  <c r="R3450" i="1"/>
  <c r="I3450" i="1"/>
  <c r="G3450" i="1"/>
  <c r="E3450" i="1"/>
  <c r="C3450" i="1"/>
  <c r="R3449" i="1"/>
  <c r="I3449" i="1"/>
  <c r="G3449" i="1"/>
  <c r="E3449" i="1"/>
  <c r="C3449" i="1"/>
  <c r="R3448" i="1"/>
  <c r="I3448" i="1"/>
  <c r="G3448" i="1"/>
  <c r="E3448" i="1"/>
  <c r="C3448" i="1"/>
  <c r="R3447" i="1"/>
  <c r="I3447" i="1"/>
  <c r="G3447" i="1"/>
  <c r="E3447" i="1"/>
  <c r="C3447" i="1"/>
  <c r="R3446" i="1"/>
  <c r="I3446" i="1"/>
  <c r="G3446" i="1"/>
  <c r="E3446" i="1"/>
  <c r="C3446" i="1"/>
  <c r="R3445" i="1"/>
  <c r="I3445" i="1"/>
  <c r="G3445" i="1"/>
  <c r="E3445" i="1"/>
  <c r="C3445" i="1"/>
  <c r="R3444" i="1"/>
  <c r="I3444" i="1"/>
  <c r="G3444" i="1"/>
  <c r="E3444" i="1"/>
  <c r="C3444" i="1"/>
  <c r="R3443" i="1"/>
  <c r="I3443" i="1"/>
  <c r="G3443" i="1"/>
  <c r="E3443" i="1"/>
  <c r="C3443" i="1"/>
  <c r="R3442" i="1"/>
  <c r="I3442" i="1"/>
  <c r="G3442" i="1"/>
  <c r="E3442" i="1"/>
  <c r="C3442" i="1"/>
  <c r="R3441" i="1"/>
  <c r="I3441" i="1"/>
  <c r="G3441" i="1"/>
  <c r="E3441" i="1"/>
  <c r="C3441" i="1"/>
  <c r="R3440" i="1"/>
  <c r="I3440" i="1"/>
  <c r="G3440" i="1"/>
  <c r="E3440" i="1"/>
  <c r="C3440" i="1"/>
  <c r="R3439" i="1"/>
  <c r="I3439" i="1"/>
  <c r="G3439" i="1"/>
  <c r="E3439" i="1"/>
  <c r="C3439" i="1"/>
  <c r="R3438" i="1"/>
  <c r="I3438" i="1"/>
  <c r="G3438" i="1"/>
  <c r="E3438" i="1"/>
  <c r="C3438" i="1"/>
  <c r="R3437" i="1"/>
  <c r="I3437" i="1"/>
  <c r="G3437" i="1"/>
  <c r="E3437" i="1"/>
  <c r="C3437" i="1"/>
  <c r="R3436" i="1"/>
  <c r="I3436" i="1"/>
  <c r="G3436" i="1"/>
  <c r="E3436" i="1"/>
  <c r="C3436" i="1"/>
  <c r="R3435" i="1"/>
  <c r="I3435" i="1"/>
  <c r="G3435" i="1"/>
  <c r="E3435" i="1"/>
  <c r="C3435" i="1"/>
  <c r="R3434" i="1"/>
  <c r="I3434" i="1"/>
  <c r="G3434" i="1"/>
  <c r="E3434" i="1"/>
  <c r="C3434" i="1"/>
  <c r="R3433" i="1"/>
  <c r="I3433" i="1"/>
  <c r="G3433" i="1"/>
  <c r="E3433" i="1"/>
  <c r="C3433" i="1"/>
  <c r="R3432" i="1"/>
  <c r="I3432" i="1"/>
  <c r="G3432" i="1"/>
  <c r="E3432" i="1"/>
  <c r="C3432" i="1"/>
  <c r="R3431" i="1"/>
  <c r="I3431" i="1"/>
  <c r="G3431" i="1"/>
  <c r="E3431" i="1"/>
  <c r="C3431" i="1"/>
  <c r="R3430" i="1"/>
  <c r="I3430" i="1"/>
  <c r="G3430" i="1"/>
  <c r="E3430" i="1"/>
  <c r="C3430" i="1"/>
  <c r="R3429" i="1"/>
  <c r="I3429" i="1"/>
  <c r="G3429" i="1"/>
  <c r="E3429" i="1"/>
  <c r="C3429" i="1"/>
  <c r="R3428" i="1"/>
  <c r="I3428" i="1"/>
  <c r="G3428" i="1"/>
  <c r="E3428" i="1"/>
  <c r="C3428" i="1"/>
  <c r="R3427" i="1"/>
  <c r="I3427" i="1"/>
  <c r="G3427" i="1"/>
  <c r="E3427" i="1"/>
  <c r="C3427" i="1"/>
  <c r="R3426" i="1"/>
  <c r="I3426" i="1"/>
  <c r="G3426" i="1"/>
  <c r="E3426" i="1"/>
  <c r="C3426" i="1"/>
  <c r="R3425" i="1"/>
  <c r="I3425" i="1"/>
  <c r="G3425" i="1"/>
  <c r="E3425" i="1"/>
  <c r="C3425" i="1"/>
  <c r="R3424" i="1"/>
  <c r="I3424" i="1"/>
  <c r="G3424" i="1"/>
  <c r="E3424" i="1"/>
  <c r="C3424" i="1"/>
  <c r="R3423" i="1"/>
  <c r="I3423" i="1"/>
  <c r="G3423" i="1"/>
  <c r="E3423" i="1"/>
  <c r="C3423" i="1"/>
  <c r="R3422" i="1"/>
  <c r="I3422" i="1"/>
  <c r="G3422" i="1"/>
  <c r="E3422" i="1"/>
  <c r="C3422" i="1"/>
  <c r="R3421" i="1"/>
  <c r="I3421" i="1"/>
  <c r="G3421" i="1"/>
  <c r="E3421" i="1"/>
  <c r="C3421" i="1"/>
  <c r="R3420" i="1"/>
  <c r="I3420" i="1"/>
  <c r="G3420" i="1"/>
  <c r="E3420" i="1"/>
  <c r="C3420" i="1"/>
  <c r="R3419" i="1"/>
  <c r="I3419" i="1"/>
  <c r="G3419" i="1"/>
  <c r="E3419" i="1"/>
  <c r="C3419" i="1"/>
  <c r="R3418" i="1"/>
  <c r="I3418" i="1"/>
  <c r="G3418" i="1"/>
  <c r="E3418" i="1"/>
  <c r="C3418" i="1"/>
  <c r="R3417" i="1"/>
  <c r="I3417" i="1"/>
  <c r="G3417" i="1"/>
  <c r="E3417" i="1"/>
  <c r="C3417" i="1"/>
  <c r="R3416" i="1"/>
  <c r="I3416" i="1"/>
  <c r="G3416" i="1"/>
  <c r="E3416" i="1"/>
  <c r="C3416" i="1"/>
  <c r="R3415" i="1"/>
  <c r="I3415" i="1"/>
  <c r="G3415" i="1"/>
  <c r="E3415" i="1"/>
  <c r="C3415" i="1"/>
  <c r="R3414" i="1"/>
  <c r="I3414" i="1"/>
  <c r="G3414" i="1"/>
  <c r="E3414" i="1"/>
  <c r="C3414" i="1"/>
  <c r="R3413" i="1"/>
  <c r="I3413" i="1"/>
  <c r="G3413" i="1"/>
  <c r="E3413" i="1"/>
  <c r="C3413" i="1"/>
  <c r="R3412" i="1"/>
  <c r="I3412" i="1"/>
  <c r="G3412" i="1"/>
  <c r="E3412" i="1"/>
  <c r="C3412" i="1"/>
  <c r="R3411" i="1"/>
  <c r="I3411" i="1"/>
  <c r="G3411" i="1"/>
  <c r="E3411" i="1"/>
  <c r="C3411" i="1"/>
  <c r="R3410" i="1"/>
  <c r="I3410" i="1"/>
  <c r="G3410" i="1"/>
  <c r="E3410" i="1"/>
  <c r="C3410" i="1"/>
  <c r="R3409" i="1"/>
  <c r="I3409" i="1"/>
  <c r="G3409" i="1"/>
  <c r="E3409" i="1"/>
  <c r="C3409" i="1"/>
  <c r="R3408" i="1"/>
  <c r="I3408" i="1"/>
  <c r="G3408" i="1"/>
  <c r="E3408" i="1"/>
  <c r="C3408" i="1"/>
  <c r="R3407" i="1"/>
  <c r="I3407" i="1"/>
  <c r="G3407" i="1"/>
  <c r="E3407" i="1"/>
  <c r="C3407" i="1"/>
  <c r="R3406" i="1"/>
  <c r="I3406" i="1"/>
  <c r="G3406" i="1"/>
  <c r="E3406" i="1"/>
  <c r="C3406" i="1"/>
  <c r="R3405" i="1"/>
  <c r="I3405" i="1"/>
  <c r="G3405" i="1"/>
  <c r="E3405" i="1"/>
  <c r="C3405" i="1"/>
  <c r="R3404" i="1"/>
  <c r="I3404" i="1"/>
  <c r="G3404" i="1"/>
  <c r="E3404" i="1"/>
  <c r="C3404" i="1"/>
  <c r="R3403" i="1"/>
  <c r="I3403" i="1"/>
  <c r="G3403" i="1"/>
  <c r="E3403" i="1"/>
  <c r="C3403" i="1"/>
  <c r="R3402" i="1"/>
  <c r="I3402" i="1"/>
  <c r="G3402" i="1"/>
  <c r="E3402" i="1"/>
  <c r="C3402" i="1"/>
  <c r="R3401" i="1"/>
  <c r="I3401" i="1"/>
  <c r="G3401" i="1"/>
  <c r="E3401" i="1"/>
  <c r="C3401" i="1"/>
  <c r="R3400" i="1"/>
  <c r="I3400" i="1"/>
  <c r="G3400" i="1"/>
  <c r="E3400" i="1"/>
  <c r="C3400" i="1"/>
  <c r="R3399" i="1"/>
  <c r="I3399" i="1"/>
  <c r="G3399" i="1"/>
  <c r="E3399" i="1"/>
  <c r="C3399" i="1"/>
  <c r="R3398" i="1"/>
  <c r="I3398" i="1"/>
  <c r="G3398" i="1"/>
  <c r="E3398" i="1"/>
  <c r="C3398" i="1"/>
  <c r="R3397" i="1"/>
  <c r="I3397" i="1"/>
  <c r="G3397" i="1"/>
  <c r="E3397" i="1"/>
  <c r="C3397" i="1"/>
  <c r="R3396" i="1"/>
  <c r="I3396" i="1"/>
  <c r="G3396" i="1"/>
  <c r="E3396" i="1"/>
  <c r="C3396" i="1"/>
  <c r="R3395" i="1"/>
  <c r="I3395" i="1"/>
  <c r="G3395" i="1"/>
  <c r="E3395" i="1"/>
  <c r="C3395" i="1"/>
  <c r="R3394" i="1"/>
  <c r="I3394" i="1"/>
  <c r="G3394" i="1"/>
  <c r="E3394" i="1"/>
  <c r="C3394" i="1"/>
  <c r="R3393" i="1"/>
  <c r="I3393" i="1"/>
  <c r="G3393" i="1"/>
  <c r="E3393" i="1"/>
  <c r="C3393" i="1"/>
  <c r="R3392" i="1"/>
  <c r="I3392" i="1"/>
  <c r="G3392" i="1"/>
  <c r="E3392" i="1"/>
  <c r="C3392" i="1"/>
  <c r="R3391" i="1"/>
  <c r="I3391" i="1"/>
  <c r="G3391" i="1"/>
  <c r="E3391" i="1"/>
  <c r="C3391" i="1"/>
  <c r="R3390" i="1"/>
  <c r="I3390" i="1"/>
  <c r="G3390" i="1"/>
  <c r="E3390" i="1"/>
  <c r="C3390" i="1"/>
  <c r="R3389" i="1"/>
  <c r="I3389" i="1"/>
  <c r="G3389" i="1"/>
  <c r="E3389" i="1"/>
  <c r="C3389" i="1"/>
  <c r="R3388" i="1"/>
  <c r="I3388" i="1"/>
  <c r="G3388" i="1"/>
  <c r="E3388" i="1"/>
  <c r="C3388" i="1"/>
  <c r="R3387" i="1"/>
  <c r="I3387" i="1"/>
  <c r="G3387" i="1"/>
  <c r="E3387" i="1"/>
  <c r="C3387" i="1"/>
  <c r="R3386" i="1"/>
  <c r="I3386" i="1"/>
  <c r="G3386" i="1"/>
  <c r="E3386" i="1"/>
  <c r="C3386" i="1"/>
  <c r="R3385" i="1"/>
  <c r="I3385" i="1"/>
  <c r="G3385" i="1"/>
  <c r="E3385" i="1"/>
  <c r="C3385" i="1"/>
  <c r="R3384" i="1"/>
  <c r="I3384" i="1"/>
  <c r="G3384" i="1"/>
  <c r="E3384" i="1"/>
  <c r="C3384" i="1"/>
  <c r="R3383" i="1"/>
  <c r="I3383" i="1"/>
  <c r="G3383" i="1"/>
  <c r="E3383" i="1"/>
  <c r="C3383" i="1"/>
  <c r="R3382" i="1"/>
  <c r="I3382" i="1"/>
  <c r="G3382" i="1"/>
  <c r="E3382" i="1"/>
  <c r="C3382" i="1"/>
  <c r="R3381" i="1"/>
  <c r="I3381" i="1"/>
  <c r="G3381" i="1"/>
  <c r="E3381" i="1"/>
  <c r="C3381" i="1"/>
  <c r="R3380" i="1"/>
  <c r="I3380" i="1"/>
  <c r="G3380" i="1"/>
  <c r="E3380" i="1"/>
  <c r="C3380" i="1"/>
  <c r="R3379" i="1"/>
  <c r="I3379" i="1"/>
  <c r="G3379" i="1"/>
  <c r="E3379" i="1"/>
  <c r="C3379" i="1"/>
  <c r="R3378" i="1"/>
  <c r="I3378" i="1"/>
  <c r="G3378" i="1"/>
  <c r="E3378" i="1"/>
  <c r="C3378" i="1"/>
  <c r="R3377" i="1"/>
  <c r="I3377" i="1"/>
  <c r="G3377" i="1"/>
  <c r="E3377" i="1"/>
  <c r="C3377" i="1"/>
  <c r="R3376" i="1"/>
  <c r="I3376" i="1"/>
  <c r="G3376" i="1"/>
  <c r="E3376" i="1"/>
  <c r="C3376" i="1"/>
  <c r="R3375" i="1"/>
  <c r="I3375" i="1"/>
  <c r="G3375" i="1"/>
  <c r="E3375" i="1"/>
  <c r="C3375" i="1"/>
  <c r="R3374" i="1"/>
  <c r="I3374" i="1"/>
  <c r="G3374" i="1"/>
  <c r="E3374" i="1"/>
  <c r="C3374" i="1"/>
  <c r="R3373" i="1"/>
  <c r="I3373" i="1"/>
  <c r="G3373" i="1"/>
  <c r="E3373" i="1"/>
  <c r="C3373" i="1"/>
  <c r="R3372" i="1"/>
  <c r="I3372" i="1"/>
  <c r="G3372" i="1"/>
  <c r="E3372" i="1"/>
  <c r="C3372" i="1"/>
  <c r="R3371" i="1"/>
  <c r="I3371" i="1"/>
  <c r="G3371" i="1"/>
  <c r="E3371" i="1"/>
  <c r="C3371" i="1"/>
  <c r="R3370" i="1"/>
  <c r="I3370" i="1"/>
  <c r="G3370" i="1"/>
  <c r="E3370" i="1"/>
  <c r="C3370" i="1"/>
  <c r="R3369" i="1"/>
  <c r="I3369" i="1"/>
  <c r="G3369" i="1"/>
  <c r="E3369" i="1"/>
  <c r="C3369" i="1"/>
  <c r="R3368" i="1"/>
  <c r="I3368" i="1"/>
  <c r="G3368" i="1"/>
  <c r="E3368" i="1"/>
  <c r="C3368" i="1"/>
  <c r="R3367" i="1"/>
  <c r="I3367" i="1"/>
  <c r="G3367" i="1"/>
  <c r="E3367" i="1"/>
  <c r="C3367" i="1"/>
  <c r="R3366" i="1"/>
  <c r="I3366" i="1"/>
  <c r="G3366" i="1"/>
  <c r="E3366" i="1"/>
  <c r="C3366" i="1"/>
  <c r="R3365" i="1"/>
  <c r="I3365" i="1"/>
  <c r="G3365" i="1"/>
  <c r="E3365" i="1"/>
  <c r="C3365" i="1"/>
  <c r="R3364" i="1"/>
  <c r="I3364" i="1"/>
  <c r="G3364" i="1"/>
  <c r="E3364" i="1"/>
  <c r="C3364" i="1"/>
  <c r="R3363" i="1"/>
  <c r="I3363" i="1"/>
  <c r="G3363" i="1"/>
  <c r="E3363" i="1"/>
  <c r="C3363" i="1"/>
  <c r="R3362" i="1"/>
  <c r="I3362" i="1"/>
  <c r="G3362" i="1"/>
  <c r="E3362" i="1"/>
  <c r="C3362" i="1"/>
  <c r="R3361" i="1"/>
  <c r="I3361" i="1"/>
  <c r="G3361" i="1"/>
  <c r="E3361" i="1"/>
  <c r="C3361" i="1"/>
  <c r="R3360" i="1"/>
  <c r="I3360" i="1"/>
  <c r="G3360" i="1"/>
  <c r="E3360" i="1"/>
  <c r="C3360" i="1"/>
  <c r="R3359" i="1"/>
  <c r="I3359" i="1"/>
  <c r="G3359" i="1"/>
  <c r="E3359" i="1"/>
  <c r="C3359" i="1"/>
  <c r="R3358" i="1"/>
  <c r="I3358" i="1"/>
  <c r="G3358" i="1"/>
  <c r="E3358" i="1"/>
  <c r="C3358" i="1"/>
  <c r="R3357" i="1"/>
  <c r="I3357" i="1"/>
  <c r="G3357" i="1"/>
  <c r="E3357" i="1"/>
  <c r="C3357" i="1"/>
  <c r="R3356" i="1"/>
  <c r="I3356" i="1"/>
  <c r="G3356" i="1"/>
  <c r="E3356" i="1"/>
  <c r="C3356" i="1"/>
  <c r="R3355" i="1"/>
  <c r="I3355" i="1"/>
  <c r="G3355" i="1"/>
  <c r="E3355" i="1"/>
  <c r="C3355" i="1"/>
  <c r="R3354" i="1"/>
  <c r="I3354" i="1"/>
  <c r="G3354" i="1"/>
  <c r="E3354" i="1"/>
  <c r="C3354" i="1"/>
  <c r="R3353" i="1"/>
  <c r="I3353" i="1"/>
  <c r="G3353" i="1"/>
  <c r="E3353" i="1"/>
  <c r="C3353" i="1"/>
  <c r="R3352" i="1"/>
  <c r="I3352" i="1"/>
  <c r="G3352" i="1"/>
  <c r="E3352" i="1"/>
  <c r="C3352" i="1"/>
  <c r="R3351" i="1"/>
  <c r="I3351" i="1"/>
  <c r="G3351" i="1"/>
  <c r="E3351" i="1"/>
  <c r="C3351" i="1"/>
  <c r="R3350" i="1"/>
  <c r="I3350" i="1"/>
  <c r="G3350" i="1"/>
  <c r="E3350" i="1"/>
  <c r="C3350" i="1"/>
  <c r="R3349" i="1"/>
  <c r="I3349" i="1"/>
  <c r="G3349" i="1"/>
  <c r="E3349" i="1"/>
  <c r="C3349" i="1"/>
  <c r="R3348" i="1"/>
  <c r="I3348" i="1"/>
  <c r="G3348" i="1"/>
  <c r="E3348" i="1"/>
  <c r="C3348" i="1"/>
  <c r="R3347" i="1"/>
  <c r="I3347" i="1"/>
  <c r="G3347" i="1"/>
  <c r="E3347" i="1"/>
  <c r="C3347" i="1"/>
  <c r="R3346" i="1"/>
  <c r="I3346" i="1"/>
  <c r="G3346" i="1"/>
  <c r="E3346" i="1"/>
  <c r="C3346" i="1"/>
  <c r="R3345" i="1"/>
  <c r="I3345" i="1"/>
  <c r="G3345" i="1"/>
  <c r="E3345" i="1"/>
  <c r="C3345" i="1"/>
  <c r="R3344" i="1"/>
  <c r="I3344" i="1"/>
  <c r="G3344" i="1"/>
  <c r="E3344" i="1"/>
  <c r="C3344" i="1"/>
  <c r="R3343" i="1"/>
  <c r="I3343" i="1"/>
  <c r="G3343" i="1"/>
  <c r="E3343" i="1"/>
  <c r="C3343" i="1"/>
  <c r="R3342" i="1"/>
  <c r="I3342" i="1"/>
  <c r="G3342" i="1"/>
  <c r="E3342" i="1"/>
  <c r="C3342" i="1"/>
  <c r="R3341" i="1"/>
  <c r="I3341" i="1"/>
  <c r="G3341" i="1"/>
  <c r="E3341" i="1"/>
  <c r="C3341" i="1"/>
  <c r="R3340" i="1"/>
  <c r="I3340" i="1"/>
  <c r="G3340" i="1"/>
  <c r="E3340" i="1"/>
  <c r="C3340" i="1"/>
  <c r="R3339" i="1"/>
  <c r="I3339" i="1"/>
  <c r="G3339" i="1"/>
  <c r="E3339" i="1"/>
  <c r="C3339" i="1"/>
  <c r="R3338" i="1"/>
  <c r="I3338" i="1"/>
  <c r="G3338" i="1"/>
  <c r="E3338" i="1"/>
  <c r="C3338" i="1"/>
  <c r="R3337" i="1"/>
  <c r="I3337" i="1"/>
  <c r="G3337" i="1"/>
  <c r="E3337" i="1"/>
  <c r="C3337" i="1"/>
  <c r="R3336" i="1"/>
  <c r="I3336" i="1"/>
  <c r="G3336" i="1"/>
  <c r="E3336" i="1"/>
  <c r="C3336" i="1"/>
  <c r="R3335" i="1"/>
  <c r="I3335" i="1"/>
  <c r="G3335" i="1"/>
  <c r="E3335" i="1"/>
  <c r="C3335" i="1"/>
  <c r="R3334" i="1"/>
  <c r="I3334" i="1"/>
  <c r="G3334" i="1"/>
  <c r="E3334" i="1"/>
  <c r="C3334" i="1"/>
  <c r="R3333" i="1"/>
  <c r="I3333" i="1"/>
  <c r="G3333" i="1"/>
  <c r="E3333" i="1"/>
  <c r="C3333" i="1"/>
  <c r="R3332" i="1"/>
  <c r="I3332" i="1"/>
  <c r="G3332" i="1"/>
  <c r="E3332" i="1"/>
  <c r="C3332" i="1"/>
  <c r="R3331" i="1"/>
  <c r="I3331" i="1"/>
  <c r="G3331" i="1"/>
  <c r="E3331" i="1"/>
  <c r="C3331" i="1"/>
  <c r="R3330" i="1"/>
  <c r="I3330" i="1"/>
  <c r="G3330" i="1"/>
  <c r="E3330" i="1"/>
  <c r="C3330" i="1"/>
  <c r="R3329" i="1"/>
  <c r="I3329" i="1"/>
  <c r="G3329" i="1"/>
  <c r="E3329" i="1"/>
  <c r="C3329" i="1"/>
  <c r="R3328" i="1"/>
  <c r="I3328" i="1"/>
  <c r="G3328" i="1"/>
  <c r="E3328" i="1"/>
  <c r="C3328" i="1"/>
  <c r="R3327" i="1"/>
  <c r="I3327" i="1"/>
  <c r="G3327" i="1"/>
  <c r="E3327" i="1"/>
  <c r="C3327" i="1"/>
  <c r="R3326" i="1"/>
  <c r="I3326" i="1"/>
  <c r="G3326" i="1"/>
  <c r="E3326" i="1"/>
  <c r="C3326" i="1"/>
  <c r="R3325" i="1"/>
  <c r="I3325" i="1"/>
  <c r="G3325" i="1"/>
  <c r="E3325" i="1"/>
  <c r="C3325" i="1"/>
  <c r="R3324" i="1"/>
  <c r="I3324" i="1"/>
  <c r="G3324" i="1"/>
  <c r="E3324" i="1"/>
  <c r="C3324" i="1"/>
  <c r="R3323" i="1"/>
  <c r="I3323" i="1"/>
  <c r="G3323" i="1"/>
  <c r="E3323" i="1"/>
  <c r="C3323" i="1"/>
  <c r="R3322" i="1"/>
  <c r="I3322" i="1"/>
  <c r="G3322" i="1"/>
  <c r="E3322" i="1"/>
  <c r="C3322" i="1"/>
  <c r="R3321" i="1"/>
  <c r="I3321" i="1"/>
  <c r="G3321" i="1"/>
  <c r="E3321" i="1"/>
  <c r="C3321" i="1"/>
  <c r="R3320" i="1"/>
  <c r="I3320" i="1"/>
  <c r="G3320" i="1"/>
  <c r="E3320" i="1"/>
  <c r="C3320" i="1"/>
  <c r="R3319" i="1"/>
  <c r="I3319" i="1"/>
  <c r="G3319" i="1"/>
  <c r="E3319" i="1"/>
  <c r="C3319" i="1"/>
  <c r="R3318" i="1"/>
  <c r="I3318" i="1"/>
  <c r="G3318" i="1"/>
  <c r="E3318" i="1"/>
  <c r="C3318" i="1"/>
  <c r="R3317" i="1"/>
  <c r="I3317" i="1"/>
  <c r="G3317" i="1"/>
  <c r="E3317" i="1"/>
  <c r="C3317" i="1"/>
  <c r="R3316" i="1"/>
  <c r="I3316" i="1"/>
  <c r="G3316" i="1"/>
  <c r="E3316" i="1"/>
  <c r="C3316" i="1"/>
  <c r="R3315" i="1"/>
  <c r="I3315" i="1"/>
  <c r="G3315" i="1"/>
  <c r="E3315" i="1"/>
  <c r="C3315" i="1"/>
  <c r="R3314" i="1"/>
  <c r="I3314" i="1"/>
  <c r="G3314" i="1"/>
  <c r="E3314" i="1"/>
  <c r="C3314" i="1"/>
  <c r="R3313" i="1"/>
  <c r="I3313" i="1"/>
  <c r="G3313" i="1"/>
  <c r="E3313" i="1"/>
  <c r="C3313" i="1"/>
  <c r="R3312" i="1"/>
  <c r="I3312" i="1"/>
  <c r="G3312" i="1"/>
  <c r="E3312" i="1"/>
  <c r="C3312" i="1"/>
  <c r="R3311" i="1"/>
  <c r="I3311" i="1"/>
  <c r="G3311" i="1"/>
  <c r="E3311" i="1"/>
  <c r="C3311" i="1"/>
  <c r="R3310" i="1"/>
  <c r="I3310" i="1"/>
  <c r="G3310" i="1"/>
  <c r="E3310" i="1"/>
  <c r="C3310" i="1"/>
  <c r="R3309" i="1"/>
  <c r="I3309" i="1"/>
  <c r="G3309" i="1"/>
  <c r="E3309" i="1"/>
  <c r="C3309" i="1"/>
  <c r="R3308" i="1"/>
  <c r="I3308" i="1"/>
  <c r="G3308" i="1"/>
  <c r="E3308" i="1"/>
  <c r="C3308" i="1"/>
  <c r="R3307" i="1"/>
  <c r="I3307" i="1"/>
  <c r="G3307" i="1"/>
  <c r="E3307" i="1"/>
  <c r="C3307" i="1"/>
  <c r="R3306" i="1"/>
  <c r="I3306" i="1"/>
  <c r="G3306" i="1"/>
  <c r="E3306" i="1"/>
  <c r="C3306" i="1"/>
  <c r="R3305" i="1"/>
  <c r="I3305" i="1"/>
  <c r="G3305" i="1"/>
  <c r="E3305" i="1"/>
  <c r="C3305" i="1"/>
  <c r="R3304" i="1"/>
  <c r="I3304" i="1"/>
  <c r="G3304" i="1"/>
  <c r="E3304" i="1"/>
  <c r="C3304" i="1"/>
  <c r="R3303" i="1"/>
  <c r="I3303" i="1"/>
  <c r="G3303" i="1"/>
  <c r="E3303" i="1"/>
  <c r="C3303" i="1"/>
  <c r="R3302" i="1"/>
  <c r="I3302" i="1"/>
  <c r="G3302" i="1"/>
  <c r="E3302" i="1"/>
  <c r="C3302" i="1"/>
  <c r="R3301" i="1"/>
  <c r="I3301" i="1"/>
  <c r="G3301" i="1"/>
  <c r="E3301" i="1"/>
  <c r="C3301" i="1"/>
  <c r="R3300" i="1"/>
  <c r="I3300" i="1"/>
  <c r="G3300" i="1"/>
  <c r="E3300" i="1"/>
  <c r="C3300" i="1"/>
  <c r="R3299" i="1"/>
  <c r="I3299" i="1"/>
  <c r="G3299" i="1"/>
  <c r="E3299" i="1"/>
  <c r="C3299" i="1"/>
  <c r="R3298" i="1"/>
  <c r="I3298" i="1"/>
  <c r="G3298" i="1"/>
  <c r="E3298" i="1"/>
  <c r="C3298" i="1"/>
  <c r="R3297" i="1"/>
  <c r="I3297" i="1"/>
  <c r="G3297" i="1"/>
  <c r="E3297" i="1"/>
  <c r="C3297" i="1"/>
  <c r="R3296" i="1"/>
  <c r="I3296" i="1"/>
  <c r="G3296" i="1"/>
  <c r="E3296" i="1"/>
  <c r="C3296" i="1"/>
  <c r="R3295" i="1"/>
  <c r="I3295" i="1"/>
  <c r="G3295" i="1"/>
  <c r="E3295" i="1"/>
  <c r="C3295" i="1"/>
  <c r="R3294" i="1"/>
  <c r="I3294" i="1"/>
  <c r="G3294" i="1"/>
  <c r="E3294" i="1"/>
  <c r="C3294" i="1"/>
  <c r="R3293" i="1"/>
  <c r="I3293" i="1"/>
  <c r="G3293" i="1"/>
  <c r="E3293" i="1"/>
  <c r="C3293" i="1"/>
  <c r="R3292" i="1"/>
  <c r="I3292" i="1"/>
  <c r="G3292" i="1"/>
  <c r="E3292" i="1"/>
  <c r="C3292" i="1"/>
  <c r="R3291" i="1"/>
  <c r="I3291" i="1"/>
  <c r="G3291" i="1"/>
  <c r="E3291" i="1"/>
  <c r="C3291" i="1"/>
  <c r="R3290" i="1"/>
  <c r="I3290" i="1"/>
  <c r="G3290" i="1"/>
  <c r="E3290" i="1"/>
  <c r="C3290" i="1"/>
  <c r="R3289" i="1"/>
  <c r="I3289" i="1"/>
  <c r="G3289" i="1"/>
  <c r="E3289" i="1"/>
  <c r="C3289" i="1"/>
  <c r="R3288" i="1"/>
  <c r="I3288" i="1"/>
  <c r="G3288" i="1"/>
  <c r="E3288" i="1"/>
  <c r="C3288" i="1"/>
  <c r="R3287" i="1"/>
  <c r="I3287" i="1"/>
  <c r="G3287" i="1"/>
  <c r="E3287" i="1"/>
  <c r="C3287" i="1"/>
  <c r="R3286" i="1"/>
  <c r="I3286" i="1"/>
  <c r="G3286" i="1"/>
  <c r="E3286" i="1"/>
  <c r="C3286" i="1"/>
  <c r="R3285" i="1"/>
  <c r="I3285" i="1"/>
  <c r="G3285" i="1"/>
  <c r="E3285" i="1"/>
  <c r="C3285" i="1"/>
  <c r="R3284" i="1"/>
  <c r="I3284" i="1"/>
  <c r="G3284" i="1"/>
  <c r="E3284" i="1"/>
  <c r="C3284" i="1"/>
  <c r="R3283" i="1"/>
  <c r="I3283" i="1"/>
  <c r="G3283" i="1"/>
  <c r="E3283" i="1"/>
  <c r="C3283" i="1"/>
  <c r="R3282" i="1"/>
  <c r="I3282" i="1"/>
  <c r="G3282" i="1"/>
  <c r="E3282" i="1"/>
  <c r="C3282" i="1"/>
  <c r="R3281" i="1"/>
  <c r="I3281" i="1"/>
  <c r="G3281" i="1"/>
  <c r="E3281" i="1"/>
  <c r="C3281" i="1"/>
  <c r="R3280" i="1"/>
  <c r="I3280" i="1"/>
  <c r="G3280" i="1"/>
  <c r="E3280" i="1"/>
  <c r="C3280" i="1"/>
  <c r="R3279" i="1"/>
  <c r="I3279" i="1"/>
  <c r="G3279" i="1"/>
  <c r="E3279" i="1"/>
  <c r="C3279" i="1"/>
  <c r="R3278" i="1"/>
  <c r="I3278" i="1"/>
  <c r="G3278" i="1"/>
  <c r="E3278" i="1"/>
  <c r="C3278" i="1"/>
  <c r="R3277" i="1"/>
  <c r="I3277" i="1"/>
  <c r="G3277" i="1"/>
  <c r="E3277" i="1"/>
  <c r="C3277" i="1"/>
  <c r="R3276" i="1"/>
  <c r="I3276" i="1"/>
  <c r="G3276" i="1"/>
  <c r="E3276" i="1"/>
  <c r="C3276" i="1"/>
  <c r="R3275" i="1"/>
  <c r="I3275" i="1"/>
  <c r="G3275" i="1"/>
  <c r="E3275" i="1"/>
  <c r="C3275" i="1"/>
  <c r="R3274" i="1"/>
  <c r="I3274" i="1"/>
  <c r="G3274" i="1"/>
  <c r="E3274" i="1"/>
  <c r="C3274" i="1"/>
  <c r="R3273" i="1"/>
  <c r="I3273" i="1"/>
  <c r="G3273" i="1"/>
  <c r="E3273" i="1"/>
  <c r="C3273" i="1"/>
  <c r="R3272" i="1"/>
  <c r="I3272" i="1"/>
  <c r="G3272" i="1"/>
  <c r="E3272" i="1"/>
  <c r="C3272" i="1"/>
  <c r="R3271" i="1"/>
  <c r="I3271" i="1"/>
  <c r="G3271" i="1"/>
  <c r="E3271" i="1"/>
  <c r="C3271" i="1"/>
  <c r="R3270" i="1"/>
  <c r="I3270" i="1"/>
  <c r="G3270" i="1"/>
  <c r="E3270" i="1"/>
  <c r="C3270" i="1"/>
  <c r="R3269" i="1"/>
  <c r="I3269" i="1"/>
  <c r="G3269" i="1"/>
  <c r="E3269" i="1"/>
  <c r="C3269" i="1"/>
  <c r="R3268" i="1"/>
  <c r="I3268" i="1"/>
  <c r="G3268" i="1"/>
  <c r="E3268" i="1"/>
  <c r="C3268" i="1"/>
  <c r="R3267" i="1"/>
  <c r="I3267" i="1"/>
  <c r="G3267" i="1"/>
  <c r="E3267" i="1"/>
  <c r="C3267" i="1"/>
  <c r="R3266" i="1"/>
  <c r="I3266" i="1"/>
  <c r="G3266" i="1"/>
  <c r="E3266" i="1"/>
  <c r="C3266" i="1"/>
  <c r="R3265" i="1"/>
  <c r="I3265" i="1"/>
  <c r="G3265" i="1"/>
  <c r="E3265" i="1"/>
  <c r="C3265" i="1"/>
  <c r="R3264" i="1"/>
  <c r="I3264" i="1"/>
  <c r="G3264" i="1"/>
  <c r="E3264" i="1"/>
  <c r="C3264" i="1"/>
  <c r="R3263" i="1"/>
  <c r="I3263" i="1"/>
  <c r="G3263" i="1"/>
  <c r="E3263" i="1"/>
  <c r="C3263" i="1"/>
  <c r="R3262" i="1"/>
  <c r="I3262" i="1"/>
  <c r="G3262" i="1"/>
  <c r="E3262" i="1"/>
  <c r="C3262" i="1"/>
  <c r="R3261" i="1"/>
  <c r="I3261" i="1"/>
  <c r="G3261" i="1"/>
  <c r="E3261" i="1"/>
  <c r="C3261" i="1"/>
  <c r="R3260" i="1"/>
  <c r="I3260" i="1"/>
  <c r="G3260" i="1"/>
  <c r="E3260" i="1"/>
  <c r="C3260" i="1"/>
  <c r="R3259" i="1"/>
  <c r="I3259" i="1"/>
  <c r="G3259" i="1"/>
  <c r="E3259" i="1"/>
  <c r="C3259" i="1"/>
  <c r="R3258" i="1"/>
  <c r="I3258" i="1"/>
  <c r="G3258" i="1"/>
  <c r="E3258" i="1"/>
  <c r="C3258" i="1"/>
  <c r="R3257" i="1"/>
  <c r="I3257" i="1"/>
  <c r="G3257" i="1"/>
  <c r="E3257" i="1"/>
  <c r="C3257" i="1"/>
  <c r="R3256" i="1"/>
  <c r="I3256" i="1"/>
  <c r="G3256" i="1"/>
  <c r="E3256" i="1"/>
  <c r="C3256" i="1"/>
  <c r="R3255" i="1"/>
  <c r="I3255" i="1"/>
  <c r="G3255" i="1"/>
  <c r="E3255" i="1"/>
  <c r="C3255" i="1"/>
  <c r="R3254" i="1"/>
  <c r="I3254" i="1"/>
  <c r="G3254" i="1"/>
  <c r="E3254" i="1"/>
  <c r="C3254" i="1"/>
  <c r="R3253" i="1"/>
  <c r="I3253" i="1"/>
  <c r="G3253" i="1"/>
  <c r="E3253" i="1"/>
  <c r="C3253" i="1"/>
  <c r="R3252" i="1"/>
  <c r="I3252" i="1"/>
  <c r="G3252" i="1"/>
  <c r="E3252" i="1"/>
  <c r="C3252" i="1"/>
  <c r="R3251" i="1"/>
  <c r="I3251" i="1"/>
  <c r="G3251" i="1"/>
  <c r="E3251" i="1"/>
  <c r="C3251" i="1"/>
  <c r="R3250" i="1"/>
  <c r="I3250" i="1"/>
  <c r="G3250" i="1"/>
  <c r="E3250" i="1"/>
  <c r="C3250" i="1"/>
  <c r="R3249" i="1"/>
  <c r="I3249" i="1"/>
  <c r="G3249" i="1"/>
  <c r="E3249" i="1"/>
  <c r="C3249" i="1"/>
  <c r="R3248" i="1"/>
  <c r="I3248" i="1"/>
  <c r="G3248" i="1"/>
  <c r="E3248" i="1"/>
  <c r="C3248" i="1"/>
  <c r="R3247" i="1"/>
  <c r="I3247" i="1"/>
  <c r="G3247" i="1"/>
  <c r="E3247" i="1"/>
  <c r="C3247" i="1"/>
  <c r="R3246" i="1"/>
  <c r="I3246" i="1"/>
  <c r="G3246" i="1"/>
  <c r="E3246" i="1"/>
  <c r="C3246" i="1"/>
  <c r="R3245" i="1"/>
  <c r="I3245" i="1"/>
  <c r="G3245" i="1"/>
  <c r="E3245" i="1"/>
  <c r="C3245" i="1"/>
  <c r="R3244" i="1"/>
  <c r="I3244" i="1"/>
  <c r="G3244" i="1"/>
  <c r="E3244" i="1"/>
  <c r="C3244" i="1"/>
  <c r="R3243" i="1"/>
  <c r="I3243" i="1"/>
  <c r="G3243" i="1"/>
  <c r="E3243" i="1"/>
  <c r="C3243" i="1"/>
  <c r="R3242" i="1"/>
  <c r="I3242" i="1"/>
  <c r="G3242" i="1"/>
  <c r="E3242" i="1"/>
  <c r="C3242" i="1"/>
  <c r="R3241" i="1"/>
  <c r="I3241" i="1"/>
  <c r="G3241" i="1"/>
  <c r="E3241" i="1"/>
  <c r="C3241" i="1"/>
  <c r="R3240" i="1"/>
  <c r="I3240" i="1"/>
  <c r="G3240" i="1"/>
  <c r="E3240" i="1"/>
  <c r="C3240" i="1"/>
  <c r="R3239" i="1"/>
  <c r="I3239" i="1"/>
  <c r="G3239" i="1"/>
  <c r="E3239" i="1"/>
  <c r="C3239" i="1"/>
  <c r="R3238" i="1"/>
  <c r="I3238" i="1"/>
  <c r="G3238" i="1"/>
  <c r="E3238" i="1"/>
  <c r="C3238" i="1"/>
  <c r="R3237" i="1"/>
  <c r="I3237" i="1"/>
  <c r="G3237" i="1"/>
  <c r="E3237" i="1"/>
  <c r="C3237" i="1"/>
  <c r="R3236" i="1"/>
  <c r="I3236" i="1"/>
  <c r="G3236" i="1"/>
  <c r="E3236" i="1"/>
  <c r="C3236" i="1"/>
  <c r="R3235" i="1"/>
  <c r="I3235" i="1"/>
  <c r="G3235" i="1"/>
  <c r="E3235" i="1"/>
  <c r="C3235" i="1"/>
  <c r="R3234" i="1"/>
  <c r="I3234" i="1"/>
  <c r="G3234" i="1"/>
  <c r="E3234" i="1"/>
  <c r="C3234" i="1"/>
  <c r="R3233" i="1"/>
  <c r="I3233" i="1"/>
  <c r="G3233" i="1"/>
  <c r="E3233" i="1"/>
  <c r="C3233" i="1"/>
  <c r="R3232" i="1"/>
  <c r="I3232" i="1"/>
  <c r="G3232" i="1"/>
  <c r="E3232" i="1"/>
  <c r="C3232" i="1"/>
  <c r="R3231" i="1"/>
  <c r="I3231" i="1"/>
  <c r="G3231" i="1"/>
  <c r="E3231" i="1"/>
  <c r="C3231" i="1"/>
  <c r="R3230" i="1"/>
  <c r="I3230" i="1"/>
  <c r="G3230" i="1"/>
  <c r="E3230" i="1"/>
  <c r="C3230" i="1"/>
  <c r="R3229" i="1"/>
  <c r="I3229" i="1"/>
  <c r="G3229" i="1"/>
  <c r="E3229" i="1"/>
  <c r="C3229" i="1"/>
  <c r="R3228" i="1"/>
  <c r="I3228" i="1"/>
  <c r="G3228" i="1"/>
  <c r="E3228" i="1"/>
  <c r="C3228" i="1"/>
  <c r="R3227" i="1"/>
  <c r="I3227" i="1"/>
  <c r="G3227" i="1"/>
  <c r="E3227" i="1"/>
  <c r="C3227" i="1"/>
  <c r="R3226" i="1"/>
  <c r="I3226" i="1"/>
  <c r="G3226" i="1"/>
  <c r="E3226" i="1"/>
  <c r="C3226" i="1"/>
  <c r="R3225" i="1"/>
  <c r="I3225" i="1"/>
  <c r="G3225" i="1"/>
  <c r="E3225" i="1"/>
  <c r="C3225" i="1"/>
  <c r="R3224" i="1"/>
  <c r="I3224" i="1"/>
  <c r="G3224" i="1"/>
  <c r="E3224" i="1"/>
  <c r="C3224" i="1"/>
  <c r="R3223" i="1"/>
  <c r="I3223" i="1"/>
  <c r="G3223" i="1"/>
  <c r="E3223" i="1"/>
  <c r="C3223" i="1"/>
  <c r="R3222" i="1"/>
  <c r="I3222" i="1"/>
  <c r="G3222" i="1"/>
  <c r="E3222" i="1"/>
  <c r="C3222" i="1"/>
  <c r="R3221" i="1"/>
  <c r="I3221" i="1"/>
  <c r="G3221" i="1"/>
  <c r="E3221" i="1"/>
  <c r="C3221" i="1"/>
  <c r="R3220" i="1"/>
  <c r="I3220" i="1"/>
  <c r="G3220" i="1"/>
  <c r="E3220" i="1"/>
  <c r="C3220" i="1"/>
  <c r="R3219" i="1"/>
  <c r="I3219" i="1"/>
  <c r="G3219" i="1"/>
  <c r="E3219" i="1"/>
  <c r="C3219" i="1"/>
  <c r="R3218" i="1"/>
  <c r="I3218" i="1"/>
  <c r="G3218" i="1"/>
  <c r="E3218" i="1"/>
  <c r="C3218" i="1"/>
  <c r="R3217" i="1"/>
  <c r="I3217" i="1"/>
  <c r="G3217" i="1"/>
  <c r="E3217" i="1"/>
  <c r="C3217" i="1"/>
  <c r="R3216" i="1"/>
  <c r="I3216" i="1"/>
  <c r="G3216" i="1"/>
  <c r="E3216" i="1"/>
  <c r="C3216" i="1"/>
  <c r="R3215" i="1"/>
  <c r="I3215" i="1"/>
  <c r="G3215" i="1"/>
  <c r="E3215" i="1"/>
  <c r="C3215" i="1"/>
  <c r="R3214" i="1"/>
  <c r="I3214" i="1"/>
  <c r="G3214" i="1"/>
  <c r="E3214" i="1"/>
  <c r="C3214" i="1"/>
  <c r="R3213" i="1"/>
  <c r="I3213" i="1"/>
  <c r="G3213" i="1"/>
  <c r="E3213" i="1"/>
  <c r="C3213" i="1"/>
  <c r="R3212" i="1"/>
  <c r="I3212" i="1"/>
  <c r="G3212" i="1"/>
  <c r="E3212" i="1"/>
  <c r="C3212" i="1"/>
  <c r="R3211" i="1"/>
  <c r="I3211" i="1"/>
  <c r="G3211" i="1"/>
  <c r="E3211" i="1"/>
  <c r="C3211" i="1"/>
  <c r="R3210" i="1"/>
  <c r="I3210" i="1"/>
  <c r="G3210" i="1"/>
  <c r="E3210" i="1"/>
  <c r="C3210" i="1"/>
  <c r="R3209" i="1"/>
  <c r="I3209" i="1"/>
  <c r="G3209" i="1"/>
  <c r="E3209" i="1"/>
  <c r="C3209" i="1"/>
  <c r="R3208" i="1"/>
  <c r="I3208" i="1"/>
  <c r="G3208" i="1"/>
  <c r="E3208" i="1"/>
  <c r="C3208" i="1"/>
  <c r="R3207" i="1"/>
  <c r="I3207" i="1"/>
  <c r="G3207" i="1"/>
  <c r="E3207" i="1"/>
  <c r="C3207" i="1"/>
  <c r="R3206" i="1"/>
  <c r="I3206" i="1"/>
  <c r="G3206" i="1"/>
  <c r="E3206" i="1"/>
  <c r="C3206" i="1"/>
  <c r="R3205" i="1"/>
  <c r="I3205" i="1"/>
  <c r="G3205" i="1"/>
  <c r="E3205" i="1"/>
  <c r="C3205" i="1"/>
  <c r="R3204" i="1"/>
  <c r="I3204" i="1"/>
  <c r="G3204" i="1"/>
  <c r="E3204" i="1"/>
  <c r="C3204" i="1"/>
  <c r="R3203" i="1"/>
  <c r="I3203" i="1"/>
  <c r="G3203" i="1"/>
  <c r="E3203" i="1"/>
  <c r="C3203" i="1"/>
  <c r="R3202" i="1"/>
  <c r="I3202" i="1"/>
  <c r="G3202" i="1"/>
  <c r="E3202" i="1"/>
  <c r="C3202" i="1"/>
  <c r="R3201" i="1"/>
  <c r="I3201" i="1"/>
  <c r="G3201" i="1"/>
  <c r="E3201" i="1"/>
  <c r="C3201" i="1"/>
  <c r="R3200" i="1"/>
  <c r="I3200" i="1"/>
  <c r="G3200" i="1"/>
  <c r="E3200" i="1"/>
  <c r="C3200" i="1"/>
  <c r="R3199" i="1"/>
  <c r="I3199" i="1"/>
  <c r="G3199" i="1"/>
  <c r="E3199" i="1"/>
  <c r="C3199" i="1"/>
  <c r="R3198" i="1"/>
  <c r="I3198" i="1"/>
  <c r="G3198" i="1"/>
  <c r="E3198" i="1"/>
  <c r="C3198" i="1"/>
  <c r="R3197" i="1"/>
  <c r="I3197" i="1"/>
  <c r="G3197" i="1"/>
  <c r="E3197" i="1"/>
  <c r="C3197" i="1"/>
  <c r="R3196" i="1"/>
  <c r="I3196" i="1"/>
  <c r="G3196" i="1"/>
  <c r="E3196" i="1"/>
  <c r="C3196" i="1"/>
  <c r="R3195" i="1"/>
  <c r="I3195" i="1"/>
  <c r="G3195" i="1"/>
  <c r="E3195" i="1"/>
  <c r="C3195" i="1"/>
  <c r="R3194" i="1"/>
  <c r="I3194" i="1"/>
  <c r="G3194" i="1"/>
  <c r="E3194" i="1"/>
  <c r="C3194" i="1"/>
  <c r="R3193" i="1"/>
  <c r="I3193" i="1"/>
  <c r="G3193" i="1"/>
  <c r="E3193" i="1"/>
  <c r="C3193" i="1"/>
  <c r="R3192" i="1"/>
  <c r="I3192" i="1"/>
  <c r="G3192" i="1"/>
  <c r="E3192" i="1"/>
  <c r="C3192" i="1"/>
  <c r="R3191" i="1"/>
  <c r="I3191" i="1"/>
  <c r="G3191" i="1"/>
  <c r="E3191" i="1"/>
  <c r="C3191" i="1"/>
  <c r="R3190" i="1"/>
  <c r="I3190" i="1"/>
  <c r="G3190" i="1"/>
  <c r="E3190" i="1"/>
  <c r="C3190" i="1"/>
  <c r="R3189" i="1"/>
  <c r="I3189" i="1"/>
  <c r="G3189" i="1"/>
  <c r="E3189" i="1"/>
  <c r="C3189" i="1"/>
  <c r="R3188" i="1"/>
  <c r="I3188" i="1"/>
  <c r="G3188" i="1"/>
  <c r="E3188" i="1"/>
  <c r="C3188" i="1"/>
  <c r="R3187" i="1"/>
  <c r="I3187" i="1"/>
  <c r="G3187" i="1"/>
  <c r="E3187" i="1"/>
  <c r="C3187" i="1"/>
  <c r="R3186" i="1"/>
  <c r="I3186" i="1"/>
  <c r="G3186" i="1"/>
  <c r="E3186" i="1"/>
  <c r="C3186" i="1"/>
  <c r="R3185" i="1"/>
  <c r="I3185" i="1"/>
  <c r="G3185" i="1"/>
  <c r="E3185" i="1"/>
  <c r="C3185" i="1"/>
  <c r="R3184" i="1"/>
  <c r="I3184" i="1"/>
  <c r="G3184" i="1"/>
  <c r="E3184" i="1"/>
  <c r="C3184" i="1"/>
  <c r="R3183" i="1"/>
  <c r="I3183" i="1"/>
  <c r="G3183" i="1"/>
  <c r="E3183" i="1"/>
  <c r="C3183" i="1"/>
  <c r="R3182" i="1"/>
  <c r="I3182" i="1"/>
  <c r="G3182" i="1"/>
  <c r="E3182" i="1"/>
  <c r="C3182" i="1"/>
  <c r="R3181" i="1"/>
  <c r="I3181" i="1"/>
  <c r="G3181" i="1"/>
  <c r="E3181" i="1"/>
  <c r="C3181" i="1"/>
  <c r="R3180" i="1"/>
  <c r="I3180" i="1"/>
  <c r="G3180" i="1"/>
  <c r="E3180" i="1"/>
  <c r="C3180" i="1"/>
  <c r="R3179" i="1"/>
  <c r="I3179" i="1"/>
  <c r="G3179" i="1"/>
  <c r="E3179" i="1"/>
  <c r="C3179" i="1"/>
  <c r="R3178" i="1"/>
  <c r="I3178" i="1"/>
  <c r="G3178" i="1"/>
  <c r="E3178" i="1"/>
  <c r="C3178" i="1"/>
  <c r="R3177" i="1"/>
  <c r="I3177" i="1"/>
  <c r="G3177" i="1"/>
  <c r="E3177" i="1"/>
  <c r="C3177" i="1"/>
  <c r="R3176" i="1"/>
  <c r="I3176" i="1"/>
  <c r="G3176" i="1"/>
  <c r="E3176" i="1"/>
  <c r="C3176" i="1"/>
  <c r="R3175" i="1"/>
  <c r="I3175" i="1"/>
  <c r="G3175" i="1"/>
  <c r="E3175" i="1"/>
  <c r="C3175" i="1"/>
  <c r="R3174" i="1"/>
  <c r="I3174" i="1"/>
  <c r="G3174" i="1"/>
  <c r="E3174" i="1"/>
  <c r="C3174" i="1"/>
  <c r="R3173" i="1"/>
  <c r="I3173" i="1"/>
  <c r="G3173" i="1"/>
  <c r="E3173" i="1"/>
  <c r="C3173" i="1"/>
  <c r="R3172" i="1"/>
  <c r="I3172" i="1"/>
  <c r="G3172" i="1"/>
  <c r="E3172" i="1"/>
  <c r="C3172" i="1"/>
  <c r="R3171" i="1"/>
  <c r="I3171" i="1"/>
  <c r="G3171" i="1"/>
  <c r="E3171" i="1"/>
  <c r="C3171" i="1"/>
  <c r="R3170" i="1"/>
  <c r="I3170" i="1"/>
  <c r="G3170" i="1"/>
  <c r="E3170" i="1"/>
  <c r="C3170" i="1"/>
  <c r="R3169" i="1"/>
  <c r="I3169" i="1"/>
  <c r="G3169" i="1"/>
  <c r="E3169" i="1"/>
  <c r="C3169" i="1"/>
  <c r="R3168" i="1"/>
  <c r="I3168" i="1"/>
  <c r="G3168" i="1"/>
  <c r="E3168" i="1"/>
  <c r="C3168" i="1"/>
  <c r="R3167" i="1"/>
  <c r="I3167" i="1"/>
  <c r="G3167" i="1"/>
  <c r="E3167" i="1"/>
  <c r="C3167" i="1"/>
  <c r="R3166" i="1"/>
  <c r="I3166" i="1"/>
  <c r="G3166" i="1"/>
  <c r="E3166" i="1"/>
  <c r="C3166" i="1"/>
  <c r="R3165" i="1"/>
  <c r="I3165" i="1"/>
  <c r="G3165" i="1"/>
  <c r="E3165" i="1"/>
  <c r="C3165" i="1"/>
  <c r="R3164" i="1"/>
  <c r="I3164" i="1"/>
  <c r="G3164" i="1"/>
  <c r="E3164" i="1"/>
  <c r="C3164" i="1"/>
  <c r="R3163" i="1"/>
  <c r="I3163" i="1"/>
  <c r="G3163" i="1"/>
  <c r="E3163" i="1"/>
  <c r="C3163" i="1"/>
  <c r="R3162" i="1"/>
  <c r="I3162" i="1"/>
  <c r="G3162" i="1"/>
  <c r="E3162" i="1"/>
  <c r="C3162" i="1"/>
  <c r="R3161" i="1"/>
  <c r="I3161" i="1"/>
  <c r="G3161" i="1"/>
  <c r="E3161" i="1"/>
  <c r="C3161" i="1"/>
  <c r="R3160" i="1"/>
  <c r="I3160" i="1"/>
  <c r="G3160" i="1"/>
  <c r="E3160" i="1"/>
  <c r="C3160" i="1"/>
  <c r="R3159" i="1"/>
  <c r="I3159" i="1"/>
  <c r="G3159" i="1"/>
  <c r="E3159" i="1"/>
  <c r="C3159" i="1"/>
  <c r="R3158" i="1"/>
  <c r="I3158" i="1"/>
  <c r="G3158" i="1"/>
  <c r="E3158" i="1"/>
  <c r="C3158" i="1"/>
  <c r="R3157" i="1"/>
  <c r="I3157" i="1"/>
  <c r="G3157" i="1"/>
  <c r="E3157" i="1"/>
  <c r="C3157" i="1"/>
  <c r="R3156" i="1"/>
  <c r="I3156" i="1"/>
  <c r="G3156" i="1"/>
  <c r="E3156" i="1"/>
  <c r="C3156" i="1"/>
  <c r="R3155" i="1"/>
  <c r="I3155" i="1"/>
  <c r="G3155" i="1"/>
  <c r="E3155" i="1"/>
  <c r="C3155" i="1"/>
  <c r="R3154" i="1"/>
  <c r="I3154" i="1"/>
  <c r="G3154" i="1"/>
  <c r="E3154" i="1"/>
  <c r="C3154" i="1"/>
  <c r="R3153" i="1"/>
  <c r="I3153" i="1"/>
  <c r="G3153" i="1"/>
  <c r="E3153" i="1"/>
  <c r="C3153" i="1"/>
  <c r="R3152" i="1"/>
  <c r="I3152" i="1"/>
  <c r="G3152" i="1"/>
  <c r="E3152" i="1"/>
  <c r="C3152" i="1"/>
  <c r="R3151" i="1"/>
  <c r="I3151" i="1"/>
  <c r="G3151" i="1"/>
  <c r="E3151" i="1"/>
  <c r="C3151" i="1"/>
  <c r="R3150" i="1"/>
  <c r="I3150" i="1"/>
  <c r="G3150" i="1"/>
  <c r="E3150" i="1"/>
  <c r="C3150" i="1"/>
  <c r="R3149" i="1"/>
  <c r="I3149" i="1"/>
  <c r="G3149" i="1"/>
  <c r="E3149" i="1"/>
  <c r="C3149" i="1"/>
  <c r="R3148" i="1"/>
  <c r="I3148" i="1"/>
  <c r="G3148" i="1"/>
  <c r="E3148" i="1"/>
  <c r="C3148" i="1"/>
  <c r="R3147" i="1"/>
  <c r="I3147" i="1"/>
  <c r="G3147" i="1"/>
  <c r="E3147" i="1"/>
  <c r="C3147" i="1"/>
  <c r="R3146" i="1"/>
  <c r="I3146" i="1"/>
  <c r="G3146" i="1"/>
  <c r="E3146" i="1"/>
  <c r="C3146" i="1"/>
  <c r="R3145" i="1"/>
  <c r="I3145" i="1"/>
  <c r="G3145" i="1"/>
  <c r="E3145" i="1"/>
  <c r="C3145" i="1"/>
  <c r="R3144" i="1"/>
  <c r="I3144" i="1"/>
  <c r="G3144" i="1"/>
  <c r="E3144" i="1"/>
  <c r="C3144" i="1"/>
  <c r="R3143" i="1"/>
  <c r="I3143" i="1"/>
  <c r="G3143" i="1"/>
  <c r="E3143" i="1"/>
  <c r="C3143" i="1"/>
  <c r="R3142" i="1"/>
  <c r="I3142" i="1"/>
  <c r="G3142" i="1"/>
  <c r="E3142" i="1"/>
  <c r="C3142" i="1"/>
  <c r="R3141" i="1"/>
  <c r="I3141" i="1"/>
  <c r="G3141" i="1"/>
  <c r="E3141" i="1"/>
  <c r="C3141" i="1"/>
  <c r="R3140" i="1"/>
  <c r="I3140" i="1"/>
  <c r="G3140" i="1"/>
  <c r="E3140" i="1"/>
  <c r="C3140" i="1"/>
  <c r="R3139" i="1"/>
  <c r="I3139" i="1"/>
  <c r="G3139" i="1"/>
  <c r="E3139" i="1"/>
  <c r="C3139" i="1"/>
  <c r="R3138" i="1"/>
  <c r="I3138" i="1"/>
  <c r="G3138" i="1"/>
  <c r="E3138" i="1"/>
  <c r="C3138" i="1"/>
  <c r="R3137" i="1"/>
  <c r="I3137" i="1"/>
  <c r="G3137" i="1"/>
  <c r="E3137" i="1"/>
  <c r="C3137" i="1"/>
  <c r="R3136" i="1"/>
  <c r="I3136" i="1"/>
  <c r="G3136" i="1"/>
  <c r="E3136" i="1"/>
  <c r="C3136" i="1"/>
  <c r="R3135" i="1"/>
  <c r="I3135" i="1"/>
  <c r="G3135" i="1"/>
  <c r="E3135" i="1"/>
  <c r="C3135" i="1"/>
  <c r="R3134" i="1"/>
  <c r="I3134" i="1"/>
  <c r="G3134" i="1"/>
  <c r="E3134" i="1"/>
  <c r="C3134" i="1"/>
  <c r="R3133" i="1"/>
  <c r="I3133" i="1"/>
  <c r="G3133" i="1"/>
  <c r="E3133" i="1"/>
  <c r="C3133" i="1"/>
  <c r="R3132" i="1"/>
  <c r="I3132" i="1"/>
  <c r="G3132" i="1"/>
  <c r="E3132" i="1"/>
  <c r="C3132" i="1"/>
  <c r="R3131" i="1"/>
  <c r="I3131" i="1"/>
  <c r="G3131" i="1"/>
  <c r="E3131" i="1"/>
  <c r="C3131" i="1"/>
  <c r="R3130" i="1"/>
  <c r="I3130" i="1"/>
  <c r="G3130" i="1"/>
  <c r="E3130" i="1"/>
  <c r="C3130" i="1"/>
  <c r="R3129" i="1"/>
  <c r="I3129" i="1"/>
  <c r="G3129" i="1"/>
  <c r="E3129" i="1"/>
  <c r="C3129" i="1"/>
  <c r="R3128" i="1"/>
  <c r="I3128" i="1"/>
  <c r="G3128" i="1"/>
  <c r="E3128" i="1"/>
  <c r="C3128" i="1"/>
  <c r="R3127" i="1"/>
  <c r="I3127" i="1"/>
  <c r="G3127" i="1"/>
  <c r="E3127" i="1"/>
  <c r="C3127" i="1"/>
  <c r="R3126" i="1"/>
  <c r="I3126" i="1"/>
  <c r="G3126" i="1"/>
  <c r="E3126" i="1"/>
  <c r="C3126" i="1"/>
  <c r="R3125" i="1"/>
  <c r="I3125" i="1"/>
  <c r="G3125" i="1"/>
  <c r="E3125" i="1"/>
  <c r="C3125" i="1"/>
  <c r="R3124" i="1"/>
  <c r="I3124" i="1"/>
  <c r="G3124" i="1"/>
  <c r="E3124" i="1"/>
  <c r="C3124" i="1"/>
  <c r="R3123" i="1"/>
  <c r="I3123" i="1"/>
  <c r="G3123" i="1"/>
  <c r="E3123" i="1"/>
  <c r="C3123" i="1"/>
  <c r="R3122" i="1"/>
  <c r="I3122" i="1"/>
  <c r="G3122" i="1"/>
  <c r="E3122" i="1"/>
  <c r="C3122" i="1"/>
  <c r="R3121" i="1"/>
  <c r="I3121" i="1"/>
  <c r="G3121" i="1"/>
  <c r="E3121" i="1"/>
  <c r="C3121" i="1"/>
  <c r="R3120" i="1"/>
  <c r="I3120" i="1"/>
  <c r="G3120" i="1"/>
  <c r="E3120" i="1"/>
  <c r="C3120" i="1"/>
  <c r="R3119" i="1"/>
  <c r="I3119" i="1"/>
  <c r="G3119" i="1"/>
  <c r="E3119" i="1"/>
  <c r="C3119" i="1"/>
  <c r="R3118" i="1"/>
  <c r="I3118" i="1"/>
  <c r="G3118" i="1"/>
  <c r="E3118" i="1"/>
  <c r="C3118" i="1"/>
  <c r="R3117" i="1"/>
  <c r="I3117" i="1"/>
  <c r="G3117" i="1"/>
  <c r="E3117" i="1"/>
  <c r="C3117" i="1"/>
  <c r="R3116" i="1"/>
  <c r="I3116" i="1"/>
  <c r="G3116" i="1"/>
  <c r="E3116" i="1"/>
  <c r="C3116" i="1"/>
  <c r="R3115" i="1"/>
  <c r="I3115" i="1"/>
  <c r="G3115" i="1"/>
  <c r="E3115" i="1"/>
  <c r="C3115" i="1"/>
  <c r="R3114" i="1"/>
  <c r="I3114" i="1"/>
  <c r="G3114" i="1"/>
  <c r="E3114" i="1"/>
  <c r="C3114" i="1"/>
  <c r="R3113" i="1"/>
  <c r="I3113" i="1"/>
  <c r="G3113" i="1"/>
  <c r="E3113" i="1"/>
  <c r="C3113" i="1"/>
  <c r="R3112" i="1"/>
  <c r="I3112" i="1"/>
  <c r="G3112" i="1"/>
  <c r="E3112" i="1"/>
  <c r="C3112" i="1"/>
  <c r="R3111" i="1"/>
  <c r="I3111" i="1"/>
  <c r="G3111" i="1"/>
  <c r="E3111" i="1"/>
  <c r="C3111" i="1"/>
  <c r="R3110" i="1"/>
  <c r="I3110" i="1"/>
  <c r="G3110" i="1"/>
  <c r="E3110" i="1"/>
  <c r="C3110" i="1"/>
  <c r="R3109" i="1"/>
  <c r="I3109" i="1"/>
  <c r="G3109" i="1"/>
  <c r="E3109" i="1"/>
  <c r="C3109" i="1"/>
  <c r="R3108" i="1"/>
  <c r="I3108" i="1"/>
  <c r="G3108" i="1"/>
  <c r="E3108" i="1"/>
  <c r="C3108" i="1"/>
  <c r="R3107" i="1"/>
  <c r="I3107" i="1"/>
  <c r="G3107" i="1"/>
  <c r="E3107" i="1"/>
  <c r="C3107" i="1"/>
  <c r="R3106" i="1"/>
  <c r="I3106" i="1"/>
  <c r="G3106" i="1"/>
  <c r="E3106" i="1"/>
  <c r="C3106" i="1"/>
  <c r="R3105" i="1"/>
  <c r="I3105" i="1"/>
  <c r="G3105" i="1"/>
  <c r="E3105" i="1"/>
  <c r="C3105" i="1"/>
  <c r="R3104" i="1"/>
  <c r="I3104" i="1"/>
  <c r="G3104" i="1"/>
  <c r="E3104" i="1"/>
  <c r="C3104" i="1"/>
  <c r="R3103" i="1"/>
  <c r="I3103" i="1"/>
  <c r="G3103" i="1"/>
  <c r="E3103" i="1"/>
  <c r="C3103" i="1"/>
  <c r="R3102" i="1"/>
  <c r="I3102" i="1"/>
  <c r="G3102" i="1"/>
  <c r="E3102" i="1"/>
  <c r="C3102" i="1"/>
  <c r="R3101" i="1"/>
  <c r="I3101" i="1"/>
  <c r="G3101" i="1"/>
  <c r="E3101" i="1"/>
  <c r="C3101" i="1"/>
  <c r="R3100" i="1"/>
  <c r="I3100" i="1"/>
  <c r="G3100" i="1"/>
  <c r="E3100" i="1"/>
  <c r="C3100" i="1"/>
  <c r="R3099" i="1"/>
  <c r="I3099" i="1"/>
  <c r="G3099" i="1"/>
  <c r="E3099" i="1"/>
  <c r="C3099" i="1"/>
  <c r="R3098" i="1"/>
  <c r="I3098" i="1"/>
  <c r="G3098" i="1"/>
  <c r="E3098" i="1"/>
  <c r="C3098" i="1"/>
  <c r="R3097" i="1"/>
  <c r="I3097" i="1"/>
  <c r="G3097" i="1"/>
  <c r="E3097" i="1"/>
  <c r="C3097" i="1"/>
  <c r="R3096" i="1"/>
  <c r="I3096" i="1"/>
  <c r="G3096" i="1"/>
  <c r="E3096" i="1"/>
  <c r="C3096" i="1"/>
  <c r="R3095" i="1"/>
  <c r="I3095" i="1"/>
  <c r="G3095" i="1"/>
  <c r="E3095" i="1"/>
  <c r="C3095" i="1"/>
  <c r="R3094" i="1"/>
  <c r="I3094" i="1"/>
  <c r="G3094" i="1"/>
  <c r="E3094" i="1"/>
  <c r="C3094" i="1"/>
  <c r="R3093" i="1"/>
  <c r="I3093" i="1"/>
  <c r="G3093" i="1"/>
  <c r="E3093" i="1"/>
  <c r="C3093" i="1"/>
  <c r="R3092" i="1"/>
  <c r="I3092" i="1"/>
  <c r="G3092" i="1"/>
  <c r="E3092" i="1"/>
  <c r="C3092" i="1"/>
  <c r="R3091" i="1"/>
  <c r="I3091" i="1"/>
  <c r="G3091" i="1"/>
  <c r="E3091" i="1"/>
  <c r="C3091" i="1"/>
  <c r="R3090" i="1"/>
  <c r="I3090" i="1"/>
  <c r="G3090" i="1"/>
  <c r="E3090" i="1"/>
  <c r="C3090" i="1"/>
  <c r="R3089" i="1"/>
  <c r="I3089" i="1"/>
  <c r="G3089" i="1"/>
  <c r="E3089" i="1"/>
  <c r="C3089" i="1"/>
  <c r="R3088" i="1"/>
  <c r="I3088" i="1"/>
  <c r="G3088" i="1"/>
  <c r="E3088" i="1"/>
  <c r="C3088" i="1"/>
  <c r="R3087" i="1"/>
  <c r="I3087" i="1"/>
  <c r="G3087" i="1"/>
  <c r="E3087" i="1"/>
  <c r="C3087" i="1"/>
  <c r="R3086" i="1"/>
  <c r="I3086" i="1"/>
  <c r="G3086" i="1"/>
  <c r="E3086" i="1"/>
  <c r="C3086" i="1"/>
  <c r="R3085" i="1"/>
  <c r="I3085" i="1"/>
  <c r="G3085" i="1"/>
  <c r="E3085" i="1"/>
  <c r="C3085" i="1"/>
  <c r="R3084" i="1"/>
  <c r="I3084" i="1"/>
  <c r="G3084" i="1"/>
  <c r="E3084" i="1"/>
  <c r="C3084" i="1"/>
  <c r="R3083" i="1"/>
  <c r="I3083" i="1"/>
  <c r="G3083" i="1"/>
  <c r="E3083" i="1"/>
  <c r="C3083" i="1"/>
  <c r="R3082" i="1"/>
  <c r="I3082" i="1"/>
  <c r="G3082" i="1"/>
  <c r="E3082" i="1"/>
  <c r="C3082" i="1"/>
  <c r="R3081" i="1"/>
  <c r="I3081" i="1"/>
  <c r="G3081" i="1"/>
  <c r="E3081" i="1"/>
  <c r="C3081" i="1"/>
  <c r="R3080" i="1"/>
  <c r="I3080" i="1"/>
  <c r="G3080" i="1"/>
  <c r="E3080" i="1"/>
  <c r="C3080" i="1"/>
  <c r="R3079" i="1"/>
  <c r="I3079" i="1"/>
  <c r="G3079" i="1"/>
  <c r="E3079" i="1"/>
  <c r="C3079" i="1"/>
  <c r="R3078" i="1"/>
  <c r="I3078" i="1"/>
  <c r="G3078" i="1"/>
  <c r="E3078" i="1"/>
  <c r="C3078" i="1"/>
  <c r="R3077" i="1"/>
  <c r="I3077" i="1"/>
  <c r="G3077" i="1"/>
  <c r="E3077" i="1"/>
  <c r="C3077" i="1"/>
  <c r="R3076" i="1"/>
  <c r="I3076" i="1"/>
  <c r="G3076" i="1"/>
  <c r="E3076" i="1"/>
  <c r="C3076" i="1"/>
  <c r="R3075" i="1"/>
  <c r="I3075" i="1"/>
  <c r="G3075" i="1"/>
  <c r="E3075" i="1"/>
  <c r="C3075" i="1"/>
  <c r="R3074" i="1"/>
  <c r="I3074" i="1"/>
  <c r="G3074" i="1"/>
  <c r="E3074" i="1"/>
  <c r="C3074" i="1"/>
  <c r="R3073" i="1"/>
  <c r="I3073" i="1"/>
  <c r="G3073" i="1"/>
  <c r="E3073" i="1"/>
  <c r="C3073" i="1"/>
  <c r="R3072" i="1"/>
  <c r="I3072" i="1"/>
  <c r="G3072" i="1"/>
  <c r="E3072" i="1"/>
  <c r="C3072" i="1"/>
  <c r="R3071" i="1"/>
  <c r="I3071" i="1"/>
  <c r="G3071" i="1"/>
  <c r="E3071" i="1"/>
  <c r="C3071" i="1"/>
  <c r="R3070" i="1"/>
  <c r="I3070" i="1"/>
  <c r="G3070" i="1"/>
  <c r="E3070" i="1"/>
  <c r="C3070" i="1"/>
  <c r="R3069" i="1"/>
  <c r="I3069" i="1"/>
  <c r="G3069" i="1"/>
  <c r="E3069" i="1"/>
  <c r="C3069" i="1"/>
  <c r="R3068" i="1"/>
  <c r="I3068" i="1"/>
  <c r="G3068" i="1"/>
  <c r="E3068" i="1"/>
  <c r="C3068" i="1"/>
  <c r="R3067" i="1"/>
  <c r="I3067" i="1"/>
  <c r="G3067" i="1"/>
  <c r="E3067" i="1"/>
  <c r="C3067" i="1"/>
  <c r="R3066" i="1"/>
  <c r="I3066" i="1"/>
  <c r="G3066" i="1"/>
  <c r="E3066" i="1"/>
  <c r="C3066" i="1"/>
  <c r="R3065" i="1"/>
  <c r="I3065" i="1"/>
  <c r="G3065" i="1"/>
  <c r="E3065" i="1"/>
  <c r="C3065" i="1"/>
  <c r="R3064" i="1"/>
  <c r="I3064" i="1"/>
  <c r="G3064" i="1"/>
  <c r="E3064" i="1"/>
  <c r="C3064" i="1"/>
  <c r="R3063" i="1"/>
  <c r="I3063" i="1"/>
  <c r="G3063" i="1"/>
  <c r="E3063" i="1"/>
  <c r="C3063" i="1"/>
  <c r="R3062" i="1"/>
  <c r="I3062" i="1"/>
  <c r="G3062" i="1"/>
  <c r="E3062" i="1"/>
  <c r="C3062" i="1"/>
  <c r="R3061" i="1"/>
  <c r="I3061" i="1"/>
  <c r="G3061" i="1"/>
  <c r="E3061" i="1"/>
  <c r="C3061" i="1"/>
  <c r="R3060" i="1"/>
  <c r="I3060" i="1"/>
  <c r="G3060" i="1"/>
  <c r="E3060" i="1"/>
  <c r="C3060" i="1"/>
  <c r="R3059" i="1"/>
  <c r="I3059" i="1"/>
  <c r="G3059" i="1"/>
  <c r="E3059" i="1"/>
  <c r="C3059" i="1"/>
  <c r="R3058" i="1"/>
  <c r="I3058" i="1"/>
  <c r="G3058" i="1"/>
  <c r="E3058" i="1"/>
  <c r="C3058" i="1"/>
  <c r="R3057" i="1"/>
  <c r="I3057" i="1"/>
  <c r="G3057" i="1"/>
  <c r="E3057" i="1"/>
  <c r="C3057" i="1"/>
  <c r="R3056" i="1"/>
  <c r="I3056" i="1"/>
  <c r="G3056" i="1"/>
  <c r="E3056" i="1"/>
  <c r="C3056" i="1"/>
  <c r="R3055" i="1"/>
  <c r="I3055" i="1"/>
  <c r="G3055" i="1"/>
  <c r="E3055" i="1"/>
  <c r="C3055" i="1"/>
  <c r="R3054" i="1"/>
  <c r="I3054" i="1"/>
  <c r="G3054" i="1"/>
  <c r="E3054" i="1"/>
  <c r="C3054" i="1"/>
  <c r="R3053" i="1"/>
  <c r="I3053" i="1"/>
  <c r="G3053" i="1"/>
  <c r="E3053" i="1"/>
  <c r="C3053" i="1"/>
  <c r="R3052" i="1"/>
  <c r="I3052" i="1"/>
  <c r="G3052" i="1"/>
  <c r="E3052" i="1"/>
  <c r="C3052" i="1"/>
  <c r="R3051" i="1"/>
  <c r="I3051" i="1"/>
  <c r="G3051" i="1"/>
  <c r="E3051" i="1"/>
  <c r="C3051" i="1"/>
  <c r="R3050" i="1"/>
  <c r="I3050" i="1"/>
  <c r="G3050" i="1"/>
  <c r="E3050" i="1"/>
  <c r="C3050" i="1"/>
  <c r="R3049" i="1"/>
  <c r="I3049" i="1"/>
  <c r="G3049" i="1"/>
  <c r="E3049" i="1"/>
  <c r="C3049" i="1"/>
  <c r="R3048" i="1"/>
  <c r="I3048" i="1"/>
  <c r="G3048" i="1"/>
  <c r="E3048" i="1"/>
  <c r="C3048" i="1"/>
  <c r="R3047" i="1"/>
  <c r="I3047" i="1"/>
  <c r="G3047" i="1"/>
  <c r="E3047" i="1"/>
  <c r="C3047" i="1"/>
  <c r="R3046" i="1"/>
  <c r="I3046" i="1"/>
  <c r="G3046" i="1"/>
  <c r="E3046" i="1"/>
  <c r="C3046" i="1"/>
  <c r="R3045" i="1"/>
  <c r="I3045" i="1"/>
  <c r="G3045" i="1"/>
  <c r="E3045" i="1"/>
  <c r="C3045" i="1"/>
  <c r="R3044" i="1"/>
  <c r="I3044" i="1"/>
  <c r="G3044" i="1"/>
  <c r="E3044" i="1"/>
  <c r="C3044" i="1"/>
  <c r="R3043" i="1"/>
  <c r="I3043" i="1"/>
  <c r="G3043" i="1"/>
  <c r="E3043" i="1"/>
  <c r="C3043" i="1"/>
  <c r="R3042" i="1"/>
  <c r="I3042" i="1"/>
  <c r="G3042" i="1"/>
  <c r="E3042" i="1"/>
  <c r="C3042" i="1"/>
  <c r="R3041" i="1"/>
  <c r="I3041" i="1"/>
  <c r="G3041" i="1"/>
  <c r="E3041" i="1"/>
  <c r="C3041" i="1"/>
  <c r="R3040" i="1"/>
  <c r="I3040" i="1"/>
  <c r="G3040" i="1"/>
  <c r="E3040" i="1"/>
  <c r="C3040" i="1"/>
  <c r="R3039" i="1"/>
  <c r="I3039" i="1"/>
  <c r="G3039" i="1"/>
  <c r="E3039" i="1"/>
  <c r="C3039" i="1"/>
  <c r="R3038" i="1"/>
  <c r="I3038" i="1"/>
  <c r="G3038" i="1"/>
  <c r="E3038" i="1"/>
  <c r="C3038" i="1"/>
  <c r="R3037" i="1"/>
  <c r="I3037" i="1"/>
  <c r="G3037" i="1"/>
  <c r="E3037" i="1"/>
  <c r="C3037" i="1"/>
  <c r="R3036" i="1"/>
  <c r="I3036" i="1"/>
  <c r="G3036" i="1"/>
  <c r="E3036" i="1"/>
  <c r="C3036" i="1"/>
  <c r="R3035" i="1"/>
  <c r="I3035" i="1"/>
  <c r="G3035" i="1"/>
  <c r="E3035" i="1"/>
  <c r="C3035" i="1"/>
  <c r="R3034" i="1"/>
  <c r="I3034" i="1"/>
  <c r="G3034" i="1"/>
  <c r="E3034" i="1"/>
  <c r="C3034" i="1"/>
  <c r="R3033" i="1"/>
  <c r="I3033" i="1"/>
  <c r="G3033" i="1"/>
  <c r="E3033" i="1"/>
  <c r="C3033" i="1"/>
  <c r="R3032" i="1"/>
  <c r="I3032" i="1"/>
  <c r="G3032" i="1"/>
  <c r="E3032" i="1"/>
  <c r="C3032" i="1"/>
  <c r="R3031" i="1"/>
  <c r="I3031" i="1"/>
  <c r="G3031" i="1"/>
  <c r="E3031" i="1"/>
  <c r="C3031" i="1"/>
  <c r="R3030" i="1"/>
  <c r="I3030" i="1"/>
  <c r="G3030" i="1"/>
  <c r="E3030" i="1"/>
  <c r="C3030" i="1"/>
  <c r="R3029" i="1"/>
  <c r="I3029" i="1"/>
  <c r="G3029" i="1"/>
  <c r="E3029" i="1"/>
  <c r="C3029" i="1"/>
  <c r="R3028" i="1"/>
  <c r="I3028" i="1"/>
  <c r="G3028" i="1"/>
  <c r="E3028" i="1"/>
  <c r="C3028" i="1"/>
  <c r="R3027" i="1"/>
  <c r="I3027" i="1"/>
  <c r="G3027" i="1"/>
  <c r="E3027" i="1"/>
  <c r="C3027" i="1"/>
  <c r="R3026" i="1"/>
  <c r="I3026" i="1"/>
  <c r="G3026" i="1"/>
  <c r="E3026" i="1"/>
  <c r="C3026" i="1"/>
  <c r="R3025" i="1"/>
  <c r="I3025" i="1"/>
  <c r="G3025" i="1"/>
  <c r="E3025" i="1"/>
  <c r="C3025" i="1"/>
  <c r="R3024" i="1"/>
  <c r="I3024" i="1"/>
  <c r="G3024" i="1"/>
  <c r="E3024" i="1"/>
  <c r="C3024" i="1"/>
  <c r="R3023" i="1"/>
  <c r="I3023" i="1"/>
  <c r="G3023" i="1"/>
  <c r="E3023" i="1"/>
  <c r="C3023" i="1"/>
  <c r="R3022" i="1"/>
  <c r="I3022" i="1"/>
  <c r="G3022" i="1"/>
  <c r="E3022" i="1"/>
  <c r="C3022" i="1"/>
  <c r="R3021" i="1"/>
  <c r="I3021" i="1"/>
  <c r="G3021" i="1"/>
  <c r="E3021" i="1"/>
  <c r="C3021" i="1"/>
  <c r="R3020" i="1"/>
  <c r="I3020" i="1"/>
  <c r="G3020" i="1"/>
  <c r="E3020" i="1"/>
  <c r="C3020" i="1"/>
  <c r="R3019" i="1"/>
  <c r="I3019" i="1"/>
  <c r="G3019" i="1"/>
  <c r="E3019" i="1"/>
  <c r="C3019" i="1"/>
  <c r="R3018" i="1"/>
  <c r="I3018" i="1"/>
  <c r="G3018" i="1"/>
  <c r="E3018" i="1"/>
  <c r="C3018" i="1"/>
  <c r="R3017" i="1"/>
  <c r="I3017" i="1"/>
  <c r="G3017" i="1"/>
  <c r="E3017" i="1"/>
  <c r="C3017" i="1"/>
  <c r="R3016" i="1"/>
  <c r="I3016" i="1"/>
  <c r="G3016" i="1"/>
  <c r="E3016" i="1"/>
  <c r="C3016" i="1"/>
  <c r="R3015" i="1"/>
  <c r="I3015" i="1"/>
  <c r="G3015" i="1"/>
  <c r="E3015" i="1"/>
  <c r="C3015" i="1"/>
  <c r="R3014" i="1"/>
  <c r="I3014" i="1"/>
  <c r="G3014" i="1"/>
  <c r="E3014" i="1"/>
  <c r="C3014" i="1"/>
  <c r="R3013" i="1"/>
  <c r="I3013" i="1"/>
  <c r="G3013" i="1"/>
  <c r="E3013" i="1"/>
  <c r="C3013" i="1"/>
  <c r="R3012" i="1"/>
  <c r="I3012" i="1"/>
  <c r="G3012" i="1"/>
  <c r="E3012" i="1"/>
  <c r="C3012" i="1"/>
  <c r="R3011" i="1"/>
  <c r="I3011" i="1"/>
  <c r="G3011" i="1"/>
  <c r="E3011" i="1"/>
  <c r="C3011" i="1"/>
  <c r="R3010" i="1"/>
  <c r="I3010" i="1"/>
  <c r="G3010" i="1"/>
  <c r="E3010" i="1"/>
  <c r="C3010" i="1"/>
  <c r="R3009" i="1"/>
  <c r="I3009" i="1"/>
  <c r="G3009" i="1"/>
  <c r="E3009" i="1"/>
  <c r="C3009" i="1"/>
  <c r="R3008" i="1"/>
  <c r="I3008" i="1"/>
  <c r="G3008" i="1"/>
  <c r="E3008" i="1"/>
  <c r="C3008" i="1"/>
  <c r="R3007" i="1"/>
  <c r="I3007" i="1"/>
  <c r="G3007" i="1"/>
  <c r="E3007" i="1"/>
  <c r="C3007" i="1"/>
  <c r="R3006" i="1"/>
  <c r="I3006" i="1"/>
  <c r="G3006" i="1"/>
  <c r="E3006" i="1"/>
  <c r="C3006" i="1"/>
  <c r="R3005" i="1"/>
  <c r="I3005" i="1"/>
  <c r="G3005" i="1"/>
  <c r="E3005" i="1"/>
  <c r="C3005" i="1"/>
  <c r="R3004" i="1"/>
  <c r="I3004" i="1"/>
  <c r="G3004" i="1"/>
  <c r="E3004" i="1"/>
  <c r="C3004" i="1"/>
  <c r="R3003" i="1"/>
  <c r="I3003" i="1"/>
  <c r="G3003" i="1"/>
  <c r="E3003" i="1"/>
  <c r="C3003" i="1"/>
  <c r="R3002" i="1"/>
  <c r="I3002" i="1"/>
  <c r="G3002" i="1"/>
  <c r="E3002" i="1"/>
  <c r="C3002" i="1"/>
  <c r="R3001" i="1"/>
  <c r="I3001" i="1"/>
  <c r="G3001" i="1"/>
  <c r="E3001" i="1"/>
  <c r="C3001" i="1"/>
  <c r="R3000" i="1"/>
  <c r="I3000" i="1"/>
  <c r="G3000" i="1"/>
  <c r="E3000" i="1"/>
  <c r="C3000" i="1"/>
  <c r="R2999" i="1"/>
  <c r="I2999" i="1"/>
  <c r="G2999" i="1"/>
  <c r="E2999" i="1"/>
  <c r="C2999" i="1"/>
  <c r="R2998" i="1"/>
  <c r="I2998" i="1"/>
  <c r="G2998" i="1"/>
  <c r="E2998" i="1"/>
  <c r="C2998" i="1"/>
  <c r="R2997" i="1"/>
  <c r="I2997" i="1"/>
  <c r="G2997" i="1"/>
  <c r="E2997" i="1"/>
  <c r="C2997" i="1"/>
  <c r="R2996" i="1"/>
  <c r="I2996" i="1"/>
  <c r="G2996" i="1"/>
  <c r="E2996" i="1"/>
  <c r="C2996" i="1"/>
  <c r="R2995" i="1"/>
  <c r="I2995" i="1"/>
  <c r="G2995" i="1"/>
  <c r="E2995" i="1"/>
  <c r="C2995" i="1"/>
  <c r="R2994" i="1"/>
  <c r="I2994" i="1"/>
  <c r="G2994" i="1"/>
  <c r="E2994" i="1"/>
  <c r="C2994" i="1"/>
  <c r="R2993" i="1"/>
  <c r="I2993" i="1"/>
  <c r="G2993" i="1"/>
  <c r="E2993" i="1"/>
  <c r="C2993" i="1"/>
  <c r="R2992" i="1"/>
  <c r="I2992" i="1"/>
  <c r="G2992" i="1"/>
  <c r="E2992" i="1"/>
  <c r="C2992" i="1"/>
  <c r="R2991" i="1"/>
  <c r="I2991" i="1"/>
  <c r="G2991" i="1"/>
  <c r="E2991" i="1"/>
  <c r="C2991" i="1"/>
  <c r="R2990" i="1"/>
  <c r="I2990" i="1"/>
  <c r="G2990" i="1"/>
  <c r="E2990" i="1"/>
  <c r="C2990" i="1"/>
  <c r="R2989" i="1"/>
  <c r="I2989" i="1"/>
  <c r="G2989" i="1"/>
  <c r="E2989" i="1"/>
  <c r="C2989" i="1"/>
  <c r="R2988" i="1"/>
  <c r="I2988" i="1"/>
  <c r="G2988" i="1"/>
  <c r="E2988" i="1"/>
  <c r="C2988" i="1"/>
  <c r="R2987" i="1"/>
  <c r="I2987" i="1"/>
  <c r="G2987" i="1"/>
  <c r="E2987" i="1"/>
  <c r="C2987" i="1"/>
  <c r="R2986" i="1"/>
  <c r="I2986" i="1"/>
  <c r="G2986" i="1"/>
  <c r="E2986" i="1"/>
  <c r="C2986" i="1"/>
  <c r="R2985" i="1"/>
  <c r="I2985" i="1"/>
  <c r="G2985" i="1"/>
  <c r="E2985" i="1"/>
  <c r="C2985" i="1"/>
  <c r="R2984" i="1"/>
  <c r="I2984" i="1"/>
  <c r="G2984" i="1"/>
  <c r="E2984" i="1"/>
  <c r="C2984" i="1"/>
  <c r="R2983" i="1"/>
  <c r="I2983" i="1"/>
  <c r="G2983" i="1"/>
  <c r="E2983" i="1"/>
  <c r="C2983" i="1"/>
  <c r="R2982" i="1"/>
  <c r="I2982" i="1"/>
  <c r="G2982" i="1"/>
  <c r="E2982" i="1"/>
  <c r="C2982" i="1"/>
  <c r="R2981" i="1"/>
  <c r="I2981" i="1"/>
  <c r="G2981" i="1"/>
  <c r="E2981" i="1"/>
  <c r="C2981" i="1"/>
  <c r="R2980" i="1"/>
  <c r="I2980" i="1"/>
  <c r="G2980" i="1"/>
  <c r="E2980" i="1"/>
  <c r="C2980" i="1"/>
  <c r="R2979" i="1"/>
  <c r="I2979" i="1"/>
  <c r="G2979" i="1"/>
  <c r="E2979" i="1"/>
  <c r="C2979" i="1"/>
  <c r="R2978" i="1"/>
  <c r="I2978" i="1"/>
  <c r="G2978" i="1"/>
  <c r="E2978" i="1"/>
  <c r="C2978" i="1"/>
  <c r="R2977" i="1"/>
  <c r="I2977" i="1"/>
  <c r="G2977" i="1"/>
  <c r="E2977" i="1"/>
  <c r="C2977" i="1"/>
  <c r="R2976" i="1"/>
  <c r="I2976" i="1"/>
  <c r="G2976" i="1"/>
  <c r="E2976" i="1"/>
  <c r="C2976" i="1"/>
  <c r="R2975" i="1"/>
  <c r="I2975" i="1"/>
  <c r="G2975" i="1"/>
  <c r="E2975" i="1"/>
  <c r="C2975" i="1"/>
  <c r="R2974" i="1"/>
  <c r="I2974" i="1"/>
  <c r="G2974" i="1"/>
  <c r="E2974" i="1"/>
  <c r="C2974" i="1"/>
  <c r="R2973" i="1"/>
  <c r="I2973" i="1"/>
  <c r="G2973" i="1"/>
  <c r="E2973" i="1"/>
  <c r="C2973" i="1"/>
  <c r="R2972" i="1"/>
  <c r="I2972" i="1"/>
  <c r="G2972" i="1"/>
  <c r="E2972" i="1"/>
  <c r="C2972" i="1"/>
  <c r="R2971" i="1"/>
  <c r="I2971" i="1"/>
  <c r="G2971" i="1"/>
  <c r="E2971" i="1"/>
  <c r="C2971" i="1"/>
  <c r="R2970" i="1"/>
  <c r="I2970" i="1"/>
  <c r="G2970" i="1"/>
  <c r="E2970" i="1"/>
  <c r="C2970" i="1"/>
  <c r="R2969" i="1"/>
  <c r="I2969" i="1"/>
  <c r="G2969" i="1"/>
  <c r="E2969" i="1"/>
  <c r="C2969" i="1"/>
  <c r="R2968" i="1"/>
  <c r="I2968" i="1"/>
  <c r="G2968" i="1"/>
  <c r="E2968" i="1"/>
  <c r="C2968" i="1"/>
  <c r="R2967" i="1"/>
  <c r="I2967" i="1"/>
  <c r="G2967" i="1"/>
  <c r="E2967" i="1"/>
  <c r="C2967" i="1"/>
  <c r="R2966" i="1"/>
  <c r="I2966" i="1"/>
  <c r="G2966" i="1"/>
  <c r="E2966" i="1"/>
  <c r="C2966" i="1"/>
  <c r="R2965" i="1"/>
  <c r="I2965" i="1"/>
  <c r="G2965" i="1"/>
  <c r="E2965" i="1"/>
  <c r="C2965" i="1"/>
  <c r="R2964" i="1"/>
  <c r="I2964" i="1"/>
  <c r="G2964" i="1"/>
  <c r="E2964" i="1"/>
  <c r="C2964" i="1"/>
  <c r="R2963" i="1"/>
  <c r="I2963" i="1"/>
  <c r="G2963" i="1"/>
  <c r="E2963" i="1"/>
  <c r="C2963" i="1"/>
  <c r="R2962" i="1"/>
  <c r="I2962" i="1"/>
  <c r="G2962" i="1"/>
  <c r="E2962" i="1"/>
  <c r="C2962" i="1"/>
  <c r="R2961" i="1"/>
  <c r="I2961" i="1"/>
  <c r="G2961" i="1"/>
  <c r="E2961" i="1"/>
  <c r="C2961" i="1"/>
  <c r="R2960" i="1"/>
  <c r="I2960" i="1"/>
  <c r="G2960" i="1"/>
  <c r="E2960" i="1"/>
  <c r="C2960" i="1"/>
  <c r="R2959" i="1"/>
  <c r="I2959" i="1"/>
  <c r="G2959" i="1"/>
  <c r="E2959" i="1"/>
  <c r="C2959" i="1"/>
  <c r="R2958" i="1"/>
  <c r="I2958" i="1"/>
  <c r="G2958" i="1"/>
  <c r="E2958" i="1"/>
  <c r="C2958" i="1"/>
  <c r="R2957" i="1"/>
  <c r="I2957" i="1"/>
  <c r="G2957" i="1"/>
  <c r="E2957" i="1"/>
  <c r="C2957" i="1"/>
  <c r="R2956" i="1"/>
  <c r="I2956" i="1"/>
  <c r="G2956" i="1"/>
  <c r="E2956" i="1"/>
  <c r="C2956" i="1"/>
  <c r="R2955" i="1"/>
  <c r="I2955" i="1"/>
  <c r="G2955" i="1"/>
  <c r="E2955" i="1"/>
  <c r="C2955" i="1"/>
  <c r="R2954" i="1"/>
  <c r="I2954" i="1"/>
  <c r="G2954" i="1"/>
  <c r="E2954" i="1"/>
  <c r="C2954" i="1"/>
  <c r="R2953" i="1"/>
  <c r="I2953" i="1"/>
  <c r="G2953" i="1"/>
  <c r="E2953" i="1"/>
  <c r="C2953" i="1"/>
  <c r="R2952" i="1"/>
  <c r="I2952" i="1"/>
  <c r="G2952" i="1"/>
  <c r="E2952" i="1"/>
  <c r="C2952" i="1"/>
  <c r="R2951" i="1"/>
  <c r="I2951" i="1"/>
  <c r="G2951" i="1"/>
  <c r="E2951" i="1"/>
  <c r="C2951" i="1"/>
  <c r="R2950" i="1"/>
  <c r="I2950" i="1"/>
  <c r="G2950" i="1"/>
  <c r="E2950" i="1"/>
  <c r="C2950" i="1"/>
  <c r="R2949" i="1"/>
  <c r="I2949" i="1"/>
  <c r="G2949" i="1"/>
  <c r="E2949" i="1"/>
  <c r="C2949" i="1"/>
  <c r="R2948" i="1"/>
  <c r="I2948" i="1"/>
  <c r="G2948" i="1"/>
  <c r="E2948" i="1"/>
  <c r="C2948" i="1"/>
  <c r="R2947" i="1"/>
  <c r="I2947" i="1"/>
  <c r="G2947" i="1"/>
  <c r="E2947" i="1"/>
  <c r="C2947" i="1"/>
  <c r="R2946" i="1"/>
  <c r="I2946" i="1"/>
  <c r="G2946" i="1"/>
  <c r="E2946" i="1"/>
  <c r="C2946" i="1"/>
  <c r="R2945" i="1"/>
  <c r="I2945" i="1"/>
  <c r="G2945" i="1"/>
  <c r="E2945" i="1"/>
  <c r="C2945" i="1"/>
  <c r="R2944" i="1"/>
  <c r="I2944" i="1"/>
  <c r="G2944" i="1"/>
  <c r="E2944" i="1"/>
  <c r="C2944" i="1"/>
  <c r="R2943" i="1"/>
  <c r="I2943" i="1"/>
  <c r="G2943" i="1"/>
  <c r="E2943" i="1"/>
  <c r="C2943" i="1"/>
  <c r="R2942" i="1"/>
  <c r="I2942" i="1"/>
  <c r="G2942" i="1"/>
  <c r="E2942" i="1"/>
  <c r="C2942" i="1"/>
  <c r="R2941" i="1"/>
  <c r="I2941" i="1"/>
  <c r="G2941" i="1"/>
  <c r="E2941" i="1"/>
  <c r="C2941" i="1"/>
  <c r="R2940" i="1"/>
  <c r="I2940" i="1"/>
  <c r="G2940" i="1"/>
  <c r="E2940" i="1"/>
  <c r="C2940" i="1"/>
  <c r="R2939" i="1"/>
  <c r="I2939" i="1"/>
  <c r="G2939" i="1"/>
  <c r="E2939" i="1"/>
  <c r="C2939" i="1"/>
  <c r="R2938" i="1"/>
  <c r="I2938" i="1"/>
  <c r="G2938" i="1"/>
  <c r="E2938" i="1"/>
  <c r="C2938" i="1"/>
  <c r="R2937" i="1"/>
  <c r="I2937" i="1"/>
  <c r="G2937" i="1"/>
  <c r="E2937" i="1"/>
  <c r="C2937" i="1"/>
  <c r="R2936" i="1"/>
  <c r="I2936" i="1"/>
  <c r="G2936" i="1"/>
  <c r="E2936" i="1"/>
  <c r="C2936" i="1"/>
  <c r="R2935" i="1"/>
  <c r="I2935" i="1"/>
  <c r="G2935" i="1"/>
  <c r="E2935" i="1"/>
  <c r="C2935" i="1"/>
  <c r="R2934" i="1"/>
  <c r="I2934" i="1"/>
  <c r="G2934" i="1"/>
  <c r="E2934" i="1"/>
  <c r="C2934" i="1"/>
  <c r="R2933" i="1"/>
  <c r="I2933" i="1"/>
  <c r="G2933" i="1"/>
  <c r="E2933" i="1"/>
  <c r="C2933" i="1"/>
  <c r="R2932" i="1"/>
  <c r="I2932" i="1"/>
  <c r="G2932" i="1"/>
  <c r="E2932" i="1"/>
  <c r="C2932" i="1"/>
  <c r="R2931" i="1"/>
  <c r="I2931" i="1"/>
  <c r="G2931" i="1"/>
  <c r="E2931" i="1"/>
  <c r="C2931" i="1"/>
  <c r="R2930" i="1"/>
  <c r="I2930" i="1"/>
  <c r="G2930" i="1"/>
  <c r="E2930" i="1"/>
  <c r="C2930" i="1"/>
  <c r="R2929" i="1"/>
  <c r="I2929" i="1"/>
  <c r="G2929" i="1"/>
  <c r="E2929" i="1"/>
  <c r="C2929" i="1"/>
  <c r="R2928" i="1"/>
  <c r="I2928" i="1"/>
  <c r="G2928" i="1"/>
  <c r="E2928" i="1"/>
  <c r="C2928" i="1"/>
  <c r="R2927" i="1"/>
  <c r="I2927" i="1"/>
  <c r="G2927" i="1"/>
  <c r="E2927" i="1"/>
  <c r="C2927" i="1"/>
  <c r="R2926" i="1"/>
  <c r="I2926" i="1"/>
  <c r="G2926" i="1"/>
  <c r="E2926" i="1"/>
  <c r="C2926" i="1"/>
  <c r="R2925" i="1"/>
  <c r="I2925" i="1"/>
  <c r="G2925" i="1"/>
  <c r="E2925" i="1"/>
  <c r="C2925" i="1"/>
  <c r="R2924" i="1"/>
  <c r="I2924" i="1"/>
  <c r="G2924" i="1"/>
  <c r="E2924" i="1"/>
  <c r="C2924" i="1"/>
  <c r="R2923" i="1"/>
  <c r="I2923" i="1"/>
  <c r="G2923" i="1"/>
  <c r="E2923" i="1"/>
  <c r="C2923" i="1"/>
  <c r="R2922" i="1"/>
  <c r="I2922" i="1"/>
  <c r="G2922" i="1"/>
  <c r="E2922" i="1"/>
  <c r="C2922" i="1"/>
  <c r="R2921" i="1"/>
  <c r="I2921" i="1"/>
  <c r="G2921" i="1"/>
  <c r="E2921" i="1"/>
  <c r="C2921" i="1"/>
  <c r="R2920" i="1"/>
  <c r="I2920" i="1"/>
  <c r="G2920" i="1"/>
  <c r="E2920" i="1"/>
  <c r="C2920" i="1"/>
  <c r="R2919" i="1"/>
  <c r="I2919" i="1"/>
  <c r="G2919" i="1"/>
  <c r="E2919" i="1"/>
  <c r="C2919" i="1"/>
  <c r="R2918" i="1"/>
  <c r="I2918" i="1"/>
  <c r="G2918" i="1"/>
  <c r="E2918" i="1"/>
  <c r="C2918" i="1"/>
  <c r="R2917" i="1"/>
  <c r="I2917" i="1"/>
  <c r="G2917" i="1"/>
  <c r="E2917" i="1"/>
  <c r="C2917" i="1"/>
  <c r="R2916" i="1"/>
  <c r="I2916" i="1"/>
  <c r="G2916" i="1"/>
  <c r="E2916" i="1"/>
  <c r="C2916" i="1"/>
  <c r="R2915" i="1"/>
  <c r="I2915" i="1"/>
  <c r="G2915" i="1"/>
  <c r="E2915" i="1"/>
  <c r="C2915" i="1"/>
  <c r="R2914" i="1"/>
  <c r="I2914" i="1"/>
  <c r="G2914" i="1"/>
  <c r="E2914" i="1"/>
  <c r="C2914" i="1"/>
  <c r="R2913" i="1"/>
  <c r="I2913" i="1"/>
  <c r="G2913" i="1"/>
  <c r="E2913" i="1"/>
  <c r="C2913" i="1"/>
  <c r="R2912" i="1"/>
  <c r="I2912" i="1"/>
  <c r="G2912" i="1"/>
  <c r="E2912" i="1"/>
  <c r="C2912" i="1"/>
  <c r="R2911" i="1"/>
  <c r="I2911" i="1"/>
  <c r="G2911" i="1"/>
  <c r="E2911" i="1"/>
  <c r="C2911" i="1"/>
  <c r="R2910" i="1"/>
  <c r="I2910" i="1"/>
  <c r="G2910" i="1"/>
  <c r="E2910" i="1"/>
  <c r="C2910" i="1"/>
  <c r="R2909" i="1"/>
  <c r="I2909" i="1"/>
  <c r="G2909" i="1"/>
  <c r="E2909" i="1"/>
  <c r="C2909" i="1"/>
  <c r="R2908" i="1"/>
  <c r="I2908" i="1"/>
  <c r="G2908" i="1"/>
  <c r="E2908" i="1"/>
  <c r="C2908" i="1"/>
  <c r="R2907" i="1"/>
  <c r="I2907" i="1"/>
  <c r="G2907" i="1"/>
  <c r="E2907" i="1"/>
  <c r="C2907" i="1"/>
  <c r="R2906" i="1"/>
  <c r="I2906" i="1"/>
  <c r="G2906" i="1"/>
  <c r="E2906" i="1"/>
  <c r="C2906" i="1"/>
  <c r="R2905" i="1"/>
  <c r="I2905" i="1"/>
  <c r="G2905" i="1"/>
  <c r="E2905" i="1"/>
  <c r="C2905" i="1"/>
  <c r="R2904" i="1"/>
  <c r="I2904" i="1"/>
  <c r="G2904" i="1"/>
  <c r="E2904" i="1"/>
  <c r="C2904" i="1"/>
  <c r="R2903" i="1"/>
  <c r="I2903" i="1"/>
  <c r="G2903" i="1"/>
  <c r="E2903" i="1"/>
  <c r="C2903" i="1"/>
  <c r="R2902" i="1"/>
  <c r="I2902" i="1"/>
  <c r="G2902" i="1"/>
  <c r="E2902" i="1"/>
  <c r="C2902" i="1"/>
  <c r="R2901" i="1"/>
  <c r="I2901" i="1"/>
  <c r="G2901" i="1"/>
  <c r="E2901" i="1"/>
  <c r="C2901" i="1"/>
  <c r="R2900" i="1"/>
  <c r="I2900" i="1"/>
  <c r="G2900" i="1"/>
  <c r="E2900" i="1"/>
  <c r="C2900" i="1"/>
  <c r="R2899" i="1"/>
  <c r="I2899" i="1"/>
  <c r="G2899" i="1"/>
  <c r="E2899" i="1"/>
  <c r="C2899" i="1"/>
  <c r="R2898" i="1"/>
  <c r="I2898" i="1"/>
  <c r="G2898" i="1"/>
  <c r="E2898" i="1"/>
  <c r="C2898" i="1"/>
  <c r="R2897" i="1"/>
  <c r="I2897" i="1"/>
  <c r="G2897" i="1"/>
  <c r="E2897" i="1"/>
  <c r="C2897" i="1"/>
  <c r="R2896" i="1"/>
  <c r="I2896" i="1"/>
  <c r="G2896" i="1"/>
  <c r="E2896" i="1"/>
  <c r="C2896" i="1"/>
  <c r="R2895" i="1"/>
  <c r="I2895" i="1"/>
  <c r="G2895" i="1"/>
  <c r="E2895" i="1"/>
  <c r="C2895" i="1"/>
  <c r="R2894" i="1"/>
  <c r="I2894" i="1"/>
  <c r="G2894" i="1"/>
  <c r="E2894" i="1"/>
  <c r="C2894" i="1"/>
  <c r="R2893" i="1"/>
  <c r="I2893" i="1"/>
  <c r="G2893" i="1"/>
  <c r="E2893" i="1"/>
  <c r="C2893" i="1"/>
  <c r="R2892" i="1"/>
  <c r="I2892" i="1"/>
  <c r="G2892" i="1"/>
  <c r="E2892" i="1"/>
  <c r="C2892" i="1"/>
  <c r="R2891" i="1"/>
  <c r="I2891" i="1"/>
  <c r="G2891" i="1"/>
  <c r="E2891" i="1"/>
  <c r="C2891" i="1"/>
  <c r="R2890" i="1"/>
  <c r="I2890" i="1"/>
  <c r="G2890" i="1"/>
  <c r="E2890" i="1"/>
  <c r="C2890" i="1"/>
  <c r="R2889" i="1"/>
  <c r="I2889" i="1"/>
  <c r="G2889" i="1"/>
  <c r="E2889" i="1"/>
  <c r="C2889" i="1"/>
  <c r="R2888" i="1"/>
  <c r="I2888" i="1"/>
  <c r="G2888" i="1"/>
  <c r="E2888" i="1"/>
  <c r="C2888" i="1"/>
  <c r="R2887" i="1"/>
  <c r="I2887" i="1"/>
  <c r="G2887" i="1"/>
  <c r="E2887" i="1"/>
  <c r="C2887" i="1"/>
  <c r="R2886" i="1"/>
  <c r="I2886" i="1"/>
  <c r="G2886" i="1"/>
  <c r="E2886" i="1"/>
  <c r="C2886" i="1"/>
  <c r="R2885" i="1"/>
  <c r="I2885" i="1"/>
  <c r="G2885" i="1"/>
  <c r="E2885" i="1"/>
  <c r="C2885" i="1"/>
  <c r="R2884" i="1"/>
  <c r="I2884" i="1"/>
  <c r="G2884" i="1"/>
  <c r="E2884" i="1"/>
  <c r="C2884" i="1"/>
  <c r="R2883" i="1"/>
  <c r="I2883" i="1"/>
  <c r="G2883" i="1"/>
  <c r="E2883" i="1"/>
  <c r="C2883" i="1"/>
  <c r="R2882" i="1"/>
  <c r="I2882" i="1"/>
  <c r="G2882" i="1"/>
  <c r="E2882" i="1"/>
  <c r="C2882" i="1"/>
  <c r="R2881" i="1"/>
  <c r="I2881" i="1"/>
  <c r="G2881" i="1"/>
  <c r="E2881" i="1"/>
  <c r="C2881" i="1"/>
  <c r="R2880" i="1"/>
  <c r="I2880" i="1"/>
  <c r="G2880" i="1"/>
  <c r="E2880" i="1"/>
  <c r="C2880" i="1"/>
  <c r="R2879" i="1"/>
  <c r="I2879" i="1"/>
  <c r="G2879" i="1"/>
  <c r="E2879" i="1"/>
  <c r="C2879" i="1"/>
  <c r="R2878" i="1"/>
  <c r="I2878" i="1"/>
  <c r="G2878" i="1"/>
  <c r="E2878" i="1"/>
  <c r="C2878" i="1"/>
  <c r="R2877" i="1"/>
  <c r="I2877" i="1"/>
  <c r="G2877" i="1"/>
  <c r="E2877" i="1"/>
  <c r="C2877" i="1"/>
  <c r="R2876" i="1"/>
  <c r="I2876" i="1"/>
  <c r="G2876" i="1"/>
  <c r="E2876" i="1"/>
  <c r="C2876" i="1"/>
  <c r="R2875" i="1"/>
  <c r="I2875" i="1"/>
  <c r="G2875" i="1"/>
  <c r="E2875" i="1"/>
  <c r="C2875" i="1"/>
  <c r="R2874" i="1"/>
  <c r="I2874" i="1"/>
  <c r="G2874" i="1"/>
  <c r="E2874" i="1"/>
  <c r="C2874" i="1"/>
  <c r="R2873" i="1"/>
  <c r="I2873" i="1"/>
  <c r="G2873" i="1"/>
  <c r="E2873" i="1"/>
  <c r="C2873" i="1"/>
  <c r="R2872" i="1"/>
  <c r="I2872" i="1"/>
  <c r="G2872" i="1"/>
  <c r="E2872" i="1"/>
  <c r="C2872" i="1"/>
  <c r="R2871" i="1"/>
  <c r="I2871" i="1"/>
  <c r="G2871" i="1"/>
  <c r="E2871" i="1"/>
  <c r="C2871" i="1"/>
  <c r="R2870" i="1"/>
  <c r="I2870" i="1"/>
  <c r="G2870" i="1"/>
  <c r="E2870" i="1"/>
  <c r="C2870" i="1"/>
  <c r="R2869" i="1"/>
  <c r="I2869" i="1"/>
  <c r="G2869" i="1"/>
  <c r="E2869" i="1"/>
  <c r="C2869" i="1"/>
  <c r="R2868" i="1"/>
  <c r="I2868" i="1"/>
  <c r="G2868" i="1"/>
  <c r="E2868" i="1"/>
  <c r="C2868" i="1"/>
  <c r="R2867" i="1"/>
  <c r="I2867" i="1"/>
  <c r="G2867" i="1"/>
  <c r="E2867" i="1"/>
  <c r="C2867" i="1"/>
  <c r="R2866" i="1"/>
  <c r="I2866" i="1"/>
  <c r="G2866" i="1"/>
  <c r="E2866" i="1"/>
  <c r="C2866" i="1"/>
  <c r="R2865" i="1"/>
  <c r="I2865" i="1"/>
  <c r="G2865" i="1"/>
  <c r="E2865" i="1"/>
  <c r="C2865" i="1"/>
  <c r="R2864" i="1"/>
  <c r="I2864" i="1"/>
  <c r="G2864" i="1"/>
  <c r="E2864" i="1"/>
  <c r="C2864" i="1"/>
  <c r="R2863" i="1"/>
  <c r="I2863" i="1"/>
  <c r="G2863" i="1"/>
  <c r="E2863" i="1"/>
  <c r="C2863" i="1"/>
  <c r="R2862" i="1"/>
  <c r="I2862" i="1"/>
  <c r="G2862" i="1"/>
  <c r="E2862" i="1"/>
  <c r="C2862" i="1"/>
  <c r="R2861" i="1"/>
  <c r="I2861" i="1"/>
  <c r="G2861" i="1"/>
  <c r="E2861" i="1"/>
  <c r="C2861" i="1"/>
  <c r="R2860" i="1"/>
  <c r="I2860" i="1"/>
  <c r="G2860" i="1"/>
  <c r="E2860" i="1"/>
  <c r="C2860" i="1"/>
  <c r="R2859" i="1"/>
  <c r="I2859" i="1"/>
  <c r="G2859" i="1"/>
  <c r="E2859" i="1"/>
  <c r="C2859" i="1"/>
  <c r="R2858" i="1"/>
  <c r="I2858" i="1"/>
  <c r="G2858" i="1"/>
  <c r="E2858" i="1"/>
  <c r="C2858" i="1"/>
  <c r="R2857" i="1"/>
  <c r="I2857" i="1"/>
  <c r="G2857" i="1"/>
  <c r="E2857" i="1"/>
  <c r="C2857" i="1"/>
  <c r="R2856" i="1"/>
  <c r="I2856" i="1"/>
  <c r="G2856" i="1"/>
  <c r="E2856" i="1"/>
  <c r="C2856" i="1"/>
  <c r="R2855" i="1"/>
  <c r="I2855" i="1"/>
  <c r="G2855" i="1"/>
  <c r="E2855" i="1"/>
  <c r="C2855" i="1"/>
  <c r="R2854" i="1"/>
  <c r="I2854" i="1"/>
  <c r="G2854" i="1"/>
  <c r="E2854" i="1"/>
  <c r="C2854" i="1"/>
  <c r="R2853" i="1"/>
  <c r="I2853" i="1"/>
  <c r="G2853" i="1"/>
  <c r="E2853" i="1"/>
  <c r="C2853" i="1"/>
  <c r="R2852" i="1"/>
  <c r="I2852" i="1"/>
  <c r="G2852" i="1"/>
  <c r="E2852" i="1"/>
  <c r="C2852" i="1"/>
  <c r="R2851" i="1"/>
  <c r="I2851" i="1"/>
  <c r="G2851" i="1"/>
  <c r="E2851" i="1"/>
  <c r="C2851" i="1"/>
  <c r="R2850" i="1"/>
  <c r="I2850" i="1"/>
  <c r="G2850" i="1"/>
  <c r="E2850" i="1"/>
  <c r="C2850" i="1"/>
  <c r="R2849" i="1"/>
  <c r="I2849" i="1"/>
  <c r="G2849" i="1"/>
  <c r="E2849" i="1"/>
  <c r="C2849" i="1"/>
  <c r="R2848" i="1"/>
  <c r="I2848" i="1"/>
  <c r="G2848" i="1"/>
  <c r="E2848" i="1"/>
  <c r="C2848" i="1"/>
  <c r="R2847" i="1"/>
  <c r="I2847" i="1"/>
  <c r="G2847" i="1"/>
  <c r="E2847" i="1"/>
  <c r="C2847" i="1"/>
  <c r="R2846" i="1"/>
  <c r="I2846" i="1"/>
  <c r="G2846" i="1"/>
  <c r="E2846" i="1"/>
  <c r="C2846" i="1"/>
  <c r="R2845" i="1"/>
  <c r="I2845" i="1"/>
  <c r="G2845" i="1"/>
  <c r="E2845" i="1"/>
  <c r="C2845" i="1"/>
  <c r="R2844" i="1"/>
  <c r="I2844" i="1"/>
  <c r="G2844" i="1"/>
  <c r="E2844" i="1"/>
  <c r="C2844" i="1"/>
  <c r="R2843" i="1"/>
  <c r="I2843" i="1"/>
  <c r="G2843" i="1"/>
  <c r="E2843" i="1"/>
  <c r="C2843" i="1"/>
  <c r="R2842" i="1"/>
  <c r="I2842" i="1"/>
  <c r="G2842" i="1"/>
  <c r="E2842" i="1"/>
  <c r="C2842" i="1"/>
  <c r="R2841" i="1"/>
  <c r="I2841" i="1"/>
  <c r="G2841" i="1"/>
  <c r="E2841" i="1"/>
  <c r="C2841" i="1"/>
  <c r="R2840" i="1"/>
  <c r="I2840" i="1"/>
  <c r="G2840" i="1"/>
  <c r="E2840" i="1"/>
  <c r="C2840" i="1"/>
  <c r="R2839" i="1"/>
  <c r="I2839" i="1"/>
  <c r="G2839" i="1"/>
  <c r="E2839" i="1"/>
  <c r="C2839" i="1"/>
  <c r="R2838" i="1"/>
  <c r="I2838" i="1"/>
  <c r="G2838" i="1"/>
  <c r="E2838" i="1"/>
  <c r="C2838" i="1"/>
  <c r="R2837" i="1"/>
  <c r="I2837" i="1"/>
  <c r="G2837" i="1"/>
  <c r="E2837" i="1"/>
  <c r="C2837" i="1"/>
  <c r="R2836" i="1"/>
  <c r="I2836" i="1"/>
  <c r="G2836" i="1"/>
  <c r="E2836" i="1"/>
  <c r="C2836" i="1"/>
  <c r="R2835" i="1"/>
  <c r="I2835" i="1"/>
  <c r="G2835" i="1"/>
  <c r="E2835" i="1"/>
  <c r="C2835" i="1"/>
  <c r="R2834" i="1"/>
  <c r="I2834" i="1"/>
  <c r="G2834" i="1"/>
  <c r="E2834" i="1"/>
  <c r="C2834" i="1"/>
  <c r="R2833" i="1"/>
  <c r="I2833" i="1"/>
  <c r="G2833" i="1"/>
  <c r="E2833" i="1"/>
  <c r="C2833" i="1"/>
  <c r="R2832" i="1"/>
  <c r="I2832" i="1"/>
  <c r="G2832" i="1"/>
  <c r="E2832" i="1"/>
  <c r="C2832" i="1"/>
  <c r="R2831" i="1"/>
  <c r="I2831" i="1"/>
  <c r="G2831" i="1"/>
  <c r="E2831" i="1"/>
  <c r="C2831" i="1"/>
  <c r="R2830" i="1"/>
  <c r="I2830" i="1"/>
  <c r="G2830" i="1"/>
  <c r="E2830" i="1"/>
  <c r="C2830" i="1"/>
  <c r="R2829" i="1"/>
  <c r="I2829" i="1"/>
  <c r="G2829" i="1"/>
  <c r="E2829" i="1"/>
  <c r="C2829" i="1"/>
  <c r="R2828" i="1"/>
  <c r="I2828" i="1"/>
  <c r="G2828" i="1"/>
  <c r="E2828" i="1"/>
  <c r="C2828" i="1"/>
  <c r="R2827" i="1"/>
  <c r="I2827" i="1"/>
  <c r="G2827" i="1"/>
  <c r="E2827" i="1"/>
  <c r="C2827" i="1"/>
  <c r="R2826" i="1"/>
  <c r="I2826" i="1"/>
  <c r="G2826" i="1"/>
  <c r="E2826" i="1"/>
  <c r="C2826" i="1"/>
  <c r="R2825" i="1"/>
  <c r="I2825" i="1"/>
  <c r="G2825" i="1"/>
  <c r="E2825" i="1"/>
  <c r="C2825" i="1"/>
  <c r="R2824" i="1"/>
  <c r="I2824" i="1"/>
  <c r="G2824" i="1"/>
  <c r="E2824" i="1"/>
  <c r="C2824" i="1"/>
  <c r="R2823" i="1"/>
  <c r="I2823" i="1"/>
  <c r="G2823" i="1"/>
  <c r="E2823" i="1"/>
  <c r="C2823" i="1"/>
  <c r="R2822" i="1"/>
  <c r="I2822" i="1"/>
  <c r="G2822" i="1"/>
  <c r="E2822" i="1"/>
  <c r="C2822" i="1"/>
  <c r="R2821" i="1"/>
  <c r="I2821" i="1"/>
  <c r="G2821" i="1"/>
  <c r="E2821" i="1"/>
  <c r="C2821" i="1"/>
  <c r="R2820" i="1"/>
  <c r="I2820" i="1"/>
  <c r="G2820" i="1"/>
  <c r="E2820" i="1"/>
  <c r="C2820" i="1"/>
  <c r="R2819" i="1"/>
  <c r="I2819" i="1"/>
  <c r="G2819" i="1"/>
  <c r="E2819" i="1"/>
  <c r="C2819" i="1"/>
  <c r="R2818" i="1"/>
  <c r="I2818" i="1"/>
  <c r="G2818" i="1"/>
  <c r="E2818" i="1"/>
  <c r="C2818" i="1"/>
  <c r="R2817" i="1"/>
  <c r="I2817" i="1"/>
  <c r="G2817" i="1"/>
  <c r="E2817" i="1"/>
  <c r="C2817" i="1"/>
  <c r="R2816" i="1"/>
  <c r="I2816" i="1"/>
  <c r="G2816" i="1"/>
  <c r="E2816" i="1"/>
  <c r="C2816" i="1"/>
  <c r="R2815" i="1"/>
  <c r="I2815" i="1"/>
  <c r="G2815" i="1"/>
  <c r="E2815" i="1"/>
  <c r="C2815" i="1"/>
  <c r="R2814" i="1"/>
  <c r="I2814" i="1"/>
  <c r="G2814" i="1"/>
  <c r="E2814" i="1"/>
  <c r="C2814" i="1"/>
  <c r="R2813" i="1"/>
  <c r="I2813" i="1"/>
  <c r="G2813" i="1"/>
  <c r="E2813" i="1"/>
  <c r="C2813" i="1"/>
  <c r="R2812" i="1"/>
  <c r="I2812" i="1"/>
  <c r="G2812" i="1"/>
  <c r="E2812" i="1"/>
  <c r="C2812" i="1"/>
  <c r="R2811" i="1"/>
  <c r="I2811" i="1"/>
  <c r="G2811" i="1"/>
  <c r="E2811" i="1"/>
  <c r="C2811" i="1"/>
  <c r="R2810" i="1"/>
  <c r="I2810" i="1"/>
  <c r="G2810" i="1"/>
  <c r="E2810" i="1"/>
  <c r="C2810" i="1"/>
  <c r="R2809" i="1"/>
  <c r="I2809" i="1"/>
  <c r="G2809" i="1"/>
  <c r="E2809" i="1"/>
  <c r="C2809" i="1"/>
  <c r="R2808" i="1"/>
  <c r="I2808" i="1"/>
  <c r="G2808" i="1"/>
  <c r="E2808" i="1"/>
  <c r="C2808" i="1"/>
  <c r="R2807" i="1"/>
  <c r="I2807" i="1"/>
  <c r="G2807" i="1"/>
  <c r="E2807" i="1"/>
  <c r="C2807" i="1"/>
  <c r="R2806" i="1"/>
  <c r="I2806" i="1"/>
  <c r="G2806" i="1"/>
  <c r="E2806" i="1"/>
  <c r="C2806" i="1"/>
  <c r="R2805" i="1"/>
  <c r="I2805" i="1"/>
  <c r="G2805" i="1"/>
  <c r="E2805" i="1"/>
  <c r="C2805" i="1"/>
  <c r="R2804" i="1"/>
  <c r="I2804" i="1"/>
  <c r="G2804" i="1"/>
  <c r="E2804" i="1"/>
  <c r="C2804" i="1"/>
  <c r="R2803" i="1"/>
  <c r="I2803" i="1"/>
  <c r="G2803" i="1"/>
  <c r="E2803" i="1"/>
  <c r="C2803" i="1"/>
  <c r="R2802" i="1"/>
  <c r="I2802" i="1"/>
  <c r="G2802" i="1"/>
  <c r="E2802" i="1"/>
  <c r="C2802" i="1"/>
  <c r="R2801" i="1"/>
  <c r="I2801" i="1"/>
  <c r="G2801" i="1"/>
  <c r="E2801" i="1"/>
  <c r="C2801" i="1"/>
  <c r="R2800" i="1"/>
  <c r="I2800" i="1"/>
  <c r="G2800" i="1"/>
  <c r="E2800" i="1"/>
  <c r="C2800" i="1"/>
  <c r="R2799" i="1"/>
  <c r="I2799" i="1"/>
  <c r="G2799" i="1"/>
  <c r="E2799" i="1"/>
  <c r="C2799" i="1"/>
  <c r="R2798" i="1"/>
  <c r="I2798" i="1"/>
  <c r="G2798" i="1"/>
  <c r="E2798" i="1"/>
  <c r="C2798" i="1"/>
  <c r="R2797" i="1"/>
  <c r="I2797" i="1"/>
  <c r="G2797" i="1"/>
  <c r="E2797" i="1"/>
  <c r="C2797" i="1"/>
  <c r="R2796" i="1"/>
  <c r="I2796" i="1"/>
  <c r="G2796" i="1"/>
  <c r="E2796" i="1"/>
  <c r="C2796" i="1"/>
  <c r="R2795" i="1"/>
  <c r="I2795" i="1"/>
  <c r="G2795" i="1"/>
  <c r="E2795" i="1"/>
  <c r="C2795" i="1"/>
  <c r="R2794" i="1"/>
  <c r="I2794" i="1"/>
  <c r="G2794" i="1"/>
  <c r="E2794" i="1"/>
  <c r="C2794" i="1"/>
  <c r="R2793" i="1"/>
  <c r="I2793" i="1"/>
  <c r="G2793" i="1"/>
  <c r="E2793" i="1"/>
  <c r="C2793" i="1"/>
  <c r="R2792" i="1"/>
  <c r="I2792" i="1"/>
  <c r="G2792" i="1"/>
  <c r="E2792" i="1"/>
  <c r="C2792" i="1"/>
  <c r="R2791" i="1"/>
  <c r="I2791" i="1"/>
  <c r="G2791" i="1"/>
  <c r="E2791" i="1"/>
  <c r="C2791" i="1"/>
  <c r="R2790" i="1"/>
  <c r="I2790" i="1"/>
  <c r="G2790" i="1"/>
  <c r="E2790" i="1"/>
  <c r="C2790" i="1"/>
  <c r="R2789" i="1"/>
  <c r="I2789" i="1"/>
  <c r="G2789" i="1"/>
  <c r="E2789" i="1"/>
  <c r="C2789" i="1"/>
  <c r="R2788" i="1"/>
  <c r="I2788" i="1"/>
  <c r="G2788" i="1"/>
  <c r="E2788" i="1"/>
  <c r="C2788" i="1"/>
  <c r="R2787" i="1"/>
  <c r="I2787" i="1"/>
  <c r="G2787" i="1"/>
  <c r="E2787" i="1"/>
  <c r="C2787" i="1"/>
  <c r="R2786" i="1"/>
  <c r="I2786" i="1"/>
  <c r="G2786" i="1"/>
  <c r="E2786" i="1"/>
  <c r="C2786" i="1"/>
  <c r="R2785" i="1"/>
  <c r="I2785" i="1"/>
  <c r="G2785" i="1"/>
  <c r="E2785" i="1"/>
  <c r="C2785" i="1"/>
  <c r="R2784" i="1"/>
  <c r="I2784" i="1"/>
  <c r="G2784" i="1"/>
  <c r="E2784" i="1"/>
  <c r="C2784" i="1"/>
  <c r="R2783" i="1"/>
  <c r="I2783" i="1"/>
  <c r="G2783" i="1"/>
  <c r="E2783" i="1"/>
  <c r="C2783" i="1"/>
  <c r="R2782" i="1"/>
  <c r="I2782" i="1"/>
  <c r="G2782" i="1"/>
  <c r="E2782" i="1"/>
  <c r="C2782" i="1"/>
  <c r="R2781" i="1"/>
  <c r="I2781" i="1"/>
  <c r="G2781" i="1"/>
  <c r="E2781" i="1"/>
  <c r="C2781" i="1"/>
  <c r="R2780" i="1"/>
  <c r="I2780" i="1"/>
  <c r="G2780" i="1"/>
  <c r="E2780" i="1"/>
  <c r="C2780" i="1"/>
  <c r="R2779" i="1"/>
  <c r="I2779" i="1"/>
  <c r="G2779" i="1"/>
  <c r="E2779" i="1"/>
  <c r="C2779" i="1"/>
  <c r="R2778" i="1"/>
  <c r="I2778" i="1"/>
  <c r="G2778" i="1"/>
  <c r="E2778" i="1"/>
  <c r="C2778" i="1"/>
  <c r="R2777" i="1"/>
  <c r="I2777" i="1"/>
  <c r="G2777" i="1"/>
  <c r="E2777" i="1"/>
  <c r="C2777" i="1"/>
  <c r="R2776" i="1"/>
  <c r="I2776" i="1"/>
  <c r="G2776" i="1"/>
  <c r="E2776" i="1"/>
  <c r="C2776" i="1"/>
  <c r="R2775" i="1"/>
  <c r="I2775" i="1"/>
  <c r="G2775" i="1"/>
  <c r="E2775" i="1"/>
  <c r="C2775" i="1"/>
  <c r="R2774" i="1"/>
  <c r="I2774" i="1"/>
  <c r="G2774" i="1"/>
  <c r="E2774" i="1"/>
  <c r="C2774" i="1"/>
  <c r="R2773" i="1"/>
  <c r="I2773" i="1"/>
  <c r="G2773" i="1"/>
  <c r="E2773" i="1"/>
  <c r="C2773" i="1"/>
  <c r="R2772" i="1"/>
  <c r="I2772" i="1"/>
  <c r="G2772" i="1"/>
  <c r="E2772" i="1"/>
  <c r="C2772" i="1"/>
  <c r="R2771" i="1"/>
  <c r="I2771" i="1"/>
  <c r="G2771" i="1"/>
  <c r="E2771" i="1"/>
  <c r="C2771" i="1"/>
  <c r="R2770" i="1"/>
  <c r="I2770" i="1"/>
  <c r="G2770" i="1"/>
  <c r="E2770" i="1"/>
  <c r="C2770" i="1"/>
  <c r="R2769" i="1"/>
  <c r="I2769" i="1"/>
  <c r="G2769" i="1"/>
  <c r="E2769" i="1"/>
  <c r="C2769" i="1"/>
  <c r="R2768" i="1"/>
  <c r="I2768" i="1"/>
  <c r="G2768" i="1"/>
  <c r="E2768" i="1"/>
  <c r="C2768" i="1"/>
  <c r="R2767" i="1"/>
  <c r="I2767" i="1"/>
  <c r="G2767" i="1"/>
  <c r="E2767" i="1"/>
  <c r="C2767" i="1"/>
  <c r="R2766" i="1"/>
  <c r="I2766" i="1"/>
  <c r="G2766" i="1"/>
  <c r="E2766" i="1"/>
  <c r="C2766" i="1"/>
  <c r="R2765" i="1"/>
  <c r="I2765" i="1"/>
  <c r="G2765" i="1"/>
  <c r="E2765" i="1"/>
  <c r="C2765" i="1"/>
  <c r="R2764" i="1"/>
  <c r="I2764" i="1"/>
  <c r="G2764" i="1"/>
  <c r="E2764" i="1"/>
  <c r="C2764" i="1"/>
  <c r="R2763" i="1"/>
  <c r="I2763" i="1"/>
  <c r="G2763" i="1"/>
  <c r="E2763" i="1"/>
  <c r="C2763" i="1"/>
  <c r="R2762" i="1"/>
  <c r="I2762" i="1"/>
  <c r="G2762" i="1"/>
  <c r="E2762" i="1"/>
  <c r="C2762" i="1"/>
  <c r="R2761" i="1"/>
  <c r="I2761" i="1"/>
  <c r="G2761" i="1"/>
  <c r="E2761" i="1"/>
  <c r="C2761" i="1"/>
  <c r="R2760" i="1"/>
  <c r="I2760" i="1"/>
  <c r="G2760" i="1"/>
  <c r="E2760" i="1"/>
  <c r="C2760" i="1"/>
  <c r="R2759" i="1"/>
  <c r="I2759" i="1"/>
  <c r="G2759" i="1"/>
  <c r="E2759" i="1"/>
  <c r="C2759" i="1"/>
  <c r="R2758" i="1"/>
  <c r="I2758" i="1"/>
  <c r="G2758" i="1"/>
  <c r="E2758" i="1"/>
  <c r="C2758" i="1"/>
  <c r="R2757" i="1"/>
  <c r="I2757" i="1"/>
  <c r="G2757" i="1"/>
  <c r="E2757" i="1"/>
  <c r="C2757" i="1"/>
  <c r="R2756" i="1"/>
  <c r="I2756" i="1"/>
  <c r="G2756" i="1"/>
  <c r="E2756" i="1"/>
  <c r="C2756" i="1"/>
  <c r="R2755" i="1"/>
  <c r="I2755" i="1"/>
  <c r="G2755" i="1"/>
  <c r="E2755" i="1"/>
  <c r="C2755" i="1"/>
  <c r="R2754" i="1"/>
  <c r="I2754" i="1"/>
  <c r="G2754" i="1"/>
  <c r="E2754" i="1"/>
  <c r="C2754" i="1"/>
  <c r="R2753" i="1"/>
  <c r="I2753" i="1"/>
  <c r="G2753" i="1"/>
  <c r="E2753" i="1"/>
  <c r="C2753" i="1"/>
  <c r="R2752" i="1"/>
  <c r="I2752" i="1"/>
  <c r="G2752" i="1"/>
  <c r="E2752" i="1"/>
  <c r="C2752" i="1"/>
  <c r="R2751" i="1"/>
  <c r="I2751" i="1"/>
  <c r="G2751" i="1"/>
  <c r="E2751" i="1"/>
  <c r="C2751" i="1"/>
  <c r="R2750" i="1"/>
  <c r="I2750" i="1"/>
  <c r="G2750" i="1"/>
  <c r="E2750" i="1"/>
  <c r="C2750" i="1"/>
  <c r="R2749" i="1"/>
  <c r="I2749" i="1"/>
  <c r="G2749" i="1"/>
  <c r="E2749" i="1"/>
  <c r="C2749" i="1"/>
  <c r="R2748" i="1"/>
  <c r="I2748" i="1"/>
  <c r="G2748" i="1"/>
  <c r="E2748" i="1"/>
  <c r="C2748" i="1"/>
  <c r="R2747" i="1"/>
  <c r="I2747" i="1"/>
  <c r="G2747" i="1"/>
  <c r="E2747" i="1"/>
  <c r="C2747" i="1"/>
  <c r="R2746" i="1"/>
  <c r="I2746" i="1"/>
  <c r="G2746" i="1"/>
  <c r="E2746" i="1"/>
  <c r="C2746" i="1"/>
  <c r="R2745" i="1"/>
  <c r="I2745" i="1"/>
  <c r="G2745" i="1"/>
  <c r="E2745" i="1"/>
  <c r="C2745" i="1"/>
  <c r="R2744" i="1"/>
  <c r="I2744" i="1"/>
  <c r="G2744" i="1"/>
  <c r="E2744" i="1"/>
  <c r="C2744" i="1"/>
  <c r="R2743" i="1"/>
  <c r="I2743" i="1"/>
  <c r="G2743" i="1"/>
  <c r="E2743" i="1"/>
  <c r="C2743" i="1"/>
  <c r="R2742" i="1"/>
  <c r="I2742" i="1"/>
  <c r="G2742" i="1"/>
  <c r="E2742" i="1"/>
  <c r="C2742" i="1"/>
  <c r="R2741" i="1"/>
  <c r="I2741" i="1"/>
  <c r="G2741" i="1"/>
  <c r="E2741" i="1"/>
  <c r="C2741" i="1"/>
  <c r="R2740" i="1"/>
  <c r="I2740" i="1"/>
  <c r="G2740" i="1"/>
  <c r="E2740" i="1"/>
  <c r="C2740" i="1"/>
  <c r="R2739" i="1"/>
  <c r="I2739" i="1"/>
  <c r="G2739" i="1"/>
  <c r="E2739" i="1"/>
  <c r="C2739" i="1"/>
  <c r="R2738" i="1"/>
  <c r="I2738" i="1"/>
  <c r="G2738" i="1"/>
  <c r="E2738" i="1"/>
  <c r="C2738" i="1"/>
  <c r="R2737" i="1"/>
  <c r="I2737" i="1"/>
  <c r="G2737" i="1"/>
  <c r="E2737" i="1"/>
  <c r="C2737" i="1"/>
  <c r="R2736" i="1"/>
  <c r="I2736" i="1"/>
  <c r="G2736" i="1"/>
  <c r="E2736" i="1"/>
  <c r="C2736" i="1"/>
  <c r="R2735" i="1"/>
  <c r="I2735" i="1"/>
  <c r="G2735" i="1"/>
  <c r="E2735" i="1"/>
  <c r="C2735" i="1"/>
  <c r="R2734" i="1"/>
  <c r="I2734" i="1"/>
  <c r="G2734" i="1"/>
  <c r="E2734" i="1"/>
  <c r="C2734" i="1"/>
  <c r="R2733" i="1"/>
  <c r="I2733" i="1"/>
  <c r="G2733" i="1"/>
  <c r="E2733" i="1"/>
  <c r="C2733" i="1"/>
  <c r="R2732" i="1"/>
  <c r="I2732" i="1"/>
  <c r="G2732" i="1"/>
  <c r="E2732" i="1"/>
  <c r="C2732" i="1"/>
  <c r="R2731" i="1"/>
  <c r="I2731" i="1"/>
  <c r="G2731" i="1"/>
  <c r="E2731" i="1"/>
  <c r="C2731" i="1"/>
  <c r="R2730" i="1"/>
  <c r="I2730" i="1"/>
  <c r="G2730" i="1"/>
  <c r="E2730" i="1"/>
  <c r="C2730" i="1"/>
  <c r="R2729" i="1"/>
  <c r="I2729" i="1"/>
  <c r="G2729" i="1"/>
  <c r="E2729" i="1"/>
  <c r="C2729" i="1"/>
  <c r="R2728" i="1"/>
  <c r="I2728" i="1"/>
  <c r="G2728" i="1"/>
  <c r="E2728" i="1"/>
  <c r="C2728" i="1"/>
  <c r="R2727" i="1"/>
  <c r="I2727" i="1"/>
  <c r="G2727" i="1"/>
  <c r="E2727" i="1"/>
  <c r="C2727" i="1"/>
  <c r="R2726" i="1"/>
  <c r="I2726" i="1"/>
  <c r="G2726" i="1"/>
  <c r="E2726" i="1"/>
  <c r="C2726" i="1"/>
  <c r="R2725" i="1"/>
  <c r="I2725" i="1"/>
  <c r="G2725" i="1"/>
  <c r="E2725" i="1"/>
  <c r="C2725" i="1"/>
  <c r="R2724" i="1"/>
  <c r="I2724" i="1"/>
  <c r="G2724" i="1"/>
  <c r="E2724" i="1"/>
  <c r="C2724" i="1"/>
  <c r="R2723" i="1"/>
  <c r="I2723" i="1"/>
  <c r="G2723" i="1"/>
  <c r="E2723" i="1"/>
  <c r="C2723" i="1"/>
  <c r="R2722" i="1"/>
  <c r="I2722" i="1"/>
  <c r="G2722" i="1"/>
  <c r="E2722" i="1"/>
  <c r="C2722" i="1"/>
  <c r="R2721" i="1"/>
  <c r="I2721" i="1"/>
  <c r="G2721" i="1"/>
  <c r="E2721" i="1"/>
  <c r="C2721" i="1"/>
  <c r="R2720" i="1"/>
  <c r="I2720" i="1"/>
  <c r="G2720" i="1"/>
  <c r="E2720" i="1"/>
  <c r="C2720" i="1"/>
  <c r="R2719" i="1"/>
  <c r="I2719" i="1"/>
  <c r="G2719" i="1"/>
  <c r="E2719" i="1"/>
  <c r="C2719" i="1"/>
  <c r="R2718" i="1"/>
  <c r="I2718" i="1"/>
  <c r="G2718" i="1"/>
  <c r="E2718" i="1"/>
  <c r="C2718" i="1"/>
  <c r="R2717" i="1"/>
  <c r="I2717" i="1"/>
  <c r="G2717" i="1"/>
  <c r="E2717" i="1"/>
  <c r="C2717" i="1"/>
  <c r="R2716" i="1"/>
  <c r="I2716" i="1"/>
  <c r="G2716" i="1"/>
  <c r="E2716" i="1"/>
  <c r="C2716" i="1"/>
  <c r="R2715" i="1"/>
  <c r="I2715" i="1"/>
  <c r="G2715" i="1"/>
  <c r="E2715" i="1"/>
  <c r="C2715" i="1"/>
  <c r="R2714" i="1"/>
  <c r="I2714" i="1"/>
  <c r="G2714" i="1"/>
  <c r="E2714" i="1"/>
  <c r="C2714" i="1"/>
  <c r="R2713" i="1"/>
  <c r="I2713" i="1"/>
  <c r="G2713" i="1"/>
  <c r="E2713" i="1"/>
  <c r="C2713" i="1"/>
  <c r="R2712" i="1"/>
  <c r="I2712" i="1"/>
  <c r="G2712" i="1"/>
  <c r="E2712" i="1"/>
  <c r="C2712" i="1"/>
  <c r="R2711" i="1"/>
  <c r="I2711" i="1"/>
  <c r="G2711" i="1"/>
  <c r="E2711" i="1"/>
  <c r="C2711" i="1"/>
  <c r="R2710" i="1"/>
  <c r="I2710" i="1"/>
  <c r="G2710" i="1"/>
  <c r="E2710" i="1"/>
  <c r="C2710" i="1"/>
  <c r="R2709" i="1"/>
  <c r="I2709" i="1"/>
  <c r="G2709" i="1"/>
  <c r="E2709" i="1"/>
  <c r="C2709" i="1"/>
  <c r="R2708" i="1"/>
  <c r="I2708" i="1"/>
  <c r="G2708" i="1"/>
  <c r="E2708" i="1"/>
  <c r="C2708" i="1"/>
  <c r="R2707" i="1"/>
  <c r="I2707" i="1"/>
  <c r="G2707" i="1"/>
  <c r="E2707" i="1"/>
  <c r="C2707" i="1"/>
  <c r="R2706" i="1"/>
  <c r="I2706" i="1"/>
  <c r="G2706" i="1"/>
  <c r="E2706" i="1"/>
  <c r="C2706" i="1"/>
  <c r="R2705" i="1"/>
  <c r="I2705" i="1"/>
  <c r="G2705" i="1"/>
  <c r="E2705" i="1"/>
  <c r="C2705" i="1"/>
  <c r="R2704" i="1"/>
  <c r="I2704" i="1"/>
  <c r="G2704" i="1"/>
  <c r="E2704" i="1"/>
  <c r="C2704" i="1"/>
  <c r="R2703" i="1"/>
  <c r="I2703" i="1"/>
  <c r="G2703" i="1"/>
  <c r="E2703" i="1"/>
  <c r="C2703" i="1"/>
  <c r="R2702" i="1"/>
  <c r="I2702" i="1"/>
  <c r="G2702" i="1"/>
  <c r="E2702" i="1"/>
  <c r="C2702" i="1"/>
  <c r="R2701" i="1"/>
  <c r="I2701" i="1"/>
  <c r="G2701" i="1"/>
  <c r="E2701" i="1"/>
  <c r="C2701" i="1"/>
  <c r="R2700" i="1"/>
  <c r="I2700" i="1"/>
  <c r="G2700" i="1"/>
  <c r="E2700" i="1"/>
  <c r="C2700" i="1"/>
  <c r="R2699" i="1"/>
  <c r="I2699" i="1"/>
  <c r="G2699" i="1"/>
  <c r="E2699" i="1"/>
  <c r="C2699" i="1"/>
  <c r="R2698" i="1"/>
  <c r="I2698" i="1"/>
  <c r="G2698" i="1"/>
  <c r="E2698" i="1"/>
  <c r="C2698" i="1"/>
  <c r="R2697" i="1"/>
  <c r="I2697" i="1"/>
  <c r="G2697" i="1"/>
  <c r="E2697" i="1"/>
  <c r="C2697" i="1"/>
  <c r="R2696" i="1"/>
  <c r="I2696" i="1"/>
  <c r="G2696" i="1"/>
  <c r="E2696" i="1"/>
  <c r="C2696" i="1"/>
  <c r="R2695" i="1"/>
  <c r="I2695" i="1"/>
  <c r="G2695" i="1"/>
  <c r="E2695" i="1"/>
  <c r="C2695" i="1"/>
  <c r="R2694" i="1"/>
  <c r="I2694" i="1"/>
  <c r="G2694" i="1"/>
  <c r="E2694" i="1"/>
  <c r="C2694" i="1"/>
  <c r="R2693" i="1"/>
  <c r="I2693" i="1"/>
  <c r="G2693" i="1"/>
  <c r="E2693" i="1"/>
  <c r="C2693" i="1"/>
  <c r="R2692" i="1"/>
  <c r="I2692" i="1"/>
  <c r="G2692" i="1"/>
  <c r="E2692" i="1"/>
  <c r="C2692" i="1"/>
  <c r="R2691" i="1"/>
  <c r="I2691" i="1"/>
  <c r="G2691" i="1"/>
  <c r="E2691" i="1"/>
  <c r="C2691" i="1"/>
  <c r="R2690" i="1"/>
  <c r="I2690" i="1"/>
  <c r="G2690" i="1"/>
  <c r="E2690" i="1"/>
  <c r="C2690" i="1"/>
  <c r="R2689" i="1"/>
  <c r="I2689" i="1"/>
  <c r="G2689" i="1"/>
  <c r="E2689" i="1"/>
  <c r="C2689" i="1"/>
  <c r="R2688" i="1"/>
  <c r="I2688" i="1"/>
  <c r="G2688" i="1"/>
  <c r="E2688" i="1"/>
  <c r="C2688" i="1"/>
  <c r="R2687" i="1"/>
  <c r="I2687" i="1"/>
  <c r="G2687" i="1"/>
  <c r="E2687" i="1"/>
  <c r="C2687" i="1"/>
  <c r="R2686" i="1"/>
  <c r="I2686" i="1"/>
  <c r="G2686" i="1"/>
  <c r="E2686" i="1"/>
  <c r="C2686" i="1"/>
  <c r="R2685" i="1"/>
  <c r="I2685" i="1"/>
  <c r="G2685" i="1"/>
  <c r="E2685" i="1"/>
  <c r="C2685" i="1"/>
  <c r="R2684" i="1"/>
  <c r="I2684" i="1"/>
  <c r="G2684" i="1"/>
  <c r="E2684" i="1"/>
  <c r="C2684" i="1"/>
  <c r="R2683" i="1"/>
  <c r="I2683" i="1"/>
  <c r="G2683" i="1"/>
  <c r="E2683" i="1"/>
  <c r="C2683" i="1"/>
  <c r="R2682" i="1"/>
  <c r="I2682" i="1"/>
  <c r="G2682" i="1"/>
  <c r="E2682" i="1"/>
  <c r="C2682" i="1"/>
  <c r="R2681" i="1"/>
  <c r="I2681" i="1"/>
  <c r="G2681" i="1"/>
  <c r="E2681" i="1"/>
  <c r="C2681" i="1"/>
  <c r="R2680" i="1"/>
  <c r="I2680" i="1"/>
  <c r="G2680" i="1"/>
  <c r="E2680" i="1"/>
  <c r="C2680" i="1"/>
  <c r="R2679" i="1"/>
  <c r="I2679" i="1"/>
  <c r="G2679" i="1"/>
  <c r="E2679" i="1"/>
  <c r="C2679" i="1"/>
  <c r="R2678" i="1"/>
  <c r="I2678" i="1"/>
  <c r="G2678" i="1"/>
  <c r="E2678" i="1"/>
  <c r="C2678" i="1"/>
  <c r="R2677" i="1"/>
  <c r="I2677" i="1"/>
  <c r="G2677" i="1"/>
  <c r="E2677" i="1"/>
  <c r="C2677" i="1"/>
  <c r="R2676" i="1"/>
  <c r="I2676" i="1"/>
  <c r="G2676" i="1"/>
  <c r="E2676" i="1"/>
  <c r="C2676" i="1"/>
  <c r="R2675" i="1"/>
  <c r="I2675" i="1"/>
  <c r="G2675" i="1"/>
  <c r="E2675" i="1"/>
  <c r="C2675" i="1"/>
  <c r="R2674" i="1"/>
  <c r="I2674" i="1"/>
  <c r="G2674" i="1"/>
  <c r="E2674" i="1"/>
  <c r="C2674" i="1"/>
  <c r="R2673" i="1"/>
  <c r="I2673" i="1"/>
  <c r="G2673" i="1"/>
  <c r="E2673" i="1"/>
  <c r="C2673" i="1"/>
  <c r="R2672" i="1"/>
  <c r="I2672" i="1"/>
  <c r="G2672" i="1"/>
  <c r="E2672" i="1"/>
  <c r="C2672" i="1"/>
  <c r="R2671" i="1"/>
  <c r="I2671" i="1"/>
  <c r="G2671" i="1"/>
  <c r="E2671" i="1"/>
  <c r="C2671" i="1"/>
  <c r="R2670" i="1"/>
  <c r="I2670" i="1"/>
  <c r="G2670" i="1"/>
  <c r="E2670" i="1"/>
  <c r="C2670" i="1"/>
  <c r="R2669" i="1"/>
  <c r="I2669" i="1"/>
  <c r="G2669" i="1"/>
  <c r="E2669" i="1"/>
  <c r="C2669" i="1"/>
  <c r="R2668" i="1"/>
  <c r="I2668" i="1"/>
  <c r="G2668" i="1"/>
  <c r="E2668" i="1"/>
  <c r="C2668" i="1"/>
  <c r="R2667" i="1"/>
  <c r="I2667" i="1"/>
  <c r="G2667" i="1"/>
  <c r="E2667" i="1"/>
  <c r="C2667" i="1"/>
  <c r="R2666" i="1"/>
  <c r="I2666" i="1"/>
  <c r="G2666" i="1"/>
  <c r="E2666" i="1"/>
  <c r="C2666" i="1"/>
  <c r="R2665" i="1"/>
  <c r="I2665" i="1"/>
  <c r="G2665" i="1"/>
  <c r="E2665" i="1"/>
  <c r="C2665" i="1"/>
  <c r="R2664" i="1"/>
  <c r="I2664" i="1"/>
  <c r="G2664" i="1"/>
  <c r="E2664" i="1"/>
  <c r="C2664" i="1"/>
  <c r="R2663" i="1"/>
  <c r="I2663" i="1"/>
  <c r="G2663" i="1"/>
  <c r="E2663" i="1"/>
  <c r="C2663" i="1"/>
  <c r="R2662" i="1"/>
  <c r="I2662" i="1"/>
  <c r="G2662" i="1"/>
  <c r="E2662" i="1"/>
  <c r="C2662" i="1"/>
  <c r="R2661" i="1"/>
  <c r="I2661" i="1"/>
  <c r="G2661" i="1"/>
  <c r="E2661" i="1"/>
  <c r="C2661" i="1"/>
  <c r="R2660" i="1"/>
  <c r="I2660" i="1"/>
  <c r="G2660" i="1"/>
  <c r="E2660" i="1"/>
  <c r="C2660" i="1"/>
  <c r="R2659" i="1"/>
  <c r="I2659" i="1"/>
  <c r="G2659" i="1"/>
  <c r="E2659" i="1"/>
  <c r="C2659" i="1"/>
  <c r="R2658" i="1"/>
  <c r="I2658" i="1"/>
  <c r="G2658" i="1"/>
  <c r="E2658" i="1"/>
  <c r="C2658" i="1"/>
  <c r="R2657" i="1"/>
  <c r="I2657" i="1"/>
  <c r="G2657" i="1"/>
  <c r="E2657" i="1"/>
  <c r="C2657" i="1"/>
  <c r="R2656" i="1"/>
  <c r="I2656" i="1"/>
  <c r="G2656" i="1"/>
  <c r="E2656" i="1"/>
  <c r="C2656" i="1"/>
  <c r="R2655" i="1"/>
  <c r="I2655" i="1"/>
  <c r="G2655" i="1"/>
  <c r="E2655" i="1"/>
  <c r="C2655" i="1"/>
  <c r="R2654" i="1"/>
  <c r="I2654" i="1"/>
  <c r="G2654" i="1"/>
  <c r="E2654" i="1"/>
  <c r="C2654" i="1"/>
  <c r="R2653" i="1"/>
  <c r="I2653" i="1"/>
  <c r="G2653" i="1"/>
  <c r="E2653" i="1"/>
  <c r="C2653" i="1"/>
  <c r="R2652" i="1"/>
  <c r="I2652" i="1"/>
  <c r="G2652" i="1"/>
  <c r="E2652" i="1"/>
  <c r="C2652" i="1"/>
  <c r="R2651" i="1"/>
  <c r="I2651" i="1"/>
  <c r="G2651" i="1"/>
  <c r="E2651" i="1"/>
  <c r="C2651" i="1"/>
  <c r="R2650" i="1"/>
  <c r="I2650" i="1"/>
  <c r="G2650" i="1"/>
  <c r="E2650" i="1"/>
  <c r="C2650" i="1"/>
  <c r="R2649" i="1"/>
  <c r="I2649" i="1"/>
  <c r="G2649" i="1"/>
  <c r="E2649" i="1"/>
  <c r="C2649" i="1"/>
  <c r="R2648" i="1"/>
  <c r="I2648" i="1"/>
  <c r="G2648" i="1"/>
  <c r="E2648" i="1"/>
  <c r="C2648" i="1"/>
  <c r="R2647" i="1"/>
  <c r="I2647" i="1"/>
  <c r="G2647" i="1"/>
  <c r="E2647" i="1"/>
  <c r="C2647" i="1"/>
  <c r="R2646" i="1"/>
  <c r="I2646" i="1"/>
  <c r="G2646" i="1"/>
  <c r="E2646" i="1"/>
  <c r="C2646" i="1"/>
  <c r="R2645" i="1"/>
  <c r="I2645" i="1"/>
  <c r="G2645" i="1"/>
  <c r="E2645" i="1"/>
  <c r="C2645" i="1"/>
  <c r="R2644" i="1"/>
  <c r="I2644" i="1"/>
  <c r="G2644" i="1"/>
  <c r="E2644" i="1"/>
  <c r="C2644" i="1"/>
  <c r="R2643" i="1"/>
  <c r="I2643" i="1"/>
  <c r="G2643" i="1"/>
  <c r="E2643" i="1"/>
  <c r="C2643" i="1"/>
  <c r="R2642" i="1"/>
  <c r="I2642" i="1"/>
  <c r="G2642" i="1"/>
  <c r="E2642" i="1"/>
  <c r="C2642" i="1"/>
  <c r="R2641" i="1"/>
  <c r="I2641" i="1"/>
  <c r="G2641" i="1"/>
  <c r="E2641" i="1"/>
  <c r="C2641" i="1"/>
  <c r="R2640" i="1"/>
  <c r="I2640" i="1"/>
  <c r="G2640" i="1"/>
  <c r="E2640" i="1"/>
  <c r="C2640" i="1"/>
  <c r="R2639" i="1"/>
  <c r="I2639" i="1"/>
  <c r="G2639" i="1"/>
  <c r="E2639" i="1"/>
  <c r="C2639" i="1"/>
  <c r="R2638" i="1"/>
  <c r="I2638" i="1"/>
  <c r="G2638" i="1"/>
  <c r="E2638" i="1"/>
  <c r="C2638" i="1"/>
  <c r="R2637" i="1"/>
  <c r="I2637" i="1"/>
  <c r="G2637" i="1"/>
  <c r="E2637" i="1"/>
  <c r="C2637" i="1"/>
  <c r="R2636" i="1"/>
  <c r="I2636" i="1"/>
  <c r="G2636" i="1"/>
  <c r="E2636" i="1"/>
  <c r="C2636" i="1"/>
  <c r="R2635" i="1"/>
  <c r="I2635" i="1"/>
  <c r="G2635" i="1"/>
  <c r="E2635" i="1"/>
  <c r="C2635" i="1"/>
  <c r="R2634" i="1"/>
  <c r="I2634" i="1"/>
  <c r="G2634" i="1"/>
  <c r="E2634" i="1"/>
  <c r="C2634" i="1"/>
  <c r="R2633" i="1"/>
  <c r="I2633" i="1"/>
  <c r="G2633" i="1"/>
  <c r="E2633" i="1"/>
  <c r="C2633" i="1"/>
  <c r="R2632" i="1"/>
  <c r="I2632" i="1"/>
  <c r="G2632" i="1"/>
  <c r="E2632" i="1"/>
  <c r="C2632" i="1"/>
  <c r="R2631" i="1"/>
  <c r="I2631" i="1"/>
  <c r="G2631" i="1"/>
  <c r="E2631" i="1"/>
  <c r="C2631" i="1"/>
  <c r="R2630" i="1"/>
  <c r="I2630" i="1"/>
  <c r="G2630" i="1"/>
  <c r="E2630" i="1"/>
  <c r="C2630" i="1"/>
  <c r="R2629" i="1"/>
  <c r="I2629" i="1"/>
  <c r="G2629" i="1"/>
  <c r="E2629" i="1"/>
  <c r="C2629" i="1"/>
  <c r="R2628" i="1"/>
  <c r="I2628" i="1"/>
  <c r="G2628" i="1"/>
  <c r="E2628" i="1"/>
  <c r="C2628" i="1"/>
  <c r="R2627" i="1"/>
  <c r="I2627" i="1"/>
  <c r="G2627" i="1"/>
  <c r="E2627" i="1"/>
  <c r="C2627" i="1"/>
  <c r="R2626" i="1"/>
  <c r="I2626" i="1"/>
  <c r="G2626" i="1"/>
  <c r="E2626" i="1"/>
  <c r="C2626" i="1"/>
  <c r="R2625" i="1"/>
  <c r="I2625" i="1"/>
  <c r="G2625" i="1"/>
  <c r="E2625" i="1"/>
  <c r="C2625" i="1"/>
  <c r="R2624" i="1"/>
  <c r="I2624" i="1"/>
  <c r="G2624" i="1"/>
  <c r="E2624" i="1"/>
  <c r="C2624" i="1"/>
  <c r="R2623" i="1"/>
  <c r="I2623" i="1"/>
  <c r="G2623" i="1"/>
  <c r="E2623" i="1"/>
  <c r="C2623" i="1"/>
  <c r="R2622" i="1"/>
  <c r="I2622" i="1"/>
  <c r="G2622" i="1"/>
  <c r="E2622" i="1"/>
  <c r="C2622" i="1"/>
  <c r="R2621" i="1"/>
  <c r="I2621" i="1"/>
  <c r="G2621" i="1"/>
  <c r="E2621" i="1"/>
  <c r="C2621" i="1"/>
  <c r="R2620" i="1"/>
  <c r="I2620" i="1"/>
  <c r="G2620" i="1"/>
  <c r="E2620" i="1"/>
  <c r="C2620" i="1"/>
  <c r="R2619" i="1"/>
  <c r="I2619" i="1"/>
  <c r="G2619" i="1"/>
  <c r="E2619" i="1"/>
  <c r="C2619" i="1"/>
  <c r="R2618" i="1"/>
  <c r="I2618" i="1"/>
  <c r="G2618" i="1"/>
  <c r="E2618" i="1"/>
  <c r="C2618" i="1"/>
  <c r="R2617" i="1"/>
  <c r="I2617" i="1"/>
  <c r="G2617" i="1"/>
  <c r="E2617" i="1"/>
  <c r="C2617" i="1"/>
  <c r="R2616" i="1"/>
  <c r="I2616" i="1"/>
  <c r="G2616" i="1"/>
  <c r="E2616" i="1"/>
  <c r="C2616" i="1"/>
  <c r="R2615" i="1"/>
  <c r="I2615" i="1"/>
  <c r="G2615" i="1"/>
  <c r="E2615" i="1"/>
  <c r="C2615" i="1"/>
  <c r="R2614" i="1"/>
  <c r="I2614" i="1"/>
  <c r="G2614" i="1"/>
  <c r="E2614" i="1"/>
  <c r="C2614" i="1"/>
  <c r="R2613" i="1"/>
  <c r="I2613" i="1"/>
  <c r="G2613" i="1"/>
  <c r="E2613" i="1"/>
  <c r="C2613" i="1"/>
  <c r="R2612" i="1"/>
  <c r="I2612" i="1"/>
  <c r="G2612" i="1"/>
  <c r="E2612" i="1"/>
  <c r="C2612" i="1"/>
  <c r="R2611" i="1"/>
  <c r="I2611" i="1"/>
  <c r="G2611" i="1"/>
  <c r="E2611" i="1"/>
  <c r="C2611" i="1"/>
  <c r="R2610" i="1"/>
  <c r="I2610" i="1"/>
  <c r="G2610" i="1"/>
  <c r="E2610" i="1"/>
  <c r="C2610" i="1"/>
  <c r="R2609" i="1"/>
  <c r="I2609" i="1"/>
  <c r="G2609" i="1"/>
  <c r="E2609" i="1"/>
  <c r="C2609" i="1"/>
  <c r="R2608" i="1"/>
  <c r="I2608" i="1"/>
  <c r="G2608" i="1"/>
  <c r="E2608" i="1"/>
  <c r="C2608" i="1"/>
  <c r="R2607" i="1"/>
  <c r="I2607" i="1"/>
  <c r="G2607" i="1"/>
  <c r="E2607" i="1"/>
  <c r="C2607" i="1"/>
  <c r="R2606" i="1"/>
  <c r="I2606" i="1"/>
  <c r="G2606" i="1"/>
  <c r="E2606" i="1"/>
  <c r="C2606" i="1"/>
  <c r="R2605" i="1"/>
  <c r="I2605" i="1"/>
  <c r="G2605" i="1"/>
  <c r="E2605" i="1"/>
  <c r="C2605" i="1"/>
  <c r="R2604" i="1"/>
  <c r="I2604" i="1"/>
  <c r="G2604" i="1"/>
  <c r="E2604" i="1"/>
  <c r="C2604" i="1"/>
  <c r="R2603" i="1"/>
  <c r="I2603" i="1"/>
  <c r="G2603" i="1"/>
  <c r="E2603" i="1"/>
  <c r="C2603" i="1"/>
  <c r="R2602" i="1"/>
  <c r="I2602" i="1"/>
  <c r="G2602" i="1"/>
  <c r="E2602" i="1"/>
  <c r="C2602" i="1"/>
  <c r="R2601" i="1"/>
  <c r="I2601" i="1"/>
  <c r="G2601" i="1"/>
  <c r="E2601" i="1"/>
  <c r="C2601" i="1"/>
  <c r="R2600" i="1"/>
  <c r="I2600" i="1"/>
  <c r="G2600" i="1"/>
  <c r="E2600" i="1"/>
  <c r="C2600" i="1"/>
  <c r="R2599" i="1"/>
  <c r="I2599" i="1"/>
  <c r="G2599" i="1"/>
  <c r="E2599" i="1"/>
  <c r="C2599" i="1"/>
  <c r="R2598" i="1"/>
  <c r="I2598" i="1"/>
  <c r="G2598" i="1"/>
  <c r="E2598" i="1"/>
  <c r="C2598" i="1"/>
  <c r="R2597" i="1"/>
  <c r="I2597" i="1"/>
  <c r="G2597" i="1"/>
  <c r="E2597" i="1"/>
  <c r="C2597" i="1"/>
  <c r="R2596" i="1"/>
  <c r="I2596" i="1"/>
  <c r="G2596" i="1"/>
  <c r="E2596" i="1"/>
  <c r="C2596" i="1"/>
  <c r="R2595" i="1"/>
  <c r="I2595" i="1"/>
  <c r="G2595" i="1"/>
  <c r="E2595" i="1"/>
  <c r="C2595" i="1"/>
  <c r="R2594" i="1"/>
  <c r="I2594" i="1"/>
  <c r="G2594" i="1"/>
  <c r="E2594" i="1"/>
  <c r="C2594" i="1"/>
  <c r="R2593" i="1"/>
  <c r="I2593" i="1"/>
  <c r="G2593" i="1"/>
  <c r="E2593" i="1"/>
  <c r="C2593" i="1"/>
  <c r="R2592" i="1"/>
  <c r="I2592" i="1"/>
  <c r="G2592" i="1"/>
  <c r="E2592" i="1"/>
  <c r="C2592" i="1"/>
  <c r="R2591" i="1"/>
  <c r="I2591" i="1"/>
  <c r="G2591" i="1"/>
  <c r="E2591" i="1"/>
  <c r="C2591" i="1"/>
  <c r="R2590" i="1"/>
  <c r="I2590" i="1"/>
  <c r="G2590" i="1"/>
  <c r="E2590" i="1"/>
  <c r="C2590" i="1"/>
  <c r="R2589" i="1"/>
  <c r="I2589" i="1"/>
  <c r="G2589" i="1"/>
  <c r="E2589" i="1"/>
  <c r="C2589" i="1"/>
  <c r="R2588" i="1"/>
  <c r="I2588" i="1"/>
  <c r="G2588" i="1"/>
  <c r="E2588" i="1"/>
  <c r="C2588" i="1"/>
  <c r="R2587" i="1"/>
  <c r="I2587" i="1"/>
  <c r="G2587" i="1"/>
  <c r="E2587" i="1"/>
  <c r="C2587" i="1"/>
  <c r="R2586" i="1"/>
  <c r="I2586" i="1"/>
  <c r="G2586" i="1"/>
  <c r="E2586" i="1"/>
  <c r="C2586" i="1"/>
  <c r="R2585" i="1"/>
  <c r="I2585" i="1"/>
  <c r="G2585" i="1"/>
  <c r="E2585" i="1"/>
  <c r="C2585" i="1"/>
  <c r="R2584" i="1"/>
  <c r="I2584" i="1"/>
  <c r="G2584" i="1"/>
  <c r="E2584" i="1"/>
  <c r="C2584" i="1"/>
  <c r="R2583" i="1"/>
  <c r="I2583" i="1"/>
  <c r="G2583" i="1"/>
  <c r="E2583" i="1"/>
  <c r="C2583" i="1"/>
  <c r="R2582" i="1"/>
  <c r="I2582" i="1"/>
  <c r="G2582" i="1"/>
  <c r="E2582" i="1"/>
  <c r="C2582" i="1"/>
  <c r="R2581" i="1"/>
  <c r="I2581" i="1"/>
  <c r="G2581" i="1"/>
  <c r="E2581" i="1"/>
  <c r="C2581" i="1"/>
  <c r="R2580" i="1"/>
  <c r="I2580" i="1"/>
  <c r="G2580" i="1"/>
  <c r="E2580" i="1"/>
  <c r="C2580" i="1"/>
  <c r="R2579" i="1"/>
  <c r="I2579" i="1"/>
  <c r="G2579" i="1"/>
  <c r="E2579" i="1"/>
  <c r="C2579" i="1"/>
  <c r="R2578" i="1"/>
  <c r="I2578" i="1"/>
  <c r="G2578" i="1"/>
  <c r="E2578" i="1"/>
  <c r="C2578" i="1"/>
  <c r="R2577" i="1"/>
  <c r="I2577" i="1"/>
  <c r="G2577" i="1"/>
  <c r="E2577" i="1"/>
  <c r="C2577" i="1"/>
  <c r="R2576" i="1"/>
  <c r="I2576" i="1"/>
  <c r="G2576" i="1"/>
  <c r="E2576" i="1"/>
  <c r="C2576" i="1"/>
  <c r="R2575" i="1"/>
  <c r="I2575" i="1"/>
  <c r="G2575" i="1"/>
  <c r="E2575" i="1"/>
  <c r="C2575" i="1"/>
  <c r="R2574" i="1"/>
  <c r="I2574" i="1"/>
  <c r="G2574" i="1"/>
  <c r="E2574" i="1"/>
  <c r="C2574" i="1"/>
  <c r="R2573" i="1"/>
  <c r="I2573" i="1"/>
  <c r="G2573" i="1"/>
  <c r="E2573" i="1"/>
  <c r="C2573" i="1"/>
  <c r="R2572" i="1"/>
  <c r="I2572" i="1"/>
  <c r="G2572" i="1"/>
  <c r="E2572" i="1"/>
  <c r="C2572" i="1"/>
  <c r="R2571" i="1"/>
  <c r="I2571" i="1"/>
  <c r="G2571" i="1"/>
  <c r="E2571" i="1"/>
  <c r="C2571" i="1"/>
  <c r="R2570" i="1"/>
  <c r="I2570" i="1"/>
  <c r="G2570" i="1"/>
  <c r="E2570" i="1"/>
  <c r="C2570" i="1"/>
  <c r="R2569" i="1"/>
  <c r="I2569" i="1"/>
  <c r="G2569" i="1"/>
  <c r="E2569" i="1"/>
  <c r="C2569" i="1"/>
  <c r="R2568" i="1"/>
  <c r="I2568" i="1"/>
  <c r="G2568" i="1"/>
  <c r="E2568" i="1"/>
  <c r="C2568" i="1"/>
  <c r="R2567" i="1"/>
  <c r="I2567" i="1"/>
  <c r="G2567" i="1"/>
  <c r="E2567" i="1"/>
  <c r="C2567" i="1"/>
  <c r="R2566" i="1"/>
  <c r="I2566" i="1"/>
  <c r="G2566" i="1"/>
  <c r="E2566" i="1"/>
  <c r="C2566" i="1"/>
  <c r="R2565" i="1"/>
  <c r="I2565" i="1"/>
  <c r="G2565" i="1"/>
  <c r="E2565" i="1"/>
  <c r="C2565" i="1"/>
  <c r="R2564" i="1"/>
  <c r="I2564" i="1"/>
  <c r="G2564" i="1"/>
  <c r="E2564" i="1"/>
  <c r="C2564" i="1"/>
  <c r="R2563" i="1"/>
  <c r="I2563" i="1"/>
  <c r="G2563" i="1"/>
  <c r="E2563" i="1"/>
  <c r="C2563" i="1"/>
  <c r="R2562" i="1"/>
  <c r="I2562" i="1"/>
  <c r="G2562" i="1"/>
  <c r="E2562" i="1"/>
  <c r="C2562" i="1"/>
  <c r="R2561" i="1"/>
  <c r="I2561" i="1"/>
  <c r="G2561" i="1"/>
  <c r="E2561" i="1"/>
  <c r="C2561" i="1"/>
  <c r="R2560" i="1"/>
  <c r="I2560" i="1"/>
  <c r="G2560" i="1"/>
  <c r="E2560" i="1"/>
  <c r="C2560" i="1"/>
  <c r="R2559" i="1"/>
  <c r="I2559" i="1"/>
  <c r="G2559" i="1"/>
  <c r="E2559" i="1"/>
  <c r="C2559" i="1"/>
  <c r="R2558" i="1"/>
  <c r="I2558" i="1"/>
  <c r="G2558" i="1"/>
  <c r="E2558" i="1"/>
  <c r="C2558" i="1"/>
  <c r="R2557" i="1"/>
  <c r="I2557" i="1"/>
  <c r="G2557" i="1"/>
  <c r="E2557" i="1"/>
  <c r="C2557" i="1"/>
  <c r="R2556" i="1"/>
  <c r="I2556" i="1"/>
  <c r="G2556" i="1"/>
  <c r="E2556" i="1"/>
  <c r="C2556" i="1"/>
  <c r="R2555" i="1"/>
  <c r="I2555" i="1"/>
  <c r="G2555" i="1"/>
  <c r="E2555" i="1"/>
  <c r="C2555" i="1"/>
  <c r="R2554" i="1"/>
  <c r="I2554" i="1"/>
  <c r="G2554" i="1"/>
  <c r="E2554" i="1"/>
  <c r="C2554" i="1"/>
  <c r="R2553" i="1"/>
  <c r="I2553" i="1"/>
  <c r="G2553" i="1"/>
  <c r="E2553" i="1"/>
  <c r="C2553" i="1"/>
  <c r="R2552" i="1"/>
  <c r="I2552" i="1"/>
  <c r="G2552" i="1"/>
  <c r="E2552" i="1"/>
  <c r="C2552" i="1"/>
  <c r="R2551" i="1"/>
  <c r="I2551" i="1"/>
  <c r="G2551" i="1"/>
  <c r="E2551" i="1"/>
  <c r="C2551" i="1"/>
  <c r="R2550" i="1"/>
  <c r="I2550" i="1"/>
  <c r="G2550" i="1"/>
  <c r="E2550" i="1"/>
  <c r="C2550" i="1"/>
  <c r="R2549" i="1"/>
  <c r="I2549" i="1"/>
  <c r="G2549" i="1"/>
  <c r="E2549" i="1"/>
  <c r="C2549" i="1"/>
  <c r="R2548" i="1"/>
  <c r="I2548" i="1"/>
  <c r="G2548" i="1"/>
  <c r="E2548" i="1"/>
  <c r="C2548" i="1"/>
  <c r="R2547" i="1"/>
  <c r="I2547" i="1"/>
  <c r="G2547" i="1"/>
  <c r="E2547" i="1"/>
  <c r="C2547" i="1"/>
  <c r="R2546" i="1"/>
  <c r="I2546" i="1"/>
  <c r="G2546" i="1"/>
  <c r="E2546" i="1"/>
  <c r="C2546" i="1"/>
  <c r="R2545" i="1"/>
  <c r="I2545" i="1"/>
  <c r="G2545" i="1"/>
  <c r="E2545" i="1"/>
  <c r="C2545" i="1"/>
  <c r="R2544" i="1"/>
  <c r="I2544" i="1"/>
  <c r="G2544" i="1"/>
  <c r="E2544" i="1"/>
  <c r="C2544" i="1"/>
  <c r="R2543" i="1"/>
  <c r="I2543" i="1"/>
  <c r="G2543" i="1"/>
  <c r="E2543" i="1"/>
  <c r="C2543" i="1"/>
  <c r="R2542" i="1"/>
  <c r="I2542" i="1"/>
  <c r="G2542" i="1"/>
  <c r="E2542" i="1"/>
  <c r="C2542" i="1"/>
  <c r="R2541" i="1"/>
  <c r="I2541" i="1"/>
  <c r="G2541" i="1"/>
  <c r="E2541" i="1"/>
  <c r="C2541" i="1"/>
  <c r="R2540" i="1"/>
  <c r="I2540" i="1"/>
  <c r="G2540" i="1"/>
  <c r="E2540" i="1"/>
  <c r="C2540" i="1"/>
  <c r="R2539" i="1"/>
  <c r="I2539" i="1"/>
  <c r="G2539" i="1"/>
  <c r="E2539" i="1"/>
  <c r="C2539" i="1"/>
  <c r="R2538" i="1"/>
  <c r="I2538" i="1"/>
  <c r="G2538" i="1"/>
  <c r="E2538" i="1"/>
  <c r="C2538" i="1"/>
  <c r="R2537" i="1"/>
  <c r="I2537" i="1"/>
  <c r="G2537" i="1"/>
  <c r="E2537" i="1"/>
  <c r="C2537" i="1"/>
  <c r="R2536" i="1"/>
  <c r="I2536" i="1"/>
  <c r="G2536" i="1"/>
  <c r="E2536" i="1"/>
  <c r="C2536" i="1"/>
  <c r="R2535" i="1"/>
  <c r="I2535" i="1"/>
  <c r="G2535" i="1"/>
  <c r="E2535" i="1"/>
  <c r="C2535" i="1"/>
  <c r="R2534" i="1"/>
  <c r="I2534" i="1"/>
  <c r="G2534" i="1"/>
  <c r="E2534" i="1"/>
  <c r="C2534" i="1"/>
  <c r="R2533" i="1"/>
  <c r="I2533" i="1"/>
  <c r="G2533" i="1"/>
  <c r="E2533" i="1"/>
  <c r="C2533" i="1"/>
  <c r="R2532" i="1"/>
  <c r="I2532" i="1"/>
  <c r="G2532" i="1"/>
  <c r="E2532" i="1"/>
  <c r="C2532" i="1"/>
  <c r="R2531" i="1"/>
  <c r="I2531" i="1"/>
  <c r="G2531" i="1"/>
  <c r="E2531" i="1"/>
  <c r="C2531" i="1"/>
  <c r="R2530" i="1"/>
  <c r="I2530" i="1"/>
  <c r="G2530" i="1"/>
  <c r="E2530" i="1"/>
  <c r="C2530" i="1"/>
  <c r="R2529" i="1"/>
  <c r="I2529" i="1"/>
  <c r="G2529" i="1"/>
  <c r="E2529" i="1"/>
  <c r="C2529" i="1"/>
  <c r="R2528" i="1"/>
  <c r="I2528" i="1"/>
  <c r="G2528" i="1"/>
  <c r="E2528" i="1"/>
  <c r="C2528" i="1"/>
  <c r="R2527" i="1"/>
  <c r="I2527" i="1"/>
  <c r="G2527" i="1"/>
  <c r="E2527" i="1"/>
  <c r="C2527" i="1"/>
  <c r="R2526" i="1"/>
  <c r="I2526" i="1"/>
  <c r="G2526" i="1"/>
  <c r="E2526" i="1"/>
  <c r="C2526" i="1"/>
  <c r="R2525" i="1"/>
  <c r="I2525" i="1"/>
  <c r="G2525" i="1"/>
  <c r="E2525" i="1"/>
  <c r="C2525" i="1"/>
  <c r="R2524" i="1"/>
  <c r="I2524" i="1"/>
  <c r="G2524" i="1"/>
  <c r="E2524" i="1"/>
  <c r="C2524" i="1"/>
  <c r="R2523" i="1"/>
  <c r="I2523" i="1"/>
  <c r="G2523" i="1"/>
  <c r="E2523" i="1"/>
  <c r="C2523" i="1"/>
  <c r="R2522" i="1"/>
  <c r="I2522" i="1"/>
  <c r="G2522" i="1"/>
  <c r="E2522" i="1"/>
  <c r="C2522" i="1"/>
  <c r="R2521" i="1"/>
  <c r="I2521" i="1"/>
  <c r="G2521" i="1"/>
  <c r="E2521" i="1"/>
  <c r="C2521" i="1"/>
  <c r="R2520" i="1"/>
  <c r="I2520" i="1"/>
  <c r="G2520" i="1"/>
  <c r="E2520" i="1"/>
  <c r="C2520" i="1"/>
  <c r="R2519" i="1"/>
  <c r="I2519" i="1"/>
  <c r="G2519" i="1"/>
  <c r="E2519" i="1"/>
  <c r="C2519" i="1"/>
  <c r="R2518" i="1"/>
  <c r="I2518" i="1"/>
  <c r="G2518" i="1"/>
  <c r="E2518" i="1"/>
  <c r="C2518" i="1"/>
  <c r="R2517" i="1"/>
  <c r="I2517" i="1"/>
  <c r="G2517" i="1"/>
  <c r="E2517" i="1"/>
  <c r="C2517" i="1"/>
  <c r="R2516" i="1"/>
  <c r="I2516" i="1"/>
  <c r="G2516" i="1"/>
  <c r="E2516" i="1"/>
  <c r="C2516" i="1"/>
  <c r="R2515" i="1"/>
  <c r="I2515" i="1"/>
  <c r="G2515" i="1"/>
  <c r="E2515" i="1"/>
  <c r="C2515" i="1"/>
  <c r="R2514" i="1"/>
  <c r="I2514" i="1"/>
  <c r="G2514" i="1"/>
  <c r="E2514" i="1"/>
  <c r="C2514" i="1"/>
  <c r="R2513" i="1"/>
  <c r="I2513" i="1"/>
  <c r="G2513" i="1"/>
  <c r="E2513" i="1"/>
  <c r="C2513" i="1"/>
  <c r="R2512" i="1"/>
  <c r="I2512" i="1"/>
  <c r="G2512" i="1"/>
  <c r="E2512" i="1"/>
  <c r="C2512" i="1"/>
  <c r="R2511" i="1"/>
  <c r="I2511" i="1"/>
  <c r="G2511" i="1"/>
  <c r="E2511" i="1"/>
  <c r="C2511" i="1"/>
  <c r="R2510" i="1"/>
  <c r="I2510" i="1"/>
  <c r="G2510" i="1"/>
  <c r="E2510" i="1"/>
  <c r="C2510" i="1"/>
  <c r="R2509" i="1"/>
  <c r="I2509" i="1"/>
  <c r="G2509" i="1"/>
  <c r="E2509" i="1"/>
  <c r="C2509" i="1"/>
  <c r="R2508" i="1"/>
  <c r="I2508" i="1"/>
  <c r="G2508" i="1"/>
  <c r="E2508" i="1"/>
  <c r="C2508" i="1"/>
  <c r="R2507" i="1"/>
  <c r="I2507" i="1"/>
  <c r="G2507" i="1"/>
  <c r="E2507" i="1"/>
  <c r="C2507" i="1"/>
  <c r="R2506" i="1"/>
  <c r="I2506" i="1"/>
  <c r="G2506" i="1"/>
  <c r="E2506" i="1"/>
  <c r="C2506" i="1"/>
  <c r="R2505" i="1"/>
  <c r="I2505" i="1"/>
  <c r="G2505" i="1"/>
  <c r="E2505" i="1"/>
  <c r="C2505" i="1"/>
  <c r="R2504" i="1"/>
  <c r="I2504" i="1"/>
  <c r="G2504" i="1"/>
  <c r="E2504" i="1"/>
  <c r="C2504" i="1"/>
  <c r="R2503" i="1"/>
  <c r="I2503" i="1"/>
  <c r="G2503" i="1"/>
  <c r="E2503" i="1"/>
  <c r="C2503" i="1"/>
  <c r="R2502" i="1"/>
  <c r="I2502" i="1"/>
  <c r="G2502" i="1"/>
  <c r="E2502" i="1"/>
  <c r="C2502" i="1"/>
  <c r="R2501" i="1"/>
  <c r="I2501" i="1"/>
  <c r="G2501" i="1"/>
  <c r="E2501" i="1"/>
  <c r="C2501" i="1"/>
  <c r="R2500" i="1"/>
  <c r="I2500" i="1"/>
  <c r="G2500" i="1"/>
  <c r="E2500" i="1"/>
  <c r="C2500" i="1"/>
  <c r="R2499" i="1"/>
  <c r="I2499" i="1"/>
  <c r="G2499" i="1"/>
  <c r="E2499" i="1"/>
  <c r="C2499" i="1"/>
  <c r="R2498" i="1"/>
  <c r="I2498" i="1"/>
  <c r="G2498" i="1"/>
  <c r="E2498" i="1"/>
  <c r="C2498" i="1"/>
  <c r="R2497" i="1"/>
  <c r="I2497" i="1"/>
  <c r="G2497" i="1"/>
  <c r="E2497" i="1"/>
  <c r="C2497" i="1"/>
  <c r="R2496" i="1"/>
  <c r="I2496" i="1"/>
  <c r="G2496" i="1"/>
  <c r="E2496" i="1"/>
  <c r="C2496" i="1"/>
  <c r="R2495" i="1"/>
  <c r="I2495" i="1"/>
  <c r="G2495" i="1"/>
  <c r="E2495" i="1"/>
  <c r="C2495" i="1"/>
  <c r="R2494" i="1"/>
  <c r="I2494" i="1"/>
  <c r="G2494" i="1"/>
  <c r="E2494" i="1"/>
  <c r="C2494" i="1"/>
  <c r="R2493" i="1"/>
  <c r="I2493" i="1"/>
  <c r="G2493" i="1"/>
  <c r="E2493" i="1"/>
  <c r="C2493" i="1"/>
  <c r="R2492" i="1"/>
  <c r="I2492" i="1"/>
  <c r="G2492" i="1"/>
  <c r="E2492" i="1"/>
  <c r="C2492" i="1"/>
  <c r="R2491" i="1"/>
  <c r="I2491" i="1"/>
  <c r="G2491" i="1"/>
  <c r="E2491" i="1"/>
  <c r="C2491" i="1"/>
  <c r="R2490" i="1"/>
  <c r="I2490" i="1"/>
  <c r="G2490" i="1"/>
  <c r="E2490" i="1"/>
  <c r="C2490" i="1"/>
  <c r="R2489" i="1"/>
  <c r="I2489" i="1"/>
  <c r="G2489" i="1"/>
  <c r="E2489" i="1"/>
  <c r="C2489" i="1"/>
  <c r="R2488" i="1"/>
  <c r="I2488" i="1"/>
  <c r="G2488" i="1"/>
  <c r="E2488" i="1"/>
  <c r="C2488" i="1"/>
  <c r="R2487" i="1"/>
  <c r="I2487" i="1"/>
  <c r="G2487" i="1"/>
  <c r="E2487" i="1"/>
  <c r="C2487" i="1"/>
  <c r="R2486" i="1"/>
  <c r="I2486" i="1"/>
  <c r="G2486" i="1"/>
  <c r="E2486" i="1"/>
  <c r="C2486" i="1"/>
  <c r="R2485" i="1"/>
  <c r="I2485" i="1"/>
  <c r="G2485" i="1"/>
  <c r="E2485" i="1"/>
  <c r="C2485" i="1"/>
  <c r="R2484" i="1"/>
  <c r="I2484" i="1"/>
  <c r="G2484" i="1"/>
  <c r="E2484" i="1"/>
  <c r="C2484" i="1"/>
  <c r="R2483" i="1"/>
  <c r="I2483" i="1"/>
  <c r="G2483" i="1"/>
  <c r="E2483" i="1"/>
  <c r="C2483" i="1"/>
  <c r="R2482" i="1"/>
  <c r="I2482" i="1"/>
  <c r="G2482" i="1"/>
  <c r="E2482" i="1"/>
  <c r="C2482" i="1"/>
  <c r="R2481" i="1"/>
  <c r="I2481" i="1"/>
  <c r="G2481" i="1"/>
  <c r="E2481" i="1"/>
  <c r="C2481" i="1"/>
  <c r="R2480" i="1"/>
  <c r="I2480" i="1"/>
  <c r="G2480" i="1"/>
  <c r="E2480" i="1"/>
  <c r="C2480" i="1"/>
  <c r="R2479" i="1"/>
  <c r="I2479" i="1"/>
  <c r="G2479" i="1"/>
  <c r="E2479" i="1"/>
  <c r="C2479" i="1"/>
  <c r="R2478" i="1"/>
  <c r="I2478" i="1"/>
  <c r="G2478" i="1"/>
  <c r="E2478" i="1"/>
  <c r="C2478" i="1"/>
  <c r="R2477" i="1"/>
  <c r="I2477" i="1"/>
  <c r="G2477" i="1"/>
  <c r="E2477" i="1"/>
  <c r="C2477" i="1"/>
  <c r="R2476" i="1"/>
  <c r="I2476" i="1"/>
  <c r="G2476" i="1"/>
  <c r="E2476" i="1"/>
  <c r="C2476" i="1"/>
  <c r="R2475" i="1"/>
  <c r="I2475" i="1"/>
  <c r="G2475" i="1"/>
  <c r="E2475" i="1"/>
  <c r="C2475" i="1"/>
  <c r="R2474" i="1"/>
  <c r="I2474" i="1"/>
  <c r="G2474" i="1"/>
  <c r="E2474" i="1"/>
  <c r="C2474" i="1"/>
  <c r="R2473" i="1"/>
  <c r="I2473" i="1"/>
  <c r="G2473" i="1"/>
  <c r="E2473" i="1"/>
  <c r="C2473" i="1"/>
  <c r="R2472" i="1"/>
  <c r="I2472" i="1"/>
  <c r="G2472" i="1"/>
  <c r="E2472" i="1"/>
  <c r="C2472" i="1"/>
  <c r="R2471" i="1"/>
  <c r="I2471" i="1"/>
  <c r="G2471" i="1"/>
  <c r="E2471" i="1"/>
  <c r="C2471" i="1"/>
  <c r="R2470" i="1"/>
  <c r="I2470" i="1"/>
  <c r="G2470" i="1"/>
  <c r="E2470" i="1"/>
  <c r="C2470" i="1"/>
  <c r="R2469" i="1"/>
  <c r="I2469" i="1"/>
  <c r="G2469" i="1"/>
  <c r="E2469" i="1"/>
  <c r="C2469" i="1"/>
  <c r="R2468" i="1"/>
  <c r="I2468" i="1"/>
  <c r="G2468" i="1"/>
  <c r="E2468" i="1"/>
  <c r="C2468" i="1"/>
  <c r="R2467" i="1"/>
  <c r="I2467" i="1"/>
  <c r="G2467" i="1"/>
  <c r="E2467" i="1"/>
  <c r="C2467" i="1"/>
  <c r="R2466" i="1"/>
  <c r="I2466" i="1"/>
  <c r="G2466" i="1"/>
  <c r="E2466" i="1"/>
  <c r="C2466" i="1"/>
  <c r="R2465" i="1"/>
  <c r="I2465" i="1"/>
  <c r="G2465" i="1"/>
  <c r="E2465" i="1"/>
  <c r="C2465" i="1"/>
  <c r="R2464" i="1"/>
  <c r="I2464" i="1"/>
  <c r="G2464" i="1"/>
  <c r="E2464" i="1"/>
  <c r="C2464" i="1"/>
  <c r="R2463" i="1"/>
  <c r="I2463" i="1"/>
  <c r="G2463" i="1"/>
  <c r="E2463" i="1"/>
  <c r="C2463" i="1"/>
  <c r="R2462" i="1"/>
  <c r="I2462" i="1"/>
  <c r="G2462" i="1"/>
  <c r="E2462" i="1"/>
  <c r="C2462" i="1"/>
  <c r="R2461" i="1"/>
  <c r="I2461" i="1"/>
  <c r="G2461" i="1"/>
  <c r="E2461" i="1"/>
  <c r="C2461" i="1"/>
  <c r="R2460" i="1"/>
  <c r="I2460" i="1"/>
  <c r="G2460" i="1"/>
  <c r="E2460" i="1"/>
  <c r="C2460" i="1"/>
  <c r="R2459" i="1"/>
  <c r="I2459" i="1"/>
  <c r="G2459" i="1"/>
  <c r="E2459" i="1"/>
  <c r="C2459" i="1"/>
  <c r="R2458" i="1"/>
  <c r="I2458" i="1"/>
  <c r="G2458" i="1"/>
  <c r="E2458" i="1"/>
  <c r="C2458" i="1"/>
  <c r="R2457" i="1"/>
  <c r="I2457" i="1"/>
  <c r="G2457" i="1"/>
  <c r="E2457" i="1"/>
  <c r="C2457" i="1"/>
  <c r="R2456" i="1"/>
  <c r="I2456" i="1"/>
  <c r="G2456" i="1"/>
  <c r="E2456" i="1"/>
  <c r="C2456" i="1"/>
  <c r="R2455" i="1"/>
  <c r="I2455" i="1"/>
  <c r="G2455" i="1"/>
  <c r="E2455" i="1"/>
  <c r="C2455" i="1"/>
  <c r="R2454" i="1"/>
  <c r="I2454" i="1"/>
  <c r="G2454" i="1"/>
  <c r="E2454" i="1"/>
  <c r="C2454" i="1"/>
  <c r="R2453" i="1"/>
  <c r="I2453" i="1"/>
  <c r="G2453" i="1"/>
  <c r="E2453" i="1"/>
  <c r="C2453" i="1"/>
  <c r="R2452" i="1"/>
  <c r="I2452" i="1"/>
  <c r="G2452" i="1"/>
  <c r="E2452" i="1"/>
  <c r="C2452" i="1"/>
  <c r="R2451" i="1"/>
  <c r="I2451" i="1"/>
  <c r="G2451" i="1"/>
  <c r="E2451" i="1"/>
  <c r="C2451" i="1"/>
  <c r="R2450" i="1"/>
  <c r="I2450" i="1"/>
  <c r="G2450" i="1"/>
  <c r="E2450" i="1"/>
  <c r="C2450" i="1"/>
  <c r="R2449" i="1"/>
  <c r="I2449" i="1"/>
  <c r="G2449" i="1"/>
  <c r="E2449" i="1"/>
  <c r="C2449" i="1"/>
  <c r="R2448" i="1"/>
  <c r="I2448" i="1"/>
  <c r="G2448" i="1"/>
  <c r="E2448" i="1"/>
  <c r="C2448" i="1"/>
  <c r="R2447" i="1"/>
  <c r="I2447" i="1"/>
  <c r="G2447" i="1"/>
  <c r="E2447" i="1"/>
  <c r="C2447" i="1"/>
  <c r="R2446" i="1"/>
  <c r="I2446" i="1"/>
  <c r="G2446" i="1"/>
  <c r="E2446" i="1"/>
  <c r="C2446" i="1"/>
  <c r="R2445" i="1"/>
  <c r="I2445" i="1"/>
  <c r="G2445" i="1"/>
  <c r="E2445" i="1"/>
  <c r="C2445" i="1"/>
  <c r="R2444" i="1"/>
  <c r="I2444" i="1"/>
  <c r="G2444" i="1"/>
  <c r="E2444" i="1"/>
  <c r="C2444" i="1"/>
  <c r="R2443" i="1"/>
  <c r="I2443" i="1"/>
  <c r="G2443" i="1"/>
  <c r="E2443" i="1"/>
  <c r="C2443" i="1"/>
  <c r="R2442" i="1"/>
  <c r="I2442" i="1"/>
  <c r="G2442" i="1"/>
  <c r="E2442" i="1"/>
  <c r="C2442" i="1"/>
  <c r="R2441" i="1"/>
  <c r="I2441" i="1"/>
  <c r="G2441" i="1"/>
  <c r="E2441" i="1"/>
  <c r="C2441" i="1"/>
  <c r="R2440" i="1"/>
  <c r="I2440" i="1"/>
  <c r="G2440" i="1"/>
  <c r="E2440" i="1"/>
  <c r="C2440" i="1"/>
  <c r="R2439" i="1"/>
  <c r="I2439" i="1"/>
  <c r="G2439" i="1"/>
  <c r="E2439" i="1"/>
  <c r="C2439" i="1"/>
  <c r="R2438" i="1"/>
  <c r="I2438" i="1"/>
  <c r="G2438" i="1"/>
  <c r="E2438" i="1"/>
  <c r="C2438" i="1"/>
  <c r="R2437" i="1"/>
  <c r="I2437" i="1"/>
  <c r="G2437" i="1"/>
  <c r="E2437" i="1"/>
  <c r="C2437" i="1"/>
  <c r="R2436" i="1"/>
  <c r="I2436" i="1"/>
  <c r="G2436" i="1"/>
  <c r="E2436" i="1"/>
  <c r="C2436" i="1"/>
  <c r="R2435" i="1"/>
  <c r="I2435" i="1"/>
  <c r="G2435" i="1"/>
  <c r="E2435" i="1"/>
  <c r="C2435" i="1"/>
  <c r="R2434" i="1"/>
  <c r="I2434" i="1"/>
  <c r="G2434" i="1"/>
  <c r="E2434" i="1"/>
  <c r="C2434" i="1"/>
  <c r="R2433" i="1"/>
  <c r="I2433" i="1"/>
  <c r="G2433" i="1"/>
  <c r="E2433" i="1"/>
  <c r="C2433" i="1"/>
  <c r="R2432" i="1"/>
  <c r="I2432" i="1"/>
  <c r="G2432" i="1"/>
  <c r="E2432" i="1"/>
  <c r="C2432" i="1"/>
  <c r="R2431" i="1"/>
  <c r="I2431" i="1"/>
  <c r="G2431" i="1"/>
  <c r="E2431" i="1"/>
  <c r="C2431" i="1"/>
  <c r="R2430" i="1"/>
  <c r="I2430" i="1"/>
  <c r="G2430" i="1"/>
  <c r="E2430" i="1"/>
  <c r="C2430" i="1"/>
  <c r="R2429" i="1"/>
  <c r="I2429" i="1"/>
  <c r="G2429" i="1"/>
  <c r="E2429" i="1"/>
  <c r="C2429" i="1"/>
  <c r="R2428" i="1"/>
  <c r="I2428" i="1"/>
  <c r="G2428" i="1"/>
  <c r="E2428" i="1"/>
  <c r="C2428" i="1"/>
  <c r="R2427" i="1"/>
  <c r="I2427" i="1"/>
  <c r="G2427" i="1"/>
  <c r="E2427" i="1"/>
  <c r="C2427" i="1"/>
  <c r="R2426" i="1"/>
  <c r="I2426" i="1"/>
  <c r="G2426" i="1"/>
  <c r="E2426" i="1"/>
  <c r="C2426" i="1"/>
  <c r="R2425" i="1"/>
  <c r="I2425" i="1"/>
  <c r="G2425" i="1"/>
  <c r="E2425" i="1"/>
  <c r="C2425" i="1"/>
  <c r="R2424" i="1"/>
  <c r="I2424" i="1"/>
  <c r="G2424" i="1"/>
  <c r="E2424" i="1"/>
  <c r="C2424" i="1"/>
  <c r="R2423" i="1"/>
  <c r="I2423" i="1"/>
  <c r="G2423" i="1"/>
  <c r="E2423" i="1"/>
  <c r="C2423" i="1"/>
  <c r="R2422" i="1"/>
  <c r="I2422" i="1"/>
  <c r="G2422" i="1"/>
  <c r="E2422" i="1"/>
  <c r="C2422" i="1"/>
  <c r="R2421" i="1"/>
  <c r="I2421" i="1"/>
  <c r="G2421" i="1"/>
  <c r="E2421" i="1"/>
  <c r="C2421" i="1"/>
  <c r="R2420" i="1"/>
  <c r="I2420" i="1"/>
  <c r="G2420" i="1"/>
  <c r="E2420" i="1"/>
  <c r="C2420" i="1"/>
  <c r="R2419" i="1"/>
  <c r="I2419" i="1"/>
  <c r="G2419" i="1"/>
  <c r="E2419" i="1"/>
  <c r="C2419" i="1"/>
  <c r="R2418" i="1"/>
  <c r="I2418" i="1"/>
  <c r="G2418" i="1"/>
  <c r="E2418" i="1"/>
  <c r="C2418" i="1"/>
  <c r="R2417" i="1"/>
  <c r="I2417" i="1"/>
  <c r="G2417" i="1"/>
  <c r="E2417" i="1"/>
  <c r="C2417" i="1"/>
  <c r="R2416" i="1"/>
  <c r="I2416" i="1"/>
  <c r="G2416" i="1"/>
  <c r="E2416" i="1"/>
  <c r="C2416" i="1"/>
  <c r="R2415" i="1"/>
  <c r="I2415" i="1"/>
  <c r="G2415" i="1"/>
  <c r="E2415" i="1"/>
  <c r="C2415" i="1"/>
  <c r="R2414" i="1"/>
  <c r="I2414" i="1"/>
  <c r="G2414" i="1"/>
  <c r="E2414" i="1"/>
  <c r="C2414" i="1"/>
  <c r="R2413" i="1"/>
  <c r="I2413" i="1"/>
  <c r="G2413" i="1"/>
  <c r="E2413" i="1"/>
  <c r="C2413" i="1"/>
  <c r="R2412" i="1"/>
  <c r="I2412" i="1"/>
  <c r="G2412" i="1"/>
  <c r="E2412" i="1"/>
  <c r="C2412" i="1"/>
  <c r="R2411" i="1"/>
  <c r="I2411" i="1"/>
  <c r="G2411" i="1"/>
  <c r="E2411" i="1"/>
  <c r="C2411" i="1"/>
  <c r="R2410" i="1"/>
  <c r="I2410" i="1"/>
  <c r="G2410" i="1"/>
  <c r="E2410" i="1"/>
  <c r="C2410" i="1"/>
  <c r="R2409" i="1"/>
  <c r="I2409" i="1"/>
  <c r="G2409" i="1"/>
  <c r="E2409" i="1"/>
  <c r="C2409" i="1"/>
  <c r="R2408" i="1"/>
  <c r="I2408" i="1"/>
  <c r="G2408" i="1"/>
  <c r="E2408" i="1"/>
  <c r="C2408" i="1"/>
  <c r="R2407" i="1"/>
  <c r="I2407" i="1"/>
  <c r="G2407" i="1"/>
  <c r="E2407" i="1"/>
  <c r="C2407" i="1"/>
  <c r="R2406" i="1"/>
  <c r="I2406" i="1"/>
  <c r="G2406" i="1"/>
  <c r="E2406" i="1"/>
  <c r="C2406" i="1"/>
  <c r="R2405" i="1"/>
  <c r="I2405" i="1"/>
  <c r="G2405" i="1"/>
  <c r="E2405" i="1"/>
  <c r="C2405" i="1"/>
  <c r="R2404" i="1"/>
  <c r="I2404" i="1"/>
  <c r="G2404" i="1"/>
  <c r="E2404" i="1"/>
  <c r="C2404" i="1"/>
  <c r="R2403" i="1"/>
  <c r="I2403" i="1"/>
  <c r="G2403" i="1"/>
  <c r="E2403" i="1"/>
  <c r="C2403" i="1"/>
  <c r="R2402" i="1"/>
  <c r="I2402" i="1"/>
  <c r="G2402" i="1"/>
  <c r="E2402" i="1"/>
  <c r="C2402" i="1"/>
  <c r="R2401" i="1"/>
  <c r="I2401" i="1"/>
  <c r="G2401" i="1"/>
  <c r="E2401" i="1"/>
  <c r="C2401" i="1"/>
  <c r="R2400" i="1"/>
  <c r="I2400" i="1"/>
  <c r="G2400" i="1"/>
  <c r="E2400" i="1"/>
  <c r="C2400" i="1"/>
  <c r="R2399" i="1"/>
  <c r="I2399" i="1"/>
  <c r="G2399" i="1"/>
  <c r="E2399" i="1"/>
  <c r="C2399" i="1"/>
  <c r="R2398" i="1"/>
  <c r="I2398" i="1"/>
  <c r="G2398" i="1"/>
  <c r="E2398" i="1"/>
  <c r="C2398" i="1"/>
  <c r="R2397" i="1"/>
  <c r="I2397" i="1"/>
  <c r="G2397" i="1"/>
  <c r="E2397" i="1"/>
  <c r="C2397" i="1"/>
  <c r="R2396" i="1"/>
  <c r="I2396" i="1"/>
  <c r="G2396" i="1"/>
  <c r="E2396" i="1"/>
  <c r="C2396" i="1"/>
  <c r="R2395" i="1"/>
  <c r="I2395" i="1"/>
  <c r="G2395" i="1"/>
  <c r="E2395" i="1"/>
  <c r="C2395" i="1"/>
  <c r="R2394" i="1"/>
  <c r="I2394" i="1"/>
  <c r="G2394" i="1"/>
  <c r="E2394" i="1"/>
  <c r="C2394" i="1"/>
  <c r="R2393" i="1"/>
  <c r="I2393" i="1"/>
  <c r="G2393" i="1"/>
  <c r="E2393" i="1"/>
  <c r="C2393" i="1"/>
  <c r="R2392" i="1"/>
  <c r="I2392" i="1"/>
  <c r="G2392" i="1"/>
  <c r="E2392" i="1"/>
  <c r="C2392" i="1"/>
  <c r="R2391" i="1"/>
  <c r="I2391" i="1"/>
  <c r="G2391" i="1"/>
  <c r="E2391" i="1"/>
  <c r="C2391" i="1"/>
  <c r="R2390" i="1"/>
  <c r="I2390" i="1"/>
  <c r="G2390" i="1"/>
  <c r="E2390" i="1"/>
  <c r="C2390" i="1"/>
  <c r="R2389" i="1"/>
  <c r="I2389" i="1"/>
  <c r="G2389" i="1"/>
  <c r="E2389" i="1"/>
  <c r="C2389" i="1"/>
  <c r="R2388" i="1"/>
  <c r="I2388" i="1"/>
  <c r="G2388" i="1"/>
  <c r="E2388" i="1"/>
  <c r="C2388" i="1"/>
  <c r="R2387" i="1"/>
  <c r="I2387" i="1"/>
  <c r="G2387" i="1"/>
  <c r="E2387" i="1"/>
  <c r="C2387" i="1"/>
  <c r="R2386" i="1"/>
  <c r="I2386" i="1"/>
  <c r="G2386" i="1"/>
  <c r="E2386" i="1"/>
  <c r="C2386" i="1"/>
  <c r="R2385" i="1"/>
  <c r="I2385" i="1"/>
  <c r="G2385" i="1"/>
  <c r="E2385" i="1"/>
  <c r="C2385" i="1"/>
  <c r="R2384" i="1"/>
  <c r="I2384" i="1"/>
  <c r="G2384" i="1"/>
  <c r="E2384" i="1"/>
  <c r="C2384" i="1"/>
  <c r="R2383" i="1"/>
  <c r="I2383" i="1"/>
  <c r="G2383" i="1"/>
  <c r="E2383" i="1"/>
  <c r="C2383" i="1"/>
  <c r="R2382" i="1"/>
  <c r="I2382" i="1"/>
  <c r="G2382" i="1"/>
  <c r="E2382" i="1"/>
  <c r="C2382" i="1"/>
  <c r="R2381" i="1"/>
  <c r="I2381" i="1"/>
  <c r="G2381" i="1"/>
  <c r="E2381" i="1"/>
  <c r="C2381" i="1"/>
  <c r="R2380" i="1"/>
  <c r="I2380" i="1"/>
  <c r="G2380" i="1"/>
  <c r="E2380" i="1"/>
  <c r="C2380" i="1"/>
  <c r="R2379" i="1"/>
  <c r="I2379" i="1"/>
  <c r="G2379" i="1"/>
  <c r="E2379" i="1"/>
  <c r="C2379" i="1"/>
  <c r="R2378" i="1"/>
  <c r="I2378" i="1"/>
  <c r="G2378" i="1"/>
  <c r="E2378" i="1"/>
  <c r="C2378" i="1"/>
  <c r="R2377" i="1"/>
  <c r="I2377" i="1"/>
  <c r="G2377" i="1"/>
  <c r="E2377" i="1"/>
  <c r="C2377" i="1"/>
  <c r="R2376" i="1"/>
  <c r="I2376" i="1"/>
  <c r="G2376" i="1"/>
  <c r="E2376" i="1"/>
  <c r="C2376" i="1"/>
  <c r="R2375" i="1"/>
  <c r="I2375" i="1"/>
  <c r="G2375" i="1"/>
  <c r="E2375" i="1"/>
  <c r="C2375" i="1"/>
  <c r="R2374" i="1"/>
  <c r="I2374" i="1"/>
  <c r="G2374" i="1"/>
  <c r="E2374" i="1"/>
  <c r="C2374" i="1"/>
  <c r="R2373" i="1"/>
  <c r="I2373" i="1"/>
  <c r="G2373" i="1"/>
  <c r="E2373" i="1"/>
  <c r="C2373" i="1"/>
  <c r="R2372" i="1"/>
  <c r="I2372" i="1"/>
  <c r="G2372" i="1"/>
  <c r="E2372" i="1"/>
  <c r="C2372" i="1"/>
  <c r="R2371" i="1"/>
  <c r="I2371" i="1"/>
  <c r="G2371" i="1"/>
  <c r="E2371" i="1"/>
  <c r="C2371" i="1"/>
  <c r="R2370" i="1"/>
  <c r="I2370" i="1"/>
  <c r="G2370" i="1"/>
  <c r="E2370" i="1"/>
  <c r="C2370" i="1"/>
  <c r="R2369" i="1"/>
  <c r="I2369" i="1"/>
  <c r="G2369" i="1"/>
  <c r="E2369" i="1"/>
  <c r="C2369" i="1"/>
  <c r="R2368" i="1"/>
  <c r="I2368" i="1"/>
  <c r="G2368" i="1"/>
  <c r="E2368" i="1"/>
  <c r="C2368" i="1"/>
  <c r="R2367" i="1"/>
  <c r="I2367" i="1"/>
  <c r="G2367" i="1"/>
  <c r="E2367" i="1"/>
  <c r="C2367" i="1"/>
  <c r="R2366" i="1"/>
  <c r="I2366" i="1"/>
  <c r="G2366" i="1"/>
  <c r="E2366" i="1"/>
  <c r="C2366" i="1"/>
  <c r="R2365" i="1"/>
  <c r="I2365" i="1"/>
  <c r="G2365" i="1"/>
  <c r="E2365" i="1"/>
  <c r="C2365" i="1"/>
  <c r="R2364" i="1"/>
  <c r="I2364" i="1"/>
  <c r="G2364" i="1"/>
  <c r="E2364" i="1"/>
  <c r="C2364" i="1"/>
  <c r="R2363" i="1"/>
  <c r="I2363" i="1"/>
  <c r="G2363" i="1"/>
  <c r="E2363" i="1"/>
  <c r="C2363" i="1"/>
  <c r="R2362" i="1"/>
  <c r="I2362" i="1"/>
  <c r="G2362" i="1"/>
  <c r="E2362" i="1"/>
  <c r="C2362" i="1"/>
  <c r="R2361" i="1"/>
  <c r="I2361" i="1"/>
  <c r="G2361" i="1"/>
  <c r="E2361" i="1"/>
  <c r="C2361" i="1"/>
  <c r="R2360" i="1"/>
  <c r="I2360" i="1"/>
  <c r="G2360" i="1"/>
  <c r="E2360" i="1"/>
  <c r="C2360" i="1"/>
  <c r="R2359" i="1"/>
  <c r="I2359" i="1"/>
  <c r="G2359" i="1"/>
  <c r="E2359" i="1"/>
  <c r="C2359" i="1"/>
  <c r="R2358" i="1"/>
  <c r="I2358" i="1"/>
  <c r="G2358" i="1"/>
  <c r="E2358" i="1"/>
  <c r="C2358" i="1"/>
  <c r="R2357" i="1"/>
  <c r="I2357" i="1"/>
  <c r="G2357" i="1"/>
  <c r="E2357" i="1"/>
  <c r="C2357" i="1"/>
  <c r="R2356" i="1"/>
  <c r="I2356" i="1"/>
  <c r="G2356" i="1"/>
  <c r="E2356" i="1"/>
  <c r="C2356" i="1"/>
  <c r="R2355" i="1"/>
  <c r="I2355" i="1"/>
  <c r="G2355" i="1"/>
  <c r="E2355" i="1"/>
  <c r="C2355" i="1"/>
  <c r="R2354" i="1"/>
  <c r="I2354" i="1"/>
  <c r="G2354" i="1"/>
  <c r="E2354" i="1"/>
  <c r="C2354" i="1"/>
  <c r="R2353" i="1"/>
  <c r="I2353" i="1"/>
  <c r="G2353" i="1"/>
  <c r="E2353" i="1"/>
  <c r="C2353" i="1"/>
  <c r="R2352" i="1"/>
  <c r="I2352" i="1"/>
  <c r="G2352" i="1"/>
  <c r="E2352" i="1"/>
  <c r="C2352" i="1"/>
  <c r="R2351" i="1"/>
  <c r="I2351" i="1"/>
  <c r="G2351" i="1"/>
  <c r="E2351" i="1"/>
  <c r="C2351" i="1"/>
  <c r="R2350" i="1"/>
  <c r="I2350" i="1"/>
  <c r="G2350" i="1"/>
  <c r="E2350" i="1"/>
  <c r="C2350" i="1"/>
  <c r="R2349" i="1"/>
  <c r="I2349" i="1"/>
  <c r="G2349" i="1"/>
  <c r="E2349" i="1"/>
  <c r="C2349" i="1"/>
  <c r="R2348" i="1"/>
  <c r="I2348" i="1"/>
  <c r="G2348" i="1"/>
  <c r="E2348" i="1"/>
  <c r="C2348" i="1"/>
  <c r="R2347" i="1"/>
  <c r="I2347" i="1"/>
  <c r="G2347" i="1"/>
  <c r="E2347" i="1"/>
  <c r="C2347" i="1"/>
  <c r="R2346" i="1"/>
  <c r="I2346" i="1"/>
  <c r="G2346" i="1"/>
  <c r="E2346" i="1"/>
  <c r="C2346" i="1"/>
  <c r="R2345" i="1"/>
  <c r="I2345" i="1"/>
  <c r="G2345" i="1"/>
  <c r="E2345" i="1"/>
  <c r="C2345" i="1"/>
  <c r="R2344" i="1"/>
  <c r="I2344" i="1"/>
  <c r="G2344" i="1"/>
  <c r="E2344" i="1"/>
  <c r="C2344" i="1"/>
  <c r="R2343" i="1"/>
  <c r="I2343" i="1"/>
  <c r="G2343" i="1"/>
  <c r="E2343" i="1"/>
  <c r="C2343" i="1"/>
  <c r="R2342" i="1"/>
  <c r="I2342" i="1"/>
  <c r="G2342" i="1"/>
  <c r="E2342" i="1"/>
  <c r="C2342" i="1"/>
  <c r="R2341" i="1"/>
  <c r="I2341" i="1"/>
  <c r="G2341" i="1"/>
  <c r="E2341" i="1"/>
  <c r="C2341" i="1"/>
  <c r="R2340" i="1"/>
  <c r="I2340" i="1"/>
  <c r="G2340" i="1"/>
  <c r="E2340" i="1"/>
  <c r="C2340" i="1"/>
  <c r="R2339" i="1"/>
  <c r="I2339" i="1"/>
  <c r="G2339" i="1"/>
  <c r="E2339" i="1"/>
  <c r="C2339" i="1"/>
  <c r="R2338" i="1"/>
  <c r="I2338" i="1"/>
  <c r="G2338" i="1"/>
  <c r="E2338" i="1"/>
  <c r="C2338" i="1"/>
  <c r="R2337" i="1"/>
  <c r="I2337" i="1"/>
  <c r="G2337" i="1"/>
  <c r="E2337" i="1"/>
  <c r="C2337" i="1"/>
  <c r="R2336" i="1"/>
  <c r="I2336" i="1"/>
  <c r="G2336" i="1"/>
  <c r="E2336" i="1"/>
  <c r="C2336" i="1"/>
  <c r="R2335" i="1"/>
  <c r="I2335" i="1"/>
  <c r="G2335" i="1"/>
  <c r="E2335" i="1"/>
  <c r="C2335" i="1"/>
  <c r="R2334" i="1"/>
  <c r="I2334" i="1"/>
  <c r="G2334" i="1"/>
  <c r="E2334" i="1"/>
  <c r="C2334" i="1"/>
  <c r="R2333" i="1"/>
  <c r="I2333" i="1"/>
  <c r="G2333" i="1"/>
  <c r="E2333" i="1"/>
  <c r="C2333" i="1"/>
  <c r="R2332" i="1"/>
  <c r="I2332" i="1"/>
  <c r="G2332" i="1"/>
  <c r="E2332" i="1"/>
  <c r="C2332" i="1"/>
  <c r="R2331" i="1"/>
  <c r="I2331" i="1"/>
  <c r="G2331" i="1"/>
  <c r="E2331" i="1"/>
  <c r="C2331" i="1"/>
  <c r="R2330" i="1"/>
  <c r="I2330" i="1"/>
  <c r="G2330" i="1"/>
  <c r="E2330" i="1"/>
  <c r="C2330" i="1"/>
  <c r="R2329" i="1"/>
  <c r="I2329" i="1"/>
  <c r="G2329" i="1"/>
  <c r="E2329" i="1"/>
  <c r="C2329" i="1"/>
  <c r="R2328" i="1"/>
  <c r="I2328" i="1"/>
  <c r="G2328" i="1"/>
  <c r="E2328" i="1"/>
  <c r="C2328" i="1"/>
  <c r="R2327" i="1"/>
  <c r="I2327" i="1"/>
  <c r="G2327" i="1"/>
  <c r="E2327" i="1"/>
  <c r="C2327" i="1"/>
  <c r="R2326" i="1"/>
  <c r="I2326" i="1"/>
  <c r="G2326" i="1"/>
  <c r="E2326" i="1"/>
  <c r="C2326" i="1"/>
  <c r="R2325" i="1"/>
  <c r="I2325" i="1"/>
  <c r="G2325" i="1"/>
  <c r="E2325" i="1"/>
  <c r="C2325" i="1"/>
  <c r="R2324" i="1"/>
  <c r="I2324" i="1"/>
  <c r="G2324" i="1"/>
  <c r="E2324" i="1"/>
  <c r="C2324" i="1"/>
  <c r="R2323" i="1"/>
  <c r="I2323" i="1"/>
  <c r="G2323" i="1"/>
  <c r="E2323" i="1"/>
  <c r="C2323" i="1"/>
  <c r="R2322" i="1"/>
  <c r="I2322" i="1"/>
  <c r="G2322" i="1"/>
  <c r="E2322" i="1"/>
  <c r="C2322" i="1"/>
  <c r="R2321" i="1"/>
  <c r="I2321" i="1"/>
  <c r="G2321" i="1"/>
  <c r="E2321" i="1"/>
  <c r="C2321" i="1"/>
  <c r="R2320" i="1"/>
  <c r="I2320" i="1"/>
  <c r="G2320" i="1"/>
  <c r="E2320" i="1"/>
  <c r="C2320" i="1"/>
  <c r="R2319" i="1"/>
  <c r="I2319" i="1"/>
  <c r="G2319" i="1"/>
  <c r="E2319" i="1"/>
  <c r="C2319" i="1"/>
  <c r="R2318" i="1"/>
  <c r="I2318" i="1"/>
  <c r="G2318" i="1"/>
  <c r="E2318" i="1"/>
  <c r="C2318" i="1"/>
  <c r="R2317" i="1"/>
  <c r="I2317" i="1"/>
  <c r="G2317" i="1"/>
  <c r="E2317" i="1"/>
  <c r="C2317" i="1"/>
  <c r="R2316" i="1"/>
  <c r="I2316" i="1"/>
  <c r="G2316" i="1"/>
  <c r="E2316" i="1"/>
  <c r="C2316" i="1"/>
  <c r="R2315" i="1"/>
  <c r="I2315" i="1"/>
  <c r="G2315" i="1"/>
  <c r="E2315" i="1"/>
  <c r="C2315" i="1"/>
  <c r="R2314" i="1"/>
  <c r="I2314" i="1"/>
  <c r="G2314" i="1"/>
  <c r="E2314" i="1"/>
  <c r="C2314" i="1"/>
  <c r="R2313" i="1"/>
  <c r="I2313" i="1"/>
  <c r="G2313" i="1"/>
  <c r="E2313" i="1"/>
  <c r="C2313" i="1"/>
  <c r="R2312" i="1"/>
  <c r="I2312" i="1"/>
  <c r="G2312" i="1"/>
  <c r="E2312" i="1"/>
  <c r="C2312" i="1"/>
  <c r="R2311" i="1"/>
  <c r="I2311" i="1"/>
  <c r="G2311" i="1"/>
  <c r="E2311" i="1"/>
  <c r="C2311" i="1"/>
  <c r="R2310" i="1"/>
  <c r="I2310" i="1"/>
  <c r="G2310" i="1"/>
  <c r="E2310" i="1"/>
  <c r="C2310" i="1"/>
  <c r="R2309" i="1"/>
  <c r="I2309" i="1"/>
  <c r="G2309" i="1"/>
  <c r="E2309" i="1"/>
  <c r="C2309" i="1"/>
  <c r="R2308" i="1"/>
  <c r="I2308" i="1"/>
  <c r="G2308" i="1"/>
  <c r="E2308" i="1"/>
  <c r="C2308" i="1"/>
  <c r="R2307" i="1"/>
  <c r="I2307" i="1"/>
  <c r="G2307" i="1"/>
  <c r="E2307" i="1"/>
  <c r="C2307" i="1"/>
  <c r="R2306" i="1"/>
  <c r="I2306" i="1"/>
  <c r="G2306" i="1"/>
  <c r="E2306" i="1"/>
  <c r="C2306" i="1"/>
  <c r="R2305" i="1"/>
  <c r="I2305" i="1"/>
  <c r="G2305" i="1"/>
  <c r="E2305" i="1"/>
  <c r="C2305" i="1"/>
  <c r="R2304" i="1"/>
  <c r="I2304" i="1"/>
  <c r="G2304" i="1"/>
  <c r="E2304" i="1"/>
  <c r="C2304" i="1"/>
  <c r="R2303" i="1"/>
  <c r="I2303" i="1"/>
  <c r="G2303" i="1"/>
  <c r="E2303" i="1"/>
  <c r="C2303" i="1"/>
  <c r="R2302" i="1"/>
  <c r="I2302" i="1"/>
  <c r="G2302" i="1"/>
  <c r="E2302" i="1"/>
  <c r="C2302" i="1"/>
  <c r="R2301" i="1"/>
  <c r="I2301" i="1"/>
  <c r="G2301" i="1"/>
  <c r="E2301" i="1"/>
  <c r="C2301" i="1"/>
  <c r="R2300" i="1"/>
  <c r="I2300" i="1"/>
  <c r="G2300" i="1"/>
  <c r="E2300" i="1"/>
  <c r="C2300" i="1"/>
  <c r="R2299" i="1"/>
  <c r="I2299" i="1"/>
  <c r="G2299" i="1"/>
  <c r="E2299" i="1"/>
  <c r="C2299" i="1"/>
  <c r="R2298" i="1"/>
  <c r="I2298" i="1"/>
  <c r="G2298" i="1"/>
  <c r="E2298" i="1"/>
  <c r="C2298" i="1"/>
  <c r="R2297" i="1"/>
  <c r="I2297" i="1"/>
  <c r="G2297" i="1"/>
  <c r="E2297" i="1"/>
  <c r="C2297" i="1"/>
  <c r="R2296" i="1"/>
  <c r="I2296" i="1"/>
  <c r="G2296" i="1"/>
  <c r="E2296" i="1"/>
  <c r="C2296" i="1"/>
  <c r="R2295" i="1"/>
  <c r="I2295" i="1"/>
  <c r="G2295" i="1"/>
  <c r="E2295" i="1"/>
  <c r="C2295" i="1"/>
  <c r="R2294" i="1"/>
  <c r="I2294" i="1"/>
  <c r="G2294" i="1"/>
  <c r="E2294" i="1"/>
  <c r="C2294" i="1"/>
  <c r="R2293" i="1"/>
  <c r="I2293" i="1"/>
  <c r="G2293" i="1"/>
  <c r="E2293" i="1"/>
  <c r="C2293" i="1"/>
  <c r="R2292" i="1"/>
  <c r="I2292" i="1"/>
  <c r="G2292" i="1"/>
  <c r="E2292" i="1"/>
  <c r="C2292" i="1"/>
  <c r="R2291" i="1"/>
  <c r="I2291" i="1"/>
  <c r="G2291" i="1"/>
  <c r="E2291" i="1"/>
  <c r="C2291" i="1"/>
  <c r="R2290" i="1"/>
  <c r="I2290" i="1"/>
  <c r="G2290" i="1"/>
  <c r="E2290" i="1"/>
  <c r="C2290" i="1"/>
  <c r="R2289" i="1"/>
  <c r="I2289" i="1"/>
  <c r="G2289" i="1"/>
  <c r="E2289" i="1"/>
  <c r="C2289" i="1"/>
  <c r="R2288" i="1"/>
  <c r="I2288" i="1"/>
  <c r="G2288" i="1"/>
  <c r="E2288" i="1"/>
  <c r="C2288" i="1"/>
  <c r="R2287" i="1"/>
  <c r="I2287" i="1"/>
  <c r="G2287" i="1"/>
  <c r="E2287" i="1"/>
  <c r="C2287" i="1"/>
  <c r="R2286" i="1"/>
  <c r="I2286" i="1"/>
  <c r="G2286" i="1"/>
  <c r="E2286" i="1"/>
  <c r="C2286" i="1"/>
  <c r="R2285" i="1"/>
  <c r="I2285" i="1"/>
  <c r="G2285" i="1"/>
  <c r="E2285" i="1"/>
  <c r="C2285" i="1"/>
  <c r="R2284" i="1"/>
  <c r="I2284" i="1"/>
  <c r="G2284" i="1"/>
  <c r="E2284" i="1"/>
  <c r="C2284" i="1"/>
  <c r="R2283" i="1"/>
  <c r="I2283" i="1"/>
  <c r="G2283" i="1"/>
  <c r="E2283" i="1"/>
  <c r="C2283" i="1"/>
  <c r="R2282" i="1"/>
  <c r="I2282" i="1"/>
  <c r="G2282" i="1"/>
  <c r="E2282" i="1"/>
  <c r="C2282" i="1"/>
  <c r="R2281" i="1"/>
  <c r="I2281" i="1"/>
  <c r="G2281" i="1"/>
  <c r="E2281" i="1"/>
  <c r="C2281" i="1"/>
  <c r="R2280" i="1"/>
  <c r="I2280" i="1"/>
  <c r="G2280" i="1"/>
  <c r="E2280" i="1"/>
  <c r="C2280" i="1"/>
  <c r="R2279" i="1"/>
  <c r="I2279" i="1"/>
  <c r="G2279" i="1"/>
  <c r="E2279" i="1"/>
  <c r="C2279" i="1"/>
  <c r="R2278" i="1"/>
  <c r="I2278" i="1"/>
  <c r="G2278" i="1"/>
  <c r="E2278" i="1"/>
  <c r="C2278" i="1"/>
  <c r="R2277" i="1"/>
  <c r="I2277" i="1"/>
  <c r="G2277" i="1"/>
  <c r="E2277" i="1"/>
  <c r="C2277" i="1"/>
  <c r="R2276" i="1"/>
  <c r="I2276" i="1"/>
  <c r="G2276" i="1"/>
  <c r="E2276" i="1"/>
  <c r="C2276" i="1"/>
  <c r="R2275" i="1"/>
  <c r="I2275" i="1"/>
  <c r="G2275" i="1"/>
  <c r="E2275" i="1"/>
  <c r="C2275" i="1"/>
  <c r="R2274" i="1"/>
  <c r="I2274" i="1"/>
  <c r="G2274" i="1"/>
  <c r="E2274" i="1"/>
  <c r="C2274" i="1"/>
  <c r="R2273" i="1"/>
  <c r="I2273" i="1"/>
  <c r="G2273" i="1"/>
  <c r="E2273" i="1"/>
  <c r="C2273" i="1"/>
  <c r="R2272" i="1"/>
  <c r="I2272" i="1"/>
  <c r="G2272" i="1"/>
  <c r="E2272" i="1"/>
  <c r="C2272" i="1"/>
  <c r="R2271" i="1"/>
  <c r="I2271" i="1"/>
  <c r="G2271" i="1"/>
  <c r="E2271" i="1"/>
  <c r="C2271" i="1"/>
  <c r="R2270" i="1"/>
  <c r="I2270" i="1"/>
  <c r="G2270" i="1"/>
  <c r="E2270" i="1"/>
  <c r="C2270" i="1"/>
  <c r="R2269" i="1"/>
  <c r="I2269" i="1"/>
  <c r="G2269" i="1"/>
  <c r="E2269" i="1"/>
  <c r="C2269" i="1"/>
  <c r="R2268" i="1"/>
  <c r="I2268" i="1"/>
  <c r="G2268" i="1"/>
  <c r="E2268" i="1"/>
  <c r="C2268" i="1"/>
  <c r="R2267" i="1"/>
  <c r="I2267" i="1"/>
  <c r="G2267" i="1"/>
  <c r="E2267" i="1"/>
  <c r="C2267" i="1"/>
  <c r="R2266" i="1"/>
  <c r="I2266" i="1"/>
  <c r="G2266" i="1"/>
  <c r="E2266" i="1"/>
  <c r="C2266" i="1"/>
  <c r="R2265" i="1"/>
  <c r="I2265" i="1"/>
  <c r="G2265" i="1"/>
  <c r="E2265" i="1"/>
  <c r="C2265" i="1"/>
  <c r="R2264" i="1"/>
  <c r="I2264" i="1"/>
  <c r="G2264" i="1"/>
  <c r="E2264" i="1"/>
  <c r="C2264" i="1"/>
  <c r="R2263" i="1"/>
  <c r="I2263" i="1"/>
  <c r="G2263" i="1"/>
  <c r="E2263" i="1"/>
  <c r="C2263" i="1"/>
  <c r="R2262" i="1"/>
  <c r="I2262" i="1"/>
  <c r="G2262" i="1"/>
  <c r="E2262" i="1"/>
  <c r="C2262" i="1"/>
  <c r="R2261" i="1"/>
  <c r="I2261" i="1"/>
  <c r="G2261" i="1"/>
  <c r="E2261" i="1"/>
  <c r="C2261" i="1"/>
  <c r="R2260" i="1"/>
  <c r="I2260" i="1"/>
  <c r="G2260" i="1"/>
  <c r="E2260" i="1"/>
  <c r="C2260" i="1"/>
  <c r="R2259" i="1"/>
  <c r="I2259" i="1"/>
  <c r="G2259" i="1"/>
  <c r="E2259" i="1"/>
  <c r="C2259" i="1"/>
  <c r="R2258" i="1"/>
  <c r="I2258" i="1"/>
  <c r="G2258" i="1"/>
  <c r="E2258" i="1"/>
  <c r="C2258" i="1"/>
  <c r="R2257" i="1"/>
  <c r="I2257" i="1"/>
  <c r="G2257" i="1"/>
  <c r="E2257" i="1"/>
  <c r="C2257" i="1"/>
  <c r="R2256" i="1"/>
  <c r="I2256" i="1"/>
  <c r="G2256" i="1"/>
  <c r="E2256" i="1"/>
  <c r="C2256" i="1"/>
  <c r="R2255" i="1"/>
  <c r="I2255" i="1"/>
  <c r="G2255" i="1"/>
  <c r="E2255" i="1"/>
  <c r="C2255" i="1"/>
  <c r="R2254" i="1"/>
  <c r="I2254" i="1"/>
  <c r="G2254" i="1"/>
  <c r="E2254" i="1"/>
  <c r="C2254" i="1"/>
  <c r="R2253" i="1"/>
  <c r="I2253" i="1"/>
  <c r="G2253" i="1"/>
  <c r="E2253" i="1"/>
  <c r="C2253" i="1"/>
  <c r="R2252" i="1"/>
  <c r="I2252" i="1"/>
  <c r="G2252" i="1"/>
  <c r="E2252" i="1"/>
  <c r="C2252" i="1"/>
  <c r="R2251" i="1"/>
  <c r="I2251" i="1"/>
  <c r="G2251" i="1"/>
  <c r="E2251" i="1"/>
  <c r="C2251" i="1"/>
  <c r="R2250" i="1"/>
  <c r="I2250" i="1"/>
  <c r="G2250" i="1"/>
  <c r="E2250" i="1"/>
  <c r="C2250" i="1"/>
  <c r="R2249" i="1"/>
  <c r="I2249" i="1"/>
  <c r="G2249" i="1"/>
  <c r="E2249" i="1"/>
  <c r="C2249" i="1"/>
  <c r="R2248" i="1"/>
  <c r="I2248" i="1"/>
  <c r="G2248" i="1"/>
  <c r="E2248" i="1"/>
  <c r="C2248" i="1"/>
  <c r="R2247" i="1"/>
  <c r="I2247" i="1"/>
  <c r="G2247" i="1"/>
  <c r="E2247" i="1"/>
  <c r="C2247" i="1"/>
  <c r="R2246" i="1"/>
  <c r="I2246" i="1"/>
  <c r="G2246" i="1"/>
  <c r="E2246" i="1"/>
  <c r="C2246" i="1"/>
  <c r="R2245" i="1"/>
  <c r="I2245" i="1"/>
  <c r="G2245" i="1"/>
  <c r="E2245" i="1"/>
  <c r="C2245" i="1"/>
  <c r="R2244" i="1"/>
  <c r="I2244" i="1"/>
  <c r="G2244" i="1"/>
  <c r="E2244" i="1"/>
  <c r="C2244" i="1"/>
  <c r="R2243" i="1"/>
  <c r="I2243" i="1"/>
  <c r="G2243" i="1"/>
  <c r="E2243" i="1"/>
  <c r="C2243" i="1"/>
  <c r="R2242" i="1"/>
  <c r="I2242" i="1"/>
  <c r="G2242" i="1"/>
  <c r="E2242" i="1"/>
  <c r="C2242" i="1"/>
  <c r="R2241" i="1"/>
  <c r="I2241" i="1"/>
  <c r="G2241" i="1"/>
  <c r="E2241" i="1"/>
  <c r="C2241" i="1"/>
  <c r="R2240" i="1"/>
  <c r="I2240" i="1"/>
  <c r="G2240" i="1"/>
  <c r="E2240" i="1"/>
  <c r="C2240" i="1"/>
  <c r="R2239" i="1"/>
  <c r="I2239" i="1"/>
  <c r="G2239" i="1"/>
  <c r="E2239" i="1"/>
  <c r="C2239" i="1"/>
  <c r="R2238" i="1"/>
  <c r="I2238" i="1"/>
  <c r="G2238" i="1"/>
  <c r="E2238" i="1"/>
  <c r="C2238" i="1"/>
  <c r="R2237" i="1"/>
  <c r="I2237" i="1"/>
  <c r="G2237" i="1"/>
  <c r="E2237" i="1"/>
  <c r="C2237" i="1"/>
  <c r="R2236" i="1"/>
  <c r="I2236" i="1"/>
  <c r="G2236" i="1"/>
  <c r="E2236" i="1"/>
  <c r="C2236" i="1"/>
  <c r="R2235" i="1"/>
  <c r="I2235" i="1"/>
  <c r="G2235" i="1"/>
  <c r="E2235" i="1"/>
  <c r="C2235" i="1"/>
  <c r="R2234" i="1"/>
  <c r="I2234" i="1"/>
  <c r="G2234" i="1"/>
  <c r="E2234" i="1"/>
  <c r="C2234" i="1"/>
  <c r="R2233" i="1"/>
  <c r="I2233" i="1"/>
  <c r="G2233" i="1"/>
  <c r="E2233" i="1"/>
  <c r="C2233" i="1"/>
  <c r="R2232" i="1"/>
  <c r="I2232" i="1"/>
  <c r="G2232" i="1"/>
  <c r="E2232" i="1"/>
  <c r="C2232" i="1"/>
  <c r="R2231" i="1"/>
  <c r="I2231" i="1"/>
  <c r="G2231" i="1"/>
  <c r="E2231" i="1"/>
  <c r="C2231" i="1"/>
  <c r="R2230" i="1"/>
  <c r="I2230" i="1"/>
  <c r="G2230" i="1"/>
  <c r="E2230" i="1"/>
  <c r="C2230" i="1"/>
  <c r="R2229" i="1"/>
  <c r="I2229" i="1"/>
  <c r="G2229" i="1"/>
  <c r="E2229" i="1"/>
  <c r="C2229" i="1"/>
  <c r="R2228" i="1"/>
  <c r="I2228" i="1"/>
  <c r="G2228" i="1"/>
  <c r="E2228" i="1"/>
  <c r="C2228" i="1"/>
  <c r="R2227" i="1"/>
  <c r="I2227" i="1"/>
  <c r="G2227" i="1"/>
  <c r="E2227" i="1"/>
  <c r="C2227" i="1"/>
  <c r="R2226" i="1"/>
  <c r="I2226" i="1"/>
  <c r="G2226" i="1"/>
  <c r="E2226" i="1"/>
  <c r="C2226" i="1"/>
  <c r="R2225" i="1"/>
  <c r="I2225" i="1"/>
  <c r="G2225" i="1"/>
  <c r="E2225" i="1"/>
  <c r="C2225" i="1"/>
  <c r="R2224" i="1"/>
  <c r="I2224" i="1"/>
  <c r="G2224" i="1"/>
  <c r="E2224" i="1"/>
  <c r="C2224" i="1"/>
  <c r="R2223" i="1"/>
  <c r="I2223" i="1"/>
  <c r="G2223" i="1"/>
  <c r="E2223" i="1"/>
  <c r="C2223" i="1"/>
  <c r="R2222" i="1"/>
  <c r="I2222" i="1"/>
  <c r="G2222" i="1"/>
  <c r="E2222" i="1"/>
  <c r="C2222" i="1"/>
  <c r="R2221" i="1"/>
  <c r="I2221" i="1"/>
  <c r="G2221" i="1"/>
  <c r="E2221" i="1"/>
  <c r="C2221" i="1"/>
  <c r="R2220" i="1"/>
  <c r="I2220" i="1"/>
  <c r="G2220" i="1"/>
  <c r="E2220" i="1"/>
  <c r="C2220" i="1"/>
  <c r="R2219" i="1"/>
  <c r="I2219" i="1"/>
  <c r="G2219" i="1"/>
  <c r="E2219" i="1"/>
  <c r="C2219" i="1"/>
  <c r="R2218" i="1"/>
  <c r="I2218" i="1"/>
  <c r="G2218" i="1"/>
  <c r="E2218" i="1"/>
  <c r="C2218" i="1"/>
  <c r="R2217" i="1"/>
  <c r="I2217" i="1"/>
  <c r="G2217" i="1"/>
  <c r="E2217" i="1"/>
  <c r="C2217" i="1"/>
  <c r="R2216" i="1"/>
  <c r="I2216" i="1"/>
  <c r="G2216" i="1"/>
  <c r="E2216" i="1"/>
  <c r="C2216" i="1"/>
  <c r="R2215" i="1"/>
  <c r="I2215" i="1"/>
  <c r="G2215" i="1"/>
  <c r="E2215" i="1"/>
  <c r="C2215" i="1"/>
  <c r="R2214" i="1"/>
  <c r="I2214" i="1"/>
  <c r="G2214" i="1"/>
  <c r="E2214" i="1"/>
  <c r="C2214" i="1"/>
  <c r="R2213" i="1"/>
  <c r="I2213" i="1"/>
  <c r="G2213" i="1"/>
  <c r="E2213" i="1"/>
  <c r="C2213" i="1"/>
  <c r="R2212" i="1"/>
  <c r="I2212" i="1"/>
  <c r="G2212" i="1"/>
  <c r="E2212" i="1"/>
  <c r="C2212" i="1"/>
  <c r="R2211" i="1"/>
  <c r="I2211" i="1"/>
  <c r="G2211" i="1"/>
  <c r="E2211" i="1"/>
  <c r="C2211" i="1"/>
  <c r="R2210" i="1"/>
  <c r="I2210" i="1"/>
  <c r="G2210" i="1"/>
  <c r="E2210" i="1"/>
  <c r="C2210" i="1"/>
  <c r="R2209" i="1"/>
  <c r="I2209" i="1"/>
  <c r="G2209" i="1"/>
  <c r="E2209" i="1"/>
  <c r="C2209" i="1"/>
  <c r="R2208" i="1"/>
  <c r="I2208" i="1"/>
  <c r="G2208" i="1"/>
  <c r="E2208" i="1"/>
  <c r="C2208" i="1"/>
  <c r="R2207" i="1"/>
  <c r="I2207" i="1"/>
  <c r="G2207" i="1"/>
  <c r="E2207" i="1"/>
  <c r="C2207" i="1"/>
  <c r="R2206" i="1"/>
  <c r="I2206" i="1"/>
  <c r="G2206" i="1"/>
  <c r="E2206" i="1"/>
  <c r="C2206" i="1"/>
  <c r="R2205" i="1"/>
  <c r="I2205" i="1"/>
  <c r="G2205" i="1"/>
  <c r="E2205" i="1"/>
  <c r="C2205" i="1"/>
  <c r="R2204" i="1"/>
  <c r="I2204" i="1"/>
  <c r="G2204" i="1"/>
  <c r="E2204" i="1"/>
  <c r="C2204" i="1"/>
  <c r="R2203" i="1"/>
  <c r="I2203" i="1"/>
  <c r="G2203" i="1"/>
  <c r="E2203" i="1"/>
  <c r="C2203" i="1"/>
  <c r="R2202" i="1"/>
  <c r="I2202" i="1"/>
  <c r="G2202" i="1"/>
  <c r="E2202" i="1"/>
  <c r="C2202" i="1"/>
  <c r="R2201" i="1"/>
  <c r="I2201" i="1"/>
  <c r="G2201" i="1"/>
  <c r="E2201" i="1"/>
  <c r="C2201" i="1"/>
  <c r="R2200" i="1"/>
  <c r="I2200" i="1"/>
  <c r="G2200" i="1"/>
  <c r="E2200" i="1"/>
  <c r="C2200" i="1"/>
  <c r="R2199" i="1"/>
  <c r="I2199" i="1"/>
  <c r="G2199" i="1"/>
  <c r="E2199" i="1"/>
  <c r="C2199" i="1"/>
  <c r="R2198" i="1"/>
  <c r="I2198" i="1"/>
  <c r="G2198" i="1"/>
  <c r="E2198" i="1"/>
  <c r="C2198" i="1"/>
  <c r="R2197" i="1"/>
  <c r="I2197" i="1"/>
  <c r="G2197" i="1"/>
  <c r="E2197" i="1"/>
  <c r="C2197" i="1"/>
  <c r="R2196" i="1"/>
  <c r="I2196" i="1"/>
  <c r="G2196" i="1"/>
  <c r="E2196" i="1"/>
  <c r="C2196" i="1"/>
  <c r="R2195" i="1"/>
  <c r="I2195" i="1"/>
  <c r="G2195" i="1"/>
  <c r="E2195" i="1"/>
  <c r="C2195" i="1"/>
  <c r="R2194" i="1"/>
  <c r="I2194" i="1"/>
  <c r="G2194" i="1"/>
  <c r="E2194" i="1"/>
  <c r="C2194" i="1"/>
  <c r="R2193" i="1"/>
  <c r="I2193" i="1"/>
  <c r="G2193" i="1"/>
  <c r="E2193" i="1"/>
  <c r="C2193" i="1"/>
  <c r="R2192" i="1"/>
  <c r="I2192" i="1"/>
  <c r="G2192" i="1"/>
  <c r="E2192" i="1"/>
  <c r="C2192" i="1"/>
  <c r="R2191" i="1"/>
  <c r="I2191" i="1"/>
  <c r="G2191" i="1"/>
  <c r="E2191" i="1"/>
  <c r="C2191" i="1"/>
  <c r="R2190" i="1"/>
  <c r="I2190" i="1"/>
  <c r="G2190" i="1"/>
  <c r="E2190" i="1"/>
  <c r="C2190" i="1"/>
  <c r="R2189" i="1"/>
  <c r="I2189" i="1"/>
  <c r="G2189" i="1"/>
  <c r="E2189" i="1"/>
  <c r="C2189" i="1"/>
  <c r="R2188" i="1"/>
  <c r="I2188" i="1"/>
  <c r="G2188" i="1"/>
  <c r="E2188" i="1"/>
  <c r="C2188" i="1"/>
  <c r="R2187" i="1"/>
  <c r="I2187" i="1"/>
  <c r="G2187" i="1"/>
  <c r="E2187" i="1"/>
  <c r="C2187" i="1"/>
  <c r="R2186" i="1"/>
  <c r="I2186" i="1"/>
  <c r="G2186" i="1"/>
  <c r="E2186" i="1"/>
  <c r="C2186" i="1"/>
  <c r="R2185" i="1"/>
  <c r="I2185" i="1"/>
  <c r="G2185" i="1"/>
  <c r="E2185" i="1"/>
  <c r="C2185" i="1"/>
  <c r="R2184" i="1"/>
  <c r="I2184" i="1"/>
  <c r="G2184" i="1"/>
  <c r="E2184" i="1"/>
  <c r="C2184" i="1"/>
  <c r="R2183" i="1"/>
  <c r="I2183" i="1"/>
  <c r="G2183" i="1"/>
  <c r="E2183" i="1"/>
  <c r="C2183" i="1"/>
  <c r="R2182" i="1"/>
  <c r="I2182" i="1"/>
  <c r="G2182" i="1"/>
  <c r="E2182" i="1"/>
  <c r="C2182" i="1"/>
  <c r="R2181" i="1"/>
  <c r="I2181" i="1"/>
  <c r="G2181" i="1"/>
  <c r="E2181" i="1"/>
  <c r="C2181" i="1"/>
  <c r="R2180" i="1"/>
  <c r="I2180" i="1"/>
  <c r="G2180" i="1"/>
  <c r="E2180" i="1"/>
  <c r="C2180" i="1"/>
  <c r="R2179" i="1"/>
  <c r="I2179" i="1"/>
  <c r="G2179" i="1"/>
  <c r="E2179" i="1"/>
  <c r="C2179" i="1"/>
  <c r="R2178" i="1"/>
  <c r="I2178" i="1"/>
  <c r="G2178" i="1"/>
  <c r="E2178" i="1"/>
  <c r="C2178" i="1"/>
  <c r="R2177" i="1"/>
  <c r="I2177" i="1"/>
  <c r="G2177" i="1"/>
  <c r="E2177" i="1"/>
  <c r="C2177" i="1"/>
  <c r="R2176" i="1"/>
  <c r="I2176" i="1"/>
  <c r="G2176" i="1"/>
  <c r="E2176" i="1"/>
  <c r="C2176" i="1"/>
  <c r="R2175" i="1"/>
  <c r="I2175" i="1"/>
  <c r="G2175" i="1"/>
  <c r="E2175" i="1"/>
  <c r="C2175" i="1"/>
  <c r="R2174" i="1"/>
  <c r="I2174" i="1"/>
  <c r="G2174" i="1"/>
  <c r="E2174" i="1"/>
  <c r="C2174" i="1"/>
  <c r="R2173" i="1"/>
  <c r="I2173" i="1"/>
  <c r="G2173" i="1"/>
  <c r="E2173" i="1"/>
  <c r="C2173" i="1"/>
  <c r="R2172" i="1"/>
  <c r="I2172" i="1"/>
  <c r="G2172" i="1"/>
  <c r="E2172" i="1"/>
  <c r="C2172" i="1"/>
  <c r="R2171" i="1"/>
  <c r="I2171" i="1"/>
  <c r="G2171" i="1"/>
  <c r="E2171" i="1"/>
  <c r="C2171" i="1"/>
  <c r="R2170" i="1"/>
  <c r="I2170" i="1"/>
  <c r="G2170" i="1"/>
  <c r="E2170" i="1"/>
  <c r="C2170" i="1"/>
  <c r="R2169" i="1"/>
  <c r="I2169" i="1"/>
  <c r="G2169" i="1"/>
  <c r="E2169" i="1"/>
  <c r="C2169" i="1"/>
  <c r="R2168" i="1"/>
  <c r="I2168" i="1"/>
  <c r="G2168" i="1"/>
  <c r="E2168" i="1"/>
  <c r="C2168" i="1"/>
  <c r="R2167" i="1"/>
  <c r="I2167" i="1"/>
  <c r="G2167" i="1"/>
  <c r="E2167" i="1"/>
  <c r="C2167" i="1"/>
  <c r="R2166" i="1"/>
  <c r="I2166" i="1"/>
  <c r="G2166" i="1"/>
  <c r="E2166" i="1"/>
  <c r="C2166" i="1"/>
  <c r="R2165" i="1"/>
  <c r="I2165" i="1"/>
  <c r="G2165" i="1"/>
  <c r="E2165" i="1"/>
  <c r="C2165" i="1"/>
  <c r="R2164" i="1"/>
  <c r="I2164" i="1"/>
  <c r="G2164" i="1"/>
  <c r="E2164" i="1"/>
  <c r="C2164" i="1"/>
  <c r="R2163" i="1"/>
  <c r="I2163" i="1"/>
  <c r="G2163" i="1"/>
  <c r="E2163" i="1"/>
  <c r="C2163" i="1"/>
  <c r="R2162" i="1"/>
  <c r="I2162" i="1"/>
  <c r="G2162" i="1"/>
  <c r="E2162" i="1"/>
  <c r="C2162" i="1"/>
  <c r="R2161" i="1"/>
  <c r="I2161" i="1"/>
  <c r="G2161" i="1"/>
  <c r="E2161" i="1"/>
  <c r="C2161" i="1"/>
  <c r="R2160" i="1"/>
  <c r="I2160" i="1"/>
  <c r="G2160" i="1"/>
  <c r="E2160" i="1"/>
  <c r="C2160" i="1"/>
  <c r="R2159" i="1"/>
  <c r="I2159" i="1"/>
  <c r="G2159" i="1"/>
  <c r="E2159" i="1"/>
  <c r="C2159" i="1"/>
  <c r="R2158" i="1"/>
  <c r="I2158" i="1"/>
  <c r="G2158" i="1"/>
  <c r="E2158" i="1"/>
  <c r="C2158" i="1"/>
  <c r="R2157" i="1"/>
  <c r="I2157" i="1"/>
  <c r="G2157" i="1"/>
  <c r="E2157" i="1"/>
  <c r="C2157" i="1"/>
  <c r="R2156" i="1"/>
  <c r="I2156" i="1"/>
  <c r="G2156" i="1"/>
  <c r="E2156" i="1"/>
  <c r="C2156" i="1"/>
  <c r="R2155" i="1"/>
  <c r="I2155" i="1"/>
  <c r="G2155" i="1"/>
  <c r="E2155" i="1"/>
  <c r="C2155" i="1"/>
  <c r="R2154" i="1"/>
  <c r="I2154" i="1"/>
  <c r="G2154" i="1"/>
  <c r="E2154" i="1"/>
  <c r="C2154" i="1"/>
  <c r="R2153" i="1"/>
  <c r="I2153" i="1"/>
  <c r="G2153" i="1"/>
  <c r="E2153" i="1"/>
  <c r="C2153" i="1"/>
  <c r="R2152" i="1"/>
  <c r="I2152" i="1"/>
  <c r="G2152" i="1"/>
  <c r="E2152" i="1"/>
  <c r="C2152" i="1"/>
  <c r="R2151" i="1"/>
  <c r="I2151" i="1"/>
  <c r="G2151" i="1"/>
  <c r="E2151" i="1"/>
  <c r="C2151" i="1"/>
  <c r="R2150" i="1"/>
  <c r="I2150" i="1"/>
  <c r="G2150" i="1"/>
  <c r="E2150" i="1"/>
  <c r="C2150" i="1"/>
  <c r="R2149" i="1"/>
  <c r="I2149" i="1"/>
  <c r="G2149" i="1"/>
  <c r="E2149" i="1"/>
  <c r="C2149" i="1"/>
  <c r="R2148" i="1"/>
  <c r="I2148" i="1"/>
  <c r="G2148" i="1"/>
  <c r="E2148" i="1"/>
  <c r="C2148" i="1"/>
  <c r="R2147" i="1"/>
  <c r="I2147" i="1"/>
  <c r="G2147" i="1"/>
  <c r="E2147" i="1"/>
  <c r="C2147" i="1"/>
  <c r="R2146" i="1"/>
  <c r="I2146" i="1"/>
  <c r="G2146" i="1"/>
  <c r="E2146" i="1"/>
  <c r="C2146" i="1"/>
  <c r="R2145" i="1"/>
  <c r="I2145" i="1"/>
  <c r="G2145" i="1"/>
  <c r="E2145" i="1"/>
  <c r="C2145" i="1"/>
  <c r="R2144" i="1"/>
  <c r="I2144" i="1"/>
  <c r="G2144" i="1"/>
  <c r="E2144" i="1"/>
  <c r="C2144" i="1"/>
  <c r="R2143" i="1"/>
  <c r="I2143" i="1"/>
  <c r="G2143" i="1"/>
  <c r="E2143" i="1"/>
  <c r="C2143" i="1"/>
  <c r="R2142" i="1"/>
  <c r="I2142" i="1"/>
  <c r="G2142" i="1"/>
  <c r="E2142" i="1"/>
  <c r="C2142" i="1"/>
  <c r="R2141" i="1"/>
  <c r="I2141" i="1"/>
  <c r="G2141" i="1"/>
  <c r="E2141" i="1"/>
  <c r="C2141" i="1"/>
  <c r="R2140" i="1"/>
  <c r="I2140" i="1"/>
  <c r="G2140" i="1"/>
  <c r="E2140" i="1"/>
  <c r="C2140" i="1"/>
  <c r="R2139" i="1"/>
  <c r="I2139" i="1"/>
  <c r="G2139" i="1"/>
  <c r="E2139" i="1"/>
  <c r="C2139" i="1"/>
  <c r="R2138" i="1"/>
  <c r="I2138" i="1"/>
  <c r="G2138" i="1"/>
  <c r="E2138" i="1"/>
  <c r="C2138" i="1"/>
  <c r="R2137" i="1"/>
  <c r="I2137" i="1"/>
  <c r="G2137" i="1"/>
  <c r="E2137" i="1"/>
  <c r="C2137" i="1"/>
  <c r="R2136" i="1"/>
  <c r="I2136" i="1"/>
  <c r="G2136" i="1"/>
  <c r="E2136" i="1"/>
  <c r="C2136" i="1"/>
  <c r="R2135" i="1"/>
  <c r="I2135" i="1"/>
  <c r="G2135" i="1"/>
  <c r="E2135" i="1"/>
  <c r="C2135" i="1"/>
  <c r="R2134" i="1"/>
  <c r="I2134" i="1"/>
  <c r="G2134" i="1"/>
  <c r="E2134" i="1"/>
  <c r="C2134" i="1"/>
  <c r="R2133" i="1"/>
  <c r="I2133" i="1"/>
  <c r="G2133" i="1"/>
  <c r="E2133" i="1"/>
  <c r="C2133" i="1"/>
  <c r="R2132" i="1"/>
  <c r="I2132" i="1"/>
  <c r="G2132" i="1"/>
  <c r="E2132" i="1"/>
  <c r="C2132" i="1"/>
  <c r="R2131" i="1"/>
  <c r="I2131" i="1"/>
  <c r="G2131" i="1"/>
  <c r="E2131" i="1"/>
  <c r="C2131" i="1"/>
  <c r="R2130" i="1"/>
  <c r="I2130" i="1"/>
  <c r="G2130" i="1"/>
  <c r="E2130" i="1"/>
  <c r="C2130" i="1"/>
  <c r="R2129" i="1"/>
  <c r="I2129" i="1"/>
  <c r="G2129" i="1"/>
  <c r="E2129" i="1"/>
  <c r="C2129" i="1"/>
  <c r="R2128" i="1"/>
  <c r="I2128" i="1"/>
  <c r="G2128" i="1"/>
  <c r="E2128" i="1"/>
  <c r="C2128" i="1"/>
  <c r="R2127" i="1"/>
  <c r="I2127" i="1"/>
  <c r="G2127" i="1"/>
  <c r="E2127" i="1"/>
  <c r="C2127" i="1"/>
  <c r="R2126" i="1"/>
  <c r="I2126" i="1"/>
  <c r="G2126" i="1"/>
  <c r="E2126" i="1"/>
  <c r="C2126" i="1"/>
  <c r="R2125" i="1"/>
  <c r="I2125" i="1"/>
  <c r="G2125" i="1"/>
  <c r="E2125" i="1"/>
  <c r="C2125" i="1"/>
  <c r="R2124" i="1"/>
  <c r="I2124" i="1"/>
  <c r="G2124" i="1"/>
  <c r="E2124" i="1"/>
  <c r="C2124" i="1"/>
  <c r="R2123" i="1"/>
  <c r="I2123" i="1"/>
  <c r="G2123" i="1"/>
  <c r="E2123" i="1"/>
  <c r="C2123" i="1"/>
  <c r="R2122" i="1"/>
  <c r="I2122" i="1"/>
  <c r="G2122" i="1"/>
  <c r="E2122" i="1"/>
  <c r="C2122" i="1"/>
  <c r="R2121" i="1"/>
  <c r="I2121" i="1"/>
  <c r="G2121" i="1"/>
  <c r="E2121" i="1"/>
  <c r="C2121" i="1"/>
  <c r="R2120" i="1"/>
  <c r="I2120" i="1"/>
  <c r="G2120" i="1"/>
  <c r="E2120" i="1"/>
  <c r="C2120" i="1"/>
  <c r="R2119" i="1"/>
  <c r="I2119" i="1"/>
  <c r="G2119" i="1"/>
  <c r="E2119" i="1"/>
  <c r="C2119" i="1"/>
  <c r="R2118" i="1"/>
  <c r="I2118" i="1"/>
  <c r="G2118" i="1"/>
  <c r="E2118" i="1"/>
  <c r="C2118" i="1"/>
  <c r="R2117" i="1"/>
  <c r="I2117" i="1"/>
  <c r="G2117" i="1"/>
  <c r="E2117" i="1"/>
  <c r="C2117" i="1"/>
  <c r="R2116" i="1"/>
  <c r="I2116" i="1"/>
  <c r="G2116" i="1"/>
  <c r="E2116" i="1"/>
  <c r="C2116" i="1"/>
  <c r="R2115" i="1"/>
  <c r="I2115" i="1"/>
  <c r="G2115" i="1"/>
  <c r="E2115" i="1"/>
  <c r="C2115" i="1"/>
  <c r="R2114" i="1"/>
  <c r="I2114" i="1"/>
  <c r="G2114" i="1"/>
  <c r="E2114" i="1"/>
  <c r="C2114" i="1"/>
  <c r="R2113" i="1"/>
  <c r="I2113" i="1"/>
  <c r="G2113" i="1"/>
  <c r="E2113" i="1"/>
  <c r="C2113" i="1"/>
  <c r="R2112" i="1"/>
  <c r="I2112" i="1"/>
  <c r="G2112" i="1"/>
  <c r="E2112" i="1"/>
  <c r="C2112" i="1"/>
  <c r="R2111" i="1"/>
  <c r="I2111" i="1"/>
  <c r="G2111" i="1"/>
  <c r="E2111" i="1"/>
  <c r="C2111" i="1"/>
  <c r="R2110" i="1"/>
  <c r="I2110" i="1"/>
  <c r="G2110" i="1"/>
  <c r="E2110" i="1"/>
  <c r="C2110" i="1"/>
  <c r="R2109" i="1"/>
  <c r="I2109" i="1"/>
  <c r="G2109" i="1"/>
  <c r="E2109" i="1"/>
  <c r="C2109" i="1"/>
  <c r="R2108" i="1"/>
  <c r="I2108" i="1"/>
  <c r="G2108" i="1"/>
  <c r="E2108" i="1"/>
  <c r="C2108" i="1"/>
  <c r="R2107" i="1"/>
  <c r="I2107" i="1"/>
  <c r="G2107" i="1"/>
  <c r="E2107" i="1"/>
  <c r="C2107" i="1"/>
  <c r="R2106" i="1"/>
  <c r="I2106" i="1"/>
  <c r="G2106" i="1"/>
  <c r="E2106" i="1"/>
  <c r="C2106" i="1"/>
  <c r="R2105" i="1"/>
  <c r="I2105" i="1"/>
  <c r="G2105" i="1"/>
  <c r="E2105" i="1"/>
  <c r="C2105" i="1"/>
  <c r="R2104" i="1"/>
  <c r="I2104" i="1"/>
  <c r="G2104" i="1"/>
  <c r="E2104" i="1"/>
  <c r="C2104" i="1"/>
  <c r="R2103" i="1"/>
  <c r="I2103" i="1"/>
  <c r="G2103" i="1"/>
  <c r="E2103" i="1"/>
  <c r="C2103" i="1"/>
  <c r="R2102" i="1"/>
  <c r="I2102" i="1"/>
  <c r="G2102" i="1"/>
  <c r="E2102" i="1"/>
  <c r="C2102" i="1"/>
  <c r="R2101" i="1"/>
  <c r="I2101" i="1"/>
  <c r="G2101" i="1"/>
  <c r="E2101" i="1"/>
  <c r="C2101" i="1"/>
  <c r="R2100" i="1"/>
  <c r="I2100" i="1"/>
  <c r="G2100" i="1"/>
  <c r="E2100" i="1"/>
  <c r="C2100" i="1"/>
  <c r="R2099" i="1"/>
  <c r="I2099" i="1"/>
  <c r="G2099" i="1"/>
  <c r="E2099" i="1"/>
  <c r="C2099" i="1"/>
  <c r="R2098" i="1"/>
  <c r="I2098" i="1"/>
  <c r="G2098" i="1"/>
  <c r="E2098" i="1"/>
  <c r="C2098" i="1"/>
  <c r="R2097" i="1"/>
  <c r="I2097" i="1"/>
  <c r="G2097" i="1"/>
  <c r="E2097" i="1"/>
  <c r="C2097" i="1"/>
  <c r="R2096" i="1"/>
  <c r="I2096" i="1"/>
  <c r="G2096" i="1"/>
  <c r="E2096" i="1"/>
  <c r="C2096" i="1"/>
  <c r="R2095" i="1"/>
  <c r="I2095" i="1"/>
  <c r="G2095" i="1"/>
  <c r="E2095" i="1"/>
  <c r="C2095" i="1"/>
  <c r="R2094" i="1"/>
  <c r="I2094" i="1"/>
  <c r="G2094" i="1"/>
  <c r="E2094" i="1"/>
  <c r="C2094" i="1"/>
  <c r="R2093" i="1"/>
  <c r="I2093" i="1"/>
  <c r="G2093" i="1"/>
  <c r="E2093" i="1"/>
  <c r="C2093" i="1"/>
  <c r="R2092" i="1"/>
  <c r="I2092" i="1"/>
  <c r="G2092" i="1"/>
  <c r="E2092" i="1"/>
  <c r="C2092" i="1"/>
  <c r="R2091" i="1"/>
  <c r="I2091" i="1"/>
  <c r="G2091" i="1"/>
  <c r="E2091" i="1"/>
  <c r="C2091" i="1"/>
  <c r="R2090" i="1"/>
  <c r="I2090" i="1"/>
  <c r="G2090" i="1"/>
  <c r="E2090" i="1"/>
  <c r="C2090" i="1"/>
  <c r="R2089" i="1"/>
  <c r="I2089" i="1"/>
  <c r="G2089" i="1"/>
  <c r="E2089" i="1"/>
  <c r="C2089" i="1"/>
  <c r="R2088" i="1"/>
  <c r="I2088" i="1"/>
  <c r="G2088" i="1"/>
  <c r="E2088" i="1"/>
  <c r="C2088" i="1"/>
  <c r="R2087" i="1"/>
  <c r="I2087" i="1"/>
  <c r="G2087" i="1"/>
  <c r="E2087" i="1"/>
  <c r="C2087" i="1"/>
  <c r="R2086" i="1"/>
  <c r="I2086" i="1"/>
  <c r="G2086" i="1"/>
  <c r="E2086" i="1"/>
  <c r="C2086" i="1"/>
  <c r="R2085" i="1"/>
  <c r="I2085" i="1"/>
  <c r="G2085" i="1"/>
  <c r="E2085" i="1"/>
  <c r="C2085" i="1"/>
  <c r="R2084" i="1"/>
  <c r="I2084" i="1"/>
  <c r="G2084" i="1"/>
  <c r="E2084" i="1"/>
  <c r="C2084" i="1"/>
  <c r="R2083" i="1"/>
  <c r="I2083" i="1"/>
  <c r="G2083" i="1"/>
  <c r="E2083" i="1"/>
  <c r="C2083" i="1"/>
  <c r="R2082" i="1"/>
  <c r="I2082" i="1"/>
  <c r="G2082" i="1"/>
  <c r="E2082" i="1"/>
  <c r="C2082" i="1"/>
  <c r="R2081" i="1"/>
  <c r="I2081" i="1"/>
  <c r="G2081" i="1"/>
  <c r="E2081" i="1"/>
  <c r="C2081" i="1"/>
  <c r="R2080" i="1"/>
  <c r="I2080" i="1"/>
  <c r="G2080" i="1"/>
  <c r="E2080" i="1"/>
  <c r="C2080" i="1"/>
  <c r="R2079" i="1"/>
  <c r="I2079" i="1"/>
  <c r="G2079" i="1"/>
  <c r="E2079" i="1"/>
  <c r="C2079" i="1"/>
  <c r="R2078" i="1"/>
  <c r="I2078" i="1"/>
  <c r="G2078" i="1"/>
  <c r="E2078" i="1"/>
  <c r="C2078" i="1"/>
  <c r="R2077" i="1"/>
  <c r="I2077" i="1"/>
  <c r="G2077" i="1"/>
  <c r="E2077" i="1"/>
  <c r="C2077" i="1"/>
  <c r="R2076" i="1"/>
  <c r="I2076" i="1"/>
  <c r="G2076" i="1"/>
  <c r="E2076" i="1"/>
  <c r="C2076" i="1"/>
  <c r="R2075" i="1"/>
  <c r="I2075" i="1"/>
  <c r="G2075" i="1"/>
  <c r="E2075" i="1"/>
  <c r="C2075" i="1"/>
  <c r="R2074" i="1"/>
  <c r="I2074" i="1"/>
  <c r="G2074" i="1"/>
  <c r="E2074" i="1"/>
  <c r="C2074" i="1"/>
  <c r="R2073" i="1"/>
  <c r="I2073" i="1"/>
  <c r="G2073" i="1"/>
  <c r="E2073" i="1"/>
  <c r="C2073" i="1"/>
  <c r="R2072" i="1"/>
  <c r="I2072" i="1"/>
  <c r="G2072" i="1"/>
  <c r="E2072" i="1"/>
  <c r="C2072" i="1"/>
  <c r="R2071" i="1"/>
  <c r="I2071" i="1"/>
  <c r="G2071" i="1"/>
  <c r="E2071" i="1"/>
  <c r="C2071" i="1"/>
  <c r="R2070" i="1"/>
  <c r="I2070" i="1"/>
  <c r="G2070" i="1"/>
  <c r="E2070" i="1"/>
  <c r="C2070" i="1"/>
  <c r="R2069" i="1"/>
  <c r="I2069" i="1"/>
  <c r="G2069" i="1"/>
  <c r="E2069" i="1"/>
  <c r="C2069" i="1"/>
  <c r="R2068" i="1"/>
  <c r="I2068" i="1"/>
  <c r="G2068" i="1"/>
  <c r="E2068" i="1"/>
  <c r="C2068" i="1"/>
  <c r="R2067" i="1"/>
  <c r="I2067" i="1"/>
  <c r="G2067" i="1"/>
  <c r="E2067" i="1"/>
  <c r="C2067" i="1"/>
  <c r="R2066" i="1"/>
  <c r="I2066" i="1"/>
  <c r="G2066" i="1"/>
  <c r="E2066" i="1"/>
  <c r="C2066" i="1"/>
  <c r="R2065" i="1"/>
  <c r="I2065" i="1"/>
  <c r="G2065" i="1"/>
  <c r="E2065" i="1"/>
  <c r="C2065" i="1"/>
  <c r="R2064" i="1"/>
  <c r="I2064" i="1"/>
  <c r="G2064" i="1"/>
  <c r="E2064" i="1"/>
  <c r="C2064" i="1"/>
  <c r="R2063" i="1"/>
  <c r="I2063" i="1"/>
  <c r="G2063" i="1"/>
  <c r="E2063" i="1"/>
  <c r="C2063" i="1"/>
  <c r="R2062" i="1"/>
  <c r="I2062" i="1"/>
  <c r="G2062" i="1"/>
  <c r="E2062" i="1"/>
  <c r="C2062" i="1"/>
  <c r="R2061" i="1"/>
  <c r="I2061" i="1"/>
  <c r="G2061" i="1"/>
  <c r="E2061" i="1"/>
  <c r="C2061" i="1"/>
  <c r="R2060" i="1"/>
  <c r="I2060" i="1"/>
  <c r="G2060" i="1"/>
  <c r="E2060" i="1"/>
  <c r="C2060" i="1"/>
  <c r="R2059" i="1"/>
  <c r="I2059" i="1"/>
  <c r="G2059" i="1"/>
  <c r="E2059" i="1"/>
  <c r="C2059" i="1"/>
  <c r="R2058" i="1"/>
  <c r="I2058" i="1"/>
  <c r="G2058" i="1"/>
  <c r="E2058" i="1"/>
  <c r="C2058" i="1"/>
  <c r="R2057" i="1"/>
  <c r="I2057" i="1"/>
  <c r="G2057" i="1"/>
  <c r="E2057" i="1"/>
  <c r="C2057" i="1"/>
  <c r="R2056" i="1"/>
  <c r="I2056" i="1"/>
  <c r="G2056" i="1"/>
  <c r="E2056" i="1"/>
  <c r="C2056" i="1"/>
  <c r="R2055" i="1"/>
  <c r="I2055" i="1"/>
  <c r="G2055" i="1"/>
  <c r="E2055" i="1"/>
  <c r="C2055" i="1"/>
  <c r="R2054" i="1"/>
  <c r="I2054" i="1"/>
  <c r="G2054" i="1"/>
  <c r="E2054" i="1"/>
  <c r="C2054" i="1"/>
  <c r="R2053" i="1"/>
  <c r="I2053" i="1"/>
  <c r="G2053" i="1"/>
  <c r="E2053" i="1"/>
  <c r="C2053" i="1"/>
  <c r="R2052" i="1"/>
  <c r="I2052" i="1"/>
  <c r="G2052" i="1"/>
  <c r="E2052" i="1"/>
  <c r="C2052" i="1"/>
  <c r="R2051" i="1"/>
  <c r="I2051" i="1"/>
  <c r="G2051" i="1"/>
  <c r="E2051" i="1"/>
  <c r="C2051" i="1"/>
  <c r="R2050" i="1"/>
  <c r="I2050" i="1"/>
  <c r="G2050" i="1"/>
  <c r="E2050" i="1"/>
  <c r="C2050" i="1"/>
  <c r="R2049" i="1"/>
  <c r="I2049" i="1"/>
  <c r="G2049" i="1"/>
  <c r="E2049" i="1"/>
  <c r="C2049" i="1"/>
  <c r="R2048" i="1"/>
  <c r="I2048" i="1"/>
  <c r="G2048" i="1"/>
  <c r="E2048" i="1"/>
  <c r="C2048" i="1"/>
  <c r="R2047" i="1"/>
  <c r="I2047" i="1"/>
  <c r="G2047" i="1"/>
  <c r="E2047" i="1"/>
  <c r="C2047" i="1"/>
  <c r="R2046" i="1"/>
  <c r="I2046" i="1"/>
  <c r="G2046" i="1"/>
  <c r="E2046" i="1"/>
  <c r="C2046" i="1"/>
  <c r="R2045" i="1"/>
  <c r="I2045" i="1"/>
  <c r="G2045" i="1"/>
  <c r="E2045" i="1"/>
  <c r="C2045" i="1"/>
  <c r="R2044" i="1"/>
  <c r="I2044" i="1"/>
  <c r="G2044" i="1"/>
  <c r="E2044" i="1"/>
  <c r="C2044" i="1"/>
  <c r="R2043" i="1"/>
  <c r="I2043" i="1"/>
  <c r="G2043" i="1"/>
  <c r="E2043" i="1"/>
  <c r="C2043" i="1"/>
  <c r="R2042" i="1"/>
  <c r="I2042" i="1"/>
  <c r="G2042" i="1"/>
  <c r="E2042" i="1"/>
  <c r="C2042" i="1"/>
  <c r="R2041" i="1"/>
  <c r="I2041" i="1"/>
  <c r="G2041" i="1"/>
  <c r="E2041" i="1"/>
  <c r="C2041" i="1"/>
  <c r="R2040" i="1"/>
  <c r="I2040" i="1"/>
  <c r="G2040" i="1"/>
  <c r="E2040" i="1"/>
  <c r="C2040" i="1"/>
  <c r="R2039" i="1"/>
  <c r="I2039" i="1"/>
  <c r="G2039" i="1"/>
  <c r="E2039" i="1"/>
  <c r="C2039" i="1"/>
  <c r="R2038" i="1"/>
  <c r="I2038" i="1"/>
  <c r="G2038" i="1"/>
  <c r="E2038" i="1"/>
  <c r="C2038" i="1"/>
  <c r="R2037" i="1"/>
  <c r="I2037" i="1"/>
  <c r="G2037" i="1"/>
  <c r="E2037" i="1"/>
  <c r="C2037" i="1"/>
  <c r="R2036" i="1"/>
  <c r="I2036" i="1"/>
  <c r="G2036" i="1"/>
  <c r="E2036" i="1"/>
  <c r="C2036" i="1"/>
  <c r="R2035" i="1"/>
  <c r="I2035" i="1"/>
  <c r="G2035" i="1"/>
  <c r="E2035" i="1"/>
  <c r="C2035" i="1"/>
  <c r="R2034" i="1"/>
  <c r="I2034" i="1"/>
  <c r="G2034" i="1"/>
  <c r="E2034" i="1"/>
  <c r="C2034" i="1"/>
  <c r="R2033" i="1"/>
  <c r="I2033" i="1"/>
  <c r="G2033" i="1"/>
  <c r="E2033" i="1"/>
  <c r="C2033" i="1"/>
  <c r="R2032" i="1"/>
  <c r="I2032" i="1"/>
  <c r="G2032" i="1"/>
  <c r="E2032" i="1"/>
  <c r="C2032" i="1"/>
  <c r="R2031" i="1"/>
  <c r="I2031" i="1"/>
  <c r="G2031" i="1"/>
  <c r="E2031" i="1"/>
  <c r="C2031" i="1"/>
  <c r="R2030" i="1"/>
  <c r="I2030" i="1"/>
  <c r="G2030" i="1"/>
  <c r="E2030" i="1"/>
  <c r="C2030" i="1"/>
  <c r="R2029" i="1"/>
  <c r="I2029" i="1"/>
  <c r="G2029" i="1"/>
  <c r="E2029" i="1"/>
  <c r="C2029" i="1"/>
  <c r="R2028" i="1"/>
  <c r="I2028" i="1"/>
  <c r="G2028" i="1"/>
  <c r="E2028" i="1"/>
  <c r="C2028" i="1"/>
  <c r="R2027" i="1"/>
  <c r="I2027" i="1"/>
  <c r="G2027" i="1"/>
  <c r="E2027" i="1"/>
  <c r="C2027" i="1"/>
  <c r="R2026" i="1"/>
  <c r="I2026" i="1"/>
  <c r="G2026" i="1"/>
  <c r="E2026" i="1"/>
  <c r="C2026" i="1"/>
  <c r="R2025" i="1"/>
  <c r="I2025" i="1"/>
  <c r="G2025" i="1"/>
  <c r="E2025" i="1"/>
  <c r="C2025" i="1"/>
  <c r="R2024" i="1"/>
  <c r="I2024" i="1"/>
  <c r="G2024" i="1"/>
  <c r="E2024" i="1"/>
  <c r="C2024" i="1"/>
  <c r="R2023" i="1"/>
  <c r="I2023" i="1"/>
  <c r="G2023" i="1"/>
  <c r="E2023" i="1"/>
  <c r="C2023" i="1"/>
  <c r="R2022" i="1"/>
  <c r="I2022" i="1"/>
  <c r="G2022" i="1"/>
  <c r="E2022" i="1"/>
  <c r="C2022" i="1"/>
  <c r="R2021" i="1"/>
  <c r="I2021" i="1"/>
  <c r="G2021" i="1"/>
  <c r="E2021" i="1"/>
  <c r="C2021" i="1"/>
  <c r="R2020" i="1"/>
  <c r="I2020" i="1"/>
  <c r="G2020" i="1"/>
  <c r="E2020" i="1"/>
  <c r="C2020" i="1"/>
  <c r="R2019" i="1"/>
  <c r="I2019" i="1"/>
  <c r="G2019" i="1"/>
  <c r="E2019" i="1"/>
  <c r="C2019" i="1"/>
  <c r="R2018" i="1"/>
  <c r="I2018" i="1"/>
  <c r="G2018" i="1"/>
  <c r="E2018" i="1"/>
  <c r="C2018" i="1"/>
  <c r="R2017" i="1"/>
  <c r="I2017" i="1"/>
  <c r="G2017" i="1"/>
  <c r="E2017" i="1"/>
  <c r="C2017" i="1"/>
  <c r="R2016" i="1"/>
  <c r="I2016" i="1"/>
  <c r="G2016" i="1"/>
  <c r="E2016" i="1"/>
  <c r="C2016" i="1"/>
  <c r="R2015" i="1"/>
  <c r="I2015" i="1"/>
  <c r="G2015" i="1"/>
  <c r="E2015" i="1"/>
  <c r="C2015" i="1"/>
  <c r="R2014" i="1"/>
  <c r="I2014" i="1"/>
  <c r="G2014" i="1"/>
  <c r="E2014" i="1"/>
  <c r="C2014" i="1"/>
  <c r="R2013" i="1"/>
  <c r="I2013" i="1"/>
  <c r="G2013" i="1"/>
  <c r="E2013" i="1"/>
  <c r="C2013" i="1"/>
  <c r="R2012" i="1"/>
  <c r="I2012" i="1"/>
  <c r="G2012" i="1"/>
  <c r="E2012" i="1"/>
  <c r="C2012" i="1"/>
  <c r="R2011" i="1"/>
  <c r="I2011" i="1"/>
  <c r="G2011" i="1"/>
  <c r="E2011" i="1"/>
  <c r="C2011" i="1"/>
  <c r="R2010" i="1"/>
  <c r="I2010" i="1"/>
  <c r="G2010" i="1"/>
  <c r="E2010" i="1"/>
  <c r="C2010" i="1"/>
  <c r="R2009" i="1"/>
  <c r="I2009" i="1"/>
  <c r="G2009" i="1"/>
  <c r="E2009" i="1"/>
  <c r="C2009" i="1"/>
  <c r="R2008" i="1"/>
  <c r="I2008" i="1"/>
  <c r="G2008" i="1"/>
  <c r="E2008" i="1"/>
  <c r="C2008" i="1"/>
  <c r="R2007" i="1"/>
  <c r="I2007" i="1"/>
  <c r="G2007" i="1"/>
  <c r="E2007" i="1"/>
  <c r="C2007" i="1"/>
  <c r="R2006" i="1"/>
  <c r="I2006" i="1"/>
  <c r="G2006" i="1"/>
  <c r="E2006" i="1"/>
  <c r="C2006" i="1"/>
  <c r="R2005" i="1"/>
  <c r="I2005" i="1"/>
  <c r="G2005" i="1"/>
  <c r="E2005" i="1"/>
  <c r="C2005" i="1"/>
  <c r="R2004" i="1"/>
  <c r="I2004" i="1"/>
  <c r="G2004" i="1"/>
  <c r="E2004" i="1"/>
  <c r="C2004" i="1"/>
  <c r="R2003" i="1"/>
  <c r="I2003" i="1"/>
  <c r="G2003" i="1"/>
  <c r="E2003" i="1"/>
  <c r="C2003" i="1"/>
  <c r="R2002" i="1"/>
  <c r="I2002" i="1"/>
  <c r="G2002" i="1"/>
  <c r="E2002" i="1"/>
  <c r="C2002" i="1"/>
  <c r="R2001" i="1"/>
  <c r="I2001" i="1"/>
  <c r="G2001" i="1"/>
  <c r="E2001" i="1"/>
  <c r="C2001" i="1"/>
  <c r="R2000" i="1"/>
  <c r="I2000" i="1"/>
  <c r="G2000" i="1"/>
  <c r="E2000" i="1"/>
  <c r="C2000" i="1"/>
  <c r="R1999" i="1"/>
  <c r="I1999" i="1"/>
  <c r="G1999" i="1"/>
  <c r="E1999" i="1"/>
  <c r="C1999" i="1"/>
  <c r="R1998" i="1"/>
  <c r="I1998" i="1"/>
  <c r="G1998" i="1"/>
  <c r="E1998" i="1"/>
  <c r="C1998" i="1"/>
  <c r="R1997" i="1"/>
  <c r="I1997" i="1"/>
  <c r="G1997" i="1"/>
  <c r="E1997" i="1"/>
  <c r="C1997" i="1"/>
  <c r="R1996" i="1"/>
  <c r="I1996" i="1"/>
  <c r="G1996" i="1"/>
  <c r="E1996" i="1"/>
  <c r="C1996" i="1"/>
  <c r="R1995" i="1"/>
  <c r="I1995" i="1"/>
  <c r="G1995" i="1"/>
  <c r="E1995" i="1"/>
  <c r="C1995" i="1"/>
  <c r="R1994" i="1"/>
  <c r="I1994" i="1"/>
  <c r="G1994" i="1"/>
  <c r="E1994" i="1"/>
  <c r="C1994" i="1"/>
  <c r="R1993" i="1"/>
  <c r="I1993" i="1"/>
  <c r="G1993" i="1"/>
  <c r="E1993" i="1"/>
  <c r="C1993" i="1"/>
  <c r="R1992" i="1"/>
  <c r="I1992" i="1"/>
  <c r="G1992" i="1"/>
  <c r="E1992" i="1"/>
  <c r="C1992" i="1"/>
  <c r="R1991" i="1"/>
  <c r="I1991" i="1"/>
  <c r="G1991" i="1"/>
  <c r="E1991" i="1"/>
  <c r="C1991" i="1"/>
  <c r="R1990" i="1"/>
  <c r="I1990" i="1"/>
  <c r="G1990" i="1"/>
  <c r="E1990" i="1"/>
  <c r="C1990" i="1"/>
  <c r="R1989" i="1"/>
  <c r="I1989" i="1"/>
  <c r="G1989" i="1"/>
  <c r="E1989" i="1"/>
  <c r="C1989" i="1"/>
  <c r="R1988" i="1"/>
  <c r="I1988" i="1"/>
  <c r="G1988" i="1"/>
  <c r="E1988" i="1"/>
  <c r="C1988" i="1"/>
  <c r="R1987" i="1"/>
  <c r="I1987" i="1"/>
  <c r="G1987" i="1"/>
  <c r="E1987" i="1"/>
  <c r="C1987" i="1"/>
  <c r="R1986" i="1"/>
  <c r="I1986" i="1"/>
  <c r="G1986" i="1"/>
  <c r="E1986" i="1"/>
  <c r="C1986" i="1"/>
  <c r="R1985" i="1"/>
  <c r="I1985" i="1"/>
  <c r="G1985" i="1"/>
  <c r="E1985" i="1"/>
  <c r="C1985" i="1"/>
  <c r="R1984" i="1"/>
  <c r="I1984" i="1"/>
  <c r="G1984" i="1"/>
  <c r="E1984" i="1"/>
  <c r="C1984" i="1"/>
  <c r="R1983" i="1"/>
  <c r="I1983" i="1"/>
  <c r="G1983" i="1"/>
  <c r="E1983" i="1"/>
  <c r="C1983" i="1"/>
  <c r="R1982" i="1"/>
  <c r="I1982" i="1"/>
  <c r="G1982" i="1"/>
  <c r="E1982" i="1"/>
  <c r="C1982" i="1"/>
  <c r="R1981" i="1"/>
  <c r="I1981" i="1"/>
  <c r="G1981" i="1"/>
  <c r="E1981" i="1"/>
  <c r="C1981" i="1"/>
  <c r="R1980" i="1"/>
  <c r="I1980" i="1"/>
  <c r="G1980" i="1"/>
  <c r="E1980" i="1"/>
  <c r="C1980" i="1"/>
  <c r="R1979" i="1"/>
  <c r="I1979" i="1"/>
  <c r="G1979" i="1"/>
  <c r="E1979" i="1"/>
  <c r="C1979" i="1"/>
  <c r="R1978" i="1"/>
  <c r="I1978" i="1"/>
  <c r="G1978" i="1"/>
  <c r="E1978" i="1"/>
  <c r="C1978" i="1"/>
  <c r="R1977" i="1"/>
  <c r="I1977" i="1"/>
  <c r="G1977" i="1"/>
  <c r="E1977" i="1"/>
  <c r="C1977" i="1"/>
  <c r="R1976" i="1"/>
  <c r="I1976" i="1"/>
  <c r="G1976" i="1"/>
  <c r="E1976" i="1"/>
  <c r="C1976" i="1"/>
  <c r="R1975" i="1"/>
  <c r="I1975" i="1"/>
  <c r="G1975" i="1"/>
  <c r="E1975" i="1"/>
  <c r="C1975" i="1"/>
  <c r="R1974" i="1"/>
  <c r="I1974" i="1"/>
  <c r="G1974" i="1"/>
  <c r="E1974" i="1"/>
  <c r="C1974" i="1"/>
  <c r="R1973" i="1"/>
  <c r="I1973" i="1"/>
  <c r="G1973" i="1"/>
  <c r="E1973" i="1"/>
  <c r="C1973" i="1"/>
  <c r="R1972" i="1"/>
  <c r="I1972" i="1"/>
  <c r="G1972" i="1"/>
  <c r="E1972" i="1"/>
  <c r="C1972" i="1"/>
  <c r="R1971" i="1"/>
  <c r="I1971" i="1"/>
  <c r="G1971" i="1"/>
  <c r="E1971" i="1"/>
  <c r="C1971" i="1"/>
  <c r="R1970" i="1"/>
  <c r="I1970" i="1"/>
  <c r="G1970" i="1"/>
  <c r="E1970" i="1"/>
  <c r="C1970" i="1"/>
  <c r="R1969" i="1"/>
  <c r="I1969" i="1"/>
  <c r="G1969" i="1"/>
  <c r="E1969" i="1"/>
  <c r="C1969" i="1"/>
  <c r="R1968" i="1"/>
  <c r="I1968" i="1"/>
  <c r="G1968" i="1"/>
  <c r="E1968" i="1"/>
  <c r="C1968" i="1"/>
  <c r="R1967" i="1"/>
  <c r="I1967" i="1"/>
  <c r="G1967" i="1"/>
  <c r="E1967" i="1"/>
  <c r="C1967" i="1"/>
  <c r="R1966" i="1"/>
  <c r="I1966" i="1"/>
  <c r="G1966" i="1"/>
  <c r="E1966" i="1"/>
  <c r="C1966" i="1"/>
  <c r="R1965" i="1"/>
  <c r="I1965" i="1"/>
  <c r="G1965" i="1"/>
  <c r="E1965" i="1"/>
  <c r="C1965" i="1"/>
  <c r="R1964" i="1"/>
  <c r="I1964" i="1"/>
  <c r="G1964" i="1"/>
  <c r="E1964" i="1"/>
  <c r="C1964" i="1"/>
  <c r="R1963" i="1"/>
  <c r="I1963" i="1"/>
  <c r="G1963" i="1"/>
  <c r="E1963" i="1"/>
  <c r="C1963" i="1"/>
  <c r="R1962" i="1"/>
  <c r="I1962" i="1"/>
  <c r="G1962" i="1"/>
  <c r="E1962" i="1"/>
  <c r="C1962" i="1"/>
  <c r="R1961" i="1"/>
  <c r="I1961" i="1"/>
  <c r="G1961" i="1"/>
  <c r="E1961" i="1"/>
  <c r="C1961" i="1"/>
  <c r="R1960" i="1"/>
  <c r="I1960" i="1"/>
  <c r="G1960" i="1"/>
  <c r="E1960" i="1"/>
  <c r="C1960" i="1"/>
  <c r="R1959" i="1"/>
  <c r="I1959" i="1"/>
  <c r="G1959" i="1"/>
  <c r="E1959" i="1"/>
  <c r="C1959" i="1"/>
  <c r="R1958" i="1"/>
  <c r="I1958" i="1"/>
  <c r="G1958" i="1"/>
  <c r="E1958" i="1"/>
  <c r="C1958" i="1"/>
  <c r="R1957" i="1"/>
  <c r="I1957" i="1"/>
  <c r="G1957" i="1"/>
  <c r="E1957" i="1"/>
  <c r="C1957" i="1"/>
  <c r="R1956" i="1"/>
  <c r="I1956" i="1"/>
  <c r="G1956" i="1"/>
  <c r="E1956" i="1"/>
  <c r="C1956" i="1"/>
  <c r="R1955" i="1"/>
  <c r="I1955" i="1"/>
  <c r="G1955" i="1"/>
  <c r="E1955" i="1"/>
  <c r="C1955" i="1"/>
  <c r="R1954" i="1"/>
  <c r="I1954" i="1"/>
  <c r="G1954" i="1"/>
  <c r="E1954" i="1"/>
  <c r="C1954" i="1"/>
  <c r="R1953" i="1"/>
  <c r="I1953" i="1"/>
  <c r="G1953" i="1"/>
  <c r="E1953" i="1"/>
  <c r="C1953" i="1"/>
  <c r="R1952" i="1"/>
  <c r="I1952" i="1"/>
  <c r="G1952" i="1"/>
  <c r="E1952" i="1"/>
  <c r="C1952" i="1"/>
  <c r="R1951" i="1"/>
  <c r="I1951" i="1"/>
  <c r="G1951" i="1"/>
  <c r="E1951" i="1"/>
  <c r="C1951" i="1"/>
  <c r="R1950" i="1"/>
  <c r="I1950" i="1"/>
  <c r="G1950" i="1"/>
  <c r="E1950" i="1"/>
  <c r="C1950" i="1"/>
  <c r="R1949" i="1"/>
  <c r="I1949" i="1"/>
  <c r="G1949" i="1"/>
  <c r="E1949" i="1"/>
  <c r="C1949" i="1"/>
  <c r="R1948" i="1"/>
  <c r="I1948" i="1"/>
  <c r="G1948" i="1"/>
  <c r="E1948" i="1"/>
  <c r="C1948" i="1"/>
  <c r="R1947" i="1"/>
  <c r="I1947" i="1"/>
  <c r="G1947" i="1"/>
  <c r="E1947" i="1"/>
  <c r="C1947" i="1"/>
  <c r="R1946" i="1"/>
  <c r="I1946" i="1"/>
  <c r="G1946" i="1"/>
  <c r="E1946" i="1"/>
  <c r="C1946" i="1"/>
  <c r="R1945" i="1"/>
  <c r="I1945" i="1"/>
  <c r="G1945" i="1"/>
  <c r="E1945" i="1"/>
  <c r="C1945" i="1"/>
  <c r="R1944" i="1"/>
  <c r="I1944" i="1"/>
  <c r="G1944" i="1"/>
  <c r="E1944" i="1"/>
  <c r="C1944" i="1"/>
  <c r="R1943" i="1"/>
  <c r="I1943" i="1"/>
  <c r="G1943" i="1"/>
  <c r="E1943" i="1"/>
  <c r="C1943" i="1"/>
  <c r="R1942" i="1"/>
  <c r="I1942" i="1"/>
  <c r="G1942" i="1"/>
  <c r="E1942" i="1"/>
  <c r="C1942" i="1"/>
  <c r="R1941" i="1"/>
  <c r="I1941" i="1"/>
  <c r="G1941" i="1"/>
  <c r="E1941" i="1"/>
  <c r="C1941" i="1"/>
  <c r="R1940" i="1"/>
  <c r="I1940" i="1"/>
  <c r="G1940" i="1"/>
  <c r="E1940" i="1"/>
  <c r="C1940" i="1"/>
  <c r="R1939" i="1"/>
  <c r="I1939" i="1"/>
  <c r="G1939" i="1"/>
  <c r="E1939" i="1"/>
  <c r="C1939" i="1"/>
  <c r="R1938" i="1"/>
  <c r="I1938" i="1"/>
  <c r="G1938" i="1"/>
  <c r="E1938" i="1"/>
  <c r="C1938" i="1"/>
  <c r="R1937" i="1"/>
  <c r="I1937" i="1"/>
  <c r="G1937" i="1"/>
  <c r="E1937" i="1"/>
  <c r="C1937" i="1"/>
  <c r="R1936" i="1"/>
  <c r="I1936" i="1"/>
  <c r="G1936" i="1"/>
  <c r="E1936" i="1"/>
  <c r="C1936" i="1"/>
  <c r="R1935" i="1"/>
  <c r="I1935" i="1"/>
  <c r="G1935" i="1"/>
  <c r="E1935" i="1"/>
  <c r="C1935" i="1"/>
  <c r="R1934" i="1"/>
  <c r="I1934" i="1"/>
  <c r="G1934" i="1"/>
  <c r="E1934" i="1"/>
  <c r="C1934" i="1"/>
  <c r="R1933" i="1"/>
  <c r="I1933" i="1"/>
  <c r="G1933" i="1"/>
  <c r="E1933" i="1"/>
  <c r="C1933" i="1"/>
  <c r="R1932" i="1"/>
  <c r="I1932" i="1"/>
  <c r="G1932" i="1"/>
  <c r="E1932" i="1"/>
  <c r="C1932" i="1"/>
  <c r="R1931" i="1"/>
  <c r="I1931" i="1"/>
  <c r="G1931" i="1"/>
  <c r="E1931" i="1"/>
  <c r="C1931" i="1"/>
  <c r="R1930" i="1"/>
  <c r="I1930" i="1"/>
  <c r="G1930" i="1"/>
  <c r="E1930" i="1"/>
  <c r="C1930" i="1"/>
  <c r="R1929" i="1"/>
  <c r="I1929" i="1"/>
  <c r="G1929" i="1"/>
  <c r="E1929" i="1"/>
  <c r="C1929" i="1"/>
  <c r="R1928" i="1"/>
  <c r="I1928" i="1"/>
  <c r="G1928" i="1"/>
  <c r="E1928" i="1"/>
  <c r="C1928" i="1"/>
  <c r="R1927" i="1"/>
  <c r="I1927" i="1"/>
  <c r="G1927" i="1"/>
  <c r="E1927" i="1"/>
  <c r="C1927" i="1"/>
  <c r="R1926" i="1"/>
  <c r="I1926" i="1"/>
  <c r="G1926" i="1"/>
  <c r="E1926" i="1"/>
  <c r="C1926" i="1"/>
  <c r="R1925" i="1"/>
  <c r="I1925" i="1"/>
  <c r="G1925" i="1"/>
  <c r="E1925" i="1"/>
  <c r="C1925" i="1"/>
  <c r="R1924" i="1"/>
  <c r="I1924" i="1"/>
  <c r="G1924" i="1"/>
  <c r="E1924" i="1"/>
  <c r="C1924" i="1"/>
  <c r="R1923" i="1"/>
  <c r="I1923" i="1"/>
  <c r="G1923" i="1"/>
  <c r="E1923" i="1"/>
  <c r="C1923" i="1"/>
  <c r="R1922" i="1"/>
  <c r="I1922" i="1"/>
  <c r="G1922" i="1"/>
  <c r="E1922" i="1"/>
  <c r="C1922" i="1"/>
  <c r="R1921" i="1"/>
  <c r="I1921" i="1"/>
  <c r="G1921" i="1"/>
  <c r="E1921" i="1"/>
  <c r="C1921" i="1"/>
  <c r="R1920" i="1"/>
  <c r="I1920" i="1"/>
  <c r="G1920" i="1"/>
  <c r="E1920" i="1"/>
  <c r="C1920" i="1"/>
  <c r="R1919" i="1"/>
  <c r="I1919" i="1"/>
  <c r="G1919" i="1"/>
  <c r="E1919" i="1"/>
  <c r="C1919" i="1"/>
  <c r="R1918" i="1"/>
  <c r="I1918" i="1"/>
  <c r="G1918" i="1"/>
  <c r="E1918" i="1"/>
  <c r="C1918" i="1"/>
  <c r="R1917" i="1"/>
  <c r="I1917" i="1"/>
  <c r="G1917" i="1"/>
  <c r="E1917" i="1"/>
  <c r="C1917" i="1"/>
  <c r="R1916" i="1"/>
  <c r="I1916" i="1"/>
  <c r="G1916" i="1"/>
  <c r="E1916" i="1"/>
  <c r="C1916" i="1"/>
  <c r="R1915" i="1"/>
  <c r="I1915" i="1"/>
  <c r="G1915" i="1"/>
  <c r="E1915" i="1"/>
  <c r="C1915" i="1"/>
  <c r="R1914" i="1"/>
  <c r="I1914" i="1"/>
  <c r="G1914" i="1"/>
  <c r="E1914" i="1"/>
  <c r="C1914" i="1"/>
  <c r="R1913" i="1"/>
  <c r="I1913" i="1"/>
  <c r="G1913" i="1"/>
  <c r="E1913" i="1"/>
  <c r="C1913" i="1"/>
  <c r="R1912" i="1"/>
  <c r="I1912" i="1"/>
  <c r="G1912" i="1"/>
  <c r="E1912" i="1"/>
  <c r="C1912" i="1"/>
  <c r="R1911" i="1"/>
  <c r="I1911" i="1"/>
  <c r="G1911" i="1"/>
  <c r="E1911" i="1"/>
  <c r="C1911" i="1"/>
  <c r="R1910" i="1"/>
  <c r="I1910" i="1"/>
  <c r="G1910" i="1"/>
  <c r="E1910" i="1"/>
  <c r="C1910" i="1"/>
  <c r="R1909" i="1"/>
  <c r="I1909" i="1"/>
  <c r="G1909" i="1"/>
  <c r="E1909" i="1"/>
  <c r="C1909" i="1"/>
  <c r="R1908" i="1"/>
  <c r="I1908" i="1"/>
  <c r="G1908" i="1"/>
  <c r="E1908" i="1"/>
  <c r="C1908" i="1"/>
  <c r="R1907" i="1"/>
  <c r="I1907" i="1"/>
  <c r="G1907" i="1"/>
  <c r="E1907" i="1"/>
  <c r="C1907" i="1"/>
  <c r="R1906" i="1"/>
  <c r="I1906" i="1"/>
  <c r="G1906" i="1"/>
  <c r="E1906" i="1"/>
  <c r="C1906" i="1"/>
  <c r="R1905" i="1"/>
  <c r="I1905" i="1"/>
  <c r="G1905" i="1"/>
  <c r="E1905" i="1"/>
  <c r="C1905" i="1"/>
  <c r="R1904" i="1"/>
  <c r="I1904" i="1"/>
  <c r="G1904" i="1"/>
  <c r="E1904" i="1"/>
  <c r="C1904" i="1"/>
  <c r="R1903" i="1"/>
  <c r="I1903" i="1"/>
  <c r="G1903" i="1"/>
  <c r="E1903" i="1"/>
  <c r="C1903" i="1"/>
  <c r="R1902" i="1"/>
  <c r="I1902" i="1"/>
  <c r="G1902" i="1"/>
  <c r="E1902" i="1"/>
  <c r="C1902" i="1"/>
  <c r="R1901" i="1"/>
  <c r="I1901" i="1"/>
  <c r="G1901" i="1"/>
  <c r="E1901" i="1"/>
  <c r="C1901" i="1"/>
  <c r="R1900" i="1"/>
  <c r="I1900" i="1"/>
  <c r="G1900" i="1"/>
  <c r="E1900" i="1"/>
  <c r="C1900" i="1"/>
  <c r="R1899" i="1"/>
  <c r="I1899" i="1"/>
  <c r="G1899" i="1"/>
  <c r="E1899" i="1"/>
  <c r="C1899" i="1"/>
  <c r="R1898" i="1"/>
  <c r="I1898" i="1"/>
  <c r="G1898" i="1"/>
  <c r="E1898" i="1"/>
  <c r="C1898" i="1"/>
  <c r="R1897" i="1"/>
  <c r="I1897" i="1"/>
  <c r="G1897" i="1"/>
  <c r="E1897" i="1"/>
  <c r="C1897" i="1"/>
  <c r="R1896" i="1"/>
  <c r="I1896" i="1"/>
  <c r="G1896" i="1"/>
  <c r="E1896" i="1"/>
  <c r="C1896" i="1"/>
  <c r="R1895" i="1"/>
  <c r="I1895" i="1"/>
  <c r="G1895" i="1"/>
  <c r="E1895" i="1"/>
  <c r="C1895" i="1"/>
  <c r="R1894" i="1"/>
  <c r="I1894" i="1"/>
  <c r="G1894" i="1"/>
  <c r="E1894" i="1"/>
  <c r="C1894" i="1"/>
  <c r="R1893" i="1"/>
  <c r="I1893" i="1"/>
  <c r="G1893" i="1"/>
  <c r="E1893" i="1"/>
  <c r="C1893" i="1"/>
  <c r="R1892" i="1"/>
  <c r="I1892" i="1"/>
  <c r="G1892" i="1"/>
  <c r="E1892" i="1"/>
  <c r="C1892" i="1"/>
  <c r="R1891" i="1"/>
  <c r="I1891" i="1"/>
  <c r="G1891" i="1"/>
  <c r="E1891" i="1"/>
  <c r="C1891" i="1"/>
  <c r="R1890" i="1"/>
  <c r="I1890" i="1"/>
  <c r="G1890" i="1"/>
  <c r="E1890" i="1"/>
  <c r="C1890" i="1"/>
  <c r="R1889" i="1"/>
  <c r="I1889" i="1"/>
  <c r="G1889" i="1"/>
  <c r="E1889" i="1"/>
  <c r="C1889" i="1"/>
  <c r="R1888" i="1"/>
  <c r="I1888" i="1"/>
  <c r="G1888" i="1"/>
  <c r="E1888" i="1"/>
  <c r="C1888" i="1"/>
  <c r="R1887" i="1"/>
  <c r="I1887" i="1"/>
  <c r="G1887" i="1"/>
  <c r="E1887" i="1"/>
  <c r="C1887" i="1"/>
  <c r="R1886" i="1"/>
  <c r="I1886" i="1"/>
  <c r="G1886" i="1"/>
  <c r="E1886" i="1"/>
  <c r="C1886" i="1"/>
  <c r="R1885" i="1"/>
  <c r="I1885" i="1"/>
  <c r="G1885" i="1"/>
  <c r="E1885" i="1"/>
  <c r="C1885" i="1"/>
  <c r="R1884" i="1"/>
  <c r="I1884" i="1"/>
  <c r="G1884" i="1"/>
  <c r="E1884" i="1"/>
  <c r="C1884" i="1"/>
  <c r="R1883" i="1"/>
  <c r="I1883" i="1"/>
  <c r="G1883" i="1"/>
  <c r="E1883" i="1"/>
  <c r="C1883" i="1"/>
  <c r="R1882" i="1"/>
  <c r="I1882" i="1"/>
  <c r="G1882" i="1"/>
  <c r="E1882" i="1"/>
  <c r="C1882" i="1"/>
  <c r="R1881" i="1"/>
  <c r="I1881" i="1"/>
  <c r="G1881" i="1"/>
  <c r="E1881" i="1"/>
  <c r="C1881" i="1"/>
  <c r="R1880" i="1"/>
  <c r="I1880" i="1"/>
  <c r="G1880" i="1"/>
  <c r="E1880" i="1"/>
  <c r="C1880" i="1"/>
  <c r="R1879" i="1"/>
  <c r="I1879" i="1"/>
  <c r="G1879" i="1"/>
  <c r="E1879" i="1"/>
  <c r="C1879" i="1"/>
  <c r="R1878" i="1"/>
  <c r="I1878" i="1"/>
  <c r="G1878" i="1"/>
  <c r="E1878" i="1"/>
  <c r="C1878" i="1"/>
  <c r="R1877" i="1"/>
  <c r="I1877" i="1"/>
  <c r="G1877" i="1"/>
  <c r="E1877" i="1"/>
  <c r="C1877" i="1"/>
  <c r="R1876" i="1"/>
  <c r="I1876" i="1"/>
  <c r="G1876" i="1"/>
  <c r="E1876" i="1"/>
  <c r="C1876" i="1"/>
  <c r="R1875" i="1"/>
  <c r="I1875" i="1"/>
  <c r="G1875" i="1"/>
  <c r="E1875" i="1"/>
  <c r="C1875" i="1"/>
  <c r="R1874" i="1"/>
  <c r="I1874" i="1"/>
  <c r="G1874" i="1"/>
  <c r="E1874" i="1"/>
  <c r="C1874" i="1"/>
  <c r="R1873" i="1"/>
  <c r="I1873" i="1"/>
  <c r="G1873" i="1"/>
  <c r="E1873" i="1"/>
  <c r="C1873" i="1"/>
  <c r="R1872" i="1"/>
  <c r="I1872" i="1"/>
  <c r="G1872" i="1"/>
  <c r="E1872" i="1"/>
  <c r="C1872" i="1"/>
  <c r="R1871" i="1"/>
  <c r="I1871" i="1"/>
  <c r="G1871" i="1"/>
  <c r="E1871" i="1"/>
  <c r="C1871" i="1"/>
  <c r="R1870" i="1"/>
  <c r="I1870" i="1"/>
  <c r="G1870" i="1"/>
  <c r="E1870" i="1"/>
  <c r="C1870" i="1"/>
  <c r="R1869" i="1"/>
  <c r="I1869" i="1"/>
  <c r="G1869" i="1"/>
  <c r="E1869" i="1"/>
  <c r="C1869" i="1"/>
  <c r="R1868" i="1"/>
  <c r="I1868" i="1"/>
  <c r="G1868" i="1"/>
  <c r="E1868" i="1"/>
  <c r="C1868" i="1"/>
  <c r="R1867" i="1"/>
  <c r="I1867" i="1"/>
  <c r="G1867" i="1"/>
  <c r="E1867" i="1"/>
  <c r="C1867" i="1"/>
  <c r="R1866" i="1"/>
  <c r="I1866" i="1"/>
  <c r="G1866" i="1"/>
  <c r="E1866" i="1"/>
  <c r="C1866" i="1"/>
  <c r="R1865" i="1"/>
  <c r="I1865" i="1"/>
  <c r="G1865" i="1"/>
  <c r="E1865" i="1"/>
  <c r="C1865" i="1"/>
  <c r="R1864" i="1"/>
  <c r="I1864" i="1"/>
  <c r="G1864" i="1"/>
  <c r="E1864" i="1"/>
  <c r="C1864" i="1"/>
  <c r="R1863" i="1"/>
  <c r="I1863" i="1"/>
  <c r="G1863" i="1"/>
  <c r="E1863" i="1"/>
  <c r="C1863" i="1"/>
  <c r="R1862" i="1"/>
  <c r="I1862" i="1"/>
  <c r="G1862" i="1"/>
  <c r="E1862" i="1"/>
  <c r="C1862" i="1"/>
  <c r="R1861" i="1"/>
  <c r="I1861" i="1"/>
  <c r="G1861" i="1"/>
  <c r="E1861" i="1"/>
  <c r="C1861" i="1"/>
  <c r="R1860" i="1"/>
  <c r="I1860" i="1"/>
  <c r="G1860" i="1"/>
  <c r="E1860" i="1"/>
  <c r="C1860" i="1"/>
  <c r="R1859" i="1"/>
  <c r="I1859" i="1"/>
  <c r="G1859" i="1"/>
  <c r="E1859" i="1"/>
  <c r="C1859" i="1"/>
  <c r="R1858" i="1"/>
  <c r="I1858" i="1"/>
  <c r="G1858" i="1"/>
  <c r="E1858" i="1"/>
  <c r="C1858" i="1"/>
  <c r="R1857" i="1"/>
  <c r="I1857" i="1"/>
  <c r="G1857" i="1"/>
  <c r="E1857" i="1"/>
  <c r="C1857" i="1"/>
  <c r="R1856" i="1"/>
  <c r="I1856" i="1"/>
  <c r="G1856" i="1"/>
  <c r="E1856" i="1"/>
  <c r="C1856" i="1"/>
  <c r="R1855" i="1"/>
  <c r="I1855" i="1"/>
  <c r="G1855" i="1"/>
  <c r="E1855" i="1"/>
  <c r="C1855" i="1"/>
  <c r="R1854" i="1"/>
  <c r="I1854" i="1"/>
  <c r="G1854" i="1"/>
  <c r="E1854" i="1"/>
  <c r="C1854" i="1"/>
  <c r="R1853" i="1"/>
  <c r="I1853" i="1"/>
  <c r="G1853" i="1"/>
  <c r="E1853" i="1"/>
  <c r="C1853" i="1"/>
  <c r="R1852" i="1"/>
  <c r="I1852" i="1"/>
  <c r="G1852" i="1"/>
  <c r="E1852" i="1"/>
  <c r="C1852" i="1"/>
  <c r="R1851" i="1"/>
  <c r="I1851" i="1"/>
  <c r="G1851" i="1"/>
  <c r="E1851" i="1"/>
  <c r="C1851" i="1"/>
  <c r="R1850" i="1"/>
  <c r="I1850" i="1"/>
  <c r="G1850" i="1"/>
  <c r="E1850" i="1"/>
  <c r="C1850" i="1"/>
  <c r="R1849" i="1"/>
  <c r="I1849" i="1"/>
  <c r="G1849" i="1"/>
  <c r="E1849" i="1"/>
  <c r="C1849" i="1"/>
  <c r="R1848" i="1"/>
  <c r="I1848" i="1"/>
  <c r="G1848" i="1"/>
  <c r="E1848" i="1"/>
  <c r="C1848" i="1"/>
  <c r="R1847" i="1"/>
  <c r="I1847" i="1"/>
  <c r="G1847" i="1"/>
  <c r="E1847" i="1"/>
  <c r="C1847" i="1"/>
  <c r="R1846" i="1"/>
  <c r="I1846" i="1"/>
  <c r="G1846" i="1"/>
  <c r="E1846" i="1"/>
  <c r="C1846" i="1"/>
  <c r="R1845" i="1"/>
  <c r="I1845" i="1"/>
  <c r="G1845" i="1"/>
  <c r="E1845" i="1"/>
  <c r="C1845" i="1"/>
  <c r="R1844" i="1"/>
  <c r="I1844" i="1"/>
  <c r="G1844" i="1"/>
  <c r="E1844" i="1"/>
  <c r="C1844" i="1"/>
  <c r="R1843" i="1"/>
  <c r="I1843" i="1"/>
  <c r="G1843" i="1"/>
  <c r="E1843" i="1"/>
  <c r="C1843" i="1"/>
  <c r="R1842" i="1"/>
  <c r="I1842" i="1"/>
  <c r="G1842" i="1"/>
  <c r="E1842" i="1"/>
  <c r="C1842" i="1"/>
  <c r="R1841" i="1"/>
  <c r="I1841" i="1"/>
  <c r="G1841" i="1"/>
  <c r="E1841" i="1"/>
  <c r="C1841" i="1"/>
  <c r="R1840" i="1"/>
  <c r="I1840" i="1"/>
  <c r="G1840" i="1"/>
  <c r="E1840" i="1"/>
  <c r="C1840" i="1"/>
  <c r="R1839" i="1"/>
  <c r="I1839" i="1"/>
  <c r="G1839" i="1"/>
  <c r="E1839" i="1"/>
  <c r="C1839" i="1"/>
  <c r="R1838" i="1"/>
  <c r="I1838" i="1"/>
  <c r="G1838" i="1"/>
  <c r="E1838" i="1"/>
  <c r="C1838" i="1"/>
  <c r="R1837" i="1"/>
  <c r="I1837" i="1"/>
  <c r="G1837" i="1"/>
  <c r="E1837" i="1"/>
  <c r="C1837" i="1"/>
  <c r="R1836" i="1"/>
  <c r="I1836" i="1"/>
  <c r="G1836" i="1"/>
  <c r="E1836" i="1"/>
  <c r="C1836" i="1"/>
  <c r="R1835" i="1"/>
  <c r="I1835" i="1"/>
  <c r="G1835" i="1"/>
  <c r="E1835" i="1"/>
  <c r="C1835" i="1"/>
  <c r="R1834" i="1"/>
  <c r="I1834" i="1"/>
  <c r="G1834" i="1"/>
  <c r="E1834" i="1"/>
  <c r="C1834" i="1"/>
  <c r="R1833" i="1"/>
  <c r="I1833" i="1"/>
  <c r="G1833" i="1"/>
  <c r="E1833" i="1"/>
  <c r="C1833" i="1"/>
  <c r="R1832" i="1"/>
  <c r="I1832" i="1"/>
  <c r="G1832" i="1"/>
  <c r="E1832" i="1"/>
  <c r="C1832" i="1"/>
  <c r="R1831" i="1"/>
  <c r="I1831" i="1"/>
  <c r="G1831" i="1"/>
  <c r="E1831" i="1"/>
  <c r="C1831" i="1"/>
  <c r="R1830" i="1"/>
  <c r="I1830" i="1"/>
  <c r="G1830" i="1"/>
  <c r="E1830" i="1"/>
  <c r="C1830" i="1"/>
  <c r="R1829" i="1"/>
  <c r="I1829" i="1"/>
  <c r="G1829" i="1"/>
  <c r="E1829" i="1"/>
  <c r="C1829" i="1"/>
  <c r="R1828" i="1"/>
  <c r="I1828" i="1"/>
  <c r="G1828" i="1"/>
  <c r="E1828" i="1"/>
  <c r="C1828" i="1"/>
  <c r="R1827" i="1"/>
  <c r="I1827" i="1"/>
  <c r="G1827" i="1"/>
  <c r="E1827" i="1"/>
  <c r="C1827" i="1"/>
  <c r="R1826" i="1"/>
  <c r="I1826" i="1"/>
  <c r="G1826" i="1"/>
  <c r="E1826" i="1"/>
  <c r="C1826" i="1"/>
  <c r="R1825" i="1"/>
  <c r="I1825" i="1"/>
  <c r="G1825" i="1"/>
  <c r="E1825" i="1"/>
  <c r="C1825" i="1"/>
  <c r="R1824" i="1"/>
  <c r="I1824" i="1"/>
  <c r="G1824" i="1"/>
  <c r="E1824" i="1"/>
  <c r="C1824" i="1"/>
  <c r="R1823" i="1"/>
  <c r="I1823" i="1"/>
  <c r="G1823" i="1"/>
  <c r="E1823" i="1"/>
  <c r="C1823" i="1"/>
  <c r="R1822" i="1"/>
  <c r="I1822" i="1"/>
  <c r="G1822" i="1"/>
  <c r="E1822" i="1"/>
  <c r="C1822" i="1"/>
  <c r="R1821" i="1"/>
  <c r="I1821" i="1"/>
  <c r="G1821" i="1"/>
  <c r="E1821" i="1"/>
  <c r="C1821" i="1"/>
  <c r="R1820" i="1"/>
  <c r="I1820" i="1"/>
  <c r="G1820" i="1"/>
  <c r="E1820" i="1"/>
  <c r="C1820" i="1"/>
  <c r="R1819" i="1"/>
  <c r="I1819" i="1"/>
  <c r="G1819" i="1"/>
  <c r="E1819" i="1"/>
  <c r="C1819" i="1"/>
  <c r="R1818" i="1"/>
  <c r="I1818" i="1"/>
  <c r="G1818" i="1"/>
  <c r="E1818" i="1"/>
  <c r="C1818" i="1"/>
  <c r="R1817" i="1"/>
  <c r="I1817" i="1"/>
  <c r="G1817" i="1"/>
  <c r="E1817" i="1"/>
  <c r="C1817" i="1"/>
  <c r="R1816" i="1"/>
  <c r="I1816" i="1"/>
  <c r="G1816" i="1"/>
  <c r="E1816" i="1"/>
  <c r="C1816" i="1"/>
  <c r="R1815" i="1"/>
  <c r="I1815" i="1"/>
  <c r="G1815" i="1"/>
  <c r="E1815" i="1"/>
  <c r="C1815" i="1"/>
  <c r="R1814" i="1"/>
  <c r="I1814" i="1"/>
  <c r="G1814" i="1"/>
  <c r="E1814" i="1"/>
  <c r="C1814" i="1"/>
  <c r="R1813" i="1"/>
  <c r="I1813" i="1"/>
  <c r="G1813" i="1"/>
  <c r="E1813" i="1"/>
  <c r="C1813" i="1"/>
  <c r="R1812" i="1"/>
  <c r="I1812" i="1"/>
  <c r="G1812" i="1"/>
  <c r="E1812" i="1"/>
  <c r="C1812" i="1"/>
  <c r="R1811" i="1"/>
  <c r="I1811" i="1"/>
  <c r="G1811" i="1"/>
  <c r="E1811" i="1"/>
  <c r="C1811" i="1"/>
  <c r="R1810" i="1"/>
  <c r="I1810" i="1"/>
  <c r="G1810" i="1"/>
  <c r="E1810" i="1"/>
  <c r="C1810" i="1"/>
  <c r="R1809" i="1"/>
  <c r="I1809" i="1"/>
  <c r="G1809" i="1"/>
  <c r="E1809" i="1"/>
  <c r="C1809" i="1"/>
  <c r="R1808" i="1"/>
  <c r="I1808" i="1"/>
  <c r="G1808" i="1"/>
  <c r="E1808" i="1"/>
  <c r="C1808" i="1"/>
  <c r="R1807" i="1"/>
  <c r="I1807" i="1"/>
  <c r="G1807" i="1"/>
  <c r="E1807" i="1"/>
  <c r="C1807" i="1"/>
  <c r="R1806" i="1"/>
  <c r="I1806" i="1"/>
  <c r="G1806" i="1"/>
  <c r="E1806" i="1"/>
  <c r="C1806" i="1"/>
  <c r="R1805" i="1"/>
  <c r="I1805" i="1"/>
  <c r="G1805" i="1"/>
  <c r="E1805" i="1"/>
  <c r="C1805" i="1"/>
  <c r="R1804" i="1"/>
  <c r="I1804" i="1"/>
  <c r="G1804" i="1"/>
  <c r="E1804" i="1"/>
  <c r="C1804" i="1"/>
  <c r="R1803" i="1"/>
  <c r="I1803" i="1"/>
  <c r="G1803" i="1"/>
  <c r="E1803" i="1"/>
  <c r="C1803" i="1"/>
  <c r="R1802" i="1"/>
  <c r="I1802" i="1"/>
  <c r="G1802" i="1"/>
  <c r="E1802" i="1"/>
  <c r="C1802" i="1"/>
  <c r="R1801" i="1"/>
  <c r="I1801" i="1"/>
  <c r="G1801" i="1"/>
  <c r="E1801" i="1"/>
  <c r="C1801" i="1"/>
  <c r="R1800" i="1"/>
  <c r="I1800" i="1"/>
  <c r="G1800" i="1"/>
  <c r="E1800" i="1"/>
  <c r="C1800" i="1"/>
  <c r="R1799" i="1"/>
  <c r="I1799" i="1"/>
  <c r="G1799" i="1"/>
  <c r="E1799" i="1"/>
  <c r="C1799" i="1"/>
  <c r="R1798" i="1"/>
  <c r="I1798" i="1"/>
  <c r="G1798" i="1"/>
  <c r="E1798" i="1"/>
  <c r="C1798" i="1"/>
  <c r="R1797" i="1"/>
  <c r="I1797" i="1"/>
  <c r="G1797" i="1"/>
  <c r="E1797" i="1"/>
  <c r="C1797" i="1"/>
  <c r="R1796" i="1"/>
  <c r="I1796" i="1"/>
  <c r="G1796" i="1"/>
  <c r="E1796" i="1"/>
  <c r="C1796" i="1"/>
  <c r="R1795" i="1"/>
  <c r="I1795" i="1"/>
  <c r="G1795" i="1"/>
  <c r="E1795" i="1"/>
  <c r="C1795" i="1"/>
  <c r="R1794" i="1"/>
  <c r="I1794" i="1"/>
  <c r="G1794" i="1"/>
  <c r="E1794" i="1"/>
  <c r="C1794" i="1"/>
  <c r="R1793" i="1"/>
  <c r="I1793" i="1"/>
  <c r="G1793" i="1"/>
  <c r="E1793" i="1"/>
  <c r="C1793" i="1"/>
  <c r="R1792" i="1"/>
  <c r="I1792" i="1"/>
  <c r="G1792" i="1"/>
  <c r="E1792" i="1"/>
  <c r="C1792" i="1"/>
  <c r="R1791" i="1"/>
  <c r="I1791" i="1"/>
  <c r="G1791" i="1"/>
  <c r="E1791" i="1"/>
  <c r="C1791" i="1"/>
  <c r="R1790" i="1"/>
  <c r="I1790" i="1"/>
  <c r="G1790" i="1"/>
  <c r="E1790" i="1"/>
  <c r="C1790" i="1"/>
  <c r="R1789" i="1"/>
  <c r="I1789" i="1"/>
  <c r="G1789" i="1"/>
  <c r="E1789" i="1"/>
  <c r="C1789" i="1"/>
  <c r="R1788" i="1"/>
  <c r="I1788" i="1"/>
  <c r="G1788" i="1"/>
  <c r="E1788" i="1"/>
  <c r="C1788" i="1"/>
  <c r="R1787" i="1"/>
  <c r="I1787" i="1"/>
  <c r="G1787" i="1"/>
  <c r="E1787" i="1"/>
  <c r="C1787" i="1"/>
  <c r="R1786" i="1"/>
  <c r="I1786" i="1"/>
  <c r="G1786" i="1"/>
  <c r="E1786" i="1"/>
  <c r="C1786" i="1"/>
  <c r="R1785" i="1"/>
  <c r="I1785" i="1"/>
  <c r="G1785" i="1"/>
  <c r="E1785" i="1"/>
  <c r="C1785" i="1"/>
  <c r="R1784" i="1"/>
  <c r="I1784" i="1"/>
  <c r="G1784" i="1"/>
  <c r="E1784" i="1"/>
  <c r="C1784" i="1"/>
  <c r="R1783" i="1"/>
  <c r="I1783" i="1"/>
  <c r="G1783" i="1"/>
  <c r="E1783" i="1"/>
  <c r="C1783" i="1"/>
  <c r="R1782" i="1"/>
  <c r="I1782" i="1"/>
  <c r="G1782" i="1"/>
  <c r="E1782" i="1"/>
  <c r="C1782" i="1"/>
  <c r="R1781" i="1"/>
  <c r="I1781" i="1"/>
  <c r="G1781" i="1"/>
  <c r="E1781" i="1"/>
  <c r="C1781" i="1"/>
  <c r="R1780" i="1"/>
  <c r="I1780" i="1"/>
  <c r="G1780" i="1"/>
  <c r="E1780" i="1"/>
  <c r="C1780" i="1"/>
  <c r="R1779" i="1"/>
  <c r="I1779" i="1"/>
  <c r="G1779" i="1"/>
  <c r="E1779" i="1"/>
  <c r="C1779" i="1"/>
  <c r="R1778" i="1"/>
  <c r="I1778" i="1"/>
  <c r="G1778" i="1"/>
  <c r="E1778" i="1"/>
  <c r="C1778" i="1"/>
  <c r="R1777" i="1"/>
  <c r="I1777" i="1"/>
  <c r="G1777" i="1"/>
  <c r="E1777" i="1"/>
  <c r="C1777" i="1"/>
  <c r="R1776" i="1"/>
  <c r="I1776" i="1"/>
  <c r="G1776" i="1"/>
  <c r="E1776" i="1"/>
  <c r="C1776" i="1"/>
  <c r="R1775" i="1"/>
  <c r="I1775" i="1"/>
  <c r="G1775" i="1"/>
  <c r="E1775" i="1"/>
  <c r="C1775" i="1"/>
  <c r="R1774" i="1"/>
  <c r="I1774" i="1"/>
  <c r="G1774" i="1"/>
  <c r="E1774" i="1"/>
  <c r="C1774" i="1"/>
  <c r="R1773" i="1"/>
  <c r="I1773" i="1"/>
  <c r="G1773" i="1"/>
  <c r="E1773" i="1"/>
  <c r="C1773" i="1"/>
  <c r="R1772" i="1"/>
  <c r="I1772" i="1"/>
  <c r="G1772" i="1"/>
  <c r="E1772" i="1"/>
  <c r="C1772" i="1"/>
  <c r="R1771" i="1"/>
  <c r="I1771" i="1"/>
  <c r="G1771" i="1"/>
  <c r="E1771" i="1"/>
  <c r="C1771" i="1"/>
  <c r="R1770" i="1"/>
  <c r="I1770" i="1"/>
  <c r="G1770" i="1"/>
  <c r="E1770" i="1"/>
  <c r="C1770" i="1"/>
  <c r="R1769" i="1"/>
  <c r="I1769" i="1"/>
  <c r="G1769" i="1"/>
  <c r="E1769" i="1"/>
  <c r="C1769" i="1"/>
  <c r="R1768" i="1"/>
  <c r="I1768" i="1"/>
  <c r="G1768" i="1"/>
  <c r="E1768" i="1"/>
  <c r="C1768" i="1"/>
  <c r="R1767" i="1"/>
  <c r="I1767" i="1"/>
  <c r="G1767" i="1"/>
  <c r="E1767" i="1"/>
  <c r="C1767" i="1"/>
  <c r="R1766" i="1"/>
  <c r="I1766" i="1"/>
  <c r="G1766" i="1"/>
  <c r="E1766" i="1"/>
  <c r="C1766" i="1"/>
  <c r="R1765" i="1"/>
  <c r="I1765" i="1"/>
  <c r="G1765" i="1"/>
  <c r="E1765" i="1"/>
  <c r="C1765" i="1"/>
  <c r="R1764" i="1"/>
  <c r="I1764" i="1"/>
  <c r="G1764" i="1"/>
  <c r="E1764" i="1"/>
  <c r="C1764" i="1"/>
  <c r="R1763" i="1"/>
  <c r="I1763" i="1"/>
  <c r="G1763" i="1"/>
  <c r="E1763" i="1"/>
  <c r="C1763" i="1"/>
  <c r="R1762" i="1"/>
  <c r="I1762" i="1"/>
  <c r="G1762" i="1"/>
  <c r="E1762" i="1"/>
  <c r="C1762" i="1"/>
  <c r="R1761" i="1"/>
  <c r="I1761" i="1"/>
  <c r="G1761" i="1"/>
  <c r="E1761" i="1"/>
  <c r="C1761" i="1"/>
  <c r="R1760" i="1"/>
  <c r="I1760" i="1"/>
  <c r="G1760" i="1"/>
  <c r="E1760" i="1"/>
  <c r="C1760" i="1"/>
  <c r="R1759" i="1"/>
  <c r="I1759" i="1"/>
  <c r="G1759" i="1"/>
  <c r="E1759" i="1"/>
  <c r="C1759" i="1"/>
  <c r="R1758" i="1"/>
  <c r="I1758" i="1"/>
  <c r="G1758" i="1"/>
  <c r="E1758" i="1"/>
  <c r="C1758" i="1"/>
  <c r="R1757" i="1"/>
  <c r="I1757" i="1"/>
  <c r="G1757" i="1"/>
  <c r="E1757" i="1"/>
  <c r="C1757" i="1"/>
  <c r="R1756" i="1"/>
  <c r="I1756" i="1"/>
  <c r="G1756" i="1"/>
  <c r="E1756" i="1"/>
  <c r="C1756" i="1"/>
  <c r="R1755" i="1"/>
  <c r="I1755" i="1"/>
  <c r="G1755" i="1"/>
  <c r="E1755" i="1"/>
  <c r="C1755" i="1"/>
  <c r="R1754" i="1"/>
  <c r="I1754" i="1"/>
  <c r="G1754" i="1"/>
  <c r="E1754" i="1"/>
  <c r="C1754" i="1"/>
  <c r="R1753" i="1"/>
  <c r="I1753" i="1"/>
  <c r="G1753" i="1"/>
  <c r="E1753" i="1"/>
  <c r="C1753" i="1"/>
  <c r="R1752" i="1"/>
  <c r="I1752" i="1"/>
  <c r="G1752" i="1"/>
  <c r="E1752" i="1"/>
  <c r="C1752" i="1"/>
  <c r="R1751" i="1"/>
  <c r="I1751" i="1"/>
  <c r="G1751" i="1"/>
  <c r="E1751" i="1"/>
  <c r="C1751" i="1"/>
  <c r="R1750" i="1"/>
  <c r="I1750" i="1"/>
  <c r="G1750" i="1"/>
  <c r="E1750" i="1"/>
  <c r="C1750" i="1"/>
  <c r="R1749" i="1"/>
  <c r="I1749" i="1"/>
  <c r="G1749" i="1"/>
  <c r="E1749" i="1"/>
  <c r="C1749" i="1"/>
  <c r="R1748" i="1"/>
  <c r="I1748" i="1"/>
  <c r="G1748" i="1"/>
  <c r="E1748" i="1"/>
  <c r="C1748" i="1"/>
  <c r="R1747" i="1"/>
  <c r="I1747" i="1"/>
  <c r="G1747" i="1"/>
  <c r="E1747" i="1"/>
  <c r="C1747" i="1"/>
  <c r="R1746" i="1"/>
  <c r="I1746" i="1"/>
  <c r="G1746" i="1"/>
  <c r="E1746" i="1"/>
  <c r="C1746" i="1"/>
  <c r="R1745" i="1"/>
  <c r="I1745" i="1"/>
  <c r="G1745" i="1"/>
  <c r="E1745" i="1"/>
  <c r="C1745" i="1"/>
  <c r="R1744" i="1"/>
  <c r="I1744" i="1"/>
  <c r="G1744" i="1"/>
  <c r="E1744" i="1"/>
  <c r="C1744" i="1"/>
  <c r="R1743" i="1"/>
  <c r="I1743" i="1"/>
  <c r="G1743" i="1"/>
  <c r="E1743" i="1"/>
  <c r="C1743" i="1"/>
  <c r="R1742" i="1"/>
  <c r="I1742" i="1"/>
  <c r="G1742" i="1"/>
  <c r="E1742" i="1"/>
  <c r="C1742" i="1"/>
  <c r="R1741" i="1"/>
  <c r="I1741" i="1"/>
  <c r="G1741" i="1"/>
  <c r="E1741" i="1"/>
  <c r="C1741" i="1"/>
  <c r="R1740" i="1"/>
  <c r="I1740" i="1"/>
  <c r="G1740" i="1"/>
  <c r="E1740" i="1"/>
  <c r="C1740" i="1"/>
  <c r="R1739" i="1"/>
  <c r="I1739" i="1"/>
  <c r="G1739" i="1"/>
  <c r="E1739" i="1"/>
  <c r="C1739" i="1"/>
  <c r="R1738" i="1"/>
  <c r="I1738" i="1"/>
  <c r="G1738" i="1"/>
  <c r="E1738" i="1"/>
  <c r="C1738" i="1"/>
  <c r="R1737" i="1"/>
  <c r="I1737" i="1"/>
  <c r="G1737" i="1"/>
  <c r="E1737" i="1"/>
  <c r="C1737" i="1"/>
  <c r="R1736" i="1"/>
  <c r="I1736" i="1"/>
  <c r="G1736" i="1"/>
  <c r="E1736" i="1"/>
  <c r="C1736" i="1"/>
  <c r="R1735" i="1"/>
  <c r="I1735" i="1"/>
  <c r="G1735" i="1"/>
  <c r="E1735" i="1"/>
  <c r="C1735" i="1"/>
  <c r="R1734" i="1"/>
  <c r="I1734" i="1"/>
  <c r="G1734" i="1"/>
  <c r="E1734" i="1"/>
  <c r="C1734" i="1"/>
  <c r="R1733" i="1"/>
  <c r="I1733" i="1"/>
  <c r="G1733" i="1"/>
  <c r="E1733" i="1"/>
  <c r="C1733" i="1"/>
  <c r="R1732" i="1"/>
  <c r="I1732" i="1"/>
  <c r="G1732" i="1"/>
  <c r="E1732" i="1"/>
  <c r="C1732" i="1"/>
  <c r="R1731" i="1"/>
  <c r="I1731" i="1"/>
  <c r="G1731" i="1"/>
  <c r="E1731" i="1"/>
  <c r="C1731" i="1"/>
  <c r="R1730" i="1"/>
  <c r="I1730" i="1"/>
  <c r="G1730" i="1"/>
  <c r="E1730" i="1"/>
  <c r="C1730" i="1"/>
  <c r="R1729" i="1"/>
  <c r="I1729" i="1"/>
  <c r="G1729" i="1"/>
  <c r="E1729" i="1"/>
  <c r="C1729" i="1"/>
  <c r="R1728" i="1"/>
  <c r="I1728" i="1"/>
  <c r="G1728" i="1"/>
  <c r="E1728" i="1"/>
  <c r="C1728" i="1"/>
  <c r="R1727" i="1"/>
  <c r="I1727" i="1"/>
  <c r="G1727" i="1"/>
  <c r="E1727" i="1"/>
  <c r="C1727" i="1"/>
  <c r="R1726" i="1"/>
  <c r="I1726" i="1"/>
  <c r="G1726" i="1"/>
  <c r="E1726" i="1"/>
  <c r="C1726" i="1"/>
  <c r="R1725" i="1"/>
  <c r="I1725" i="1"/>
  <c r="G1725" i="1"/>
  <c r="E1725" i="1"/>
  <c r="C1725" i="1"/>
  <c r="R1724" i="1"/>
  <c r="I1724" i="1"/>
  <c r="G1724" i="1"/>
  <c r="E1724" i="1"/>
  <c r="C1724" i="1"/>
  <c r="R1723" i="1"/>
  <c r="I1723" i="1"/>
  <c r="G1723" i="1"/>
  <c r="E1723" i="1"/>
  <c r="C1723" i="1"/>
  <c r="R1722" i="1"/>
  <c r="I1722" i="1"/>
  <c r="G1722" i="1"/>
  <c r="E1722" i="1"/>
  <c r="C1722" i="1"/>
  <c r="R1721" i="1"/>
  <c r="I1721" i="1"/>
  <c r="G1721" i="1"/>
  <c r="E1721" i="1"/>
  <c r="C1721" i="1"/>
  <c r="R1720" i="1"/>
  <c r="I1720" i="1"/>
  <c r="G1720" i="1"/>
  <c r="E1720" i="1"/>
  <c r="C1720" i="1"/>
  <c r="R1719" i="1"/>
  <c r="I1719" i="1"/>
  <c r="G1719" i="1"/>
  <c r="E1719" i="1"/>
  <c r="C1719" i="1"/>
  <c r="R1718" i="1"/>
  <c r="I1718" i="1"/>
  <c r="G1718" i="1"/>
  <c r="E1718" i="1"/>
  <c r="C1718" i="1"/>
  <c r="R1717" i="1"/>
  <c r="I1717" i="1"/>
  <c r="G1717" i="1"/>
  <c r="E1717" i="1"/>
  <c r="C1717" i="1"/>
  <c r="R1716" i="1"/>
  <c r="I1716" i="1"/>
  <c r="G1716" i="1"/>
  <c r="E1716" i="1"/>
  <c r="C1716" i="1"/>
  <c r="R1715" i="1"/>
  <c r="I1715" i="1"/>
  <c r="G1715" i="1"/>
  <c r="E1715" i="1"/>
  <c r="C1715" i="1"/>
  <c r="R1714" i="1"/>
  <c r="I1714" i="1"/>
  <c r="G1714" i="1"/>
  <c r="E1714" i="1"/>
  <c r="C1714" i="1"/>
  <c r="R1713" i="1"/>
  <c r="I1713" i="1"/>
  <c r="G1713" i="1"/>
  <c r="E1713" i="1"/>
  <c r="C1713" i="1"/>
  <c r="R1712" i="1"/>
  <c r="I1712" i="1"/>
  <c r="G1712" i="1"/>
  <c r="E1712" i="1"/>
  <c r="C1712" i="1"/>
  <c r="R1711" i="1"/>
  <c r="I1711" i="1"/>
  <c r="G1711" i="1"/>
  <c r="E1711" i="1"/>
  <c r="C1711" i="1"/>
  <c r="R1710" i="1"/>
  <c r="I1710" i="1"/>
  <c r="G1710" i="1"/>
  <c r="E1710" i="1"/>
  <c r="C1710" i="1"/>
  <c r="R1709" i="1"/>
  <c r="I1709" i="1"/>
  <c r="G1709" i="1"/>
  <c r="E1709" i="1"/>
  <c r="C1709" i="1"/>
  <c r="R1708" i="1"/>
  <c r="I1708" i="1"/>
  <c r="G1708" i="1"/>
  <c r="E1708" i="1"/>
  <c r="C1708" i="1"/>
  <c r="R1707" i="1"/>
  <c r="I1707" i="1"/>
  <c r="G1707" i="1"/>
  <c r="E1707" i="1"/>
  <c r="C1707" i="1"/>
  <c r="R1706" i="1"/>
  <c r="I1706" i="1"/>
  <c r="G1706" i="1"/>
  <c r="E1706" i="1"/>
  <c r="C1706" i="1"/>
  <c r="R1705" i="1"/>
  <c r="I1705" i="1"/>
  <c r="G1705" i="1"/>
  <c r="E1705" i="1"/>
  <c r="C1705" i="1"/>
  <c r="R1704" i="1"/>
  <c r="I1704" i="1"/>
  <c r="G1704" i="1"/>
  <c r="E1704" i="1"/>
  <c r="C1704" i="1"/>
  <c r="R1703" i="1"/>
  <c r="I1703" i="1"/>
  <c r="G1703" i="1"/>
  <c r="E1703" i="1"/>
  <c r="C1703" i="1"/>
  <c r="R1702" i="1"/>
  <c r="I1702" i="1"/>
  <c r="G1702" i="1"/>
  <c r="E1702" i="1"/>
  <c r="C1702" i="1"/>
  <c r="R1701" i="1"/>
  <c r="I1701" i="1"/>
  <c r="G1701" i="1"/>
  <c r="E1701" i="1"/>
  <c r="C1701" i="1"/>
  <c r="R1700" i="1"/>
  <c r="I1700" i="1"/>
  <c r="G1700" i="1"/>
  <c r="E1700" i="1"/>
  <c r="C1700" i="1"/>
  <c r="R1699" i="1"/>
  <c r="I1699" i="1"/>
  <c r="G1699" i="1"/>
  <c r="E1699" i="1"/>
  <c r="C1699" i="1"/>
  <c r="R1698" i="1"/>
  <c r="I1698" i="1"/>
  <c r="G1698" i="1"/>
  <c r="E1698" i="1"/>
  <c r="C1698" i="1"/>
  <c r="R1697" i="1"/>
  <c r="I1697" i="1"/>
  <c r="G1697" i="1"/>
  <c r="E1697" i="1"/>
  <c r="C1697" i="1"/>
  <c r="R1696" i="1"/>
  <c r="I1696" i="1"/>
  <c r="G1696" i="1"/>
  <c r="E1696" i="1"/>
  <c r="C1696" i="1"/>
  <c r="R1695" i="1"/>
  <c r="I1695" i="1"/>
  <c r="G1695" i="1"/>
  <c r="E1695" i="1"/>
  <c r="C1695" i="1"/>
  <c r="R1694" i="1"/>
  <c r="I1694" i="1"/>
  <c r="G1694" i="1"/>
  <c r="E1694" i="1"/>
  <c r="C1694" i="1"/>
  <c r="R1693" i="1"/>
  <c r="I1693" i="1"/>
  <c r="G1693" i="1"/>
  <c r="E1693" i="1"/>
  <c r="C1693" i="1"/>
  <c r="R1692" i="1"/>
  <c r="I1692" i="1"/>
  <c r="G1692" i="1"/>
  <c r="E1692" i="1"/>
  <c r="C1692" i="1"/>
  <c r="R1691" i="1"/>
  <c r="I1691" i="1"/>
  <c r="G1691" i="1"/>
  <c r="E1691" i="1"/>
  <c r="C1691" i="1"/>
  <c r="R1690" i="1"/>
  <c r="I1690" i="1"/>
  <c r="G1690" i="1"/>
  <c r="E1690" i="1"/>
  <c r="C1690" i="1"/>
  <c r="R1689" i="1"/>
  <c r="I1689" i="1"/>
  <c r="G1689" i="1"/>
  <c r="E1689" i="1"/>
  <c r="C1689" i="1"/>
  <c r="R1688" i="1"/>
  <c r="I1688" i="1"/>
  <c r="G1688" i="1"/>
  <c r="E1688" i="1"/>
  <c r="C1688" i="1"/>
  <c r="R1687" i="1"/>
  <c r="I1687" i="1"/>
  <c r="G1687" i="1"/>
  <c r="E1687" i="1"/>
  <c r="C1687" i="1"/>
  <c r="R1686" i="1"/>
  <c r="I1686" i="1"/>
  <c r="G1686" i="1"/>
  <c r="E1686" i="1"/>
  <c r="C1686" i="1"/>
  <c r="R1685" i="1"/>
  <c r="I1685" i="1"/>
  <c r="G1685" i="1"/>
  <c r="E1685" i="1"/>
  <c r="C1685" i="1"/>
  <c r="R1684" i="1"/>
  <c r="I1684" i="1"/>
  <c r="G1684" i="1"/>
  <c r="E1684" i="1"/>
  <c r="C1684" i="1"/>
  <c r="R1683" i="1"/>
  <c r="I1683" i="1"/>
  <c r="G1683" i="1"/>
  <c r="E1683" i="1"/>
  <c r="C1683" i="1"/>
  <c r="R1682" i="1"/>
  <c r="I1682" i="1"/>
  <c r="G1682" i="1"/>
  <c r="E1682" i="1"/>
  <c r="C1682" i="1"/>
  <c r="R1681" i="1"/>
  <c r="I1681" i="1"/>
  <c r="G1681" i="1"/>
  <c r="E1681" i="1"/>
  <c r="C1681" i="1"/>
  <c r="R1680" i="1"/>
  <c r="I1680" i="1"/>
  <c r="G1680" i="1"/>
  <c r="E1680" i="1"/>
  <c r="C1680" i="1"/>
  <c r="R1679" i="1"/>
  <c r="I1679" i="1"/>
  <c r="G1679" i="1"/>
  <c r="E1679" i="1"/>
  <c r="C1679" i="1"/>
  <c r="R1678" i="1"/>
  <c r="I1678" i="1"/>
  <c r="G1678" i="1"/>
  <c r="E1678" i="1"/>
  <c r="C1678" i="1"/>
  <c r="R1677" i="1"/>
  <c r="I1677" i="1"/>
  <c r="G1677" i="1"/>
  <c r="E1677" i="1"/>
  <c r="C1677" i="1"/>
  <c r="R1676" i="1"/>
  <c r="I1676" i="1"/>
  <c r="G1676" i="1"/>
  <c r="E1676" i="1"/>
  <c r="C1676" i="1"/>
  <c r="R1675" i="1"/>
  <c r="I1675" i="1"/>
  <c r="G1675" i="1"/>
  <c r="E1675" i="1"/>
  <c r="C1675" i="1"/>
  <c r="R1674" i="1"/>
  <c r="I1674" i="1"/>
  <c r="G1674" i="1"/>
  <c r="E1674" i="1"/>
  <c r="C1674" i="1"/>
  <c r="R1673" i="1"/>
  <c r="I1673" i="1"/>
  <c r="G1673" i="1"/>
  <c r="E1673" i="1"/>
  <c r="C1673" i="1"/>
  <c r="R1672" i="1"/>
  <c r="I1672" i="1"/>
  <c r="G1672" i="1"/>
  <c r="E1672" i="1"/>
  <c r="C1672" i="1"/>
  <c r="R1671" i="1"/>
  <c r="I1671" i="1"/>
  <c r="G1671" i="1"/>
  <c r="E1671" i="1"/>
  <c r="C1671" i="1"/>
  <c r="R1670" i="1"/>
  <c r="I1670" i="1"/>
  <c r="G1670" i="1"/>
  <c r="E1670" i="1"/>
  <c r="C1670" i="1"/>
  <c r="R1669" i="1"/>
  <c r="I1669" i="1"/>
  <c r="G1669" i="1"/>
  <c r="E1669" i="1"/>
  <c r="C1669" i="1"/>
  <c r="R1668" i="1"/>
  <c r="I1668" i="1"/>
  <c r="G1668" i="1"/>
  <c r="E1668" i="1"/>
  <c r="C1668" i="1"/>
  <c r="R1667" i="1"/>
  <c r="I1667" i="1"/>
  <c r="G1667" i="1"/>
  <c r="E1667" i="1"/>
  <c r="C1667" i="1"/>
  <c r="R1666" i="1"/>
  <c r="I1666" i="1"/>
  <c r="G1666" i="1"/>
  <c r="E1666" i="1"/>
  <c r="C1666" i="1"/>
  <c r="R1665" i="1"/>
  <c r="I1665" i="1"/>
  <c r="G1665" i="1"/>
  <c r="E1665" i="1"/>
  <c r="C1665" i="1"/>
  <c r="R1664" i="1"/>
  <c r="I1664" i="1"/>
  <c r="G1664" i="1"/>
  <c r="E1664" i="1"/>
  <c r="C1664" i="1"/>
  <c r="R1663" i="1"/>
  <c r="I1663" i="1"/>
  <c r="G1663" i="1"/>
  <c r="E1663" i="1"/>
  <c r="C1663" i="1"/>
  <c r="R1662" i="1"/>
  <c r="I1662" i="1"/>
  <c r="G1662" i="1"/>
  <c r="E1662" i="1"/>
  <c r="C1662" i="1"/>
  <c r="R1661" i="1"/>
  <c r="I1661" i="1"/>
  <c r="G1661" i="1"/>
  <c r="E1661" i="1"/>
  <c r="C1661" i="1"/>
  <c r="R1660" i="1"/>
  <c r="I1660" i="1"/>
  <c r="G1660" i="1"/>
  <c r="E1660" i="1"/>
  <c r="C1660" i="1"/>
  <c r="R1659" i="1"/>
  <c r="I1659" i="1"/>
  <c r="G1659" i="1"/>
  <c r="E1659" i="1"/>
  <c r="C1659" i="1"/>
  <c r="R1658" i="1"/>
  <c r="I1658" i="1"/>
  <c r="G1658" i="1"/>
  <c r="E1658" i="1"/>
  <c r="C1658" i="1"/>
  <c r="R1657" i="1"/>
  <c r="I1657" i="1"/>
  <c r="G1657" i="1"/>
  <c r="E1657" i="1"/>
  <c r="C1657" i="1"/>
  <c r="R1656" i="1"/>
  <c r="I1656" i="1"/>
  <c r="G1656" i="1"/>
  <c r="E1656" i="1"/>
  <c r="C1656" i="1"/>
  <c r="R1655" i="1"/>
  <c r="I1655" i="1"/>
  <c r="G1655" i="1"/>
  <c r="E1655" i="1"/>
  <c r="C1655" i="1"/>
  <c r="R1654" i="1"/>
  <c r="I1654" i="1"/>
  <c r="G1654" i="1"/>
  <c r="E1654" i="1"/>
  <c r="C1654" i="1"/>
  <c r="R1653" i="1"/>
  <c r="I1653" i="1"/>
  <c r="G1653" i="1"/>
  <c r="E1653" i="1"/>
  <c r="C1653" i="1"/>
  <c r="R1652" i="1"/>
  <c r="I1652" i="1"/>
  <c r="G1652" i="1"/>
  <c r="E1652" i="1"/>
  <c r="C1652" i="1"/>
  <c r="R1651" i="1"/>
  <c r="I1651" i="1"/>
  <c r="G1651" i="1"/>
  <c r="E1651" i="1"/>
  <c r="C1651" i="1"/>
  <c r="R1650" i="1"/>
  <c r="I1650" i="1"/>
  <c r="G1650" i="1"/>
  <c r="E1650" i="1"/>
  <c r="C1650" i="1"/>
  <c r="R1649" i="1"/>
  <c r="I1649" i="1"/>
  <c r="G1649" i="1"/>
  <c r="E1649" i="1"/>
  <c r="C1649" i="1"/>
  <c r="R1648" i="1"/>
  <c r="I1648" i="1"/>
  <c r="G1648" i="1"/>
  <c r="E1648" i="1"/>
  <c r="C1648" i="1"/>
  <c r="R1647" i="1"/>
  <c r="I1647" i="1"/>
  <c r="G1647" i="1"/>
  <c r="E1647" i="1"/>
  <c r="C1647" i="1"/>
  <c r="R1646" i="1"/>
  <c r="I1646" i="1"/>
  <c r="G1646" i="1"/>
  <c r="E1646" i="1"/>
  <c r="C1646" i="1"/>
  <c r="R1645" i="1"/>
  <c r="I1645" i="1"/>
  <c r="G1645" i="1"/>
  <c r="E1645" i="1"/>
  <c r="C1645" i="1"/>
  <c r="R1644" i="1"/>
  <c r="I1644" i="1"/>
  <c r="G1644" i="1"/>
  <c r="E1644" i="1"/>
  <c r="C1644" i="1"/>
  <c r="R1643" i="1"/>
  <c r="I1643" i="1"/>
  <c r="G1643" i="1"/>
  <c r="E1643" i="1"/>
  <c r="C1643" i="1"/>
  <c r="R1642" i="1"/>
  <c r="I1642" i="1"/>
  <c r="G1642" i="1"/>
  <c r="E1642" i="1"/>
  <c r="C1642" i="1"/>
  <c r="R1641" i="1"/>
  <c r="I1641" i="1"/>
  <c r="G1641" i="1"/>
  <c r="E1641" i="1"/>
  <c r="C1641" i="1"/>
  <c r="R1640" i="1"/>
  <c r="I1640" i="1"/>
  <c r="G1640" i="1"/>
  <c r="E1640" i="1"/>
  <c r="C1640" i="1"/>
  <c r="R1639" i="1"/>
  <c r="I1639" i="1"/>
  <c r="G1639" i="1"/>
  <c r="E1639" i="1"/>
  <c r="C1639" i="1"/>
  <c r="R1638" i="1"/>
  <c r="I1638" i="1"/>
  <c r="G1638" i="1"/>
  <c r="E1638" i="1"/>
  <c r="C1638" i="1"/>
  <c r="R1637" i="1"/>
  <c r="I1637" i="1"/>
  <c r="G1637" i="1"/>
  <c r="E1637" i="1"/>
  <c r="C1637" i="1"/>
  <c r="R1636" i="1"/>
  <c r="I1636" i="1"/>
  <c r="G1636" i="1"/>
  <c r="E1636" i="1"/>
  <c r="C1636" i="1"/>
  <c r="R1635" i="1"/>
  <c r="I1635" i="1"/>
  <c r="G1635" i="1"/>
  <c r="E1635" i="1"/>
  <c r="C1635" i="1"/>
  <c r="R1634" i="1"/>
  <c r="I1634" i="1"/>
  <c r="G1634" i="1"/>
  <c r="E1634" i="1"/>
  <c r="C1634" i="1"/>
  <c r="R1633" i="1"/>
  <c r="I1633" i="1"/>
  <c r="G1633" i="1"/>
  <c r="E1633" i="1"/>
  <c r="C1633" i="1"/>
  <c r="R1632" i="1"/>
  <c r="I1632" i="1"/>
  <c r="G1632" i="1"/>
  <c r="E1632" i="1"/>
  <c r="C1632" i="1"/>
  <c r="R1631" i="1"/>
  <c r="I1631" i="1"/>
  <c r="G1631" i="1"/>
  <c r="E1631" i="1"/>
  <c r="C1631" i="1"/>
  <c r="R1630" i="1"/>
  <c r="I1630" i="1"/>
  <c r="G1630" i="1"/>
  <c r="E1630" i="1"/>
  <c r="C1630" i="1"/>
  <c r="R1629" i="1"/>
  <c r="I1629" i="1"/>
  <c r="G1629" i="1"/>
  <c r="E1629" i="1"/>
  <c r="C1629" i="1"/>
  <c r="R1628" i="1"/>
  <c r="I1628" i="1"/>
  <c r="G1628" i="1"/>
  <c r="E1628" i="1"/>
  <c r="C1628" i="1"/>
  <c r="R1627" i="1"/>
  <c r="I1627" i="1"/>
  <c r="G1627" i="1"/>
  <c r="E1627" i="1"/>
  <c r="C1627" i="1"/>
  <c r="R1626" i="1"/>
  <c r="I1626" i="1"/>
  <c r="G1626" i="1"/>
  <c r="E1626" i="1"/>
  <c r="C1626" i="1"/>
  <c r="R1625" i="1"/>
  <c r="I1625" i="1"/>
  <c r="G1625" i="1"/>
  <c r="E1625" i="1"/>
  <c r="C1625" i="1"/>
  <c r="R1624" i="1"/>
  <c r="I1624" i="1"/>
  <c r="G1624" i="1"/>
  <c r="E1624" i="1"/>
  <c r="C1624" i="1"/>
  <c r="R1623" i="1"/>
  <c r="I1623" i="1"/>
  <c r="G1623" i="1"/>
  <c r="E1623" i="1"/>
  <c r="C1623" i="1"/>
  <c r="R1622" i="1"/>
  <c r="I1622" i="1"/>
  <c r="G1622" i="1"/>
  <c r="E1622" i="1"/>
  <c r="C1622" i="1"/>
  <c r="R1621" i="1"/>
  <c r="I1621" i="1"/>
  <c r="G1621" i="1"/>
  <c r="E1621" i="1"/>
  <c r="C1621" i="1"/>
  <c r="R1620" i="1"/>
  <c r="I1620" i="1"/>
  <c r="G1620" i="1"/>
  <c r="E1620" i="1"/>
  <c r="C1620" i="1"/>
  <c r="R1619" i="1"/>
  <c r="I1619" i="1"/>
  <c r="G1619" i="1"/>
  <c r="E1619" i="1"/>
  <c r="C1619" i="1"/>
  <c r="R1618" i="1"/>
  <c r="I1618" i="1"/>
  <c r="G1618" i="1"/>
  <c r="E1618" i="1"/>
  <c r="C1618" i="1"/>
  <c r="R1617" i="1"/>
  <c r="I1617" i="1"/>
  <c r="G1617" i="1"/>
  <c r="E1617" i="1"/>
  <c r="C1617" i="1"/>
  <c r="R1616" i="1"/>
  <c r="I1616" i="1"/>
  <c r="G1616" i="1"/>
  <c r="E1616" i="1"/>
  <c r="C1616" i="1"/>
  <c r="R1615" i="1"/>
  <c r="I1615" i="1"/>
  <c r="G1615" i="1"/>
  <c r="E1615" i="1"/>
  <c r="C1615" i="1"/>
  <c r="R1614" i="1"/>
  <c r="I1614" i="1"/>
  <c r="G1614" i="1"/>
  <c r="E1614" i="1"/>
  <c r="C1614" i="1"/>
  <c r="R1613" i="1"/>
  <c r="I1613" i="1"/>
  <c r="G1613" i="1"/>
  <c r="E1613" i="1"/>
  <c r="C1613" i="1"/>
  <c r="R1612" i="1"/>
  <c r="I1612" i="1"/>
  <c r="G1612" i="1"/>
  <c r="E1612" i="1"/>
  <c r="C1612" i="1"/>
  <c r="R1611" i="1"/>
  <c r="I1611" i="1"/>
  <c r="G1611" i="1"/>
  <c r="E1611" i="1"/>
  <c r="C1611" i="1"/>
  <c r="R1610" i="1"/>
  <c r="I1610" i="1"/>
  <c r="G1610" i="1"/>
  <c r="E1610" i="1"/>
  <c r="C1610" i="1"/>
  <c r="R1609" i="1"/>
  <c r="I1609" i="1"/>
  <c r="G1609" i="1"/>
  <c r="E1609" i="1"/>
  <c r="C1609" i="1"/>
  <c r="R1608" i="1"/>
  <c r="I1608" i="1"/>
  <c r="G1608" i="1"/>
  <c r="E1608" i="1"/>
  <c r="C1608" i="1"/>
  <c r="R1607" i="1"/>
  <c r="I1607" i="1"/>
  <c r="G1607" i="1"/>
  <c r="E1607" i="1"/>
  <c r="C1607" i="1"/>
  <c r="R1606" i="1"/>
  <c r="I1606" i="1"/>
  <c r="G1606" i="1"/>
  <c r="E1606" i="1"/>
  <c r="C1606" i="1"/>
  <c r="R1605" i="1"/>
  <c r="I1605" i="1"/>
  <c r="G1605" i="1"/>
  <c r="E1605" i="1"/>
  <c r="C1605" i="1"/>
  <c r="R1604" i="1"/>
  <c r="I1604" i="1"/>
  <c r="G1604" i="1"/>
  <c r="E1604" i="1"/>
  <c r="C1604" i="1"/>
  <c r="R1603" i="1"/>
  <c r="I1603" i="1"/>
  <c r="G1603" i="1"/>
  <c r="E1603" i="1"/>
  <c r="C1603" i="1"/>
  <c r="R1602" i="1"/>
  <c r="I1602" i="1"/>
  <c r="G1602" i="1"/>
  <c r="E1602" i="1"/>
  <c r="C1602" i="1"/>
  <c r="R1601" i="1"/>
  <c r="I1601" i="1"/>
  <c r="G1601" i="1"/>
  <c r="E1601" i="1"/>
  <c r="C1601" i="1"/>
  <c r="R1600" i="1"/>
  <c r="I1600" i="1"/>
  <c r="G1600" i="1"/>
  <c r="E1600" i="1"/>
  <c r="C1600" i="1"/>
  <c r="R1599" i="1"/>
  <c r="I1599" i="1"/>
  <c r="G1599" i="1"/>
  <c r="E1599" i="1"/>
  <c r="C1599" i="1"/>
  <c r="R1598" i="1"/>
  <c r="I1598" i="1"/>
  <c r="G1598" i="1"/>
  <c r="E1598" i="1"/>
  <c r="C1598" i="1"/>
  <c r="R1597" i="1"/>
  <c r="I1597" i="1"/>
  <c r="G1597" i="1"/>
  <c r="E1597" i="1"/>
  <c r="C1597" i="1"/>
  <c r="R1596" i="1"/>
  <c r="I1596" i="1"/>
  <c r="G1596" i="1"/>
  <c r="E1596" i="1"/>
  <c r="C1596" i="1"/>
  <c r="R1595" i="1"/>
  <c r="I1595" i="1"/>
  <c r="G1595" i="1"/>
  <c r="E1595" i="1"/>
  <c r="C1595" i="1"/>
  <c r="R1594" i="1"/>
  <c r="I1594" i="1"/>
  <c r="G1594" i="1"/>
  <c r="E1594" i="1"/>
  <c r="C1594" i="1"/>
  <c r="R1593" i="1"/>
  <c r="I1593" i="1"/>
  <c r="G1593" i="1"/>
  <c r="E1593" i="1"/>
  <c r="C1593" i="1"/>
  <c r="R1592" i="1"/>
  <c r="I1592" i="1"/>
  <c r="G1592" i="1"/>
  <c r="E1592" i="1"/>
  <c r="C1592" i="1"/>
  <c r="R1591" i="1"/>
  <c r="I1591" i="1"/>
  <c r="G1591" i="1"/>
  <c r="E1591" i="1"/>
  <c r="C1591" i="1"/>
  <c r="R1590" i="1"/>
  <c r="I1590" i="1"/>
  <c r="G1590" i="1"/>
  <c r="E1590" i="1"/>
  <c r="C1590" i="1"/>
  <c r="R1589" i="1"/>
  <c r="I1589" i="1"/>
  <c r="G1589" i="1"/>
  <c r="E1589" i="1"/>
  <c r="C1589" i="1"/>
  <c r="R1588" i="1"/>
  <c r="I1588" i="1"/>
  <c r="G1588" i="1"/>
  <c r="E1588" i="1"/>
  <c r="C1588" i="1"/>
  <c r="R1587" i="1"/>
  <c r="I1587" i="1"/>
  <c r="G1587" i="1"/>
  <c r="E1587" i="1"/>
  <c r="C1587" i="1"/>
  <c r="R1586" i="1"/>
  <c r="I1586" i="1"/>
  <c r="G1586" i="1"/>
  <c r="E1586" i="1"/>
  <c r="C1586" i="1"/>
  <c r="R1585" i="1"/>
  <c r="I1585" i="1"/>
  <c r="G1585" i="1"/>
  <c r="E1585" i="1"/>
  <c r="C1585" i="1"/>
  <c r="R1584" i="1"/>
  <c r="I1584" i="1"/>
  <c r="G1584" i="1"/>
  <c r="E1584" i="1"/>
  <c r="C1584" i="1"/>
  <c r="R1583" i="1"/>
  <c r="I1583" i="1"/>
  <c r="G1583" i="1"/>
  <c r="E1583" i="1"/>
  <c r="C1583" i="1"/>
  <c r="R1582" i="1"/>
  <c r="I1582" i="1"/>
  <c r="G1582" i="1"/>
  <c r="E1582" i="1"/>
  <c r="C1582" i="1"/>
  <c r="R1581" i="1"/>
  <c r="I1581" i="1"/>
  <c r="G1581" i="1"/>
  <c r="E1581" i="1"/>
  <c r="C1581" i="1"/>
  <c r="R1580" i="1"/>
  <c r="I1580" i="1"/>
  <c r="G1580" i="1"/>
  <c r="E1580" i="1"/>
  <c r="C1580" i="1"/>
  <c r="R1579" i="1"/>
  <c r="I1579" i="1"/>
  <c r="G1579" i="1"/>
  <c r="E1579" i="1"/>
  <c r="C1579" i="1"/>
  <c r="R1578" i="1"/>
  <c r="I1578" i="1"/>
  <c r="G1578" i="1"/>
  <c r="E1578" i="1"/>
  <c r="C1578" i="1"/>
  <c r="R1577" i="1"/>
  <c r="I1577" i="1"/>
  <c r="G1577" i="1"/>
  <c r="E1577" i="1"/>
  <c r="C1577" i="1"/>
  <c r="R1576" i="1"/>
  <c r="I1576" i="1"/>
  <c r="G1576" i="1"/>
  <c r="E1576" i="1"/>
  <c r="C1576" i="1"/>
  <c r="R1575" i="1"/>
  <c r="I1575" i="1"/>
  <c r="G1575" i="1"/>
  <c r="E1575" i="1"/>
  <c r="C1575" i="1"/>
  <c r="R1574" i="1"/>
  <c r="I1574" i="1"/>
  <c r="G1574" i="1"/>
  <c r="E1574" i="1"/>
  <c r="C1574" i="1"/>
  <c r="R1573" i="1"/>
  <c r="I1573" i="1"/>
  <c r="G1573" i="1"/>
  <c r="E1573" i="1"/>
  <c r="C1573" i="1"/>
  <c r="R1572" i="1"/>
  <c r="I1572" i="1"/>
  <c r="G1572" i="1"/>
  <c r="E1572" i="1"/>
  <c r="C1572" i="1"/>
  <c r="R1571" i="1"/>
  <c r="I1571" i="1"/>
  <c r="G1571" i="1"/>
  <c r="E1571" i="1"/>
  <c r="C1571" i="1"/>
  <c r="R1570" i="1"/>
  <c r="I1570" i="1"/>
  <c r="G1570" i="1"/>
  <c r="E1570" i="1"/>
  <c r="C1570" i="1"/>
  <c r="R1569" i="1"/>
  <c r="I1569" i="1"/>
  <c r="G1569" i="1"/>
  <c r="E1569" i="1"/>
  <c r="C1569" i="1"/>
  <c r="R1568" i="1"/>
  <c r="I1568" i="1"/>
  <c r="G1568" i="1"/>
  <c r="E1568" i="1"/>
  <c r="C1568" i="1"/>
  <c r="R1567" i="1"/>
  <c r="I1567" i="1"/>
  <c r="G1567" i="1"/>
  <c r="E1567" i="1"/>
  <c r="C1567" i="1"/>
  <c r="R1566" i="1"/>
  <c r="I1566" i="1"/>
  <c r="G1566" i="1"/>
  <c r="E1566" i="1"/>
  <c r="C1566" i="1"/>
  <c r="R1565" i="1"/>
  <c r="I1565" i="1"/>
  <c r="G1565" i="1"/>
  <c r="E1565" i="1"/>
  <c r="C1565" i="1"/>
  <c r="R1564" i="1"/>
  <c r="I1564" i="1"/>
  <c r="G1564" i="1"/>
  <c r="E1564" i="1"/>
  <c r="C1564" i="1"/>
  <c r="R1563" i="1"/>
  <c r="I1563" i="1"/>
  <c r="G1563" i="1"/>
  <c r="E1563" i="1"/>
  <c r="C1563" i="1"/>
  <c r="R1562" i="1"/>
  <c r="I1562" i="1"/>
  <c r="G1562" i="1"/>
  <c r="E1562" i="1"/>
  <c r="C1562" i="1"/>
  <c r="R1561" i="1"/>
  <c r="I1561" i="1"/>
  <c r="G1561" i="1"/>
  <c r="E1561" i="1"/>
  <c r="C1561" i="1"/>
  <c r="R1560" i="1"/>
  <c r="I1560" i="1"/>
  <c r="G1560" i="1"/>
  <c r="E1560" i="1"/>
  <c r="C1560" i="1"/>
  <c r="R1559" i="1"/>
  <c r="I1559" i="1"/>
  <c r="G1559" i="1"/>
  <c r="E1559" i="1"/>
  <c r="C1559" i="1"/>
  <c r="R1558" i="1"/>
  <c r="I1558" i="1"/>
  <c r="G1558" i="1"/>
  <c r="E1558" i="1"/>
  <c r="C1558" i="1"/>
  <c r="R1557" i="1"/>
  <c r="I1557" i="1"/>
  <c r="G1557" i="1"/>
  <c r="E1557" i="1"/>
  <c r="C1557" i="1"/>
  <c r="R1556" i="1"/>
  <c r="I1556" i="1"/>
  <c r="G1556" i="1"/>
  <c r="E1556" i="1"/>
  <c r="C1556" i="1"/>
  <c r="R1555" i="1"/>
  <c r="I1555" i="1"/>
  <c r="G1555" i="1"/>
  <c r="E1555" i="1"/>
  <c r="C1555" i="1"/>
  <c r="R1554" i="1"/>
  <c r="I1554" i="1"/>
  <c r="G1554" i="1"/>
  <c r="E1554" i="1"/>
  <c r="C1554" i="1"/>
  <c r="R1553" i="1"/>
  <c r="I1553" i="1"/>
  <c r="G1553" i="1"/>
  <c r="E1553" i="1"/>
  <c r="C1553" i="1"/>
  <c r="R1552" i="1"/>
  <c r="I1552" i="1"/>
  <c r="G1552" i="1"/>
  <c r="E1552" i="1"/>
  <c r="C1552" i="1"/>
  <c r="R1551" i="1"/>
  <c r="I1551" i="1"/>
  <c r="G1551" i="1"/>
  <c r="E1551" i="1"/>
  <c r="C1551" i="1"/>
  <c r="R1550" i="1"/>
  <c r="I1550" i="1"/>
  <c r="G1550" i="1"/>
  <c r="E1550" i="1"/>
  <c r="C1550" i="1"/>
  <c r="R1549" i="1"/>
  <c r="I1549" i="1"/>
  <c r="G1549" i="1"/>
  <c r="E1549" i="1"/>
  <c r="C1549" i="1"/>
  <c r="R1548" i="1"/>
  <c r="I1548" i="1"/>
  <c r="G1548" i="1"/>
  <c r="E1548" i="1"/>
  <c r="C1548" i="1"/>
  <c r="R1547" i="1"/>
  <c r="I1547" i="1"/>
  <c r="G1547" i="1"/>
  <c r="E1547" i="1"/>
  <c r="C1547" i="1"/>
  <c r="R1546" i="1"/>
  <c r="I1546" i="1"/>
  <c r="G1546" i="1"/>
  <c r="E1546" i="1"/>
  <c r="C1546" i="1"/>
  <c r="R1545" i="1"/>
  <c r="I1545" i="1"/>
  <c r="G1545" i="1"/>
  <c r="E1545" i="1"/>
  <c r="C1545" i="1"/>
  <c r="R1544" i="1"/>
  <c r="I1544" i="1"/>
  <c r="G1544" i="1"/>
  <c r="E1544" i="1"/>
  <c r="C1544" i="1"/>
  <c r="R1543" i="1"/>
  <c r="I1543" i="1"/>
  <c r="G1543" i="1"/>
  <c r="E1543" i="1"/>
  <c r="C1543" i="1"/>
  <c r="R1542" i="1"/>
  <c r="I1542" i="1"/>
  <c r="G1542" i="1"/>
  <c r="E1542" i="1"/>
  <c r="C1542" i="1"/>
  <c r="R1541" i="1"/>
  <c r="I1541" i="1"/>
  <c r="G1541" i="1"/>
  <c r="E1541" i="1"/>
  <c r="C1541" i="1"/>
  <c r="R1540" i="1"/>
  <c r="I1540" i="1"/>
  <c r="G1540" i="1"/>
  <c r="E1540" i="1"/>
  <c r="C1540" i="1"/>
  <c r="R1539" i="1"/>
  <c r="I1539" i="1"/>
  <c r="G1539" i="1"/>
  <c r="E1539" i="1"/>
  <c r="C1539" i="1"/>
  <c r="R1538" i="1"/>
  <c r="I1538" i="1"/>
  <c r="G1538" i="1"/>
  <c r="E1538" i="1"/>
  <c r="C1538" i="1"/>
  <c r="R1537" i="1"/>
  <c r="I1537" i="1"/>
  <c r="G1537" i="1"/>
  <c r="E1537" i="1"/>
  <c r="C1537" i="1"/>
  <c r="R1536" i="1"/>
  <c r="I1536" i="1"/>
  <c r="G1536" i="1"/>
  <c r="E1536" i="1"/>
  <c r="C1536" i="1"/>
  <c r="R1535" i="1"/>
  <c r="I1535" i="1"/>
  <c r="G1535" i="1"/>
  <c r="E1535" i="1"/>
  <c r="C1535" i="1"/>
  <c r="R1534" i="1"/>
  <c r="I1534" i="1"/>
  <c r="G1534" i="1"/>
  <c r="E1534" i="1"/>
  <c r="C1534" i="1"/>
  <c r="R1533" i="1"/>
  <c r="I1533" i="1"/>
  <c r="G1533" i="1"/>
  <c r="E1533" i="1"/>
  <c r="C1533" i="1"/>
  <c r="R1532" i="1"/>
  <c r="I1532" i="1"/>
  <c r="G1532" i="1"/>
  <c r="E1532" i="1"/>
  <c r="C1532" i="1"/>
  <c r="R1531" i="1"/>
  <c r="I1531" i="1"/>
  <c r="G1531" i="1"/>
  <c r="E1531" i="1"/>
  <c r="C1531" i="1"/>
  <c r="R1530" i="1"/>
  <c r="I1530" i="1"/>
  <c r="G1530" i="1"/>
  <c r="E1530" i="1"/>
  <c r="C1530" i="1"/>
  <c r="R1529" i="1"/>
  <c r="I1529" i="1"/>
  <c r="G1529" i="1"/>
  <c r="E1529" i="1"/>
  <c r="C1529" i="1"/>
  <c r="R1528" i="1"/>
  <c r="I1528" i="1"/>
  <c r="G1528" i="1"/>
  <c r="E1528" i="1"/>
  <c r="C1528" i="1"/>
  <c r="R1527" i="1"/>
  <c r="I1527" i="1"/>
  <c r="G1527" i="1"/>
  <c r="E1527" i="1"/>
  <c r="C1527" i="1"/>
  <c r="R1526" i="1"/>
  <c r="I1526" i="1"/>
  <c r="G1526" i="1"/>
  <c r="E1526" i="1"/>
  <c r="C1526" i="1"/>
  <c r="R1525" i="1"/>
  <c r="I1525" i="1"/>
  <c r="G1525" i="1"/>
  <c r="E1525" i="1"/>
  <c r="C1525" i="1"/>
  <c r="R1524" i="1"/>
  <c r="I1524" i="1"/>
  <c r="G1524" i="1"/>
  <c r="E1524" i="1"/>
  <c r="C1524" i="1"/>
  <c r="R1523" i="1"/>
  <c r="I1523" i="1"/>
  <c r="G1523" i="1"/>
  <c r="E1523" i="1"/>
  <c r="C1523" i="1"/>
  <c r="R1522" i="1"/>
  <c r="I1522" i="1"/>
  <c r="G1522" i="1"/>
  <c r="E1522" i="1"/>
  <c r="C1522" i="1"/>
  <c r="R1521" i="1"/>
  <c r="I1521" i="1"/>
  <c r="G1521" i="1"/>
  <c r="E1521" i="1"/>
  <c r="C1521" i="1"/>
  <c r="R1520" i="1"/>
  <c r="I1520" i="1"/>
  <c r="G1520" i="1"/>
  <c r="E1520" i="1"/>
  <c r="C1520" i="1"/>
  <c r="R1519" i="1"/>
  <c r="I1519" i="1"/>
  <c r="G1519" i="1"/>
  <c r="E1519" i="1"/>
  <c r="C1519" i="1"/>
  <c r="R1518" i="1"/>
  <c r="I1518" i="1"/>
  <c r="G1518" i="1"/>
  <c r="E1518" i="1"/>
  <c r="C1518" i="1"/>
  <c r="R1517" i="1"/>
  <c r="I1517" i="1"/>
  <c r="G1517" i="1"/>
  <c r="E1517" i="1"/>
  <c r="C1517" i="1"/>
  <c r="R1516" i="1"/>
  <c r="I1516" i="1"/>
  <c r="G1516" i="1"/>
  <c r="E1516" i="1"/>
  <c r="C1516" i="1"/>
  <c r="R1515" i="1"/>
  <c r="I1515" i="1"/>
  <c r="G1515" i="1"/>
  <c r="E1515" i="1"/>
  <c r="C1515" i="1"/>
  <c r="R1514" i="1"/>
  <c r="I1514" i="1"/>
  <c r="G1514" i="1"/>
  <c r="E1514" i="1"/>
  <c r="C1514" i="1"/>
  <c r="R1513" i="1"/>
  <c r="I1513" i="1"/>
  <c r="G1513" i="1"/>
  <c r="E1513" i="1"/>
  <c r="C1513" i="1"/>
  <c r="R1512" i="1"/>
  <c r="I1512" i="1"/>
  <c r="G1512" i="1"/>
  <c r="E1512" i="1"/>
  <c r="C1512" i="1"/>
  <c r="R1511" i="1"/>
  <c r="I1511" i="1"/>
  <c r="G1511" i="1"/>
  <c r="E1511" i="1"/>
  <c r="C1511" i="1"/>
  <c r="R1510" i="1"/>
  <c r="I1510" i="1"/>
  <c r="G1510" i="1"/>
  <c r="E1510" i="1"/>
  <c r="C1510" i="1"/>
  <c r="R1509" i="1"/>
  <c r="I1509" i="1"/>
  <c r="G1509" i="1"/>
  <c r="E1509" i="1"/>
  <c r="C1509" i="1"/>
  <c r="R1508" i="1"/>
  <c r="I1508" i="1"/>
  <c r="G1508" i="1"/>
  <c r="E1508" i="1"/>
  <c r="C1508" i="1"/>
  <c r="R1507" i="1"/>
  <c r="I1507" i="1"/>
  <c r="G1507" i="1"/>
  <c r="E1507" i="1"/>
  <c r="C1507" i="1"/>
  <c r="R1506" i="1"/>
  <c r="I1506" i="1"/>
  <c r="G1506" i="1"/>
  <c r="E1506" i="1"/>
  <c r="C1506" i="1"/>
  <c r="R1505" i="1"/>
  <c r="I1505" i="1"/>
  <c r="G1505" i="1"/>
  <c r="E1505" i="1"/>
  <c r="C1505" i="1"/>
  <c r="R1504" i="1"/>
  <c r="I1504" i="1"/>
  <c r="G1504" i="1"/>
  <c r="E1504" i="1"/>
  <c r="C1504" i="1"/>
  <c r="R1503" i="1"/>
  <c r="I1503" i="1"/>
  <c r="G1503" i="1"/>
  <c r="E1503" i="1"/>
  <c r="C1503" i="1"/>
  <c r="R1502" i="1"/>
  <c r="I1502" i="1"/>
  <c r="G1502" i="1"/>
  <c r="E1502" i="1"/>
  <c r="C1502" i="1"/>
  <c r="R1501" i="1"/>
  <c r="I1501" i="1"/>
  <c r="G1501" i="1"/>
  <c r="E1501" i="1"/>
  <c r="C1501" i="1"/>
  <c r="R1500" i="1"/>
  <c r="I1500" i="1"/>
  <c r="G1500" i="1"/>
  <c r="E1500" i="1"/>
  <c r="C1500" i="1"/>
  <c r="R1499" i="1"/>
  <c r="I1499" i="1"/>
  <c r="G1499" i="1"/>
  <c r="E1499" i="1"/>
  <c r="C1499" i="1"/>
  <c r="R1498" i="1"/>
  <c r="I1498" i="1"/>
  <c r="G1498" i="1"/>
  <c r="E1498" i="1"/>
  <c r="C1498" i="1"/>
  <c r="R1497" i="1"/>
  <c r="I1497" i="1"/>
  <c r="G1497" i="1"/>
  <c r="E1497" i="1"/>
  <c r="C1497" i="1"/>
  <c r="R1496" i="1"/>
  <c r="I1496" i="1"/>
  <c r="G1496" i="1"/>
  <c r="E1496" i="1"/>
  <c r="C1496" i="1"/>
  <c r="R1495" i="1"/>
  <c r="I1495" i="1"/>
  <c r="G1495" i="1"/>
  <c r="E1495" i="1"/>
  <c r="C1495" i="1"/>
  <c r="R1494" i="1"/>
  <c r="I1494" i="1"/>
  <c r="G1494" i="1"/>
  <c r="E1494" i="1"/>
  <c r="C1494" i="1"/>
  <c r="R1493" i="1"/>
  <c r="I1493" i="1"/>
  <c r="G1493" i="1"/>
  <c r="E1493" i="1"/>
  <c r="C1493" i="1"/>
  <c r="R1492" i="1"/>
  <c r="I1492" i="1"/>
  <c r="G1492" i="1"/>
  <c r="E1492" i="1"/>
  <c r="C1492" i="1"/>
  <c r="R1491" i="1"/>
  <c r="I1491" i="1"/>
  <c r="G1491" i="1"/>
  <c r="E1491" i="1"/>
  <c r="C1491" i="1"/>
  <c r="R1490" i="1"/>
  <c r="I1490" i="1"/>
  <c r="G1490" i="1"/>
  <c r="E1490" i="1"/>
  <c r="C1490" i="1"/>
  <c r="R1489" i="1"/>
  <c r="I1489" i="1"/>
  <c r="G1489" i="1"/>
  <c r="E1489" i="1"/>
  <c r="C1489" i="1"/>
  <c r="R1488" i="1"/>
  <c r="I1488" i="1"/>
  <c r="G1488" i="1"/>
  <c r="E1488" i="1"/>
  <c r="C1488" i="1"/>
  <c r="R1487" i="1"/>
  <c r="I1487" i="1"/>
  <c r="G1487" i="1"/>
  <c r="E1487" i="1"/>
  <c r="C1487" i="1"/>
  <c r="R1486" i="1"/>
  <c r="I1486" i="1"/>
  <c r="G1486" i="1"/>
  <c r="E1486" i="1"/>
  <c r="C1486" i="1"/>
  <c r="R1485" i="1"/>
  <c r="I1485" i="1"/>
  <c r="G1485" i="1"/>
  <c r="E1485" i="1"/>
  <c r="C1485" i="1"/>
  <c r="R1484" i="1"/>
  <c r="I1484" i="1"/>
  <c r="G1484" i="1"/>
  <c r="E1484" i="1"/>
  <c r="C1484" i="1"/>
  <c r="R1483" i="1"/>
  <c r="I1483" i="1"/>
  <c r="G1483" i="1"/>
  <c r="E1483" i="1"/>
  <c r="C1483" i="1"/>
  <c r="R1482" i="1"/>
  <c r="I1482" i="1"/>
  <c r="G1482" i="1"/>
  <c r="E1482" i="1"/>
  <c r="C1482" i="1"/>
  <c r="R1481" i="1"/>
  <c r="I1481" i="1"/>
  <c r="G1481" i="1"/>
  <c r="E1481" i="1"/>
  <c r="C1481" i="1"/>
  <c r="R1480" i="1"/>
  <c r="I1480" i="1"/>
  <c r="G1480" i="1"/>
  <c r="E1480" i="1"/>
  <c r="C1480" i="1"/>
  <c r="R1479" i="1"/>
  <c r="I1479" i="1"/>
  <c r="G1479" i="1"/>
  <c r="E1479" i="1"/>
  <c r="C1479" i="1"/>
  <c r="R1478" i="1"/>
  <c r="I1478" i="1"/>
  <c r="G1478" i="1"/>
  <c r="E1478" i="1"/>
  <c r="C1478" i="1"/>
  <c r="R1477" i="1"/>
  <c r="I1477" i="1"/>
  <c r="G1477" i="1"/>
  <c r="E1477" i="1"/>
  <c r="C1477" i="1"/>
  <c r="R1476" i="1"/>
  <c r="I1476" i="1"/>
  <c r="G1476" i="1"/>
  <c r="E1476" i="1"/>
  <c r="C1476" i="1"/>
  <c r="R1475" i="1"/>
  <c r="I1475" i="1"/>
  <c r="G1475" i="1"/>
  <c r="E1475" i="1"/>
  <c r="C1475" i="1"/>
  <c r="R1474" i="1"/>
  <c r="I1474" i="1"/>
  <c r="G1474" i="1"/>
  <c r="E1474" i="1"/>
  <c r="C1474" i="1"/>
  <c r="R1473" i="1"/>
  <c r="I1473" i="1"/>
  <c r="G1473" i="1"/>
  <c r="E1473" i="1"/>
  <c r="C1473" i="1"/>
  <c r="R1472" i="1"/>
  <c r="I1472" i="1"/>
  <c r="G1472" i="1"/>
  <c r="E1472" i="1"/>
  <c r="C1472" i="1"/>
  <c r="R1471" i="1"/>
  <c r="I1471" i="1"/>
  <c r="G1471" i="1"/>
  <c r="E1471" i="1"/>
  <c r="C1471" i="1"/>
  <c r="R1470" i="1"/>
  <c r="I1470" i="1"/>
  <c r="G1470" i="1"/>
  <c r="E1470" i="1"/>
  <c r="C1470" i="1"/>
  <c r="R1469" i="1"/>
  <c r="I1469" i="1"/>
  <c r="G1469" i="1"/>
  <c r="E1469" i="1"/>
  <c r="C1469" i="1"/>
  <c r="R1468" i="1"/>
  <c r="I1468" i="1"/>
  <c r="G1468" i="1"/>
  <c r="E1468" i="1"/>
  <c r="C1468" i="1"/>
  <c r="R1467" i="1"/>
  <c r="I1467" i="1"/>
  <c r="G1467" i="1"/>
  <c r="E1467" i="1"/>
  <c r="C1467" i="1"/>
  <c r="R1466" i="1"/>
  <c r="I1466" i="1"/>
  <c r="G1466" i="1"/>
  <c r="E1466" i="1"/>
  <c r="C1466" i="1"/>
  <c r="R1465" i="1"/>
  <c r="I1465" i="1"/>
  <c r="G1465" i="1"/>
  <c r="E1465" i="1"/>
  <c r="C1465" i="1"/>
  <c r="R1464" i="1"/>
  <c r="I1464" i="1"/>
  <c r="G1464" i="1"/>
  <c r="E1464" i="1"/>
  <c r="C1464" i="1"/>
  <c r="R1463" i="1"/>
  <c r="I1463" i="1"/>
  <c r="G1463" i="1"/>
  <c r="E1463" i="1"/>
  <c r="C1463" i="1"/>
  <c r="R1462" i="1"/>
  <c r="I1462" i="1"/>
  <c r="G1462" i="1"/>
  <c r="E1462" i="1"/>
  <c r="C1462" i="1"/>
  <c r="R1461" i="1"/>
  <c r="I1461" i="1"/>
  <c r="G1461" i="1"/>
  <c r="E1461" i="1"/>
  <c r="C1461" i="1"/>
  <c r="R1460" i="1"/>
  <c r="I1460" i="1"/>
  <c r="G1460" i="1"/>
  <c r="E1460" i="1"/>
  <c r="C1460" i="1"/>
  <c r="R1459" i="1"/>
  <c r="I1459" i="1"/>
  <c r="G1459" i="1"/>
  <c r="E1459" i="1"/>
  <c r="C1459" i="1"/>
  <c r="R1458" i="1"/>
  <c r="I1458" i="1"/>
  <c r="G1458" i="1"/>
  <c r="E1458" i="1"/>
  <c r="C1458" i="1"/>
  <c r="R1457" i="1"/>
  <c r="I1457" i="1"/>
  <c r="G1457" i="1"/>
  <c r="E1457" i="1"/>
  <c r="C1457" i="1"/>
  <c r="R1456" i="1"/>
  <c r="I1456" i="1"/>
  <c r="G1456" i="1"/>
  <c r="E1456" i="1"/>
  <c r="C1456" i="1"/>
  <c r="R1455" i="1"/>
  <c r="I1455" i="1"/>
  <c r="G1455" i="1"/>
  <c r="E1455" i="1"/>
  <c r="C1455" i="1"/>
  <c r="R1454" i="1"/>
  <c r="I1454" i="1"/>
  <c r="G1454" i="1"/>
  <c r="E1454" i="1"/>
  <c r="C1454" i="1"/>
  <c r="R1453" i="1"/>
  <c r="I1453" i="1"/>
  <c r="G1453" i="1"/>
  <c r="E1453" i="1"/>
  <c r="C1453" i="1"/>
  <c r="R1452" i="1"/>
  <c r="I1452" i="1"/>
  <c r="G1452" i="1"/>
  <c r="E1452" i="1"/>
  <c r="C1452" i="1"/>
  <c r="R1451" i="1"/>
  <c r="I1451" i="1"/>
  <c r="G1451" i="1"/>
  <c r="E1451" i="1"/>
  <c r="C1451" i="1"/>
  <c r="R1450" i="1"/>
  <c r="I1450" i="1"/>
  <c r="G1450" i="1"/>
  <c r="E1450" i="1"/>
  <c r="C1450" i="1"/>
  <c r="R1449" i="1"/>
  <c r="I1449" i="1"/>
  <c r="G1449" i="1"/>
  <c r="E1449" i="1"/>
  <c r="C1449" i="1"/>
  <c r="R1448" i="1"/>
  <c r="I1448" i="1"/>
  <c r="G1448" i="1"/>
  <c r="E1448" i="1"/>
  <c r="C1448" i="1"/>
  <c r="R1447" i="1"/>
  <c r="I1447" i="1"/>
  <c r="G1447" i="1"/>
  <c r="E1447" i="1"/>
  <c r="C1447" i="1"/>
  <c r="R1446" i="1"/>
  <c r="I1446" i="1"/>
  <c r="G1446" i="1"/>
  <c r="E1446" i="1"/>
  <c r="C1446" i="1"/>
  <c r="R1445" i="1"/>
  <c r="I1445" i="1"/>
  <c r="G1445" i="1"/>
  <c r="E1445" i="1"/>
  <c r="C1445" i="1"/>
  <c r="R1444" i="1"/>
  <c r="I1444" i="1"/>
  <c r="G1444" i="1"/>
  <c r="E1444" i="1"/>
  <c r="C1444" i="1"/>
  <c r="R1443" i="1"/>
  <c r="I1443" i="1"/>
  <c r="G1443" i="1"/>
  <c r="E1443" i="1"/>
  <c r="C1443" i="1"/>
  <c r="R1442" i="1"/>
  <c r="I1442" i="1"/>
  <c r="G1442" i="1"/>
  <c r="E1442" i="1"/>
  <c r="C1442" i="1"/>
  <c r="R1441" i="1"/>
  <c r="I1441" i="1"/>
  <c r="G1441" i="1"/>
  <c r="E1441" i="1"/>
  <c r="C1441" i="1"/>
  <c r="R1440" i="1"/>
  <c r="I1440" i="1"/>
  <c r="G1440" i="1"/>
  <c r="E1440" i="1"/>
  <c r="C1440" i="1"/>
  <c r="R1439" i="1"/>
  <c r="I1439" i="1"/>
  <c r="G1439" i="1"/>
  <c r="E1439" i="1"/>
  <c r="C1439" i="1"/>
  <c r="R1438" i="1"/>
  <c r="I1438" i="1"/>
  <c r="G1438" i="1"/>
  <c r="E1438" i="1"/>
  <c r="C1438" i="1"/>
  <c r="R1437" i="1"/>
  <c r="I1437" i="1"/>
  <c r="G1437" i="1"/>
  <c r="E1437" i="1"/>
  <c r="C1437" i="1"/>
  <c r="R1436" i="1"/>
  <c r="I1436" i="1"/>
  <c r="G1436" i="1"/>
  <c r="E1436" i="1"/>
  <c r="C1436" i="1"/>
  <c r="R1435" i="1"/>
  <c r="I1435" i="1"/>
  <c r="G1435" i="1"/>
  <c r="E1435" i="1"/>
  <c r="C1435" i="1"/>
  <c r="R1434" i="1"/>
  <c r="I1434" i="1"/>
  <c r="G1434" i="1"/>
  <c r="E1434" i="1"/>
  <c r="C1434" i="1"/>
  <c r="R1433" i="1"/>
  <c r="I1433" i="1"/>
  <c r="G1433" i="1"/>
  <c r="E1433" i="1"/>
  <c r="C1433" i="1"/>
  <c r="R1432" i="1"/>
  <c r="I1432" i="1"/>
  <c r="G1432" i="1"/>
  <c r="E1432" i="1"/>
  <c r="C1432" i="1"/>
  <c r="R1431" i="1"/>
  <c r="I1431" i="1"/>
  <c r="G1431" i="1"/>
  <c r="E1431" i="1"/>
  <c r="C1431" i="1"/>
  <c r="R1430" i="1"/>
  <c r="I1430" i="1"/>
  <c r="G1430" i="1"/>
  <c r="E1430" i="1"/>
  <c r="C1430" i="1"/>
  <c r="R1429" i="1"/>
  <c r="I1429" i="1"/>
  <c r="G1429" i="1"/>
  <c r="E1429" i="1"/>
  <c r="C1429" i="1"/>
  <c r="R1428" i="1"/>
  <c r="I1428" i="1"/>
  <c r="G1428" i="1"/>
  <c r="E1428" i="1"/>
  <c r="C1428" i="1"/>
  <c r="R1427" i="1"/>
  <c r="I1427" i="1"/>
  <c r="G1427" i="1"/>
  <c r="E1427" i="1"/>
  <c r="C1427" i="1"/>
  <c r="R1426" i="1"/>
  <c r="I1426" i="1"/>
  <c r="G1426" i="1"/>
  <c r="E1426" i="1"/>
  <c r="C1426" i="1"/>
  <c r="R1425" i="1"/>
  <c r="I1425" i="1"/>
  <c r="G1425" i="1"/>
  <c r="E1425" i="1"/>
  <c r="C1425" i="1"/>
  <c r="R1424" i="1"/>
  <c r="I1424" i="1"/>
  <c r="G1424" i="1"/>
  <c r="E1424" i="1"/>
  <c r="C1424" i="1"/>
  <c r="R1423" i="1"/>
  <c r="I1423" i="1"/>
  <c r="G1423" i="1"/>
  <c r="E1423" i="1"/>
  <c r="C1423" i="1"/>
  <c r="R1422" i="1"/>
  <c r="I1422" i="1"/>
  <c r="G1422" i="1"/>
  <c r="E1422" i="1"/>
  <c r="C1422" i="1"/>
  <c r="R1421" i="1"/>
  <c r="I1421" i="1"/>
  <c r="G1421" i="1"/>
  <c r="E1421" i="1"/>
  <c r="C1421" i="1"/>
  <c r="R1420" i="1"/>
  <c r="I1420" i="1"/>
  <c r="G1420" i="1"/>
  <c r="E1420" i="1"/>
  <c r="C1420" i="1"/>
  <c r="R1419" i="1"/>
  <c r="I1419" i="1"/>
  <c r="G1419" i="1"/>
  <c r="E1419" i="1"/>
  <c r="C1419" i="1"/>
  <c r="R1418" i="1"/>
  <c r="I1418" i="1"/>
  <c r="G1418" i="1"/>
  <c r="E1418" i="1"/>
  <c r="C1418" i="1"/>
  <c r="R1417" i="1"/>
  <c r="I1417" i="1"/>
  <c r="G1417" i="1"/>
  <c r="E1417" i="1"/>
  <c r="C1417" i="1"/>
  <c r="R1416" i="1"/>
  <c r="I1416" i="1"/>
  <c r="G1416" i="1"/>
  <c r="E1416" i="1"/>
  <c r="C1416" i="1"/>
  <c r="R1415" i="1"/>
  <c r="I1415" i="1"/>
  <c r="G1415" i="1"/>
  <c r="E1415" i="1"/>
  <c r="C1415" i="1"/>
  <c r="R1414" i="1"/>
  <c r="I1414" i="1"/>
  <c r="G1414" i="1"/>
  <c r="E1414" i="1"/>
  <c r="C1414" i="1"/>
  <c r="R1413" i="1"/>
  <c r="I1413" i="1"/>
  <c r="G1413" i="1"/>
  <c r="E1413" i="1"/>
  <c r="C1413" i="1"/>
  <c r="R1412" i="1"/>
  <c r="I1412" i="1"/>
  <c r="G1412" i="1"/>
  <c r="E1412" i="1"/>
  <c r="C1412" i="1"/>
  <c r="R1411" i="1"/>
  <c r="I1411" i="1"/>
  <c r="G1411" i="1"/>
  <c r="E1411" i="1"/>
  <c r="C1411" i="1"/>
  <c r="R1410" i="1"/>
  <c r="I1410" i="1"/>
  <c r="G1410" i="1"/>
  <c r="E1410" i="1"/>
  <c r="C1410" i="1"/>
  <c r="R1409" i="1"/>
  <c r="I1409" i="1"/>
  <c r="G1409" i="1"/>
  <c r="E1409" i="1"/>
  <c r="C1409" i="1"/>
  <c r="R1408" i="1"/>
  <c r="I1408" i="1"/>
  <c r="G1408" i="1"/>
  <c r="E1408" i="1"/>
  <c r="C1408" i="1"/>
  <c r="R1407" i="1"/>
  <c r="I1407" i="1"/>
  <c r="G1407" i="1"/>
  <c r="E1407" i="1"/>
  <c r="C1407" i="1"/>
  <c r="R1406" i="1"/>
  <c r="I1406" i="1"/>
  <c r="G1406" i="1"/>
  <c r="E1406" i="1"/>
  <c r="C1406" i="1"/>
  <c r="R1405" i="1"/>
  <c r="I1405" i="1"/>
  <c r="G1405" i="1"/>
  <c r="E1405" i="1"/>
  <c r="C1405" i="1"/>
  <c r="R1404" i="1"/>
  <c r="I1404" i="1"/>
  <c r="G1404" i="1"/>
  <c r="E1404" i="1"/>
  <c r="C1404" i="1"/>
  <c r="R1403" i="1"/>
  <c r="I1403" i="1"/>
  <c r="G1403" i="1"/>
  <c r="E1403" i="1"/>
  <c r="C1403" i="1"/>
  <c r="R1402" i="1"/>
  <c r="I1402" i="1"/>
  <c r="G1402" i="1"/>
  <c r="E1402" i="1"/>
  <c r="C1402" i="1"/>
  <c r="R1401" i="1"/>
  <c r="I1401" i="1"/>
  <c r="G1401" i="1"/>
  <c r="E1401" i="1"/>
  <c r="C1401" i="1"/>
  <c r="R1400" i="1"/>
  <c r="I1400" i="1"/>
  <c r="G1400" i="1"/>
  <c r="E1400" i="1"/>
  <c r="C1400" i="1"/>
  <c r="R1399" i="1"/>
  <c r="I1399" i="1"/>
  <c r="G1399" i="1"/>
  <c r="E1399" i="1"/>
  <c r="C1399" i="1"/>
  <c r="R1398" i="1"/>
  <c r="I1398" i="1"/>
  <c r="G1398" i="1"/>
  <c r="E1398" i="1"/>
  <c r="C1398" i="1"/>
  <c r="R1397" i="1"/>
  <c r="I1397" i="1"/>
  <c r="G1397" i="1"/>
  <c r="E1397" i="1"/>
  <c r="C1397" i="1"/>
  <c r="R1396" i="1"/>
  <c r="I1396" i="1"/>
  <c r="G1396" i="1"/>
  <c r="E1396" i="1"/>
  <c r="C1396" i="1"/>
  <c r="R1395" i="1"/>
  <c r="I1395" i="1"/>
  <c r="G1395" i="1"/>
  <c r="E1395" i="1"/>
  <c r="C1395" i="1"/>
  <c r="R1394" i="1"/>
  <c r="I1394" i="1"/>
  <c r="G1394" i="1"/>
  <c r="E1394" i="1"/>
  <c r="C1394" i="1"/>
  <c r="R1393" i="1"/>
  <c r="I1393" i="1"/>
  <c r="G1393" i="1"/>
  <c r="E1393" i="1"/>
  <c r="C1393" i="1"/>
  <c r="R1392" i="1"/>
  <c r="I1392" i="1"/>
  <c r="G1392" i="1"/>
  <c r="E1392" i="1"/>
  <c r="C1392" i="1"/>
  <c r="R1391" i="1"/>
  <c r="I1391" i="1"/>
  <c r="G1391" i="1"/>
  <c r="E1391" i="1"/>
  <c r="C1391" i="1"/>
  <c r="R1390" i="1"/>
  <c r="I1390" i="1"/>
  <c r="G1390" i="1"/>
  <c r="E1390" i="1"/>
  <c r="C1390" i="1"/>
  <c r="R1389" i="1"/>
  <c r="I1389" i="1"/>
  <c r="G1389" i="1"/>
  <c r="E1389" i="1"/>
  <c r="C1389" i="1"/>
  <c r="R1388" i="1"/>
  <c r="I1388" i="1"/>
  <c r="G1388" i="1"/>
  <c r="E1388" i="1"/>
  <c r="C1388" i="1"/>
  <c r="R1387" i="1"/>
  <c r="I1387" i="1"/>
  <c r="G1387" i="1"/>
  <c r="E1387" i="1"/>
  <c r="C1387" i="1"/>
  <c r="R1386" i="1"/>
  <c r="I1386" i="1"/>
  <c r="G1386" i="1"/>
  <c r="E1386" i="1"/>
  <c r="C1386" i="1"/>
  <c r="R1385" i="1"/>
  <c r="I1385" i="1"/>
  <c r="G1385" i="1"/>
  <c r="E1385" i="1"/>
  <c r="C1385" i="1"/>
  <c r="R1384" i="1"/>
  <c r="I1384" i="1"/>
  <c r="G1384" i="1"/>
  <c r="E1384" i="1"/>
  <c r="C1384" i="1"/>
  <c r="R1383" i="1"/>
  <c r="I1383" i="1"/>
  <c r="G1383" i="1"/>
  <c r="E1383" i="1"/>
  <c r="C1383" i="1"/>
  <c r="R1382" i="1"/>
  <c r="I1382" i="1"/>
  <c r="G1382" i="1"/>
  <c r="E1382" i="1"/>
  <c r="C1382" i="1"/>
  <c r="R1381" i="1"/>
  <c r="I1381" i="1"/>
  <c r="G1381" i="1"/>
  <c r="E1381" i="1"/>
  <c r="C1381" i="1"/>
  <c r="R1380" i="1"/>
  <c r="I1380" i="1"/>
  <c r="G1380" i="1"/>
  <c r="E1380" i="1"/>
  <c r="C1380" i="1"/>
  <c r="R1379" i="1"/>
  <c r="I1379" i="1"/>
  <c r="G1379" i="1"/>
  <c r="E1379" i="1"/>
  <c r="C1379" i="1"/>
  <c r="R1378" i="1"/>
  <c r="I1378" i="1"/>
  <c r="G1378" i="1"/>
  <c r="E1378" i="1"/>
  <c r="C1378" i="1"/>
  <c r="R1377" i="1"/>
  <c r="I1377" i="1"/>
  <c r="G1377" i="1"/>
  <c r="E1377" i="1"/>
  <c r="C1377" i="1"/>
  <c r="R1376" i="1"/>
  <c r="I1376" i="1"/>
  <c r="G1376" i="1"/>
  <c r="E1376" i="1"/>
  <c r="C1376" i="1"/>
  <c r="R1375" i="1"/>
  <c r="I1375" i="1"/>
  <c r="G1375" i="1"/>
  <c r="E1375" i="1"/>
  <c r="C1375" i="1"/>
  <c r="R1374" i="1"/>
  <c r="I1374" i="1"/>
  <c r="G1374" i="1"/>
  <c r="E1374" i="1"/>
  <c r="C1374" i="1"/>
  <c r="R1373" i="1"/>
  <c r="I1373" i="1"/>
  <c r="G1373" i="1"/>
  <c r="E1373" i="1"/>
  <c r="C1373" i="1"/>
  <c r="R1372" i="1"/>
  <c r="I1372" i="1"/>
  <c r="G1372" i="1"/>
  <c r="E1372" i="1"/>
  <c r="C1372" i="1"/>
  <c r="R1371" i="1"/>
  <c r="I1371" i="1"/>
  <c r="G1371" i="1"/>
  <c r="E1371" i="1"/>
  <c r="C1371" i="1"/>
  <c r="R1370" i="1"/>
  <c r="I1370" i="1"/>
  <c r="G1370" i="1"/>
  <c r="E1370" i="1"/>
  <c r="C1370" i="1"/>
  <c r="R1369" i="1"/>
  <c r="I1369" i="1"/>
  <c r="G1369" i="1"/>
  <c r="E1369" i="1"/>
  <c r="C1369" i="1"/>
  <c r="R1368" i="1"/>
  <c r="I1368" i="1"/>
  <c r="G1368" i="1"/>
  <c r="E1368" i="1"/>
  <c r="C1368" i="1"/>
  <c r="R1367" i="1"/>
  <c r="I1367" i="1"/>
  <c r="G1367" i="1"/>
  <c r="E1367" i="1"/>
  <c r="C1367" i="1"/>
  <c r="R1366" i="1"/>
  <c r="I1366" i="1"/>
  <c r="G1366" i="1"/>
  <c r="E1366" i="1"/>
  <c r="C1366" i="1"/>
  <c r="R1365" i="1"/>
  <c r="I1365" i="1"/>
  <c r="G1365" i="1"/>
  <c r="E1365" i="1"/>
  <c r="C1365" i="1"/>
  <c r="R1364" i="1"/>
  <c r="I1364" i="1"/>
  <c r="G1364" i="1"/>
  <c r="E1364" i="1"/>
  <c r="C1364" i="1"/>
  <c r="R1363" i="1"/>
  <c r="I1363" i="1"/>
  <c r="G1363" i="1"/>
  <c r="E1363" i="1"/>
  <c r="C1363" i="1"/>
  <c r="R1362" i="1"/>
  <c r="I1362" i="1"/>
  <c r="G1362" i="1"/>
  <c r="E1362" i="1"/>
  <c r="C1362" i="1"/>
  <c r="R1361" i="1"/>
  <c r="I1361" i="1"/>
  <c r="G1361" i="1"/>
  <c r="E1361" i="1"/>
  <c r="C1361" i="1"/>
  <c r="R1360" i="1"/>
  <c r="I1360" i="1"/>
  <c r="G1360" i="1"/>
  <c r="E1360" i="1"/>
  <c r="C1360" i="1"/>
  <c r="R1359" i="1"/>
  <c r="I1359" i="1"/>
  <c r="G1359" i="1"/>
  <c r="E1359" i="1"/>
  <c r="C1359" i="1"/>
  <c r="R1358" i="1"/>
  <c r="I1358" i="1"/>
  <c r="G1358" i="1"/>
  <c r="E1358" i="1"/>
  <c r="C1358" i="1"/>
  <c r="R1357" i="1"/>
  <c r="I1357" i="1"/>
  <c r="G1357" i="1"/>
  <c r="E1357" i="1"/>
  <c r="C1357" i="1"/>
  <c r="R1356" i="1"/>
  <c r="I1356" i="1"/>
  <c r="G1356" i="1"/>
  <c r="E1356" i="1"/>
  <c r="C1356" i="1"/>
  <c r="R1355" i="1"/>
  <c r="I1355" i="1"/>
  <c r="G1355" i="1"/>
  <c r="E1355" i="1"/>
  <c r="C1355" i="1"/>
  <c r="R1354" i="1"/>
  <c r="I1354" i="1"/>
  <c r="G1354" i="1"/>
  <c r="E1354" i="1"/>
  <c r="C1354" i="1"/>
  <c r="R1353" i="1"/>
  <c r="I1353" i="1"/>
  <c r="G1353" i="1"/>
  <c r="E1353" i="1"/>
  <c r="C1353" i="1"/>
  <c r="R1352" i="1"/>
  <c r="I1352" i="1"/>
  <c r="G1352" i="1"/>
  <c r="E1352" i="1"/>
  <c r="C1352" i="1"/>
  <c r="R1351" i="1"/>
  <c r="I1351" i="1"/>
  <c r="G1351" i="1"/>
  <c r="E1351" i="1"/>
  <c r="C1351" i="1"/>
  <c r="R1350" i="1"/>
  <c r="I1350" i="1"/>
  <c r="G1350" i="1"/>
  <c r="E1350" i="1"/>
  <c r="C1350" i="1"/>
  <c r="R1349" i="1"/>
  <c r="I1349" i="1"/>
  <c r="G1349" i="1"/>
  <c r="E1349" i="1"/>
  <c r="C1349" i="1"/>
  <c r="R1348" i="1"/>
  <c r="I1348" i="1"/>
  <c r="G1348" i="1"/>
  <c r="E1348" i="1"/>
  <c r="C1348" i="1"/>
  <c r="R1347" i="1"/>
  <c r="I1347" i="1"/>
  <c r="G1347" i="1"/>
  <c r="E1347" i="1"/>
  <c r="C1347" i="1"/>
  <c r="R1346" i="1"/>
  <c r="I1346" i="1"/>
  <c r="G1346" i="1"/>
  <c r="E1346" i="1"/>
  <c r="C1346" i="1"/>
  <c r="R1345" i="1"/>
  <c r="I1345" i="1"/>
  <c r="G1345" i="1"/>
  <c r="E1345" i="1"/>
  <c r="C1345" i="1"/>
  <c r="R1344" i="1"/>
  <c r="I1344" i="1"/>
  <c r="G1344" i="1"/>
  <c r="E1344" i="1"/>
  <c r="C1344" i="1"/>
  <c r="R1343" i="1"/>
  <c r="I1343" i="1"/>
  <c r="G1343" i="1"/>
  <c r="E1343" i="1"/>
  <c r="C1343" i="1"/>
  <c r="R1342" i="1"/>
  <c r="I1342" i="1"/>
  <c r="G1342" i="1"/>
  <c r="E1342" i="1"/>
  <c r="C1342" i="1"/>
  <c r="R1341" i="1"/>
  <c r="I1341" i="1"/>
  <c r="G1341" i="1"/>
  <c r="E1341" i="1"/>
  <c r="C1341" i="1"/>
  <c r="R1340" i="1"/>
  <c r="I1340" i="1"/>
  <c r="G1340" i="1"/>
  <c r="E1340" i="1"/>
  <c r="C1340" i="1"/>
  <c r="R1339" i="1"/>
  <c r="I1339" i="1"/>
  <c r="G1339" i="1"/>
  <c r="E1339" i="1"/>
  <c r="C1339" i="1"/>
  <c r="R1338" i="1"/>
  <c r="I1338" i="1"/>
  <c r="G1338" i="1"/>
  <c r="E1338" i="1"/>
  <c r="C1338" i="1"/>
  <c r="R1337" i="1"/>
  <c r="I1337" i="1"/>
  <c r="G1337" i="1"/>
  <c r="E1337" i="1"/>
  <c r="C1337" i="1"/>
  <c r="R1336" i="1"/>
  <c r="I1336" i="1"/>
  <c r="G1336" i="1"/>
  <c r="E1336" i="1"/>
  <c r="C1336" i="1"/>
  <c r="R1335" i="1"/>
  <c r="I1335" i="1"/>
  <c r="G1335" i="1"/>
  <c r="E1335" i="1"/>
  <c r="C1335" i="1"/>
  <c r="R1334" i="1"/>
  <c r="I1334" i="1"/>
  <c r="G1334" i="1"/>
  <c r="E1334" i="1"/>
  <c r="C1334" i="1"/>
  <c r="R1333" i="1"/>
  <c r="I1333" i="1"/>
  <c r="G1333" i="1"/>
  <c r="E1333" i="1"/>
  <c r="C1333" i="1"/>
  <c r="R1332" i="1"/>
  <c r="I1332" i="1"/>
  <c r="G1332" i="1"/>
  <c r="E1332" i="1"/>
  <c r="C1332" i="1"/>
  <c r="R1331" i="1"/>
  <c r="I1331" i="1"/>
  <c r="G1331" i="1"/>
  <c r="E1331" i="1"/>
  <c r="C1331" i="1"/>
  <c r="R1330" i="1"/>
  <c r="I1330" i="1"/>
  <c r="G1330" i="1"/>
  <c r="E1330" i="1"/>
  <c r="C1330" i="1"/>
  <c r="R1329" i="1"/>
  <c r="I1329" i="1"/>
  <c r="G1329" i="1"/>
  <c r="E1329" i="1"/>
  <c r="C1329" i="1"/>
  <c r="R1328" i="1"/>
  <c r="I1328" i="1"/>
  <c r="G1328" i="1"/>
  <c r="E1328" i="1"/>
  <c r="C1328" i="1"/>
  <c r="R1327" i="1"/>
  <c r="I1327" i="1"/>
  <c r="G1327" i="1"/>
  <c r="E1327" i="1"/>
  <c r="C1327" i="1"/>
  <c r="R1326" i="1"/>
  <c r="I1326" i="1"/>
  <c r="G1326" i="1"/>
  <c r="E1326" i="1"/>
  <c r="C1326" i="1"/>
  <c r="R1325" i="1"/>
  <c r="I1325" i="1"/>
  <c r="G1325" i="1"/>
  <c r="E1325" i="1"/>
  <c r="C1325" i="1"/>
  <c r="R1324" i="1"/>
  <c r="I1324" i="1"/>
  <c r="G1324" i="1"/>
  <c r="E1324" i="1"/>
  <c r="C1324" i="1"/>
  <c r="R1323" i="1"/>
  <c r="I1323" i="1"/>
  <c r="G1323" i="1"/>
  <c r="E1323" i="1"/>
  <c r="C1323" i="1"/>
  <c r="R1322" i="1"/>
  <c r="I1322" i="1"/>
  <c r="G1322" i="1"/>
  <c r="E1322" i="1"/>
  <c r="C1322" i="1"/>
  <c r="R1321" i="1"/>
  <c r="I1321" i="1"/>
  <c r="G1321" i="1"/>
  <c r="E1321" i="1"/>
  <c r="C1321" i="1"/>
  <c r="R1320" i="1"/>
  <c r="I1320" i="1"/>
  <c r="G1320" i="1"/>
  <c r="E1320" i="1"/>
  <c r="C1320" i="1"/>
  <c r="R1319" i="1"/>
  <c r="I1319" i="1"/>
  <c r="G1319" i="1"/>
  <c r="E1319" i="1"/>
  <c r="C1319" i="1"/>
  <c r="R1318" i="1"/>
  <c r="I1318" i="1"/>
  <c r="G1318" i="1"/>
  <c r="E1318" i="1"/>
  <c r="C1318" i="1"/>
  <c r="R1317" i="1"/>
  <c r="I1317" i="1"/>
  <c r="G1317" i="1"/>
  <c r="E1317" i="1"/>
  <c r="C1317" i="1"/>
  <c r="R1316" i="1"/>
  <c r="I1316" i="1"/>
  <c r="G1316" i="1"/>
  <c r="E1316" i="1"/>
  <c r="C1316" i="1"/>
  <c r="R1315" i="1"/>
  <c r="I1315" i="1"/>
  <c r="G1315" i="1"/>
  <c r="E1315" i="1"/>
  <c r="C1315" i="1"/>
  <c r="R1314" i="1"/>
  <c r="I1314" i="1"/>
  <c r="G1314" i="1"/>
  <c r="E1314" i="1"/>
  <c r="C1314" i="1"/>
  <c r="R1313" i="1"/>
  <c r="I1313" i="1"/>
  <c r="G1313" i="1"/>
  <c r="E1313" i="1"/>
  <c r="C1313" i="1"/>
  <c r="R1312" i="1"/>
  <c r="I1312" i="1"/>
  <c r="G1312" i="1"/>
  <c r="E1312" i="1"/>
  <c r="C1312" i="1"/>
  <c r="R1311" i="1"/>
  <c r="I1311" i="1"/>
  <c r="G1311" i="1"/>
  <c r="E1311" i="1"/>
  <c r="C1311" i="1"/>
  <c r="R1310" i="1"/>
  <c r="I1310" i="1"/>
  <c r="G1310" i="1"/>
  <c r="E1310" i="1"/>
  <c r="C1310" i="1"/>
  <c r="R1309" i="1"/>
  <c r="I1309" i="1"/>
  <c r="G1309" i="1"/>
  <c r="E1309" i="1"/>
  <c r="C1309" i="1"/>
  <c r="R1308" i="1"/>
  <c r="I1308" i="1"/>
  <c r="G1308" i="1"/>
  <c r="E1308" i="1"/>
  <c r="C1308" i="1"/>
  <c r="R1307" i="1"/>
  <c r="I1307" i="1"/>
  <c r="G1307" i="1"/>
  <c r="E1307" i="1"/>
  <c r="C1307" i="1"/>
  <c r="R1306" i="1"/>
  <c r="I1306" i="1"/>
  <c r="G1306" i="1"/>
  <c r="E1306" i="1"/>
  <c r="C1306" i="1"/>
  <c r="R1305" i="1"/>
  <c r="I1305" i="1"/>
  <c r="G1305" i="1"/>
  <c r="E1305" i="1"/>
  <c r="C1305" i="1"/>
  <c r="R1304" i="1"/>
  <c r="I1304" i="1"/>
  <c r="G1304" i="1"/>
  <c r="E1304" i="1"/>
  <c r="C1304" i="1"/>
  <c r="R1303" i="1"/>
  <c r="I1303" i="1"/>
  <c r="G1303" i="1"/>
  <c r="E1303" i="1"/>
  <c r="C1303" i="1"/>
  <c r="R1302" i="1"/>
  <c r="I1302" i="1"/>
  <c r="G1302" i="1"/>
  <c r="E1302" i="1"/>
  <c r="C1302" i="1"/>
  <c r="R1301" i="1"/>
  <c r="I1301" i="1"/>
  <c r="G1301" i="1"/>
  <c r="E1301" i="1"/>
  <c r="C1301" i="1"/>
  <c r="R1300" i="1"/>
  <c r="I1300" i="1"/>
  <c r="G1300" i="1"/>
  <c r="E1300" i="1"/>
  <c r="C1300" i="1"/>
  <c r="R1299" i="1"/>
  <c r="I1299" i="1"/>
  <c r="G1299" i="1"/>
  <c r="E1299" i="1"/>
  <c r="C1299" i="1"/>
  <c r="R1298" i="1"/>
  <c r="I1298" i="1"/>
  <c r="G1298" i="1"/>
  <c r="E1298" i="1"/>
  <c r="C1298" i="1"/>
  <c r="R1297" i="1"/>
  <c r="I1297" i="1"/>
  <c r="G1297" i="1"/>
  <c r="E1297" i="1"/>
  <c r="C1297" i="1"/>
  <c r="R1296" i="1"/>
  <c r="I1296" i="1"/>
  <c r="G1296" i="1"/>
  <c r="E1296" i="1"/>
  <c r="C1296" i="1"/>
  <c r="R1295" i="1"/>
  <c r="I1295" i="1"/>
  <c r="G1295" i="1"/>
  <c r="E1295" i="1"/>
  <c r="C1295" i="1"/>
  <c r="R1294" i="1"/>
  <c r="I1294" i="1"/>
  <c r="G1294" i="1"/>
  <c r="E1294" i="1"/>
  <c r="C1294" i="1"/>
  <c r="R1293" i="1"/>
  <c r="I1293" i="1"/>
  <c r="G1293" i="1"/>
  <c r="E1293" i="1"/>
  <c r="C1293" i="1"/>
  <c r="R1292" i="1"/>
  <c r="I1292" i="1"/>
  <c r="G1292" i="1"/>
  <c r="E1292" i="1"/>
  <c r="C1292" i="1"/>
  <c r="R1291" i="1"/>
  <c r="I1291" i="1"/>
  <c r="G1291" i="1"/>
  <c r="E1291" i="1"/>
  <c r="C1291" i="1"/>
  <c r="R1290" i="1"/>
  <c r="I1290" i="1"/>
  <c r="G1290" i="1"/>
  <c r="E1290" i="1"/>
  <c r="C1290" i="1"/>
  <c r="R1289" i="1"/>
  <c r="I1289" i="1"/>
  <c r="G1289" i="1"/>
  <c r="E1289" i="1"/>
  <c r="C1289" i="1"/>
  <c r="R1288" i="1"/>
  <c r="I1288" i="1"/>
  <c r="G1288" i="1"/>
  <c r="E1288" i="1"/>
  <c r="C1288" i="1"/>
  <c r="R1287" i="1"/>
  <c r="I1287" i="1"/>
  <c r="G1287" i="1"/>
  <c r="E1287" i="1"/>
  <c r="C1287" i="1"/>
  <c r="R1286" i="1"/>
  <c r="I1286" i="1"/>
  <c r="G1286" i="1"/>
  <c r="E1286" i="1"/>
  <c r="C1286" i="1"/>
  <c r="R1285" i="1"/>
  <c r="I1285" i="1"/>
  <c r="G1285" i="1"/>
  <c r="E1285" i="1"/>
  <c r="C1285" i="1"/>
  <c r="R1284" i="1"/>
  <c r="I1284" i="1"/>
  <c r="G1284" i="1"/>
  <c r="E1284" i="1"/>
  <c r="C1284" i="1"/>
  <c r="R1283" i="1"/>
  <c r="I1283" i="1"/>
  <c r="G1283" i="1"/>
  <c r="E1283" i="1"/>
  <c r="C1283" i="1"/>
  <c r="R1282" i="1"/>
  <c r="I1282" i="1"/>
  <c r="G1282" i="1"/>
  <c r="E1282" i="1"/>
  <c r="C1282" i="1"/>
  <c r="R1281" i="1"/>
  <c r="I1281" i="1"/>
  <c r="G1281" i="1"/>
  <c r="E1281" i="1"/>
  <c r="C1281" i="1"/>
  <c r="R1280" i="1"/>
  <c r="I1280" i="1"/>
  <c r="G1280" i="1"/>
  <c r="E1280" i="1"/>
  <c r="C1280" i="1"/>
  <c r="R1279" i="1"/>
  <c r="I1279" i="1"/>
  <c r="G1279" i="1"/>
  <c r="E1279" i="1"/>
  <c r="C1279" i="1"/>
  <c r="R1278" i="1"/>
  <c r="I1278" i="1"/>
  <c r="G1278" i="1"/>
  <c r="E1278" i="1"/>
  <c r="C1278" i="1"/>
  <c r="R1277" i="1"/>
  <c r="I1277" i="1"/>
  <c r="G1277" i="1"/>
  <c r="E1277" i="1"/>
  <c r="C1277" i="1"/>
  <c r="R1276" i="1"/>
  <c r="I1276" i="1"/>
  <c r="G1276" i="1"/>
  <c r="E1276" i="1"/>
  <c r="C1276" i="1"/>
  <c r="R1275" i="1"/>
  <c r="I1275" i="1"/>
  <c r="G1275" i="1"/>
  <c r="E1275" i="1"/>
  <c r="C1275" i="1"/>
  <c r="R1274" i="1"/>
  <c r="I1274" i="1"/>
  <c r="G1274" i="1"/>
  <c r="E1274" i="1"/>
  <c r="C1274" i="1"/>
  <c r="R1273" i="1"/>
  <c r="I1273" i="1"/>
  <c r="G1273" i="1"/>
  <c r="E1273" i="1"/>
  <c r="C1273" i="1"/>
  <c r="R1272" i="1"/>
  <c r="I1272" i="1"/>
  <c r="G1272" i="1"/>
  <c r="E1272" i="1"/>
  <c r="C1272" i="1"/>
  <c r="R1271" i="1"/>
  <c r="I1271" i="1"/>
  <c r="G1271" i="1"/>
  <c r="E1271" i="1"/>
  <c r="C1271" i="1"/>
  <c r="R1270" i="1"/>
  <c r="I1270" i="1"/>
  <c r="G1270" i="1"/>
  <c r="E1270" i="1"/>
  <c r="C1270" i="1"/>
  <c r="R1269" i="1"/>
  <c r="I1269" i="1"/>
  <c r="G1269" i="1"/>
  <c r="E1269" i="1"/>
  <c r="C1269" i="1"/>
  <c r="R1268" i="1"/>
  <c r="I1268" i="1"/>
  <c r="G1268" i="1"/>
  <c r="E1268" i="1"/>
  <c r="C1268" i="1"/>
  <c r="R1267" i="1"/>
  <c r="I1267" i="1"/>
  <c r="G1267" i="1"/>
  <c r="E1267" i="1"/>
  <c r="C1267" i="1"/>
  <c r="R1266" i="1"/>
  <c r="I1266" i="1"/>
  <c r="G1266" i="1"/>
  <c r="E1266" i="1"/>
  <c r="C1266" i="1"/>
  <c r="R1265" i="1"/>
  <c r="I1265" i="1"/>
  <c r="G1265" i="1"/>
  <c r="E1265" i="1"/>
  <c r="C1265" i="1"/>
  <c r="R1264" i="1"/>
  <c r="I1264" i="1"/>
  <c r="G1264" i="1"/>
  <c r="E1264" i="1"/>
  <c r="C1264" i="1"/>
  <c r="R1263" i="1"/>
  <c r="I1263" i="1"/>
  <c r="G1263" i="1"/>
  <c r="E1263" i="1"/>
  <c r="C1263" i="1"/>
  <c r="R1262" i="1"/>
  <c r="I1262" i="1"/>
  <c r="G1262" i="1"/>
  <c r="E1262" i="1"/>
  <c r="C1262" i="1"/>
  <c r="R1261" i="1"/>
  <c r="I1261" i="1"/>
  <c r="G1261" i="1"/>
  <c r="E1261" i="1"/>
  <c r="C1261" i="1"/>
  <c r="R1260" i="1"/>
  <c r="I1260" i="1"/>
  <c r="G1260" i="1"/>
  <c r="E1260" i="1"/>
  <c r="C1260" i="1"/>
  <c r="R1259" i="1"/>
  <c r="I1259" i="1"/>
  <c r="G1259" i="1"/>
  <c r="E1259" i="1"/>
  <c r="C1259" i="1"/>
  <c r="R1258" i="1"/>
  <c r="I1258" i="1"/>
  <c r="G1258" i="1"/>
  <c r="E1258" i="1"/>
  <c r="C1258" i="1"/>
  <c r="R1257" i="1"/>
  <c r="I1257" i="1"/>
  <c r="G1257" i="1"/>
  <c r="E1257" i="1"/>
  <c r="C1257" i="1"/>
  <c r="R1256" i="1"/>
  <c r="I1256" i="1"/>
  <c r="G1256" i="1"/>
  <c r="E1256" i="1"/>
  <c r="C1256" i="1"/>
  <c r="R1255" i="1"/>
  <c r="I1255" i="1"/>
  <c r="G1255" i="1"/>
  <c r="E1255" i="1"/>
  <c r="C1255" i="1"/>
  <c r="R1254" i="1"/>
  <c r="I1254" i="1"/>
  <c r="G1254" i="1"/>
  <c r="E1254" i="1"/>
  <c r="C1254" i="1"/>
  <c r="R1253" i="1"/>
  <c r="I1253" i="1"/>
  <c r="G1253" i="1"/>
  <c r="E1253" i="1"/>
  <c r="C1253" i="1"/>
  <c r="R1252" i="1"/>
  <c r="I1252" i="1"/>
  <c r="G1252" i="1"/>
  <c r="E1252" i="1"/>
  <c r="C1252" i="1"/>
  <c r="R1251" i="1"/>
  <c r="I1251" i="1"/>
  <c r="G1251" i="1"/>
  <c r="E1251" i="1"/>
  <c r="C1251" i="1"/>
  <c r="R1250" i="1"/>
  <c r="I1250" i="1"/>
  <c r="G1250" i="1"/>
  <c r="E1250" i="1"/>
  <c r="C1250" i="1"/>
  <c r="R1249" i="1"/>
  <c r="I1249" i="1"/>
  <c r="G1249" i="1"/>
  <c r="E1249" i="1"/>
  <c r="C1249" i="1"/>
  <c r="R1248" i="1"/>
  <c r="I1248" i="1"/>
  <c r="G1248" i="1"/>
  <c r="E1248" i="1"/>
  <c r="C1248" i="1"/>
  <c r="R1247" i="1"/>
  <c r="I1247" i="1"/>
  <c r="G1247" i="1"/>
  <c r="E1247" i="1"/>
  <c r="C1247" i="1"/>
  <c r="R1246" i="1"/>
  <c r="I1246" i="1"/>
  <c r="G1246" i="1"/>
  <c r="E1246" i="1"/>
  <c r="C1246" i="1"/>
  <c r="R1245" i="1"/>
  <c r="I1245" i="1"/>
  <c r="G1245" i="1"/>
  <c r="E1245" i="1"/>
  <c r="C1245" i="1"/>
  <c r="R1244" i="1"/>
  <c r="I1244" i="1"/>
  <c r="G1244" i="1"/>
  <c r="E1244" i="1"/>
  <c r="C1244" i="1"/>
  <c r="R1243" i="1"/>
  <c r="I1243" i="1"/>
  <c r="G1243" i="1"/>
  <c r="E1243" i="1"/>
  <c r="C1243" i="1"/>
  <c r="R1242" i="1"/>
  <c r="I1242" i="1"/>
  <c r="G1242" i="1"/>
  <c r="E1242" i="1"/>
  <c r="C1242" i="1"/>
  <c r="R1241" i="1"/>
  <c r="I1241" i="1"/>
  <c r="G1241" i="1"/>
  <c r="E1241" i="1"/>
  <c r="C1241" i="1"/>
  <c r="R1240" i="1"/>
  <c r="I1240" i="1"/>
  <c r="G1240" i="1"/>
  <c r="E1240" i="1"/>
  <c r="C1240" i="1"/>
  <c r="R1239" i="1"/>
  <c r="I1239" i="1"/>
  <c r="G1239" i="1"/>
  <c r="E1239" i="1"/>
  <c r="C1239" i="1"/>
  <c r="R1238" i="1"/>
  <c r="I1238" i="1"/>
  <c r="G1238" i="1"/>
  <c r="E1238" i="1"/>
  <c r="C1238" i="1"/>
  <c r="R1237" i="1"/>
  <c r="I1237" i="1"/>
  <c r="G1237" i="1"/>
  <c r="E1237" i="1"/>
  <c r="C1237" i="1"/>
  <c r="R1236" i="1"/>
  <c r="I1236" i="1"/>
  <c r="G1236" i="1"/>
  <c r="E1236" i="1"/>
  <c r="C1236" i="1"/>
  <c r="R1235" i="1"/>
  <c r="I1235" i="1"/>
  <c r="G1235" i="1"/>
  <c r="E1235" i="1"/>
  <c r="C1235" i="1"/>
  <c r="R1234" i="1"/>
  <c r="I1234" i="1"/>
  <c r="G1234" i="1"/>
  <c r="E1234" i="1"/>
  <c r="C1234" i="1"/>
  <c r="R1233" i="1"/>
  <c r="I1233" i="1"/>
  <c r="G1233" i="1"/>
  <c r="E1233" i="1"/>
  <c r="C1233" i="1"/>
  <c r="R1232" i="1"/>
  <c r="I1232" i="1"/>
  <c r="G1232" i="1"/>
  <c r="E1232" i="1"/>
  <c r="C1232" i="1"/>
  <c r="R1231" i="1"/>
  <c r="I1231" i="1"/>
  <c r="G1231" i="1"/>
  <c r="E1231" i="1"/>
  <c r="C1231" i="1"/>
  <c r="R1230" i="1"/>
  <c r="I1230" i="1"/>
  <c r="G1230" i="1"/>
  <c r="E1230" i="1"/>
  <c r="C1230" i="1"/>
  <c r="R1229" i="1"/>
  <c r="I1229" i="1"/>
  <c r="G1229" i="1"/>
  <c r="E1229" i="1"/>
  <c r="C1229" i="1"/>
  <c r="R1228" i="1"/>
  <c r="I1228" i="1"/>
  <c r="G1228" i="1"/>
  <c r="E1228" i="1"/>
  <c r="C1228" i="1"/>
  <c r="R1227" i="1"/>
  <c r="I1227" i="1"/>
  <c r="G1227" i="1"/>
  <c r="E1227" i="1"/>
  <c r="C1227" i="1"/>
  <c r="R1226" i="1"/>
  <c r="I1226" i="1"/>
  <c r="G1226" i="1"/>
  <c r="E1226" i="1"/>
  <c r="C1226" i="1"/>
  <c r="R1225" i="1"/>
  <c r="I1225" i="1"/>
  <c r="G1225" i="1"/>
  <c r="E1225" i="1"/>
  <c r="C1225" i="1"/>
  <c r="R1224" i="1"/>
  <c r="I1224" i="1"/>
  <c r="G1224" i="1"/>
  <c r="E1224" i="1"/>
  <c r="C1224" i="1"/>
  <c r="R1223" i="1"/>
  <c r="I1223" i="1"/>
  <c r="G1223" i="1"/>
  <c r="E1223" i="1"/>
  <c r="C1223" i="1"/>
  <c r="R1222" i="1"/>
  <c r="I1222" i="1"/>
  <c r="G1222" i="1"/>
  <c r="E1222" i="1"/>
  <c r="C1222" i="1"/>
  <c r="R1221" i="1"/>
  <c r="I1221" i="1"/>
  <c r="G1221" i="1"/>
  <c r="E1221" i="1"/>
  <c r="C1221" i="1"/>
  <c r="R1220" i="1"/>
  <c r="I1220" i="1"/>
  <c r="G1220" i="1"/>
  <c r="E1220" i="1"/>
  <c r="C1220" i="1"/>
  <c r="R1219" i="1"/>
  <c r="I1219" i="1"/>
  <c r="G1219" i="1"/>
  <c r="E1219" i="1"/>
  <c r="C1219" i="1"/>
  <c r="R1218" i="1"/>
  <c r="I1218" i="1"/>
  <c r="G1218" i="1"/>
  <c r="E1218" i="1"/>
  <c r="C1218" i="1"/>
  <c r="R1217" i="1"/>
  <c r="I1217" i="1"/>
  <c r="G1217" i="1"/>
  <c r="E1217" i="1"/>
  <c r="C1217" i="1"/>
  <c r="R1216" i="1"/>
  <c r="I1216" i="1"/>
  <c r="G1216" i="1"/>
  <c r="E1216" i="1"/>
  <c r="C1216" i="1"/>
  <c r="R1215" i="1"/>
  <c r="I1215" i="1"/>
  <c r="G1215" i="1"/>
  <c r="E1215" i="1"/>
  <c r="C1215" i="1"/>
  <c r="R1214" i="1"/>
  <c r="I1214" i="1"/>
  <c r="G1214" i="1"/>
  <c r="E1214" i="1"/>
  <c r="C1214" i="1"/>
  <c r="R1213" i="1"/>
  <c r="I1213" i="1"/>
  <c r="G1213" i="1"/>
  <c r="E1213" i="1"/>
  <c r="C1213" i="1"/>
  <c r="R1212" i="1"/>
  <c r="I1212" i="1"/>
  <c r="G1212" i="1"/>
  <c r="E1212" i="1"/>
  <c r="C1212" i="1"/>
  <c r="R1211" i="1"/>
  <c r="I1211" i="1"/>
  <c r="G1211" i="1"/>
  <c r="E1211" i="1"/>
  <c r="C1211" i="1"/>
  <c r="R1210" i="1"/>
  <c r="I1210" i="1"/>
  <c r="G1210" i="1"/>
  <c r="E1210" i="1"/>
  <c r="C1210" i="1"/>
  <c r="R1209" i="1"/>
  <c r="I1209" i="1"/>
  <c r="G1209" i="1"/>
  <c r="E1209" i="1"/>
  <c r="C1209" i="1"/>
  <c r="R1208" i="1"/>
  <c r="I1208" i="1"/>
  <c r="G1208" i="1"/>
  <c r="E1208" i="1"/>
  <c r="C1208" i="1"/>
  <c r="R1207" i="1"/>
  <c r="I1207" i="1"/>
  <c r="G1207" i="1"/>
  <c r="E1207" i="1"/>
  <c r="C1207" i="1"/>
  <c r="R1206" i="1"/>
  <c r="I1206" i="1"/>
  <c r="G1206" i="1"/>
  <c r="E1206" i="1"/>
  <c r="C1206" i="1"/>
  <c r="R1205" i="1"/>
  <c r="I1205" i="1"/>
  <c r="G1205" i="1"/>
  <c r="E1205" i="1"/>
  <c r="C1205" i="1"/>
  <c r="R1204" i="1"/>
  <c r="I1204" i="1"/>
  <c r="G1204" i="1"/>
  <c r="E1204" i="1"/>
  <c r="C1204" i="1"/>
  <c r="R1203" i="1"/>
  <c r="I1203" i="1"/>
  <c r="G1203" i="1"/>
  <c r="E1203" i="1"/>
  <c r="C1203" i="1"/>
  <c r="R1202" i="1"/>
  <c r="I1202" i="1"/>
  <c r="G1202" i="1"/>
  <c r="E1202" i="1"/>
  <c r="C1202" i="1"/>
  <c r="R1201" i="1"/>
  <c r="I1201" i="1"/>
  <c r="G1201" i="1"/>
  <c r="E1201" i="1"/>
  <c r="C1201" i="1"/>
  <c r="R1200" i="1"/>
  <c r="I1200" i="1"/>
  <c r="G1200" i="1"/>
  <c r="E1200" i="1"/>
  <c r="C1200" i="1"/>
  <c r="R1199" i="1"/>
  <c r="I1199" i="1"/>
  <c r="G1199" i="1"/>
  <c r="E1199" i="1"/>
  <c r="C1199" i="1"/>
  <c r="R1198" i="1"/>
  <c r="I1198" i="1"/>
  <c r="G1198" i="1"/>
  <c r="E1198" i="1"/>
  <c r="C1198" i="1"/>
  <c r="R1197" i="1"/>
  <c r="I1197" i="1"/>
  <c r="G1197" i="1"/>
  <c r="E1197" i="1"/>
  <c r="C1197" i="1"/>
  <c r="R1196" i="1"/>
  <c r="I1196" i="1"/>
  <c r="G1196" i="1"/>
  <c r="E1196" i="1"/>
  <c r="C1196" i="1"/>
  <c r="R1195" i="1"/>
  <c r="I1195" i="1"/>
  <c r="G1195" i="1"/>
  <c r="E1195" i="1"/>
  <c r="C1195" i="1"/>
  <c r="R1194" i="1"/>
  <c r="I1194" i="1"/>
  <c r="G1194" i="1"/>
  <c r="E1194" i="1"/>
  <c r="C1194" i="1"/>
  <c r="R1193" i="1"/>
  <c r="I1193" i="1"/>
  <c r="G1193" i="1"/>
  <c r="E1193" i="1"/>
  <c r="C1193" i="1"/>
  <c r="R1192" i="1"/>
  <c r="I1192" i="1"/>
  <c r="G1192" i="1"/>
  <c r="E1192" i="1"/>
  <c r="C1192" i="1"/>
  <c r="R1191" i="1"/>
  <c r="I1191" i="1"/>
  <c r="G1191" i="1"/>
  <c r="E1191" i="1"/>
  <c r="C1191" i="1"/>
  <c r="R1190" i="1"/>
  <c r="I1190" i="1"/>
  <c r="G1190" i="1"/>
  <c r="E1190" i="1"/>
  <c r="C1190" i="1"/>
  <c r="R1189" i="1"/>
  <c r="I1189" i="1"/>
  <c r="G1189" i="1"/>
  <c r="E1189" i="1"/>
  <c r="C1189" i="1"/>
  <c r="R1188" i="1"/>
  <c r="I1188" i="1"/>
  <c r="G1188" i="1"/>
  <c r="E1188" i="1"/>
  <c r="C1188" i="1"/>
  <c r="R1187" i="1"/>
  <c r="I1187" i="1"/>
  <c r="G1187" i="1"/>
  <c r="E1187" i="1"/>
  <c r="C1187" i="1"/>
  <c r="R1186" i="1"/>
  <c r="I1186" i="1"/>
  <c r="G1186" i="1"/>
  <c r="E1186" i="1"/>
  <c r="C1186" i="1"/>
  <c r="R1185" i="1"/>
  <c r="I1185" i="1"/>
  <c r="G1185" i="1"/>
  <c r="E1185" i="1"/>
  <c r="C1185" i="1"/>
  <c r="R1184" i="1"/>
  <c r="I1184" i="1"/>
  <c r="G1184" i="1"/>
  <c r="E1184" i="1"/>
  <c r="C1184" i="1"/>
  <c r="R1183" i="1"/>
  <c r="I1183" i="1"/>
  <c r="G1183" i="1"/>
  <c r="E1183" i="1"/>
  <c r="C1183" i="1"/>
  <c r="R1182" i="1"/>
  <c r="I1182" i="1"/>
  <c r="G1182" i="1"/>
  <c r="E1182" i="1"/>
  <c r="C1182" i="1"/>
  <c r="R1181" i="1"/>
  <c r="I1181" i="1"/>
  <c r="G1181" i="1"/>
  <c r="E1181" i="1"/>
  <c r="C1181" i="1"/>
  <c r="R1180" i="1"/>
  <c r="I1180" i="1"/>
  <c r="G1180" i="1"/>
  <c r="E1180" i="1"/>
  <c r="C1180" i="1"/>
  <c r="R1179" i="1"/>
  <c r="I1179" i="1"/>
  <c r="G1179" i="1"/>
  <c r="E1179" i="1"/>
  <c r="C1179" i="1"/>
  <c r="R1178" i="1"/>
  <c r="I1178" i="1"/>
  <c r="G1178" i="1"/>
  <c r="E1178" i="1"/>
  <c r="C1178" i="1"/>
  <c r="R1177" i="1"/>
  <c r="I1177" i="1"/>
  <c r="G1177" i="1"/>
  <c r="E1177" i="1"/>
  <c r="C1177" i="1"/>
  <c r="R1176" i="1"/>
  <c r="I1176" i="1"/>
  <c r="G1176" i="1"/>
  <c r="E1176" i="1"/>
  <c r="C1176" i="1"/>
  <c r="R1175" i="1"/>
  <c r="I1175" i="1"/>
  <c r="G1175" i="1"/>
  <c r="E1175" i="1"/>
  <c r="C1175" i="1"/>
  <c r="R1174" i="1"/>
  <c r="I1174" i="1"/>
  <c r="G1174" i="1"/>
  <c r="E1174" i="1"/>
  <c r="C1174" i="1"/>
  <c r="R1173" i="1"/>
  <c r="I1173" i="1"/>
  <c r="G1173" i="1"/>
  <c r="E1173" i="1"/>
  <c r="C1173" i="1"/>
  <c r="R1172" i="1"/>
  <c r="I1172" i="1"/>
  <c r="G1172" i="1"/>
  <c r="E1172" i="1"/>
  <c r="C1172" i="1"/>
  <c r="R1171" i="1"/>
  <c r="I1171" i="1"/>
  <c r="G1171" i="1"/>
  <c r="E1171" i="1"/>
  <c r="C1171" i="1"/>
  <c r="R1170" i="1"/>
  <c r="I1170" i="1"/>
  <c r="G1170" i="1"/>
  <c r="E1170" i="1"/>
  <c r="C1170" i="1"/>
  <c r="R1169" i="1"/>
  <c r="I1169" i="1"/>
  <c r="G1169" i="1"/>
  <c r="E1169" i="1"/>
  <c r="C1169" i="1"/>
  <c r="R1168" i="1"/>
  <c r="I1168" i="1"/>
  <c r="G1168" i="1"/>
  <c r="E1168" i="1"/>
  <c r="C1168" i="1"/>
  <c r="R1167" i="1"/>
  <c r="I1167" i="1"/>
  <c r="G1167" i="1"/>
  <c r="E1167" i="1"/>
  <c r="C1167" i="1"/>
  <c r="R1166" i="1"/>
  <c r="I1166" i="1"/>
  <c r="G1166" i="1"/>
  <c r="E1166" i="1"/>
  <c r="C1166" i="1"/>
  <c r="R1165" i="1"/>
  <c r="I1165" i="1"/>
  <c r="G1165" i="1"/>
  <c r="E1165" i="1"/>
  <c r="C1165" i="1"/>
  <c r="R1164" i="1"/>
  <c r="I1164" i="1"/>
  <c r="G1164" i="1"/>
  <c r="E1164" i="1"/>
  <c r="C1164" i="1"/>
  <c r="R1163" i="1"/>
  <c r="I1163" i="1"/>
  <c r="G1163" i="1"/>
  <c r="E1163" i="1"/>
  <c r="C1163" i="1"/>
  <c r="R1162" i="1"/>
  <c r="I1162" i="1"/>
  <c r="G1162" i="1"/>
  <c r="E1162" i="1"/>
  <c r="C1162" i="1"/>
  <c r="R1161" i="1"/>
  <c r="I1161" i="1"/>
  <c r="G1161" i="1"/>
  <c r="E1161" i="1"/>
  <c r="C1161" i="1"/>
  <c r="R1160" i="1"/>
  <c r="I1160" i="1"/>
  <c r="G1160" i="1"/>
  <c r="E1160" i="1"/>
  <c r="C1160" i="1"/>
  <c r="R1159" i="1"/>
  <c r="I1159" i="1"/>
  <c r="G1159" i="1"/>
  <c r="E1159" i="1"/>
  <c r="C1159" i="1"/>
  <c r="R1158" i="1"/>
  <c r="I1158" i="1"/>
  <c r="G1158" i="1"/>
  <c r="E1158" i="1"/>
  <c r="C1158" i="1"/>
  <c r="R1157" i="1"/>
  <c r="I1157" i="1"/>
  <c r="G1157" i="1"/>
  <c r="E1157" i="1"/>
  <c r="C1157" i="1"/>
  <c r="R1156" i="1"/>
  <c r="I1156" i="1"/>
  <c r="G1156" i="1"/>
  <c r="E1156" i="1"/>
  <c r="C1156" i="1"/>
  <c r="R1155" i="1"/>
  <c r="I1155" i="1"/>
  <c r="G1155" i="1"/>
  <c r="E1155" i="1"/>
  <c r="C1155" i="1"/>
  <c r="R1154" i="1"/>
  <c r="I1154" i="1"/>
  <c r="G1154" i="1"/>
  <c r="E1154" i="1"/>
  <c r="C1154" i="1"/>
  <c r="R1153" i="1"/>
  <c r="I1153" i="1"/>
  <c r="G1153" i="1"/>
  <c r="E1153" i="1"/>
  <c r="C1153" i="1"/>
  <c r="R1152" i="1"/>
  <c r="I1152" i="1"/>
  <c r="G1152" i="1"/>
  <c r="E1152" i="1"/>
  <c r="C1152" i="1"/>
  <c r="R1151" i="1"/>
  <c r="I1151" i="1"/>
  <c r="G1151" i="1"/>
  <c r="E1151" i="1"/>
  <c r="C1151" i="1"/>
  <c r="R1150" i="1"/>
  <c r="I1150" i="1"/>
  <c r="G1150" i="1"/>
  <c r="E1150" i="1"/>
  <c r="C1150" i="1"/>
  <c r="R1149" i="1"/>
  <c r="I1149" i="1"/>
  <c r="G1149" i="1"/>
  <c r="E1149" i="1"/>
  <c r="C1149" i="1"/>
  <c r="R1148" i="1"/>
  <c r="I1148" i="1"/>
  <c r="G1148" i="1"/>
  <c r="E1148" i="1"/>
  <c r="C1148" i="1"/>
  <c r="R1147" i="1"/>
  <c r="I1147" i="1"/>
  <c r="G1147" i="1"/>
  <c r="E1147" i="1"/>
  <c r="C1147" i="1"/>
  <c r="R1146" i="1"/>
  <c r="I1146" i="1"/>
  <c r="G1146" i="1"/>
  <c r="E1146" i="1"/>
  <c r="C1146" i="1"/>
  <c r="R1145" i="1"/>
  <c r="I1145" i="1"/>
  <c r="G1145" i="1"/>
  <c r="E1145" i="1"/>
  <c r="C1145" i="1"/>
  <c r="R1144" i="1"/>
  <c r="I1144" i="1"/>
  <c r="G1144" i="1"/>
  <c r="E1144" i="1"/>
  <c r="C1144" i="1"/>
  <c r="R1143" i="1"/>
  <c r="I1143" i="1"/>
  <c r="G1143" i="1"/>
  <c r="E1143" i="1"/>
  <c r="C1143" i="1"/>
  <c r="R1142" i="1"/>
  <c r="I1142" i="1"/>
  <c r="G1142" i="1"/>
  <c r="E1142" i="1"/>
  <c r="C1142" i="1"/>
  <c r="R1141" i="1"/>
  <c r="I1141" i="1"/>
  <c r="G1141" i="1"/>
  <c r="E1141" i="1"/>
  <c r="C1141" i="1"/>
  <c r="R1140" i="1"/>
  <c r="I1140" i="1"/>
  <c r="G1140" i="1"/>
  <c r="E1140" i="1"/>
  <c r="C1140" i="1"/>
  <c r="R1139" i="1"/>
  <c r="I1139" i="1"/>
  <c r="G1139" i="1"/>
  <c r="E1139" i="1"/>
  <c r="C1139" i="1"/>
  <c r="R1138" i="1"/>
  <c r="I1138" i="1"/>
  <c r="G1138" i="1"/>
  <c r="E1138" i="1"/>
  <c r="C1138" i="1"/>
  <c r="R1137" i="1"/>
  <c r="I1137" i="1"/>
  <c r="G1137" i="1"/>
  <c r="E1137" i="1"/>
  <c r="C1137" i="1"/>
  <c r="R1136" i="1"/>
  <c r="I1136" i="1"/>
  <c r="G1136" i="1"/>
  <c r="E1136" i="1"/>
  <c r="C1136" i="1"/>
  <c r="R1135" i="1"/>
  <c r="I1135" i="1"/>
  <c r="G1135" i="1"/>
  <c r="E1135" i="1"/>
  <c r="C1135" i="1"/>
  <c r="R1134" i="1"/>
  <c r="I1134" i="1"/>
  <c r="G1134" i="1"/>
  <c r="E1134" i="1"/>
  <c r="C1134" i="1"/>
  <c r="R1133" i="1"/>
  <c r="I1133" i="1"/>
  <c r="G1133" i="1"/>
  <c r="E1133" i="1"/>
  <c r="C1133" i="1"/>
  <c r="R1132" i="1"/>
  <c r="I1132" i="1"/>
  <c r="G1132" i="1"/>
  <c r="E1132" i="1"/>
  <c r="C1132" i="1"/>
  <c r="R1131" i="1"/>
  <c r="I1131" i="1"/>
  <c r="G1131" i="1"/>
  <c r="E1131" i="1"/>
  <c r="C1131" i="1"/>
  <c r="R1130" i="1"/>
  <c r="I1130" i="1"/>
  <c r="G1130" i="1"/>
  <c r="E1130" i="1"/>
  <c r="C1130" i="1"/>
  <c r="R1129" i="1"/>
  <c r="I1129" i="1"/>
  <c r="G1129" i="1"/>
  <c r="E1129" i="1"/>
  <c r="C1129" i="1"/>
  <c r="R1128" i="1"/>
  <c r="I1128" i="1"/>
  <c r="G1128" i="1"/>
  <c r="E1128" i="1"/>
  <c r="C1128" i="1"/>
  <c r="R1127" i="1"/>
  <c r="I1127" i="1"/>
  <c r="G1127" i="1"/>
  <c r="E1127" i="1"/>
  <c r="C1127" i="1"/>
  <c r="R1126" i="1"/>
  <c r="I1126" i="1"/>
  <c r="G1126" i="1"/>
  <c r="E1126" i="1"/>
  <c r="C1126" i="1"/>
  <c r="R1125" i="1"/>
  <c r="I1125" i="1"/>
  <c r="G1125" i="1"/>
  <c r="E1125" i="1"/>
  <c r="C1125" i="1"/>
  <c r="R1124" i="1"/>
  <c r="I1124" i="1"/>
  <c r="G1124" i="1"/>
  <c r="E1124" i="1"/>
  <c r="C1124" i="1"/>
  <c r="R1123" i="1"/>
  <c r="I1123" i="1"/>
  <c r="G1123" i="1"/>
  <c r="E1123" i="1"/>
  <c r="C1123" i="1"/>
  <c r="R1122" i="1"/>
  <c r="I1122" i="1"/>
  <c r="G1122" i="1"/>
  <c r="E1122" i="1"/>
  <c r="C1122" i="1"/>
  <c r="R1121" i="1"/>
  <c r="I1121" i="1"/>
  <c r="G1121" i="1"/>
  <c r="E1121" i="1"/>
  <c r="C1121" i="1"/>
  <c r="R1120" i="1"/>
  <c r="I1120" i="1"/>
  <c r="G1120" i="1"/>
  <c r="E1120" i="1"/>
  <c r="C1120" i="1"/>
  <c r="R1119" i="1"/>
  <c r="I1119" i="1"/>
  <c r="G1119" i="1"/>
  <c r="E1119" i="1"/>
  <c r="C1119" i="1"/>
  <c r="R1118" i="1"/>
  <c r="I1118" i="1"/>
  <c r="G1118" i="1"/>
  <c r="E1118" i="1"/>
  <c r="C1118" i="1"/>
  <c r="R1117" i="1"/>
  <c r="I1117" i="1"/>
  <c r="G1117" i="1"/>
  <c r="E1117" i="1"/>
  <c r="C1117" i="1"/>
  <c r="R1116" i="1"/>
  <c r="I1116" i="1"/>
  <c r="G1116" i="1"/>
  <c r="E1116" i="1"/>
  <c r="C1116" i="1"/>
  <c r="R1115" i="1"/>
  <c r="I1115" i="1"/>
  <c r="G1115" i="1"/>
  <c r="E1115" i="1"/>
  <c r="C1115" i="1"/>
  <c r="R1114" i="1"/>
  <c r="I1114" i="1"/>
  <c r="G1114" i="1"/>
  <c r="E1114" i="1"/>
  <c r="C1114" i="1"/>
  <c r="R1113" i="1"/>
  <c r="I1113" i="1"/>
  <c r="G1113" i="1"/>
  <c r="E1113" i="1"/>
  <c r="C1113" i="1"/>
  <c r="R1112" i="1"/>
  <c r="I1112" i="1"/>
  <c r="G1112" i="1"/>
  <c r="E1112" i="1"/>
  <c r="C1112" i="1"/>
  <c r="R1111" i="1"/>
  <c r="I1111" i="1"/>
  <c r="G1111" i="1"/>
  <c r="E1111" i="1"/>
  <c r="C1111" i="1"/>
  <c r="R1110" i="1"/>
  <c r="I1110" i="1"/>
  <c r="G1110" i="1"/>
  <c r="E1110" i="1"/>
  <c r="C1110" i="1"/>
  <c r="R1109" i="1"/>
  <c r="I1109" i="1"/>
  <c r="G1109" i="1"/>
  <c r="E1109" i="1"/>
  <c r="C1109" i="1"/>
  <c r="R1108" i="1"/>
  <c r="I1108" i="1"/>
  <c r="G1108" i="1"/>
  <c r="E1108" i="1"/>
  <c r="C1108" i="1"/>
  <c r="R1107" i="1"/>
  <c r="I1107" i="1"/>
  <c r="G1107" i="1"/>
  <c r="E1107" i="1"/>
  <c r="C1107" i="1"/>
  <c r="R1106" i="1"/>
  <c r="I1106" i="1"/>
  <c r="G1106" i="1"/>
  <c r="E1106" i="1"/>
  <c r="C1106" i="1"/>
  <c r="R1105" i="1"/>
  <c r="I1105" i="1"/>
  <c r="G1105" i="1"/>
  <c r="E1105" i="1"/>
  <c r="C1105" i="1"/>
  <c r="R1104" i="1"/>
  <c r="I1104" i="1"/>
  <c r="G1104" i="1"/>
  <c r="E1104" i="1"/>
  <c r="C1104" i="1"/>
  <c r="R1103" i="1"/>
  <c r="I1103" i="1"/>
  <c r="G1103" i="1"/>
  <c r="E1103" i="1"/>
  <c r="C1103" i="1"/>
  <c r="R1102" i="1"/>
  <c r="I1102" i="1"/>
  <c r="G1102" i="1"/>
  <c r="E1102" i="1"/>
  <c r="C1102" i="1"/>
  <c r="R1101" i="1"/>
  <c r="I1101" i="1"/>
  <c r="G1101" i="1"/>
  <c r="E1101" i="1"/>
  <c r="C1101" i="1"/>
  <c r="R1100" i="1"/>
  <c r="I1100" i="1"/>
  <c r="G1100" i="1"/>
  <c r="E1100" i="1"/>
  <c r="C1100" i="1"/>
  <c r="R1099" i="1"/>
  <c r="I1099" i="1"/>
  <c r="G1099" i="1"/>
  <c r="E1099" i="1"/>
  <c r="C1099" i="1"/>
  <c r="R1098" i="1"/>
  <c r="I1098" i="1"/>
  <c r="G1098" i="1"/>
  <c r="E1098" i="1"/>
  <c r="C1098" i="1"/>
  <c r="R1097" i="1"/>
  <c r="I1097" i="1"/>
  <c r="G1097" i="1"/>
  <c r="E1097" i="1"/>
  <c r="C1097" i="1"/>
  <c r="R1096" i="1"/>
  <c r="I1096" i="1"/>
  <c r="G1096" i="1"/>
  <c r="E1096" i="1"/>
  <c r="C1096" i="1"/>
  <c r="R1095" i="1"/>
  <c r="I1095" i="1"/>
  <c r="G1095" i="1"/>
  <c r="E1095" i="1"/>
  <c r="C1095" i="1"/>
  <c r="R1094" i="1"/>
  <c r="I1094" i="1"/>
  <c r="G1094" i="1"/>
  <c r="E1094" i="1"/>
  <c r="C1094" i="1"/>
  <c r="R1093" i="1"/>
  <c r="I1093" i="1"/>
  <c r="G1093" i="1"/>
  <c r="E1093" i="1"/>
  <c r="C1093" i="1"/>
  <c r="R1092" i="1"/>
  <c r="I1092" i="1"/>
  <c r="G1092" i="1"/>
  <c r="E1092" i="1"/>
  <c r="C1092" i="1"/>
  <c r="R1091" i="1"/>
  <c r="I1091" i="1"/>
  <c r="G1091" i="1"/>
  <c r="E1091" i="1"/>
  <c r="C1091" i="1"/>
  <c r="R1090" i="1"/>
  <c r="I1090" i="1"/>
  <c r="G1090" i="1"/>
  <c r="E1090" i="1"/>
  <c r="C1090" i="1"/>
  <c r="R1089" i="1"/>
  <c r="I1089" i="1"/>
  <c r="G1089" i="1"/>
  <c r="E1089" i="1"/>
  <c r="C1089" i="1"/>
  <c r="R1088" i="1"/>
  <c r="I1088" i="1"/>
  <c r="G1088" i="1"/>
  <c r="E1088" i="1"/>
  <c r="C1088" i="1"/>
  <c r="R1087" i="1"/>
  <c r="I1087" i="1"/>
  <c r="G1087" i="1"/>
  <c r="E1087" i="1"/>
  <c r="C1087" i="1"/>
  <c r="R1086" i="1"/>
  <c r="I1086" i="1"/>
  <c r="G1086" i="1"/>
  <c r="E1086" i="1"/>
  <c r="C1086" i="1"/>
  <c r="R1085" i="1"/>
  <c r="I1085" i="1"/>
  <c r="G1085" i="1"/>
  <c r="E1085" i="1"/>
  <c r="C1085" i="1"/>
  <c r="R1084" i="1"/>
  <c r="I1084" i="1"/>
  <c r="G1084" i="1"/>
  <c r="E1084" i="1"/>
  <c r="C1084" i="1"/>
  <c r="R1083" i="1"/>
  <c r="I1083" i="1"/>
  <c r="G1083" i="1"/>
  <c r="E1083" i="1"/>
  <c r="C1083" i="1"/>
  <c r="R1082" i="1"/>
  <c r="I1082" i="1"/>
  <c r="G1082" i="1"/>
  <c r="E1082" i="1"/>
  <c r="C1082" i="1"/>
  <c r="R1081" i="1"/>
  <c r="I1081" i="1"/>
  <c r="G1081" i="1"/>
  <c r="E1081" i="1"/>
  <c r="C1081" i="1"/>
  <c r="R1080" i="1"/>
  <c r="I1080" i="1"/>
  <c r="G1080" i="1"/>
  <c r="E1080" i="1"/>
  <c r="C1080" i="1"/>
  <c r="R1079" i="1"/>
  <c r="I1079" i="1"/>
  <c r="G1079" i="1"/>
  <c r="E1079" i="1"/>
  <c r="C1079" i="1"/>
  <c r="R1078" i="1"/>
  <c r="I1078" i="1"/>
  <c r="G1078" i="1"/>
  <c r="E1078" i="1"/>
  <c r="C1078" i="1"/>
  <c r="R1077" i="1"/>
  <c r="I1077" i="1"/>
  <c r="G1077" i="1"/>
  <c r="E1077" i="1"/>
  <c r="C1077" i="1"/>
  <c r="R1076" i="1"/>
  <c r="I1076" i="1"/>
  <c r="G1076" i="1"/>
  <c r="E1076" i="1"/>
  <c r="C1076" i="1"/>
  <c r="R1075" i="1"/>
  <c r="I1075" i="1"/>
  <c r="G1075" i="1"/>
  <c r="E1075" i="1"/>
  <c r="C1075" i="1"/>
  <c r="R1074" i="1"/>
  <c r="I1074" i="1"/>
  <c r="G1074" i="1"/>
  <c r="E1074" i="1"/>
  <c r="C1074" i="1"/>
  <c r="R1073" i="1"/>
  <c r="I1073" i="1"/>
  <c r="G1073" i="1"/>
  <c r="E1073" i="1"/>
  <c r="C1073" i="1"/>
  <c r="R1072" i="1"/>
  <c r="I1072" i="1"/>
  <c r="G1072" i="1"/>
  <c r="E1072" i="1"/>
  <c r="C1072" i="1"/>
  <c r="R1071" i="1"/>
  <c r="I1071" i="1"/>
  <c r="G1071" i="1"/>
  <c r="E1071" i="1"/>
  <c r="C1071" i="1"/>
  <c r="R1070" i="1"/>
  <c r="I1070" i="1"/>
  <c r="G1070" i="1"/>
  <c r="E1070" i="1"/>
  <c r="C1070" i="1"/>
  <c r="R1069" i="1"/>
  <c r="I1069" i="1"/>
  <c r="G1069" i="1"/>
  <c r="E1069" i="1"/>
  <c r="C1069" i="1"/>
  <c r="R1068" i="1"/>
  <c r="I1068" i="1"/>
  <c r="G1068" i="1"/>
  <c r="E1068" i="1"/>
  <c r="C1068" i="1"/>
  <c r="R1067" i="1"/>
  <c r="I1067" i="1"/>
  <c r="G1067" i="1"/>
  <c r="E1067" i="1"/>
  <c r="C1067" i="1"/>
  <c r="R1066" i="1"/>
  <c r="I1066" i="1"/>
  <c r="G1066" i="1"/>
  <c r="E1066" i="1"/>
  <c r="C1066" i="1"/>
  <c r="R1065" i="1"/>
  <c r="I1065" i="1"/>
  <c r="G1065" i="1"/>
  <c r="E1065" i="1"/>
  <c r="C1065" i="1"/>
  <c r="R1064" i="1"/>
  <c r="I1064" i="1"/>
  <c r="G1064" i="1"/>
  <c r="E1064" i="1"/>
  <c r="C1064" i="1"/>
  <c r="R1063" i="1"/>
  <c r="I1063" i="1"/>
  <c r="G1063" i="1"/>
  <c r="E1063" i="1"/>
  <c r="C1063" i="1"/>
  <c r="R1062" i="1"/>
  <c r="I1062" i="1"/>
  <c r="G1062" i="1"/>
  <c r="E1062" i="1"/>
  <c r="C1062" i="1"/>
  <c r="R1061" i="1"/>
  <c r="I1061" i="1"/>
  <c r="G1061" i="1"/>
  <c r="E1061" i="1"/>
  <c r="C1061" i="1"/>
  <c r="R1060" i="1"/>
  <c r="I1060" i="1"/>
  <c r="G1060" i="1"/>
  <c r="E1060" i="1"/>
  <c r="C1060" i="1"/>
  <c r="R1059" i="1"/>
  <c r="I1059" i="1"/>
  <c r="G1059" i="1"/>
  <c r="E1059" i="1"/>
  <c r="C1059" i="1"/>
  <c r="R1058" i="1"/>
  <c r="I1058" i="1"/>
  <c r="G1058" i="1"/>
  <c r="E1058" i="1"/>
  <c r="C1058" i="1"/>
  <c r="R1057" i="1"/>
  <c r="I1057" i="1"/>
  <c r="G1057" i="1"/>
  <c r="E1057" i="1"/>
  <c r="C1057" i="1"/>
  <c r="R1056" i="1"/>
  <c r="I1056" i="1"/>
  <c r="G1056" i="1"/>
  <c r="E1056" i="1"/>
  <c r="C1056" i="1"/>
  <c r="R1055" i="1"/>
  <c r="I1055" i="1"/>
  <c r="G1055" i="1"/>
  <c r="E1055" i="1"/>
  <c r="C1055" i="1"/>
  <c r="R1054" i="1"/>
  <c r="I1054" i="1"/>
  <c r="G1054" i="1"/>
  <c r="E1054" i="1"/>
  <c r="C1054" i="1"/>
  <c r="R1053" i="1"/>
  <c r="I1053" i="1"/>
  <c r="G1053" i="1"/>
  <c r="E1053" i="1"/>
  <c r="C1053" i="1"/>
  <c r="R1052" i="1"/>
  <c r="I1052" i="1"/>
  <c r="G1052" i="1"/>
  <c r="E1052" i="1"/>
  <c r="C1052" i="1"/>
  <c r="R1051" i="1"/>
  <c r="I1051" i="1"/>
  <c r="G1051" i="1"/>
  <c r="E1051" i="1"/>
  <c r="C1051" i="1"/>
  <c r="R1050" i="1"/>
  <c r="I1050" i="1"/>
  <c r="G1050" i="1"/>
  <c r="E1050" i="1"/>
  <c r="C1050" i="1"/>
  <c r="R1049" i="1"/>
  <c r="I1049" i="1"/>
  <c r="G1049" i="1"/>
  <c r="E1049" i="1"/>
  <c r="C1049" i="1"/>
  <c r="R1048" i="1"/>
  <c r="I1048" i="1"/>
  <c r="G1048" i="1"/>
  <c r="E1048" i="1"/>
  <c r="C1048" i="1"/>
  <c r="R1047" i="1"/>
  <c r="I1047" i="1"/>
  <c r="G1047" i="1"/>
  <c r="E1047" i="1"/>
  <c r="C1047" i="1"/>
  <c r="R1046" i="1"/>
  <c r="I1046" i="1"/>
  <c r="G1046" i="1"/>
  <c r="E1046" i="1"/>
  <c r="C1046" i="1"/>
  <c r="R1045" i="1"/>
  <c r="I1045" i="1"/>
  <c r="G1045" i="1"/>
  <c r="E1045" i="1"/>
  <c r="C1045" i="1"/>
  <c r="R1044" i="1"/>
  <c r="I1044" i="1"/>
  <c r="G1044" i="1"/>
  <c r="E1044" i="1"/>
  <c r="C1044" i="1"/>
  <c r="R1043" i="1"/>
  <c r="I1043" i="1"/>
  <c r="G1043" i="1"/>
  <c r="E1043" i="1"/>
  <c r="C1043" i="1"/>
  <c r="R1042" i="1"/>
  <c r="I1042" i="1"/>
  <c r="G1042" i="1"/>
  <c r="E1042" i="1"/>
  <c r="C1042" i="1"/>
  <c r="R1041" i="1"/>
  <c r="I1041" i="1"/>
  <c r="G1041" i="1"/>
  <c r="E1041" i="1"/>
  <c r="C1041" i="1"/>
  <c r="R1040" i="1"/>
  <c r="I1040" i="1"/>
  <c r="G1040" i="1"/>
  <c r="E1040" i="1"/>
  <c r="C1040" i="1"/>
  <c r="R1039" i="1"/>
  <c r="I1039" i="1"/>
  <c r="G1039" i="1"/>
  <c r="E1039" i="1"/>
  <c r="C1039" i="1"/>
  <c r="R1038" i="1"/>
  <c r="I1038" i="1"/>
  <c r="G1038" i="1"/>
  <c r="E1038" i="1"/>
  <c r="C1038" i="1"/>
  <c r="R1037" i="1"/>
  <c r="I1037" i="1"/>
  <c r="G1037" i="1"/>
  <c r="E1037" i="1"/>
  <c r="C1037" i="1"/>
  <c r="R1036" i="1"/>
  <c r="I1036" i="1"/>
  <c r="G1036" i="1"/>
  <c r="E1036" i="1"/>
  <c r="C1036" i="1"/>
  <c r="R1035" i="1"/>
  <c r="I1035" i="1"/>
  <c r="G1035" i="1"/>
  <c r="E1035" i="1"/>
  <c r="C1035" i="1"/>
  <c r="R1034" i="1"/>
  <c r="I1034" i="1"/>
  <c r="G1034" i="1"/>
  <c r="E1034" i="1"/>
  <c r="C1034" i="1"/>
  <c r="R1033" i="1"/>
  <c r="I1033" i="1"/>
  <c r="G1033" i="1"/>
  <c r="E1033" i="1"/>
  <c r="C1033" i="1"/>
  <c r="R1032" i="1"/>
  <c r="I1032" i="1"/>
  <c r="G1032" i="1"/>
  <c r="E1032" i="1"/>
  <c r="C1032" i="1"/>
  <c r="R1031" i="1"/>
  <c r="I1031" i="1"/>
  <c r="G1031" i="1"/>
  <c r="E1031" i="1"/>
  <c r="C1031" i="1"/>
  <c r="R1030" i="1"/>
  <c r="I1030" i="1"/>
  <c r="G1030" i="1"/>
  <c r="E1030" i="1"/>
  <c r="C1030" i="1"/>
  <c r="R1029" i="1"/>
  <c r="I1029" i="1"/>
  <c r="G1029" i="1"/>
  <c r="E1029" i="1"/>
  <c r="C1029" i="1"/>
  <c r="R1028" i="1"/>
  <c r="I1028" i="1"/>
  <c r="G1028" i="1"/>
  <c r="E1028" i="1"/>
  <c r="C1028" i="1"/>
  <c r="R1027" i="1"/>
  <c r="I1027" i="1"/>
  <c r="G1027" i="1"/>
  <c r="E1027" i="1"/>
  <c r="C1027" i="1"/>
  <c r="R1026" i="1"/>
  <c r="I1026" i="1"/>
  <c r="G1026" i="1"/>
  <c r="E1026" i="1"/>
  <c r="C1026" i="1"/>
  <c r="R1025" i="1"/>
  <c r="I1025" i="1"/>
  <c r="G1025" i="1"/>
  <c r="E1025" i="1"/>
  <c r="C1025" i="1"/>
  <c r="R1024" i="1"/>
  <c r="I1024" i="1"/>
  <c r="G1024" i="1"/>
  <c r="E1024" i="1"/>
  <c r="C1024" i="1"/>
  <c r="R1023" i="1"/>
  <c r="I1023" i="1"/>
  <c r="G1023" i="1"/>
  <c r="E1023" i="1"/>
  <c r="C1023" i="1"/>
  <c r="R1022" i="1"/>
  <c r="I1022" i="1"/>
  <c r="G1022" i="1"/>
  <c r="E1022" i="1"/>
  <c r="C1022" i="1"/>
  <c r="R1021" i="1"/>
  <c r="I1021" i="1"/>
  <c r="G1021" i="1"/>
  <c r="E1021" i="1"/>
  <c r="C1021" i="1"/>
  <c r="R1020" i="1"/>
  <c r="I1020" i="1"/>
  <c r="G1020" i="1"/>
  <c r="E1020" i="1"/>
  <c r="C1020" i="1"/>
  <c r="R1019" i="1"/>
  <c r="I1019" i="1"/>
  <c r="G1019" i="1"/>
  <c r="E1019" i="1"/>
  <c r="C1019" i="1"/>
  <c r="R1018" i="1"/>
  <c r="I1018" i="1"/>
  <c r="G1018" i="1"/>
  <c r="E1018" i="1"/>
  <c r="C1018" i="1"/>
  <c r="R1017" i="1"/>
  <c r="I1017" i="1"/>
  <c r="G1017" i="1"/>
  <c r="E1017" i="1"/>
  <c r="C1017" i="1"/>
  <c r="R1016" i="1"/>
  <c r="I1016" i="1"/>
  <c r="G1016" i="1"/>
  <c r="E1016" i="1"/>
  <c r="C1016" i="1"/>
  <c r="R1015" i="1"/>
  <c r="I1015" i="1"/>
  <c r="G1015" i="1"/>
  <c r="E1015" i="1"/>
  <c r="C1015" i="1"/>
  <c r="R1014" i="1"/>
  <c r="I1014" i="1"/>
  <c r="G1014" i="1"/>
  <c r="E1014" i="1"/>
  <c r="C1014" i="1"/>
  <c r="R1013" i="1"/>
  <c r="I1013" i="1"/>
  <c r="G1013" i="1"/>
  <c r="E1013" i="1"/>
  <c r="C1013" i="1"/>
  <c r="R1012" i="1"/>
  <c r="I1012" i="1"/>
  <c r="G1012" i="1"/>
  <c r="E1012" i="1"/>
  <c r="C1012" i="1"/>
  <c r="R1011" i="1"/>
  <c r="I1011" i="1"/>
  <c r="G1011" i="1"/>
  <c r="E1011" i="1"/>
  <c r="C1011" i="1"/>
  <c r="R1010" i="1"/>
  <c r="I1010" i="1"/>
  <c r="G1010" i="1"/>
  <c r="E1010" i="1"/>
  <c r="C1010" i="1"/>
  <c r="R1009" i="1"/>
  <c r="I1009" i="1"/>
  <c r="G1009" i="1"/>
  <c r="E1009" i="1"/>
  <c r="C1009" i="1"/>
  <c r="R1008" i="1"/>
  <c r="I1008" i="1"/>
  <c r="G1008" i="1"/>
  <c r="E1008" i="1"/>
  <c r="C1008" i="1"/>
  <c r="R1007" i="1"/>
  <c r="I1007" i="1"/>
  <c r="G1007" i="1"/>
  <c r="E1007" i="1"/>
  <c r="C1007" i="1"/>
  <c r="R1006" i="1"/>
  <c r="I1006" i="1"/>
  <c r="G1006" i="1"/>
  <c r="E1006" i="1"/>
  <c r="C1006" i="1"/>
  <c r="R1005" i="1"/>
  <c r="I1005" i="1"/>
  <c r="G1005" i="1"/>
  <c r="E1005" i="1"/>
  <c r="C1005" i="1"/>
  <c r="R1004" i="1"/>
  <c r="I1004" i="1"/>
  <c r="G1004" i="1"/>
  <c r="E1004" i="1"/>
  <c r="C1004" i="1"/>
  <c r="R1003" i="1"/>
  <c r="I1003" i="1"/>
  <c r="G1003" i="1"/>
  <c r="E1003" i="1"/>
  <c r="C1003" i="1"/>
  <c r="R1002" i="1"/>
  <c r="I1002" i="1"/>
  <c r="G1002" i="1"/>
  <c r="E1002" i="1"/>
  <c r="C1002" i="1"/>
  <c r="R1001" i="1"/>
  <c r="I1001" i="1"/>
  <c r="G1001" i="1"/>
  <c r="E1001" i="1"/>
  <c r="C1001" i="1"/>
  <c r="R1000" i="1"/>
  <c r="I1000" i="1"/>
  <c r="G1000" i="1"/>
  <c r="E1000" i="1"/>
  <c r="C1000" i="1"/>
  <c r="R999" i="1"/>
  <c r="I999" i="1"/>
  <c r="G999" i="1"/>
  <c r="E999" i="1"/>
  <c r="C999" i="1"/>
  <c r="R998" i="1"/>
  <c r="I998" i="1"/>
  <c r="G998" i="1"/>
  <c r="E998" i="1"/>
  <c r="C998" i="1"/>
  <c r="R997" i="1"/>
  <c r="I997" i="1"/>
  <c r="G997" i="1"/>
  <c r="E997" i="1"/>
  <c r="C997" i="1"/>
  <c r="R996" i="1"/>
  <c r="I996" i="1"/>
  <c r="G996" i="1"/>
  <c r="E996" i="1"/>
  <c r="C996" i="1"/>
  <c r="R995" i="1"/>
  <c r="I995" i="1"/>
  <c r="G995" i="1"/>
  <c r="E995" i="1"/>
  <c r="C995" i="1"/>
  <c r="R994" i="1"/>
  <c r="I994" i="1"/>
  <c r="G994" i="1"/>
  <c r="E994" i="1"/>
  <c r="C994" i="1"/>
  <c r="R993" i="1"/>
  <c r="I993" i="1"/>
  <c r="G993" i="1"/>
  <c r="E993" i="1"/>
  <c r="C993" i="1"/>
  <c r="R992" i="1"/>
  <c r="I992" i="1"/>
  <c r="G992" i="1"/>
  <c r="E992" i="1"/>
  <c r="C992" i="1"/>
  <c r="R991" i="1"/>
  <c r="I991" i="1"/>
  <c r="G991" i="1"/>
  <c r="E991" i="1"/>
  <c r="C991" i="1"/>
  <c r="R990" i="1"/>
  <c r="I990" i="1"/>
  <c r="G990" i="1"/>
  <c r="E990" i="1"/>
  <c r="C990" i="1"/>
  <c r="R989" i="1"/>
  <c r="I989" i="1"/>
  <c r="G989" i="1"/>
  <c r="E989" i="1"/>
  <c r="C989" i="1"/>
  <c r="R988" i="1"/>
  <c r="I988" i="1"/>
  <c r="G988" i="1"/>
  <c r="E988" i="1"/>
  <c r="C988" i="1"/>
  <c r="R987" i="1"/>
  <c r="I987" i="1"/>
  <c r="G987" i="1"/>
  <c r="E987" i="1"/>
  <c r="C987" i="1"/>
  <c r="R986" i="1"/>
  <c r="I986" i="1"/>
  <c r="G986" i="1"/>
  <c r="E986" i="1"/>
  <c r="C986" i="1"/>
  <c r="R985" i="1"/>
  <c r="I985" i="1"/>
  <c r="G985" i="1"/>
  <c r="E985" i="1"/>
  <c r="C985" i="1"/>
  <c r="R984" i="1"/>
  <c r="I984" i="1"/>
  <c r="G984" i="1"/>
  <c r="E984" i="1"/>
  <c r="C984" i="1"/>
  <c r="R983" i="1"/>
  <c r="I983" i="1"/>
  <c r="G983" i="1"/>
  <c r="E983" i="1"/>
  <c r="C983" i="1"/>
  <c r="R982" i="1"/>
  <c r="I982" i="1"/>
  <c r="G982" i="1"/>
  <c r="E982" i="1"/>
  <c r="C982" i="1"/>
  <c r="R981" i="1"/>
  <c r="I981" i="1"/>
  <c r="G981" i="1"/>
  <c r="E981" i="1"/>
  <c r="C981" i="1"/>
  <c r="R980" i="1"/>
  <c r="I980" i="1"/>
  <c r="G980" i="1"/>
  <c r="E980" i="1"/>
  <c r="C980" i="1"/>
  <c r="R979" i="1"/>
  <c r="I979" i="1"/>
  <c r="G979" i="1"/>
  <c r="E979" i="1"/>
  <c r="C979" i="1"/>
  <c r="R978" i="1"/>
  <c r="I978" i="1"/>
  <c r="G978" i="1"/>
  <c r="E978" i="1"/>
  <c r="C978" i="1"/>
  <c r="R977" i="1"/>
  <c r="I977" i="1"/>
  <c r="G977" i="1"/>
  <c r="E977" i="1"/>
  <c r="C977" i="1"/>
  <c r="R976" i="1"/>
  <c r="I976" i="1"/>
  <c r="G976" i="1"/>
  <c r="E976" i="1"/>
  <c r="C976" i="1"/>
  <c r="R975" i="1"/>
  <c r="I975" i="1"/>
  <c r="G975" i="1"/>
  <c r="E975" i="1"/>
  <c r="C975" i="1"/>
  <c r="R974" i="1"/>
  <c r="I974" i="1"/>
  <c r="G974" i="1"/>
  <c r="E974" i="1"/>
  <c r="C974" i="1"/>
  <c r="R973" i="1"/>
  <c r="I973" i="1"/>
  <c r="G973" i="1"/>
  <c r="E973" i="1"/>
  <c r="C973" i="1"/>
  <c r="R972" i="1"/>
  <c r="I972" i="1"/>
  <c r="G972" i="1"/>
  <c r="E972" i="1"/>
  <c r="C972" i="1"/>
  <c r="R971" i="1"/>
  <c r="I971" i="1"/>
  <c r="G971" i="1"/>
  <c r="E971" i="1"/>
  <c r="C971" i="1"/>
  <c r="R970" i="1"/>
  <c r="I970" i="1"/>
  <c r="G970" i="1"/>
  <c r="E970" i="1"/>
  <c r="C970" i="1"/>
  <c r="R969" i="1"/>
  <c r="I969" i="1"/>
  <c r="G969" i="1"/>
  <c r="E969" i="1"/>
  <c r="C969" i="1"/>
  <c r="R968" i="1"/>
  <c r="I968" i="1"/>
  <c r="G968" i="1"/>
  <c r="E968" i="1"/>
  <c r="C968" i="1"/>
  <c r="R967" i="1"/>
  <c r="I967" i="1"/>
  <c r="G967" i="1"/>
  <c r="E967" i="1"/>
  <c r="C967" i="1"/>
  <c r="R966" i="1"/>
  <c r="I966" i="1"/>
  <c r="G966" i="1"/>
  <c r="E966" i="1"/>
  <c r="C966" i="1"/>
  <c r="R965" i="1"/>
  <c r="I965" i="1"/>
  <c r="G965" i="1"/>
  <c r="E965" i="1"/>
  <c r="C965" i="1"/>
  <c r="R964" i="1"/>
  <c r="I964" i="1"/>
  <c r="G964" i="1"/>
  <c r="E964" i="1"/>
  <c r="C964" i="1"/>
  <c r="R963" i="1"/>
  <c r="I963" i="1"/>
  <c r="G963" i="1"/>
  <c r="E963" i="1"/>
  <c r="C963" i="1"/>
  <c r="R962" i="1"/>
  <c r="I962" i="1"/>
  <c r="G962" i="1"/>
  <c r="E962" i="1"/>
  <c r="C962" i="1"/>
  <c r="R961" i="1"/>
  <c r="I961" i="1"/>
  <c r="G961" i="1"/>
  <c r="E961" i="1"/>
  <c r="C961" i="1"/>
  <c r="R960" i="1"/>
  <c r="I960" i="1"/>
  <c r="G960" i="1"/>
  <c r="E960" i="1"/>
  <c r="C960" i="1"/>
  <c r="R959" i="1"/>
  <c r="I959" i="1"/>
  <c r="G959" i="1"/>
  <c r="E959" i="1"/>
  <c r="C959" i="1"/>
  <c r="R958" i="1"/>
  <c r="I958" i="1"/>
  <c r="G958" i="1"/>
  <c r="E958" i="1"/>
  <c r="C958" i="1"/>
  <c r="R957" i="1"/>
  <c r="I957" i="1"/>
  <c r="G957" i="1"/>
  <c r="E957" i="1"/>
  <c r="C957" i="1"/>
  <c r="R956" i="1"/>
  <c r="I956" i="1"/>
  <c r="G956" i="1"/>
  <c r="E956" i="1"/>
  <c r="C956" i="1"/>
  <c r="R955" i="1"/>
  <c r="I955" i="1"/>
  <c r="G955" i="1"/>
  <c r="E955" i="1"/>
  <c r="C955" i="1"/>
  <c r="R954" i="1"/>
  <c r="I954" i="1"/>
  <c r="G954" i="1"/>
  <c r="E954" i="1"/>
  <c r="C954" i="1"/>
  <c r="R953" i="1"/>
  <c r="I953" i="1"/>
  <c r="G953" i="1"/>
  <c r="E953" i="1"/>
  <c r="C953" i="1"/>
  <c r="R952" i="1"/>
  <c r="I952" i="1"/>
  <c r="G952" i="1"/>
  <c r="E952" i="1"/>
  <c r="C952" i="1"/>
  <c r="R951" i="1"/>
  <c r="I951" i="1"/>
  <c r="G951" i="1"/>
  <c r="E951" i="1"/>
  <c r="C951" i="1"/>
  <c r="R950" i="1"/>
  <c r="I950" i="1"/>
  <c r="G950" i="1"/>
  <c r="E950" i="1"/>
  <c r="C950" i="1"/>
  <c r="R949" i="1"/>
  <c r="I949" i="1"/>
  <c r="G949" i="1"/>
  <c r="E949" i="1"/>
  <c r="C949" i="1"/>
  <c r="R948" i="1"/>
  <c r="I948" i="1"/>
  <c r="G948" i="1"/>
  <c r="E948" i="1"/>
  <c r="C948" i="1"/>
  <c r="R947" i="1"/>
  <c r="I947" i="1"/>
  <c r="G947" i="1"/>
  <c r="E947" i="1"/>
  <c r="C947" i="1"/>
  <c r="R946" i="1"/>
  <c r="I946" i="1"/>
  <c r="G946" i="1"/>
  <c r="E946" i="1"/>
  <c r="C946" i="1"/>
  <c r="R945" i="1"/>
  <c r="I945" i="1"/>
  <c r="G945" i="1"/>
  <c r="E945" i="1"/>
  <c r="C945" i="1"/>
  <c r="R944" i="1"/>
  <c r="I944" i="1"/>
  <c r="G944" i="1"/>
  <c r="E944" i="1"/>
  <c r="C944" i="1"/>
  <c r="R943" i="1"/>
  <c r="I943" i="1"/>
  <c r="G943" i="1"/>
  <c r="E943" i="1"/>
  <c r="C943" i="1"/>
  <c r="R942" i="1"/>
  <c r="I942" i="1"/>
  <c r="G942" i="1"/>
  <c r="E942" i="1"/>
  <c r="C942" i="1"/>
  <c r="R941" i="1"/>
  <c r="I941" i="1"/>
  <c r="G941" i="1"/>
  <c r="E941" i="1"/>
  <c r="C941" i="1"/>
  <c r="R940" i="1"/>
  <c r="I940" i="1"/>
  <c r="G940" i="1"/>
  <c r="E940" i="1"/>
  <c r="C940" i="1"/>
  <c r="R939" i="1"/>
  <c r="I939" i="1"/>
  <c r="G939" i="1"/>
  <c r="E939" i="1"/>
  <c r="C939" i="1"/>
  <c r="R938" i="1"/>
  <c r="I938" i="1"/>
  <c r="G938" i="1"/>
  <c r="E938" i="1"/>
  <c r="C938" i="1"/>
  <c r="R937" i="1"/>
  <c r="I937" i="1"/>
  <c r="G937" i="1"/>
  <c r="E937" i="1"/>
  <c r="C937" i="1"/>
  <c r="R936" i="1"/>
  <c r="I936" i="1"/>
  <c r="G936" i="1"/>
  <c r="E936" i="1"/>
  <c r="C936" i="1"/>
  <c r="R935" i="1"/>
  <c r="I935" i="1"/>
  <c r="G935" i="1"/>
  <c r="E935" i="1"/>
  <c r="C935" i="1"/>
  <c r="R934" i="1"/>
  <c r="I934" i="1"/>
  <c r="G934" i="1"/>
  <c r="E934" i="1"/>
  <c r="C934" i="1"/>
  <c r="R933" i="1"/>
  <c r="I933" i="1"/>
  <c r="G933" i="1"/>
  <c r="E933" i="1"/>
  <c r="C933" i="1"/>
  <c r="R932" i="1"/>
  <c r="I932" i="1"/>
  <c r="G932" i="1"/>
  <c r="E932" i="1"/>
  <c r="C932" i="1"/>
  <c r="R931" i="1"/>
  <c r="I931" i="1"/>
  <c r="G931" i="1"/>
  <c r="E931" i="1"/>
  <c r="C931" i="1"/>
  <c r="R930" i="1"/>
  <c r="I930" i="1"/>
  <c r="G930" i="1"/>
  <c r="E930" i="1"/>
  <c r="C930" i="1"/>
  <c r="R929" i="1"/>
  <c r="I929" i="1"/>
  <c r="G929" i="1"/>
  <c r="E929" i="1"/>
  <c r="C929" i="1"/>
  <c r="R928" i="1"/>
  <c r="I928" i="1"/>
  <c r="G928" i="1"/>
  <c r="E928" i="1"/>
  <c r="C928" i="1"/>
  <c r="R927" i="1"/>
  <c r="I927" i="1"/>
  <c r="G927" i="1"/>
  <c r="E927" i="1"/>
  <c r="C927" i="1"/>
  <c r="R926" i="1"/>
  <c r="I926" i="1"/>
  <c r="G926" i="1"/>
  <c r="E926" i="1"/>
  <c r="C926" i="1"/>
  <c r="R925" i="1"/>
  <c r="I925" i="1"/>
  <c r="G925" i="1"/>
  <c r="E925" i="1"/>
  <c r="C925" i="1"/>
  <c r="R924" i="1"/>
  <c r="I924" i="1"/>
  <c r="G924" i="1"/>
  <c r="E924" i="1"/>
  <c r="C924" i="1"/>
  <c r="R923" i="1"/>
  <c r="I923" i="1"/>
  <c r="G923" i="1"/>
  <c r="E923" i="1"/>
  <c r="C923" i="1"/>
  <c r="R922" i="1"/>
  <c r="I922" i="1"/>
  <c r="G922" i="1"/>
  <c r="E922" i="1"/>
  <c r="C922" i="1"/>
  <c r="R921" i="1"/>
  <c r="I921" i="1"/>
  <c r="G921" i="1"/>
  <c r="E921" i="1"/>
  <c r="C921" i="1"/>
  <c r="R920" i="1"/>
  <c r="I920" i="1"/>
  <c r="G920" i="1"/>
  <c r="E920" i="1"/>
  <c r="C920" i="1"/>
  <c r="R919" i="1"/>
  <c r="I919" i="1"/>
  <c r="G919" i="1"/>
  <c r="E919" i="1"/>
  <c r="C919" i="1"/>
  <c r="R918" i="1"/>
  <c r="I918" i="1"/>
  <c r="G918" i="1"/>
  <c r="E918" i="1"/>
  <c r="C918" i="1"/>
  <c r="R917" i="1"/>
  <c r="I917" i="1"/>
  <c r="G917" i="1"/>
  <c r="E917" i="1"/>
  <c r="C917" i="1"/>
  <c r="R916" i="1"/>
  <c r="I916" i="1"/>
  <c r="G916" i="1"/>
  <c r="E916" i="1"/>
  <c r="C916" i="1"/>
  <c r="R915" i="1"/>
  <c r="I915" i="1"/>
  <c r="G915" i="1"/>
  <c r="E915" i="1"/>
  <c r="C915" i="1"/>
  <c r="R914" i="1"/>
  <c r="I914" i="1"/>
  <c r="G914" i="1"/>
  <c r="E914" i="1"/>
  <c r="C914" i="1"/>
  <c r="R913" i="1"/>
  <c r="I913" i="1"/>
  <c r="G913" i="1"/>
  <c r="E913" i="1"/>
  <c r="C913" i="1"/>
  <c r="R912" i="1"/>
  <c r="I912" i="1"/>
  <c r="G912" i="1"/>
  <c r="E912" i="1"/>
  <c r="C912" i="1"/>
  <c r="R911" i="1"/>
  <c r="I911" i="1"/>
  <c r="G911" i="1"/>
  <c r="E911" i="1"/>
  <c r="C911" i="1"/>
  <c r="R910" i="1"/>
  <c r="I910" i="1"/>
  <c r="G910" i="1"/>
  <c r="E910" i="1"/>
  <c r="C910" i="1"/>
  <c r="R909" i="1"/>
  <c r="I909" i="1"/>
  <c r="G909" i="1"/>
  <c r="E909" i="1"/>
  <c r="C909" i="1"/>
  <c r="R908" i="1"/>
  <c r="I908" i="1"/>
  <c r="G908" i="1"/>
  <c r="E908" i="1"/>
  <c r="C908" i="1"/>
  <c r="R907" i="1"/>
  <c r="I907" i="1"/>
  <c r="G907" i="1"/>
  <c r="E907" i="1"/>
  <c r="C907" i="1"/>
  <c r="R906" i="1"/>
  <c r="I906" i="1"/>
  <c r="G906" i="1"/>
  <c r="E906" i="1"/>
  <c r="C906" i="1"/>
  <c r="R905" i="1"/>
  <c r="I905" i="1"/>
  <c r="G905" i="1"/>
  <c r="E905" i="1"/>
  <c r="C905" i="1"/>
  <c r="R904" i="1"/>
  <c r="I904" i="1"/>
  <c r="G904" i="1"/>
  <c r="E904" i="1"/>
  <c r="C904" i="1"/>
  <c r="R903" i="1"/>
  <c r="I903" i="1"/>
  <c r="G903" i="1"/>
  <c r="E903" i="1"/>
  <c r="C903" i="1"/>
  <c r="R902" i="1"/>
  <c r="I902" i="1"/>
  <c r="G902" i="1"/>
  <c r="E902" i="1"/>
  <c r="C902" i="1"/>
  <c r="R901" i="1"/>
  <c r="I901" i="1"/>
  <c r="G901" i="1"/>
  <c r="E901" i="1"/>
  <c r="C901" i="1"/>
  <c r="R900" i="1"/>
  <c r="I900" i="1"/>
  <c r="G900" i="1"/>
  <c r="E900" i="1"/>
  <c r="C900" i="1"/>
  <c r="R899" i="1"/>
  <c r="I899" i="1"/>
  <c r="G899" i="1"/>
  <c r="E899" i="1"/>
  <c r="C899" i="1"/>
  <c r="R898" i="1"/>
  <c r="I898" i="1"/>
  <c r="G898" i="1"/>
  <c r="E898" i="1"/>
  <c r="C898" i="1"/>
  <c r="R897" i="1"/>
  <c r="I897" i="1"/>
  <c r="G897" i="1"/>
  <c r="E897" i="1"/>
  <c r="C897" i="1"/>
  <c r="R896" i="1"/>
  <c r="I896" i="1"/>
  <c r="G896" i="1"/>
  <c r="E896" i="1"/>
  <c r="C896" i="1"/>
  <c r="R895" i="1"/>
  <c r="I895" i="1"/>
  <c r="G895" i="1"/>
  <c r="E895" i="1"/>
  <c r="C895" i="1"/>
  <c r="R894" i="1"/>
  <c r="I894" i="1"/>
  <c r="G894" i="1"/>
  <c r="E894" i="1"/>
  <c r="C894" i="1"/>
  <c r="R893" i="1"/>
  <c r="I893" i="1"/>
  <c r="G893" i="1"/>
  <c r="E893" i="1"/>
  <c r="C893" i="1"/>
  <c r="R892" i="1"/>
  <c r="I892" i="1"/>
  <c r="G892" i="1"/>
  <c r="E892" i="1"/>
  <c r="C892" i="1"/>
  <c r="R891" i="1"/>
  <c r="I891" i="1"/>
  <c r="G891" i="1"/>
  <c r="E891" i="1"/>
  <c r="C891" i="1"/>
  <c r="R890" i="1"/>
  <c r="I890" i="1"/>
  <c r="G890" i="1"/>
  <c r="E890" i="1"/>
  <c r="C890" i="1"/>
  <c r="R889" i="1"/>
  <c r="I889" i="1"/>
  <c r="G889" i="1"/>
  <c r="E889" i="1"/>
  <c r="C889" i="1"/>
  <c r="R888" i="1"/>
  <c r="I888" i="1"/>
  <c r="G888" i="1"/>
  <c r="E888" i="1"/>
  <c r="C888" i="1"/>
  <c r="R887" i="1"/>
  <c r="I887" i="1"/>
  <c r="G887" i="1"/>
  <c r="E887" i="1"/>
  <c r="C887" i="1"/>
  <c r="R886" i="1"/>
  <c r="I886" i="1"/>
  <c r="G886" i="1"/>
  <c r="E886" i="1"/>
  <c r="C886" i="1"/>
  <c r="R885" i="1"/>
  <c r="I885" i="1"/>
  <c r="G885" i="1"/>
  <c r="E885" i="1"/>
  <c r="C885" i="1"/>
  <c r="R884" i="1"/>
  <c r="I884" i="1"/>
  <c r="G884" i="1"/>
  <c r="E884" i="1"/>
  <c r="C884" i="1"/>
  <c r="R883" i="1"/>
  <c r="I883" i="1"/>
  <c r="G883" i="1"/>
  <c r="E883" i="1"/>
  <c r="C883" i="1"/>
  <c r="R882" i="1"/>
  <c r="I882" i="1"/>
  <c r="G882" i="1"/>
  <c r="E882" i="1"/>
  <c r="C882" i="1"/>
  <c r="R881" i="1"/>
  <c r="I881" i="1"/>
  <c r="G881" i="1"/>
  <c r="E881" i="1"/>
  <c r="C881" i="1"/>
  <c r="R880" i="1"/>
  <c r="I880" i="1"/>
  <c r="G880" i="1"/>
  <c r="E880" i="1"/>
  <c r="C880" i="1"/>
  <c r="R879" i="1"/>
  <c r="I879" i="1"/>
  <c r="G879" i="1"/>
  <c r="E879" i="1"/>
  <c r="C879" i="1"/>
  <c r="R878" i="1"/>
  <c r="I878" i="1"/>
  <c r="G878" i="1"/>
  <c r="E878" i="1"/>
  <c r="C878" i="1"/>
  <c r="R877" i="1"/>
  <c r="I877" i="1"/>
  <c r="G877" i="1"/>
  <c r="E877" i="1"/>
  <c r="C877" i="1"/>
  <c r="R876" i="1"/>
  <c r="I876" i="1"/>
  <c r="G876" i="1"/>
  <c r="E876" i="1"/>
  <c r="C876" i="1"/>
  <c r="R875" i="1"/>
  <c r="I875" i="1"/>
  <c r="G875" i="1"/>
  <c r="E875" i="1"/>
  <c r="C875" i="1"/>
  <c r="R874" i="1"/>
  <c r="I874" i="1"/>
  <c r="G874" i="1"/>
  <c r="E874" i="1"/>
  <c r="C874" i="1"/>
  <c r="R873" i="1"/>
  <c r="I873" i="1"/>
  <c r="G873" i="1"/>
  <c r="E873" i="1"/>
  <c r="C873" i="1"/>
  <c r="R872" i="1"/>
  <c r="I872" i="1"/>
  <c r="G872" i="1"/>
  <c r="E872" i="1"/>
  <c r="C872" i="1"/>
  <c r="R871" i="1"/>
  <c r="I871" i="1"/>
  <c r="G871" i="1"/>
  <c r="E871" i="1"/>
  <c r="C871" i="1"/>
  <c r="R870" i="1"/>
  <c r="I870" i="1"/>
  <c r="G870" i="1"/>
  <c r="E870" i="1"/>
  <c r="C870" i="1"/>
  <c r="R869" i="1"/>
  <c r="I869" i="1"/>
  <c r="G869" i="1"/>
  <c r="E869" i="1"/>
  <c r="C869" i="1"/>
  <c r="R868" i="1"/>
  <c r="I868" i="1"/>
  <c r="G868" i="1"/>
  <c r="E868" i="1"/>
  <c r="C868" i="1"/>
  <c r="R867" i="1"/>
  <c r="I867" i="1"/>
  <c r="G867" i="1"/>
  <c r="E867" i="1"/>
  <c r="C867" i="1"/>
  <c r="R866" i="1"/>
  <c r="I866" i="1"/>
  <c r="G866" i="1"/>
  <c r="E866" i="1"/>
  <c r="C866" i="1"/>
  <c r="R865" i="1"/>
  <c r="I865" i="1"/>
  <c r="G865" i="1"/>
  <c r="E865" i="1"/>
  <c r="C865" i="1"/>
  <c r="R864" i="1"/>
  <c r="I864" i="1"/>
  <c r="G864" i="1"/>
  <c r="E864" i="1"/>
  <c r="C864" i="1"/>
  <c r="R863" i="1"/>
  <c r="I863" i="1"/>
  <c r="G863" i="1"/>
  <c r="E863" i="1"/>
  <c r="C863" i="1"/>
  <c r="R862" i="1"/>
  <c r="I862" i="1"/>
  <c r="G862" i="1"/>
  <c r="E862" i="1"/>
  <c r="C862" i="1"/>
  <c r="R861" i="1"/>
  <c r="I861" i="1"/>
  <c r="G861" i="1"/>
  <c r="E861" i="1"/>
  <c r="C861" i="1"/>
  <c r="R860" i="1"/>
  <c r="I860" i="1"/>
  <c r="G860" i="1"/>
  <c r="E860" i="1"/>
  <c r="C860" i="1"/>
  <c r="R859" i="1"/>
  <c r="I859" i="1"/>
  <c r="G859" i="1"/>
  <c r="E859" i="1"/>
  <c r="C859" i="1"/>
  <c r="R858" i="1"/>
  <c r="I858" i="1"/>
  <c r="G858" i="1"/>
  <c r="E858" i="1"/>
  <c r="C858" i="1"/>
  <c r="R857" i="1"/>
  <c r="I857" i="1"/>
  <c r="G857" i="1"/>
  <c r="E857" i="1"/>
  <c r="C857" i="1"/>
  <c r="R856" i="1"/>
  <c r="I856" i="1"/>
  <c r="G856" i="1"/>
  <c r="E856" i="1"/>
  <c r="C856" i="1"/>
  <c r="R855" i="1"/>
  <c r="I855" i="1"/>
  <c r="G855" i="1"/>
  <c r="E855" i="1"/>
  <c r="C855" i="1"/>
  <c r="R854" i="1"/>
  <c r="I854" i="1"/>
  <c r="G854" i="1"/>
  <c r="E854" i="1"/>
  <c r="C854" i="1"/>
  <c r="R853" i="1"/>
  <c r="I853" i="1"/>
  <c r="G853" i="1"/>
  <c r="E853" i="1"/>
  <c r="C853" i="1"/>
  <c r="R852" i="1"/>
  <c r="I852" i="1"/>
  <c r="G852" i="1"/>
  <c r="E852" i="1"/>
  <c r="C852" i="1"/>
  <c r="R851" i="1"/>
  <c r="I851" i="1"/>
  <c r="G851" i="1"/>
  <c r="E851" i="1"/>
  <c r="C851" i="1"/>
  <c r="R850" i="1"/>
  <c r="I850" i="1"/>
  <c r="G850" i="1"/>
  <c r="E850" i="1"/>
  <c r="C850" i="1"/>
  <c r="R849" i="1"/>
  <c r="I849" i="1"/>
  <c r="G849" i="1"/>
  <c r="E849" i="1"/>
  <c r="C849" i="1"/>
  <c r="R848" i="1"/>
  <c r="I848" i="1"/>
  <c r="G848" i="1"/>
  <c r="E848" i="1"/>
  <c r="C848" i="1"/>
  <c r="R847" i="1"/>
  <c r="I847" i="1"/>
  <c r="G847" i="1"/>
  <c r="E847" i="1"/>
  <c r="C847" i="1"/>
  <c r="R846" i="1"/>
  <c r="I846" i="1"/>
  <c r="G846" i="1"/>
  <c r="E846" i="1"/>
  <c r="C846" i="1"/>
  <c r="R845" i="1"/>
  <c r="I845" i="1"/>
  <c r="G845" i="1"/>
  <c r="E845" i="1"/>
  <c r="C845" i="1"/>
  <c r="R844" i="1"/>
  <c r="I844" i="1"/>
  <c r="G844" i="1"/>
  <c r="E844" i="1"/>
  <c r="C844" i="1"/>
  <c r="R843" i="1"/>
  <c r="I843" i="1"/>
  <c r="G843" i="1"/>
  <c r="E843" i="1"/>
  <c r="C843" i="1"/>
  <c r="R842" i="1"/>
  <c r="I842" i="1"/>
  <c r="G842" i="1"/>
  <c r="E842" i="1"/>
  <c r="C842" i="1"/>
  <c r="R841" i="1"/>
  <c r="I841" i="1"/>
  <c r="G841" i="1"/>
  <c r="E841" i="1"/>
  <c r="C841" i="1"/>
  <c r="R840" i="1"/>
  <c r="I840" i="1"/>
  <c r="G840" i="1"/>
  <c r="E840" i="1"/>
  <c r="C840" i="1"/>
  <c r="R839" i="1"/>
  <c r="I839" i="1"/>
  <c r="G839" i="1"/>
  <c r="E839" i="1"/>
  <c r="C839" i="1"/>
  <c r="R838" i="1"/>
  <c r="I838" i="1"/>
  <c r="G838" i="1"/>
  <c r="E838" i="1"/>
  <c r="C838" i="1"/>
  <c r="R837" i="1"/>
  <c r="I837" i="1"/>
  <c r="G837" i="1"/>
  <c r="E837" i="1"/>
  <c r="C837" i="1"/>
  <c r="R836" i="1"/>
  <c r="I836" i="1"/>
  <c r="G836" i="1"/>
  <c r="E836" i="1"/>
  <c r="C836" i="1"/>
  <c r="R835" i="1"/>
  <c r="I835" i="1"/>
  <c r="G835" i="1"/>
  <c r="E835" i="1"/>
  <c r="C835" i="1"/>
  <c r="R834" i="1"/>
  <c r="I834" i="1"/>
  <c r="G834" i="1"/>
  <c r="E834" i="1"/>
  <c r="C834" i="1"/>
  <c r="R833" i="1"/>
  <c r="I833" i="1"/>
  <c r="G833" i="1"/>
  <c r="E833" i="1"/>
  <c r="C833" i="1"/>
  <c r="R832" i="1"/>
  <c r="I832" i="1"/>
  <c r="G832" i="1"/>
  <c r="E832" i="1"/>
  <c r="C832" i="1"/>
  <c r="R831" i="1"/>
  <c r="I831" i="1"/>
  <c r="G831" i="1"/>
  <c r="E831" i="1"/>
  <c r="C831" i="1"/>
  <c r="R830" i="1"/>
  <c r="I830" i="1"/>
  <c r="G830" i="1"/>
  <c r="E830" i="1"/>
  <c r="C830" i="1"/>
  <c r="R829" i="1"/>
  <c r="I829" i="1"/>
  <c r="G829" i="1"/>
  <c r="E829" i="1"/>
  <c r="C829" i="1"/>
  <c r="R828" i="1"/>
  <c r="I828" i="1"/>
  <c r="G828" i="1"/>
  <c r="E828" i="1"/>
  <c r="C828" i="1"/>
  <c r="R827" i="1"/>
  <c r="I827" i="1"/>
  <c r="G827" i="1"/>
  <c r="E827" i="1"/>
  <c r="C827" i="1"/>
  <c r="R826" i="1"/>
  <c r="I826" i="1"/>
  <c r="G826" i="1"/>
  <c r="E826" i="1"/>
  <c r="C826" i="1"/>
  <c r="R825" i="1"/>
  <c r="I825" i="1"/>
  <c r="G825" i="1"/>
  <c r="E825" i="1"/>
  <c r="C825" i="1"/>
  <c r="R824" i="1"/>
  <c r="I824" i="1"/>
  <c r="G824" i="1"/>
  <c r="E824" i="1"/>
  <c r="C824" i="1"/>
  <c r="R823" i="1"/>
  <c r="I823" i="1"/>
  <c r="G823" i="1"/>
  <c r="E823" i="1"/>
  <c r="C823" i="1"/>
  <c r="R822" i="1"/>
  <c r="I822" i="1"/>
  <c r="G822" i="1"/>
  <c r="E822" i="1"/>
  <c r="C822" i="1"/>
  <c r="R821" i="1"/>
  <c r="I821" i="1"/>
  <c r="G821" i="1"/>
  <c r="E821" i="1"/>
  <c r="C821" i="1"/>
  <c r="R820" i="1"/>
  <c r="I820" i="1"/>
  <c r="G820" i="1"/>
  <c r="E820" i="1"/>
  <c r="C820" i="1"/>
  <c r="R819" i="1"/>
  <c r="I819" i="1"/>
  <c r="G819" i="1"/>
  <c r="E819" i="1"/>
  <c r="C819" i="1"/>
  <c r="R818" i="1"/>
  <c r="I818" i="1"/>
  <c r="G818" i="1"/>
  <c r="E818" i="1"/>
  <c r="C818" i="1"/>
  <c r="R817" i="1"/>
  <c r="I817" i="1"/>
  <c r="G817" i="1"/>
  <c r="E817" i="1"/>
  <c r="C817" i="1"/>
  <c r="R816" i="1"/>
  <c r="I816" i="1"/>
  <c r="G816" i="1"/>
  <c r="E816" i="1"/>
  <c r="C816" i="1"/>
  <c r="R815" i="1"/>
  <c r="I815" i="1"/>
  <c r="G815" i="1"/>
  <c r="E815" i="1"/>
  <c r="C815" i="1"/>
  <c r="R814" i="1"/>
  <c r="I814" i="1"/>
  <c r="G814" i="1"/>
  <c r="E814" i="1"/>
  <c r="C814" i="1"/>
  <c r="R813" i="1"/>
  <c r="I813" i="1"/>
  <c r="G813" i="1"/>
  <c r="E813" i="1"/>
  <c r="C813" i="1"/>
  <c r="R812" i="1"/>
  <c r="I812" i="1"/>
  <c r="G812" i="1"/>
  <c r="E812" i="1"/>
  <c r="C812" i="1"/>
  <c r="R811" i="1"/>
  <c r="I811" i="1"/>
  <c r="G811" i="1"/>
  <c r="E811" i="1"/>
  <c r="C811" i="1"/>
  <c r="R810" i="1"/>
  <c r="I810" i="1"/>
  <c r="G810" i="1"/>
  <c r="E810" i="1"/>
  <c r="C810" i="1"/>
  <c r="R809" i="1"/>
  <c r="I809" i="1"/>
  <c r="G809" i="1"/>
  <c r="E809" i="1"/>
  <c r="C809" i="1"/>
  <c r="R808" i="1"/>
  <c r="I808" i="1"/>
  <c r="G808" i="1"/>
  <c r="E808" i="1"/>
  <c r="C808" i="1"/>
  <c r="R807" i="1"/>
  <c r="I807" i="1"/>
  <c r="G807" i="1"/>
  <c r="E807" i="1"/>
  <c r="C807" i="1"/>
  <c r="R806" i="1"/>
  <c r="I806" i="1"/>
  <c r="G806" i="1"/>
  <c r="E806" i="1"/>
  <c r="C806" i="1"/>
  <c r="R805" i="1"/>
  <c r="I805" i="1"/>
  <c r="G805" i="1"/>
  <c r="E805" i="1"/>
  <c r="C805" i="1"/>
  <c r="R804" i="1"/>
  <c r="I804" i="1"/>
  <c r="G804" i="1"/>
  <c r="E804" i="1"/>
  <c r="C804" i="1"/>
  <c r="R803" i="1"/>
  <c r="I803" i="1"/>
  <c r="G803" i="1"/>
  <c r="E803" i="1"/>
  <c r="C803" i="1"/>
  <c r="R802" i="1"/>
  <c r="I802" i="1"/>
  <c r="G802" i="1"/>
  <c r="E802" i="1"/>
  <c r="C802" i="1"/>
  <c r="R801" i="1"/>
  <c r="I801" i="1"/>
  <c r="G801" i="1"/>
  <c r="E801" i="1"/>
  <c r="C801" i="1"/>
  <c r="R800" i="1"/>
  <c r="I800" i="1"/>
  <c r="G800" i="1"/>
  <c r="E800" i="1"/>
  <c r="C800" i="1"/>
  <c r="R799" i="1"/>
  <c r="I799" i="1"/>
  <c r="G799" i="1"/>
  <c r="E799" i="1"/>
  <c r="C799" i="1"/>
  <c r="R798" i="1"/>
  <c r="I798" i="1"/>
  <c r="G798" i="1"/>
  <c r="E798" i="1"/>
  <c r="C798" i="1"/>
  <c r="R797" i="1"/>
  <c r="I797" i="1"/>
  <c r="G797" i="1"/>
  <c r="E797" i="1"/>
  <c r="C797" i="1"/>
  <c r="R796" i="1"/>
  <c r="I796" i="1"/>
  <c r="G796" i="1"/>
  <c r="E796" i="1"/>
  <c r="C796" i="1"/>
  <c r="R795" i="1"/>
  <c r="I795" i="1"/>
  <c r="G795" i="1"/>
  <c r="E795" i="1"/>
  <c r="C795" i="1"/>
  <c r="R794" i="1"/>
  <c r="I794" i="1"/>
  <c r="G794" i="1"/>
  <c r="E794" i="1"/>
  <c r="C794" i="1"/>
  <c r="R793" i="1"/>
  <c r="I793" i="1"/>
  <c r="G793" i="1"/>
  <c r="E793" i="1"/>
  <c r="C793" i="1"/>
  <c r="R792" i="1"/>
  <c r="I792" i="1"/>
  <c r="G792" i="1"/>
  <c r="E792" i="1"/>
  <c r="C792" i="1"/>
  <c r="R791" i="1"/>
  <c r="I791" i="1"/>
  <c r="G791" i="1"/>
  <c r="E791" i="1"/>
  <c r="C791" i="1"/>
  <c r="R790" i="1"/>
  <c r="I790" i="1"/>
  <c r="G790" i="1"/>
  <c r="E790" i="1"/>
  <c r="C790" i="1"/>
  <c r="R789" i="1"/>
  <c r="I789" i="1"/>
  <c r="G789" i="1"/>
  <c r="E789" i="1"/>
  <c r="C789" i="1"/>
  <c r="R788" i="1"/>
  <c r="I788" i="1"/>
  <c r="G788" i="1"/>
  <c r="E788" i="1"/>
  <c r="C788" i="1"/>
  <c r="R787" i="1"/>
  <c r="I787" i="1"/>
  <c r="G787" i="1"/>
  <c r="E787" i="1"/>
  <c r="C787" i="1"/>
  <c r="R786" i="1"/>
  <c r="I786" i="1"/>
  <c r="G786" i="1"/>
  <c r="E786" i="1"/>
  <c r="C786" i="1"/>
  <c r="R785" i="1"/>
  <c r="I785" i="1"/>
  <c r="G785" i="1"/>
  <c r="E785" i="1"/>
  <c r="C785" i="1"/>
  <c r="R784" i="1"/>
  <c r="I784" i="1"/>
  <c r="G784" i="1"/>
  <c r="E784" i="1"/>
  <c r="C784" i="1"/>
  <c r="R783" i="1"/>
  <c r="I783" i="1"/>
  <c r="G783" i="1"/>
  <c r="E783" i="1"/>
  <c r="C783" i="1"/>
  <c r="R782" i="1"/>
  <c r="I782" i="1"/>
  <c r="G782" i="1"/>
  <c r="E782" i="1"/>
  <c r="C782" i="1"/>
  <c r="R781" i="1"/>
  <c r="I781" i="1"/>
  <c r="G781" i="1"/>
  <c r="E781" i="1"/>
  <c r="C781" i="1"/>
  <c r="R780" i="1"/>
  <c r="I780" i="1"/>
  <c r="G780" i="1"/>
  <c r="E780" i="1"/>
  <c r="C780" i="1"/>
  <c r="R779" i="1"/>
  <c r="I779" i="1"/>
  <c r="G779" i="1"/>
  <c r="E779" i="1"/>
  <c r="C779" i="1"/>
  <c r="R778" i="1"/>
  <c r="I778" i="1"/>
  <c r="G778" i="1"/>
  <c r="E778" i="1"/>
  <c r="C778" i="1"/>
  <c r="R777" i="1"/>
  <c r="I777" i="1"/>
  <c r="G777" i="1"/>
  <c r="E777" i="1"/>
  <c r="C777" i="1"/>
  <c r="R776" i="1"/>
  <c r="I776" i="1"/>
  <c r="G776" i="1"/>
  <c r="E776" i="1"/>
  <c r="C776" i="1"/>
  <c r="R775" i="1"/>
  <c r="I775" i="1"/>
  <c r="G775" i="1"/>
  <c r="E775" i="1"/>
  <c r="C775" i="1"/>
  <c r="R774" i="1"/>
  <c r="I774" i="1"/>
  <c r="G774" i="1"/>
  <c r="E774" i="1"/>
  <c r="C774" i="1"/>
  <c r="R773" i="1"/>
  <c r="I773" i="1"/>
  <c r="G773" i="1"/>
  <c r="E773" i="1"/>
  <c r="C773" i="1"/>
  <c r="R772" i="1"/>
  <c r="I772" i="1"/>
  <c r="G772" i="1"/>
  <c r="E772" i="1"/>
  <c r="C772" i="1"/>
  <c r="R771" i="1"/>
  <c r="I771" i="1"/>
  <c r="G771" i="1"/>
  <c r="E771" i="1"/>
  <c r="C771" i="1"/>
  <c r="R770" i="1"/>
  <c r="I770" i="1"/>
  <c r="G770" i="1"/>
  <c r="E770" i="1"/>
  <c r="C770" i="1"/>
  <c r="R769" i="1"/>
  <c r="I769" i="1"/>
  <c r="G769" i="1"/>
  <c r="E769" i="1"/>
  <c r="C769" i="1"/>
  <c r="R768" i="1"/>
  <c r="I768" i="1"/>
  <c r="G768" i="1"/>
  <c r="E768" i="1"/>
  <c r="C768" i="1"/>
  <c r="R767" i="1"/>
  <c r="I767" i="1"/>
  <c r="G767" i="1"/>
  <c r="E767" i="1"/>
  <c r="C767" i="1"/>
  <c r="R766" i="1"/>
  <c r="I766" i="1"/>
  <c r="G766" i="1"/>
  <c r="E766" i="1"/>
  <c r="C766" i="1"/>
  <c r="R765" i="1"/>
  <c r="I765" i="1"/>
  <c r="G765" i="1"/>
  <c r="E765" i="1"/>
  <c r="C765" i="1"/>
  <c r="R764" i="1"/>
  <c r="I764" i="1"/>
  <c r="G764" i="1"/>
  <c r="E764" i="1"/>
  <c r="C764" i="1"/>
  <c r="R763" i="1"/>
  <c r="I763" i="1"/>
  <c r="G763" i="1"/>
  <c r="E763" i="1"/>
  <c r="C763" i="1"/>
  <c r="R762" i="1"/>
  <c r="I762" i="1"/>
  <c r="G762" i="1"/>
  <c r="E762" i="1"/>
  <c r="C762" i="1"/>
  <c r="R761" i="1"/>
  <c r="I761" i="1"/>
  <c r="G761" i="1"/>
  <c r="E761" i="1"/>
  <c r="C761" i="1"/>
  <c r="R760" i="1"/>
  <c r="I760" i="1"/>
  <c r="G760" i="1"/>
  <c r="E760" i="1"/>
  <c r="C760" i="1"/>
  <c r="R759" i="1"/>
  <c r="I759" i="1"/>
  <c r="G759" i="1"/>
  <c r="E759" i="1"/>
  <c r="C759" i="1"/>
  <c r="R758" i="1"/>
  <c r="I758" i="1"/>
  <c r="G758" i="1"/>
  <c r="E758" i="1"/>
  <c r="C758" i="1"/>
  <c r="R757" i="1"/>
  <c r="I757" i="1"/>
  <c r="G757" i="1"/>
  <c r="E757" i="1"/>
  <c r="C757" i="1"/>
  <c r="R756" i="1"/>
  <c r="I756" i="1"/>
  <c r="G756" i="1"/>
  <c r="E756" i="1"/>
  <c r="C756" i="1"/>
  <c r="R755" i="1"/>
  <c r="I755" i="1"/>
  <c r="G755" i="1"/>
  <c r="E755" i="1"/>
  <c r="C755" i="1"/>
  <c r="R754" i="1"/>
  <c r="I754" i="1"/>
  <c r="G754" i="1"/>
  <c r="E754" i="1"/>
  <c r="C754" i="1"/>
  <c r="R753" i="1"/>
  <c r="I753" i="1"/>
  <c r="G753" i="1"/>
  <c r="E753" i="1"/>
  <c r="C753" i="1"/>
  <c r="R752" i="1"/>
  <c r="I752" i="1"/>
  <c r="G752" i="1"/>
  <c r="E752" i="1"/>
  <c r="C752" i="1"/>
  <c r="R751" i="1"/>
  <c r="I751" i="1"/>
  <c r="G751" i="1"/>
  <c r="E751" i="1"/>
  <c r="C751" i="1"/>
  <c r="R750" i="1"/>
  <c r="I750" i="1"/>
  <c r="G750" i="1"/>
  <c r="E750" i="1"/>
  <c r="C750" i="1"/>
  <c r="R749" i="1"/>
  <c r="I749" i="1"/>
  <c r="G749" i="1"/>
  <c r="E749" i="1"/>
  <c r="C749" i="1"/>
  <c r="R748" i="1"/>
  <c r="I748" i="1"/>
  <c r="G748" i="1"/>
  <c r="E748" i="1"/>
  <c r="C748" i="1"/>
  <c r="R747" i="1"/>
  <c r="I747" i="1"/>
  <c r="G747" i="1"/>
  <c r="E747" i="1"/>
  <c r="C747" i="1"/>
  <c r="R746" i="1"/>
  <c r="I746" i="1"/>
  <c r="G746" i="1"/>
  <c r="E746" i="1"/>
  <c r="C746" i="1"/>
  <c r="R745" i="1"/>
  <c r="I745" i="1"/>
  <c r="G745" i="1"/>
  <c r="E745" i="1"/>
  <c r="C745" i="1"/>
  <c r="R744" i="1"/>
  <c r="I744" i="1"/>
  <c r="G744" i="1"/>
  <c r="E744" i="1"/>
  <c r="C744" i="1"/>
  <c r="R743" i="1"/>
  <c r="I743" i="1"/>
  <c r="G743" i="1"/>
  <c r="E743" i="1"/>
  <c r="C743" i="1"/>
  <c r="R742" i="1"/>
  <c r="I742" i="1"/>
  <c r="G742" i="1"/>
  <c r="E742" i="1"/>
  <c r="C742" i="1"/>
  <c r="R741" i="1"/>
  <c r="I741" i="1"/>
  <c r="G741" i="1"/>
  <c r="E741" i="1"/>
  <c r="C741" i="1"/>
  <c r="R740" i="1"/>
  <c r="I740" i="1"/>
  <c r="G740" i="1"/>
  <c r="E740" i="1"/>
  <c r="C740" i="1"/>
  <c r="R739" i="1"/>
  <c r="I739" i="1"/>
  <c r="G739" i="1"/>
  <c r="E739" i="1"/>
  <c r="C739" i="1"/>
  <c r="R738" i="1"/>
  <c r="I738" i="1"/>
  <c r="G738" i="1"/>
  <c r="E738" i="1"/>
  <c r="C738" i="1"/>
  <c r="R737" i="1"/>
  <c r="I737" i="1"/>
  <c r="G737" i="1"/>
  <c r="E737" i="1"/>
  <c r="C737" i="1"/>
  <c r="R736" i="1"/>
  <c r="I736" i="1"/>
  <c r="G736" i="1"/>
  <c r="E736" i="1"/>
  <c r="C736" i="1"/>
  <c r="R735" i="1"/>
  <c r="I735" i="1"/>
  <c r="G735" i="1"/>
  <c r="E735" i="1"/>
  <c r="C735" i="1"/>
  <c r="R734" i="1"/>
  <c r="I734" i="1"/>
  <c r="G734" i="1"/>
  <c r="E734" i="1"/>
  <c r="C734" i="1"/>
  <c r="R733" i="1"/>
  <c r="I733" i="1"/>
  <c r="G733" i="1"/>
  <c r="E733" i="1"/>
  <c r="C733" i="1"/>
  <c r="R732" i="1"/>
  <c r="I732" i="1"/>
  <c r="G732" i="1"/>
  <c r="E732" i="1"/>
  <c r="C732" i="1"/>
  <c r="R731" i="1"/>
  <c r="I731" i="1"/>
  <c r="G731" i="1"/>
  <c r="E731" i="1"/>
  <c r="C731" i="1"/>
  <c r="R730" i="1"/>
  <c r="I730" i="1"/>
  <c r="G730" i="1"/>
  <c r="E730" i="1"/>
  <c r="C730" i="1"/>
  <c r="R729" i="1"/>
  <c r="I729" i="1"/>
  <c r="G729" i="1"/>
  <c r="E729" i="1"/>
  <c r="C729" i="1"/>
  <c r="R728" i="1"/>
  <c r="I728" i="1"/>
  <c r="G728" i="1"/>
  <c r="E728" i="1"/>
  <c r="C728" i="1"/>
  <c r="R727" i="1"/>
  <c r="I727" i="1"/>
  <c r="G727" i="1"/>
  <c r="E727" i="1"/>
  <c r="C727" i="1"/>
  <c r="R726" i="1"/>
  <c r="I726" i="1"/>
  <c r="G726" i="1"/>
  <c r="E726" i="1"/>
  <c r="C726" i="1"/>
  <c r="R725" i="1"/>
  <c r="I725" i="1"/>
  <c r="G725" i="1"/>
  <c r="E725" i="1"/>
  <c r="C725" i="1"/>
  <c r="R724" i="1"/>
  <c r="I724" i="1"/>
  <c r="G724" i="1"/>
  <c r="E724" i="1"/>
  <c r="C724" i="1"/>
  <c r="R723" i="1"/>
  <c r="I723" i="1"/>
  <c r="G723" i="1"/>
  <c r="E723" i="1"/>
  <c r="C723" i="1"/>
  <c r="R722" i="1"/>
  <c r="I722" i="1"/>
  <c r="G722" i="1"/>
  <c r="E722" i="1"/>
  <c r="C722" i="1"/>
  <c r="R721" i="1"/>
  <c r="I721" i="1"/>
  <c r="G721" i="1"/>
  <c r="E721" i="1"/>
  <c r="C721" i="1"/>
  <c r="R720" i="1"/>
  <c r="I720" i="1"/>
  <c r="G720" i="1"/>
  <c r="E720" i="1"/>
  <c r="C720" i="1"/>
  <c r="R719" i="1"/>
  <c r="I719" i="1"/>
  <c r="G719" i="1"/>
  <c r="E719" i="1"/>
  <c r="C719" i="1"/>
  <c r="R718" i="1"/>
  <c r="I718" i="1"/>
  <c r="G718" i="1"/>
  <c r="E718" i="1"/>
  <c r="C718" i="1"/>
  <c r="R717" i="1"/>
  <c r="I717" i="1"/>
  <c r="G717" i="1"/>
  <c r="E717" i="1"/>
  <c r="C717" i="1"/>
  <c r="R716" i="1"/>
  <c r="I716" i="1"/>
  <c r="G716" i="1"/>
  <c r="E716" i="1"/>
  <c r="C716" i="1"/>
  <c r="R715" i="1"/>
  <c r="I715" i="1"/>
  <c r="G715" i="1"/>
  <c r="E715" i="1"/>
  <c r="C715" i="1"/>
  <c r="R714" i="1"/>
  <c r="I714" i="1"/>
  <c r="G714" i="1"/>
  <c r="E714" i="1"/>
  <c r="C714" i="1"/>
  <c r="R713" i="1"/>
  <c r="I713" i="1"/>
  <c r="G713" i="1"/>
  <c r="E713" i="1"/>
  <c r="C713" i="1"/>
  <c r="R712" i="1"/>
  <c r="I712" i="1"/>
  <c r="G712" i="1"/>
  <c r="E712" i="1"/>
  <c r="C712" i="1"/>
  <c r="R711" i="1"/>
  <c r="I711" i="1"/>
  <c r="G711" i="1"/>
  <c r="E711" i="1"/>
  <c r="C711" i="1"/>
  <c r="R710" i="1"/>
  <c r="I710" i="1"/>
  <c r="G710" i="1"/>
  <c r="E710" i="1"/>
  <c r="C710" i="1"/>
  <c r="R709" i="1"/>
  <c r="I709" i="1"/>
  <c r="G709" i="1"/>
  <c r="E709" i="1"/>
  <c r="C709" i="1"/>
  <c r="R708" i="1"/>
  <c r="I708" i="1"/>
  <c r="G708" i="1"/>
  <c r="E708" i="1"/>
  <c r="C708" i="1"/>
  <c r="R707" i="1"/>
  <c r="I707" i="1"/>
  <c r="G707" i="1"/>
  <c r="E707" i="1"/>
  <c r="C707" i="1"/>
  <c r="R706" i="1"/>
  <c r="I706" i="1"/>
  <c r="G706" i="1"/>
  <c r="E706" i="1"/>
  <c r="C706" i="1"/>
  <c r="R705" i="1"/>
  <c r="I705" i="1"/>
  <c r="G705" i="1"/>
  <c r="E705" i="1"/>
  <c r="C705" i="1"/>
  <c r="R704" i="1"/>
  <c r="I704" i="1"/>
  <c r="G704" i="1"/>
  <c r="E704" i="1"/>
  <c r="C704" i="1"/>
  <c r="R703" i="1"/>
  <c r="I703" i="1"/>
  <c r="G703" i="1"/>
  <c r="E703" i="1"/>
  <c r="C703" i="1"/>
  <c r="R702" i="1"/>
  <c r="I702" i="1"/>
  <c r="G702" i="1"/>
  <c r="E702" i="1"/>
  <c r="C702" i="1"/>
  <c r="R701" i="1"/>
  <c r="I701" i="1"/>
  <c r="G701" i="1"/>
  <c r="E701" i="1"/>
  <c r="C701" i="1"/>
  <c r="R700" i="1"/>
  <c r="I700" i="1"/>
  <c r="G700" i="1"/>
  <c r="E700" i="1"/>
  <c r="C700" i="1"/>
  <c r="R699" i="1"/>
  <c r="I699" i="1"/>
  <c r="G699" i="1"/>
  <c r="E699" i="1"/>
  <c r="C699" i="1"/>
  <c r="R698" i="1"/>
  <c r="I698" i="1"/>
  <c r="G698" i="1"/>
  <c r="E698" i="1"/>
  <c r="C698" i="1"/>
  <c r="R697" i="1"/>
  <c r="I697" i="1"/>
  <c r="G697" i="1"/>
  <c r="E697" i="1"/>
  <c r="C697" i="1"/>
  <c r="R696" i="1"/>
  <c r="I696" i="1"/>
  <c r="G696" i="1"/>
  <c r="E696" i="1"/>
  <c r="C696" i="1"/>
  <c r="R695" i="1"/>
  <c r="I695" i="1"/>
  <c r="G695" i="1"/>
  <c r="E695" i="1"/>
  <c r="C695" i="1"/>
  <c r="R694" i="1"/>
  <c r="I694" i="1"/>
  <c r="G694" i="1"/>
  <c r="E694" i="1"/>
  <c r="C694" i="1"/>
  <c r="R693" i="1"/>
  <c r="I693" i="1"/>
  <c r="G693" i="1"/>
  <c r="E693" i="1"/>
  <c r="C693" i="1"/>
  <c r="R692" i="1"/>
  <c r="I692" i="1"/>
  <c r="G692" i="1"/>
  <c r="E692" i="1"/>
  <c r="C692" i="1"/>
  <c r="R691" i="1"/>
  <c r="I691" i="1"/>
  <c r="G691" i="1"/>
  <c r="E691" i="1"/>
  <c r="C691" i="1"/>
  <c r="R690" i="1"/>
  <c r="I690" i="1"/>
  <c r="G690" i="1"/>
  <c r="E690" i="1"/>
  <c r="C690" i="1"/>
  <c r="R689" i="1"/>
  <c r="I689" i="1"/>
  <c r="G689" i="1"/>
  <c r="E689" i="1"/>
  <c r="C689" i="1"/>
  <c r="R688" i="1"/>
  <c r="I688" i="1"/>
  <c r="G688" i="1"/>
  <c r="E688" i="1"/>
  <c r="C688" i="1"/>
  <c r="R687" i="1"/>
  <c r="I687" i="1"/>
  <c r="G687" i="1"/>
  <c r="E687" i="1"/>
  <c r="C687" i="1"/>
  <c r="R686" i="1"/>
  <c r="I686" i="1"/>
  <c r="G686" i="1"/>
  <c r="E686" i="1"/>
  <c r="C686" i="1"/>
  <c r="R685" i="1"/>
  <c r="I685" i="1"/>
  <c r="G685" i="1"/>
  <c r="E685" i="1"/>
  <c r="C685" i="1"/>
  <c r="R684" i="1"/>
  <c r="I684" i="1"/>
  <c r="G684" i="1"/>
  <c r="E684" i="1"/>
  <c r="C684" i="1"/>
  <c r="R683" i="1"/>
  <c r="I683" i="1"/>
  <c r="G683" i="1"/>
  <c r="E683" i="1"/>
  <c r="C683" i="1"/>
  <c r="R682" i="1"/>
  <c r="I682" i="1"/>
  <c r="G682" i="1"/>
  <c r="E682" i="1"/>
  <c r="C682" i="1"/>
  <c r="R681" i="1"/>
  <c r="I681" i="1"/>
  <c r="G681" i="1"/>
  <c r="E681" i="1"/>
  <c r="C681" i="1"/>
  <c r="R680" i="1"/>
  <c r="I680" i="1"/>
  <c r="G680" i="1"/>
  <c r="E680" i="1"/>
  <c r="C680" i="1"/>
  <c r="R679" i="1"/>
  <c r="I679" i="1"/>
  <c r="G679" i="1"/>
  <c r="E679" i="1"/>
  <c r="C679" i="1"/>
  <c r="R678" i="1"/>
  <c r="I678" i="1"/>
  <c r="G678" i="1"/>
  <c r="E678" i="1"/>
  <c r="C678" i="1"/>
  <c r="R677" i="1"/>
  <c r="I677" i="1"/>
  <c r="G677" i="1"/>
  <c r="E677" i="1"/>
  <c r="C677" i="1"/>
  <c r="R676" i="1"/>
  <c r="I676" i="1"/>
  <c r="G676" i="1"/>
  <c r="E676" i="1"/>
  <c r="C676" i="1"/>
  <c r="R675" i="1"/>
  <c r="I675" i="1"/>
  <c r="G675" i="1"/>
  <c r="E675" i="1"/>
  <c r="C675" i="1"/>
  <c r="R674" i="1"/>
  <c r="I674" i="1"/>
  <c r="G674" i="1"/>
  <c r="E674" i="1"/>
  <c r="C674" i="1"/>
  <c r="R673" i="1"/>
  <c r="I673" i="1"/>
  <c r="G673" i="1"/>
  <c r="E673" i="1"/>
  <c r="C673" i="1"/>
  <c r="R672" i="1"/>
  <c r="I672" i="1"/>
  <c r="G672" i="1"/>
  <c r="E672" i="1"/>
  <c r="C672" i="1"/>
  <c r="R671" i="1"/>
  <c r="I671" i="1"/>
  <c r="G671" i="1"/>
  <c r="E671" i="1"/>
  <c r="C671" i="1"/>
  <c r="R670" i="1"/>
  <c r="I670" i="1"/>
  <c r="G670" i="1"/>
  <c r="E670" i="1"/>
  <c r="C670" i="1"/>
  <c r="R669" i="1"/>
  <c r="I669" i="1"/>
  <c r="G669" i="1"/>
  <c r="E669" i="1"/>
  <c r="C669" i="1"/>
  <c r="R668" i="1"/>
  <c r="I668" i="1"/>
  <c r="G668" i="1"/>
  <c r="E668" i="1"/>
  <c r="C668" i="1"/>
  <c r="R667" i="1"/>
  <c r="I667" i="1"/>
  <c r="G667" i="1"/>
  <c r="E667" i="1"/>
  <c r="C667" i="1"/>
  <c r="R666" i="1"/>
  <c r="I666" i="1"/>
  <c r="G666" i="1"/>
  <c r="E666" i="1"/>
  <c r="C666" i="1"/>
  <c r="R665" i="1"/>
  <c r="I665" i="1"/>
  <c r="G665" i="1"/>
  <c r="E665" i="1"/>
  <c r="C665" i="1"/>
  <c r="R664" i="1"/>
  <c r="I664" i="1"/>
  <c r="G664" i="1"/>
  <c r="E664" i="1"/>
  <c r="C664" i="1"/>
  <c r="R663" i="1"/>
  <c r="I663" i="1"/>
  <c r="G663" i="1"/>
  <c r="E663" i="1"/>
  <c r="C663" i="1"/>
  <c r="R662" i="1"/>
  <c r="I662" i="1"/>
  <c r="G662" i="1"/>
  <c r="E662" i="1"/>
  <c r="C662" i="1"/>
  <c r="R661" i="1"/>
  <c r="I661" i="1"/>
  <c r="G661" i="1"/>
  <c r="E661" i="1"/>
  <c r="C661" i="1"/>
  <c r="R660" i="1"/>
  <c r="I660" i="1"/>
  <c r="G660" i="1"/>
  <c r="E660" i="1"/>
  <c r="C660" i="1"/>
  <c r="R659" i="1"/>
  <c r="I659" i="1"/>
  <c r="G659" i="1"/>
  <c r="E659" i="1"/>
  <c r="C659" i="1"/>
  <c r="R658" i="1"/>
  <c r="I658" i="1"/>
  <c r="G658" i="1"/>
  <c r="E658" i="1"/>
  <c r="C658" i="1"/>
  <c r="R657" i="1"/>
  <c r="I657" i="1"/>
  <c r="G657" i="1"/>
  <c r="E657" i="1"/>
  <c r="C657" i="1"/>
  <c r="R656" i="1"/>
  <c r="I656" i="1"/>
  <c r="G656" i="1"/>
  <c r="E656" i="1"/>
  <c r="C656" i="1"/>
  <c r="R655" i="1"/>
  <c r="I655" i="1"/>
  <c r="G655" i="1"/>
  <c r="E655" i="1"/>
  <c r="C655" i="1"/>
  <c r="R654" i="1"/>
  <c r="I654" i="1"/>
  <c r="G654" i="1"/>
  <c r="E654" i="1"/>
  <c r="C654" i="1"/>
  <c r="R653" i="1"/>
  <c r="I653" i="1"/>
  <c r="G653" i="1"/>
  <c r="E653" i="1"/>
  <c r="C653" i="1"/>
  <c r="R652" i="1"/>
  <c r="I652" i="1"/>
  <c r="G652" i="1"/>
  <c r="E652" i="1"/>
  <c r="C652" i="1"/>
  <c r="R651" i="1"/>
  <c r="I651" i="1"/>
  <c r="G651" i="1"/>
  <c r="E651" i="1"/>
  <c r="C651" i="1"/>
  <c r="R650" i="1"/>
  <c r="I650" i="1"/>
  <c r="G650" i="1"/>
  <c r="E650" i="1"/>
  <c r="C650" i="1"/>
  <c r="R649" i="1"/>
  <c r="I649" i="1"/>
  <c r="G649" i="1"/>
  <c r="E649" i="1"/>
  <c r="C649" i="1"/>
  <c r="R648" i="1"/>
  <c r="I648" i="1"/>
  <c r="G648" i="1"/>
  <c r="E648" i="1"/>
  <c r="C648" i="1"/>
  <c r="R647" i="1"/>
  <c r="I647" i="1"/>
  <c r="G647" i="1"/>
  <c r="E647" i="1"/>
  <c r="C647" i="1"/>
  <c r="R646" i="1"/>
  <c r="I646" i="1"/>
  <c r="G646" i="1"/>
  <c r="E646" i="1"/>
  <c r="C646" i="1"/>
  <c r="R645" i="1"/>
  <c r="I645" i="1"/>
  <c r="G645" i="1"/>
  <c r="E645" i="1"/>
  <c r="C645" i="1"/>
  <c r="R644" i="1"/>
  <c r="I644" i="1"/>
  <c r="G644" i="1"/>
  <c r="E644" i="1"/>
  <c r="C644" i="1"/>
  <c r="R643" i="1"/>
  <c r="I643" i="1"/>
  <c r="G643" i="1"/>
  <c r="E643" i="1"/>
  <c r="C643" i="1"/>
  <c r="R642" i="1"/>
  <c r="I642" i="1"/>
  <c r="G642" i="1"/>
  <c r="E642" i="1"/>
  <c r="C642" i="1"/>
  <c r="R641" i="1"/>
  <c r="I641" i="1"/>
  <c r="G641" i="1"/>
  <c r="E641" i="1"/>
  <c r="C641" i="1"/>
  <c r="R640" i="1"/>
  <c r="I640" i="1"/>
  <c r="G640" i="1"/>
  <c r="E640" i="1"/>
  <c r="C640" i="1"/>
  <c r="R639" i="1"/>
  <c r="I639" i="1"/>
  <c r="G639" i="1"/>
  <c r="E639" i="1"/>
  <c r="C639" i="1"/>
  <c r="R638" i="1"/>
  <c r="I638" i="1"/>
  <c r="G638" i="1"/>
  <c r="E638" i="1"/>
  <c r="C638" i="1"/>
  <c r="R637" i="1"/>
  <c r="I637" i="1"/>
  <c r="G637" i="1"/>
  <c r="E637" i="1"/>
  <c r="C637" i="1"/>
  <c r="R636" i="1"/>
  <c r="I636" i="1"/>
  <c r="G636" i="1"/>
  <c r="E636" i="1"/>
  <c r="C636" i="1"/>
  <c r="R635" i="1"/>
  <c r="I635" i="1"/>
  <c r="G635" i="1"/>
  <c r="E635" i="1"/>
  <c r="C635" i="1"/>
  <c r="R634" i="1"/>
  <c r="I634" i="1"/>
  <c r="G634" i="1"/>
  <c r="E634" i="1"/>
  <c r="C634" i="1"/>
  <c r="R633" i="1"/>
  <c r="I633" i="1"/>
  <c r="G633" i="1"/>
  <c r="E633" i="1"/>
  <c r="C633" i="1"/>
  <c r="R632" i="1"/>
  <c r="I632" i="1"/>
  <c r="G632" i="1"/>
  <c r="E632" i="1"/>
  <c r="C632" i="1"/>
  <c r="R631" i="1"/>
  <c r="I631" i="1"/>
  <c r="G631" i="1"/>
  <c r="E631" i="1"/>
  <c r="C631" i="1"/>
  <c r="R630" i="1"/>
  <c r="I630" i="1"/>
  <c r="G630" i="1"/>
  <c r="E630" i="1"/>
  <c r="C630" i="1"/>
  <c r="R629" i="1"/>
  <c r="I629" i="1"/>
  <c r="G629" i="1"/>
  <c r="E629" i="1"/>
  <c r="C629" i="1"/>
  <c r="R628" i="1"/>
  <c r="I628" i="1"/>
  <c r="G628" i="1"/>
  <c r="E628" i="1"/>
  <c r="C628" i="1"/>
  <c r="R627" i="1"/>
  <c r="I627" i="1"/>
  <c r="G627" i="1"/>
  <c r="E627" i="1"/>
  <c r="C627" i="1"/>
  <c r="R626" i="1"/>
  <c r="I626" i="1"/>
  <c r="G626" i="1"/>
  <c r="E626" i="1"/>
  <c r="C626" i="1"/>
  <c r="R625" i="1"/>
  <c r="I625" i="1"/>
  <c r="G625" i="1"/>
  <c r="E625" i="1"/>
  <c r="C625" i="1"/>
  <c r="R624" i="1"/>
  <c r="I624" i="1"/>
  <c r="G624" i="1"/>
  <c r="E624" i="1"/>
  <c r="C624" i="1"/>
  <c r="R623" i="1"/>
  <c r="I623" i="1"/>
  <c r="G623" i="1"/>
  <c r="E623" i="1"/>
  <c r="C623" i="1"/>
  <c r="R622" i="1"/>
  <c r="I622" i="1"/>
  <c r="G622" i="1"/>
  <c r="E622" i="1"/>
  <c r="C622" i="1"/>
  <c r="R621" i="1"/>
  <c r="I621" i="1"/>
  <c r="G621" i="1"/>
  <c r="E621" i="1"/>
  <c r="C621" i="1"/>
  <c r="R620" i="1"/>
  <c r="I620" i="1"/>
  <c r="G620" i="1"/>
  <c r="E620" i="1"/>
  <c r="C620" i="1"/>
  <c r="R619" i="1"/>
  <c r="I619" i="1"/>
  <c r="G619" i="1"/>
  <c r="E619" i="1"/>
  <c r="C619" i="1"/>
  <c r="R618" i="1"/>
  <c r="I618" i="1"/>
  <c r="G618" i="1"/>
  <c r="E618" i="1"/>
  <c r="C618" i="1"/>
  <c r="R617" i="1"/>
  <c r="I617" i="1"/>
  <c r="G617" i="1"/>
  <c r="E617" i="1"/>
  <c r="C617" i="1"/>
  <c r="R616" i="1"/>
  <c r="I616" i="1"/>
  <c r="G616" i="1"/>
  <c r="E616" i="1"/>
  <c r="C616" i="1"/>
  <c r="R615" i="1"/>
  <c r="I615" i="1"/>
  <c r="G615" i="1"/>
  <c r="E615" i="1"/>
  <c r="C615" i="1"/>
  <c r="R614" i="1"/>
  <c r="I614" i="1"/>
  <c r="G614" i="1"/>
  <c r="E614" i="1"/>
  <c r="C614" i="1"/>
  <c r="R613" i="1"/>
  <c r="I613" i="1"/>
  <c r="G613" i="1"/>
  <c r="E613" i="1"/>
  <c r="C613" i="1"/>
  <c r="R612" i="1"/>
  <c r="I612" i="1"/>
  <c r="G612" i="1"/>
  <c r="E612" i="1"/>
  <c r="C612" i="1"/>
  <c r="R611" i="1"/>
  <c r="I611" i="1"/>
  <c r="G611" i="1"/>
  <c r="E611" i="1"/>
  <c r="C611" i="1"/>
  <c r="R610" i="1"/>
  <c r="I610" i="1"/>
  <c r="G610" i="1"/>
  <c r="E610" i="1"/>
  <c r="C610" i="1"/>
  <c r="R609" i="1"/>
  <c r="I609" i="1"/>
  <c r="G609" i="1"/>
  <c r="E609" i="1"/>
  <c r="C609" i="1"/>
  <c r="R608" i="1"/>
  <c r="I608" i="1"/>
  <c r="G608" i="1"/>
  <c r="E608" i="1"/>
  <c r="C608" i="1"/>
  <c r="R607" i="1"/>
  <c r="I607" i="1"/>
  <c r="G607" i="1"/>
  <c r="E607" i="1"/>
  <c r="C607" i="1"/>
  <c r="R606" i="1"/>
  <c r="I606" i="1"/>
  <c r="G606" i="1"/>
  <c r="E606" i="1"/>
  <c r="C606" i="1"/>
  <c r="R605" i="1"/>
  <c r="I605" i="1"/>
  <c r="G605" i="1"/>
  <c r="E605" i="1"/>
  <c r="C605" i="1"/>
  <c r="R604" i="1"/>
  <c r="I604" i="1"/>
  <c r="G604" i="1"/>
  <c r="E604" i="1"/>
  <c r="C604" i="1"/>
  <c r="R603" i="1"/>
  <c r="I603" i="1"/>
  <c r="G603" i="1"/>
  <c r="E603" i="1"/>
  <c r="C603" i="1"/>
  <c r="R602" i="1"/>
  <c r="I602" i="1"/>
  <c r="G602" i="1"/>
  <c r="E602" i="1"/>
  <c r="C602" i="1"/>
  <c r="R601" i="1"/>
  <c r="I601" i="1"/>
  <c r="G601" i="1"/>
  <c r="E601" i="1"/>
  <c r="C601" i="1"/>
  <c r="R600" i="1"/>
  <c r="I600" i="1"/>
  <c r="G600" i="1"/>
  <c r="E600" i="1"/>
  <c r="C600" i="1"/>
  <c r="R599" i="1"/>
  <c r="I599" i="1"/>
  <c r="G599" i="1"/>
  <c r="E599" i="1"/>
  <c r="C599" i="1"/>
  <c r="R598" i="1"/>
  <c r="I598" i="1"/>
  <c r="G598" i="1"/>
  <c r="E598" i="1"/>
  <c r="C598" i="1"/>
  <c r="R597" i="1"/>
  <c r="I597" i="1"/>
  <c r="G597" i="1"/>
  <c r="E597" i="1"/>
  <c r="C597" i="1"/>
  <c r="R596" i="1"/>
  <c r="I596" i="1"/>
  <c r="G596" i="1"/>
  <c r="E596" i="1"/>
  <c r="C596" i="1"/>
  <c r="R595" i="1"/>
  <c r="I595" i="1"/>
  <c r="G595" i="1"/>
  <c r="E595" i="1"/>
  <c r="C595" i="1"/>
  <c r="R594" i="1"/>
  <c r="I594" i="1"/>
  <c r="G594" i="1"/>
  <c r="E594" i="1"/>
  <c r="C594" i="1"/>
  <c r="R593" i="1"/>
  <c r="I593" i="1"/>
  <c r="G593" i="1"/>
  <c r="E593" i="1"/>
  <c r="C593" i="1"/>
  <c r="R592" i="1"/>
  <c r="I592" i="1"/>
  <c r="G592" i="1"/>
  <c r="E592" i="1"/>
  <c r="C592" i="1"/>
  <c r="R591" i="1"/>
  <c r="I591" i="1"/>
  <c r="G591" i="1"/>
  <c r="E591" i="1"/>
  <c r="C591" i="1"/>
  <c r="R590" i="1"/>
  <c r="I590" i="1"/>
  <c r="G590" i="1"/>
  <c r="E590" i="1"/>
  <c r="C590" i="1"/>
  <c r="R589" i="1"/>
  <c r="I589" i="1"/>
  <c r="G589" i="1"/>
  <c r="E589" i="1"/>
  <c r="C589" i="1"/>
  <c r="R588" i="1"/>
  <c r="I588" i="1"/>
  <c r="G588" i="1"/>
  <c r="E588" i="1"/>
  <c r="C588" i="1"/>
  <c r="R587" i="1"/>
  <c r="I587" i="1"/>
  <c r="G587" i="1"/>
  <c r="E587" i="1"/>
  <c r="C587" i="1"/>
  <c r="R586" i="1"/>
  <c r="I586" i="1"/>
  <c r="G586" i="1"/>
  <c r="E586" i="1"/>
  <c r="C586" i="1"/>
  <c r="R585" i="1"/>
  <c r="I585" i="1"/>
  <c r="G585" i="1"/>
  <c r="E585" i="1"/>
  <c r="C585" i="1"/>
  <c r="R584" i="1"/>
  <c r="I584" i="1"/>
  <c r="G584" i="1"/>
  <c r="E584" i="1"/>
  <c r="C584" i="1"/>
  <c r="R583" i="1"/>
  <c r="I583" i="1"/>
  <c r="G583" i="1"/>
  <c r="E583" i="1"/>
  <c r="C583" i="1"/>
  <c r="R582" i="1"/>
  <c r="I582" i="1"/>
  <c r="G582" i="1"/>
  <c r="E582" i="1"/>
  <c r="C582" i="1"/>
  <c r="R581" i="1"/>
  <c r="I581" i="1"/>
  <c r="G581" i="1"/>
  <c r="E581" i="1"/>
  <c r="C581" i="1"/>
  <c r="R580" i="1"/>
  <c r="I580" i="1"/>
  <c r="G580" i="1"/>
  <c r="E580" i="1"/>
  <c r="C580" i="1"/>
  <c r="R579" i="1"/>
  <c r="I579" i="1"/>
  <c r="G579" i="1"/>
  <c r="E579" i="1"/>
  <c r="C579" i="1"/>
  <c r="R578" i="1"/>
  <c r="I578" i="1"/>
  <c r="G578" i="1"/>
  <c r="E578" i="1"/>
  <c r="C578" i="1"/>
  <c r="R577" i="1"/>
  <c r="I577" i="1"/>
  <c r="G577" i="1"/>
  <c r="E577" i="1"/>
  <c r="C577" i="1"/>
  <c r="R576" i="1"/>
  <c r="I576" i="1"/>
  <c r="G576" i="1"/>
  <c r="E576" i="1"/>
  <c r="C576" i="1"/>
  <c r="R575" i="1"/>
  <c r="I575" i="1"/>
  <c r="G575" i="1"/>
  <c r="E575" i="1"/>
  <c r="C575" i="1"/>
  <c r="R574" i="1"/>
  <c r="I574" i="1"/>
  <c r="G574" i="1"/>
  <c r="E574" i="1"/>
  <c r="C574" i="1"/>
  <c r="R573" i="1"/>
  <c r="I573" i="1"/>
  <c r="G573" i="1"/>
  <c r="E573" i="1"/>
  <c r="C573" i="1"/>
  <c r="R572" i="1"/>
  <c r="I572" i="1"/>
  <c r="G572" i="1"/>
  <c r="E572" i="1"/>
  <c r="C572" i="1"/>
  <c r="R571" i="1"/>
  <c r="I571" i="1"/>
  <c r="G571" i="1"/>
  <c r="E571" i="1"/>
  <c r="C571" i="1"/>
  <c r="R570" i="1"/>
  <c r="I570" i="1"/>
  <c r="G570" i="1"/>
  <c r="E570" i="1"/>
  <c r="C570" i="1"/>
  <c r="R569" i="1"/>
  <c r="I569" i="1"/>
  <c r="G569" i="1"/>
  <c r="E569" i="1"/>
  <c r="C569" i="1"/>
  <c r="R568" i="1"/>
  <c r="I568" i="1"/>
  <c r="G568" i="1"/>
  <c r="E568" i="1"/>
  <c r="C568" i="1"/>
  <c r="R567" i="1"/>
  <c r="I567" i="1"/>
  <c r="G567" i="1"/>
  <c r="E567" i="1"/>
  <c r="C567" i="1"/>
  <c r="R566" i="1"/>
  <c r="I566" i="1"/>
  <c r="G566" i="1"/>
  <c r="E566" i="1"/>
  <c r="C566" i="1"/>
  <c r="R565" i="1"/>
  <c r="I565" i="1"/>
  <c r="G565" i="1"/>
  <c r="E565" i="1"/>
  <c r="C565" i="1"/>
  <c r="R564" i="1"/>
  <c r="I564" i="1"/>
  <c r="G564" i="1"/>
  <c r="E564" i="1"/>
  <c r="C564" i="1"/>
  <c r="R563" i="1"/>
  <c r="I563" i="1"/>
  <c r="G563" i="1"/>
  <c r="E563" i="1"/>
  <c r="C563" i="1"/>
  <c r="R562" i="1"/>
  <c r="I562" i="1"/>
  <c r="G562" i="1"/>
  <c r="E562" i="1"/>
  <c r="C562" i="1"/>
  <c r="R561" i="1"/>
  <c r="I561" i="1"/>
  <c r="G561" i="1"/>
  <c r="E561" i="1"/>
  <c r="C561" i="1"/>
  <c r="R560" i="1"/>
  <c r="I560" i="1"/>
  <c r="G560" i="1"/>
  <c r="E560" i="1"/>
  <c r="C560" i="1"/>
  <c r="R559" i="1"/>
  <c r="I559" i="1"/>
  <c r="G559" i="1"/>
  <c r="E559" i="1"/>
  <c r="C559" i="1"/>
  <c r="R558" i="1"/>
  <c r="I558" i="1"/>
  <c r="G558" i="1"/>
  <c r="E558" i="1"/>
  <c r="C558" i="1"/>
  <c r="R557" i="1"/>
  <c r="I557" i="1"/>
  <c r="G557" i="1"/>
  <c r="E557" i="1"/>
  <c r="C557" i="1"/>
  <c r="R556" i="1"/>
  <c r="I556" i="1"/>
  <c r="G556" i="1"/>
  <c r="E556" i="1"/>
  <c r="C556" i="1"/>
  <c r="R555" i="1"/>
  <c r="I555" i="1"/>
  <c r="G555" i="1"/>
  <c r="E555" i="1"/>
  <c r="C555" i="1"/>
  <c r="R554" i="1"/>
  <c r="I554" i="1"/>
  <c r="G554" i="1"/>
  <c r="E554" i="1"/>
  <c r="C554" i="1"/>
  <c r="R553" i="1"/>
  <c r="I553" i="1"/>
  <c r="G553" i="1"/>
  <c r="E553" i="1"/>
  <c r="C553" i="1"/>
  <c r="R552" i="1"/>
  <c r="I552" i="1"/>
  <c r="G552" i="1"/>
  <c r="E552" i="1"/>
  <c r="C552" i="1"/>
  <c r="R551" i="1"/>
  <c r="I551" i="1"/>
  <c r="G551" i="1"/>
  <c r="E551" i="1"/>
  <c r="C551" i="1"/>
  <c r="R550" i="1"/>
  <c r="I550" i="1"/>
  <c r="G550" i="1"/>
  <c r="E550" i="1"/>
  <c r="C550" i="1"/>
  <c r="R549" i="1"/>
  <c r="I549" i="1"/>
  <c r="G549" i="1"/>
  <c r="E549" i="1"/>
  <c r="C549" i="1"/>
  <c r="R548" i="1"/>
  <c r="I548" i="1"/>
  <c r="G548" i="1"/>
  <c r="E548" i="1"/>
  <c r="C548" i="1"/>
  <c r="R547" i="1"/>
  <c r="I547" i="1"/>
  <c r="G547" i="1"/>
  <c r="E547" i="1"/>
  <c r="C547" i="1"/>
  <c r="R546" i="1"/>
  <c r="I546" i="1"/>
  <c r="G546" i="1"/>
  <c r="E546" i="1"/>
  <c r="C546" i="1"/>
  <c r="R545" i="1"/>
  <c r="I545" i="1"/>
  <c r="G545" i="1"/>
  <c r="E545" i="1"/>
  <c r="C545" i="1"/>
  <c r="R544" i="1"/>
  <c r="I544" i="1"/>
  <c r="G544" i="1"/>
  <c r="E544" i="1"/>
  <c r="C544" i="1"/>
  <c r="R543" i="1"/>
  <c r="I543" i="1"/>
  <c r="G543" i="1"/>
  <c r="E543" i="1"/>
  <c r="C543" i="1"/>
  <c r="R542" i="1"/>
  <c r="I542" i="1"/>
  <c r="G542" i="1"/>
  <c r="E542" i="1"/>
  <c r="C542" i="1"/>
  <c r="R541" i="1"/>
  <c r="I541" i="1"/>
  <c r="G541" i="1"/>
  <c r="E541" i="1"/>
  <c r="C541" i="1"/>
  <c r="R540" i="1"/>
  <c r="I540" i="1"/>
  <c r="G540" i="1"/>
  <c r="E540" i="1"/>
  <c r="C540" i="1"/>
  <c r="R539" i="1"/>
  <c r="I539" i="1"/>
  <c r="G539" i="1"/>
  <c r="E539" i="1"/>
  <c r="C539" i="1"/>
  <c r="R538" i="1"/>
  <c r="I538" i="1"/>
  <c r="G538" i="1"/>
  <c r="E538" i="1"/>
  <c r="C538" i="1"/>
  <c r="R537" i="1"/>
  <c r="I537" i="1"/>
  <c r="G537" i="1"/>
  <c r="E537" i="1"/>
  <c r="C537" i="1"/>
  <c r="R536" i="1"/>
  <c r="I536" i="1"/>
  <c r="G536" i="1"/>
  <c r="E536" i="1"/>
  <c r="C536" i="1"/>
  <c r="R535" i="1"/>
  <c r="I535" i="1"/>
  <c r="G535" i="1"/>
  <c r="E535" i="1"/>
  <c r="C535" i="1"/>
  <c r="R534" i="1"/>
  <c r="I534" i="1"/>
  <c r="G534" i="1"/>
  <c r="E534" i="1"/>
  <c r="C534" i="1"/>
  <c r="R533" i="1"/>
  <c r="I533" i="1"/>
  <c r="G533" i="1"/>
  <c r="E533" i="1"/>
  <c r="C533" i="1"/>
  <c r="R532" i="1"/>
  <c r="I532" i="1"/>
  <c r="G532" i="1"/>
  <c r="E532" i="1"/>
  <c r="C532" i="1"/>
  <c r="R531" i="1"/>
  <c r="I531" i="1"/>
  <c r="G531" i="1"/>
  <c r="E531" i="1"/>
  <c r="C531" i="1"/>
  <c r="R530" i="1"/>
  <c r="I530" i="1"/>
  <c r="G530" i="1"/>
  <c r="E530" i="1"/>
  <c r="C530" i="1"/>
  <c r="R529" i="1"/>
  <c r="I529" i="1"/>
  <c r="G529" i="1"/>
  <c r="E529" i="1"/>
  <c r="C529" i="1"/>
  <c r="R528" i="1"/>
  <c r="I528" i="1"/>
  <c r="G528" i="1"/>
  <c r="E528" i="1"/>
  <c r="C528" i="1"/>
  <c r="R527" i="1"/>
  <c r="I527" i="1"/>
  <c r="G527" i="1"/>
  <c r="E527" i="1"/>
  <c r="C527" i="1"/>
  <c r="R526" i="1"/>
  <c r="I526" i="1"/>
  <c r="G526" i="1"/>
  <c r="E526" i="1"/>
  <c r="C526" i="1"/>
  <c r="R525" i="1"/>
  <c r="I525" i="1"/>
  <c r="G525" i="1"/>
  <c r="E525" i="1"/>
  <c r="C525" i="1"/>
  <c r="R524" i="1"/>
  <c r="I524" i="1"/>
  <c r="G524" i="1"/>
  <c r="E524" i="1"/>
  <c r="C524" i="1"/>
  <c r="R523" i="1"/>
  <c r="I523" i="1"/>
  <c r="G523" i="1"/>
  <c r="E523" i="1"/>
  <c r="C523" i="1"/>
  <c r="R522" i="1"/>
  <c r="I522" i="1"/>
  <c r="G522" i="1"/>
  <c r="E522" i="1"/>
  <c r="C522" i="1"/>
  <c r="R521" i="1"/>
  <c r="I521" i="1"/>
  <c r="G521" i="1"/>
  <c r="E521" i="1"/>
  <c r="C521" i="1"/>
  <c r="R520" i="1"/>
  <c r="I520" i="1"/>
  <c r="G520" i="1"/>
  <c r="E520" i="1"/>
  <c r="C520" i="1"/>
  <c r="R519" i="1"/>
  <c r="I519" i="1"/>
  <c r="G519" i="1"/>
  <c r="E519" i="1"/>
  <c r="C519" i="1"/>
  <c r="R518" i="1"/>
  <c r="I518" i="1"/>
  <c r="G518" i="1"/>
  <c r="E518" i="1"/>
  <c r="C518" i="1"/>
  <c r="R517" i="1"/>
  <c r="I517" i="1"/>
  <c r="G517" i="1"/>
  <c r="E517" i="1"/>
  <c r="C517" i="1"/>
  <c r="R516" i="1"/>
  <c r="I516" i="1"/>
  <c r="G516" i="1"/>
  <c r="E516" i="1"/>
  <c r="C516" i="1"/>
  <c r="R515" i="1"/>
  <c r="I515" i="1"/>
  <c r="G515" i="1"/>
  <c r="E515" i="1"/>
  <c r="C515" i="1"/>
  <c r="R514" i="1"/>
  <c r="I514" i="1"/>
  <c r="G514" i="1"/>
  <c r="E514" i="1"/>
  <c r="C514" i="1"/>
  <c r="R513" i="1"/>
  <c r="I513" i="1"/>
  <c r="G513" i="1"/>
  <c r="E513" i="1"/>
  <c r="C513" i="1"/>
  <c r="R512" i="1"/>
  <c r="I512" i="1"/>
  <c r="G512" i="1"/>
  <c r="E512" i="1"/>
  <c r="C512" i="1"/>
  <c r="R511" i="1"/>
  <c r="I511" i="1"/>
  <c r="G511" i="1"/>
  <c r="E511" i="1"/>
  <c r="C511" i="1"/>
  <c r="R510" i="1"/>
  <c r="I510" i="1"/>
  <c r="G510" i="1"/>
  <c r="E510" i="1"/>
  <c r="C510" i="1"/>
  <c r="R509" i="1"/>
  <c r="I509" i="1"/>
  <c r="G509" i="1"/>
  <c r="E509" i="1"/>
  <c r="C509" i="1"/>
  <c r="R508" i="1"/>
  <c r="I508" i="1"/>
  <c r="G508" i="1"/>
  <c r="E508" i="1"/>
  <c r="C508" i="1"/>
  <c r="R507" i="1"/>
  <c r="I507" i="1"/>
  <c r="G507" i="1"/>
  <c r="E507" i="1"/>
  <c r="C507" i="1"/>
  <c r="R506" i="1"/>
  <c r="I506" i="1"/>
  <c r="G506" i="1"/>
  <c r="E506" i="1"/>
  <c r="C506" i="1"/>
  <c r="R505" i="1"/>
  <c r="I505" i="1"/>
  <c r="G505" i="1"/>
  <c r="E505" i="1"/>
  <c r="C505" i="1"/>
  <c r="R504" i="1"/>
  <c r="I504" i="1"/>
  <c r="G504" i="1"/>
  <c r="E504" i="1"/>
  <c r="C504" i="1"/>
  <c r="R503" i="1"/>
  <c r="I503" i="1"/>
  <c r="G503" i="1"/>
  <c r="E503" i="1"/>
  <c r="C503" i="1"/>
  <c r="R502" i="1"/>
  <c r="I502" i="1"/>
  <c r="G502" i="1"/>
  <c r="E502" i="1"/>
  <c r="C502" i="1"/>
  <c r="R501" i="1"/>
  <c r="I501" i="1"/>
  <c r="G501" i="1"/>
  <c r="E501" i="1"/>
  <c r="C501" i="1"/>
  <c r="R500" i="1"/>
  <c r="I500" i="1"/>
  <c r="G500" i="1"/>
  <c r="E500" i="1"/>
  <c r="C500" i="1"/>
  <c r="R499" i="1"/>
  <c r="I499" i="1"/>
  <c r="G499" i="1"/>
  <c r="E499" i="1"/>
  <c r="C499" i="1"/>
  <c r="R498" i="1"/>
  <c r="I498" i="1"/>
  <c r="G498" i="1"/>
  <c r="E498" i="1"/>
  <c r="C498" i="1"/>
  <c r="R497" i="1"/>
  <c r="I497" i="1"/>
  <c r="G497" i="1"/>
  <c r="E497" i="1"/>
  <c r="C497" i="1"/>
  <c r="R496" i="1"/>
  <c r="I496" i="1"/>
  <c r="G496" i="1"/>
  <c r="E496" i="1"/>
  <c r="C496" i="1"/>
  <c r="R495" i="1"/>
  <c r="I495" i="1"/>
  <c r="G495" i="1"/>
  <c r="E495" i="1"/>
  <c r="C495" i="1"/>
  <c r="R494" i="1"/>
  <c r="I494" i="1"/>
  <c r="G494" i="1"/>
  <c r="E494" i="1"/>
  <c r="C494" i="1"/>
  <c r="R493" i="1"/>
  <c r="I493" i="1"/>
  <c r="G493" i="1"/>
  <c r="E493" i="1"/>
  <c r="C493" i="1"/>
  <c r="R492" i="1"/>
  <c r="I492" i="1"/>
  <c r="G492" i="1"/>
  <c r="E492" i="1"/>
  <c r="C492" i="1"/>
  <c r="R491" i="1"/>
  <c r="I491" i="1"/>
  <c r="G491" i="1"/>
  <c r="E491" i="1"/>
  <c r="C491" i="1"/>
  <c r="R490" i="1"/>
  <c r="I490" i="1"/>
  <c r="G490" i="1"/>
  <c r="E490" i="1"/>
  <c r="C490" i="1"/>
  <c r="R489" i="1"/>
  <c r="I489" i="1"/>
  <c r="G489" i="1"/>
  <c r="E489" i="1"/>
  <c r="C489" i="1"/>
  <c r="R488" i="1"/>
  <c r="I488" i="1"/>
  <c r="G488" i="1"/>
  <c r="E488" i="1"/>
  <c r="C488" i="1"/>
  <c r="R487" i="1"/>
  <c r="I487" i="1"/>
  <c r="G487" i="1"/>
  <c r="E487" i="1"/>
  <c r="C487" i="1"/>
  <c r="R486" i="1"/>
  <c r="I486" i="1"/>
  <c r="G486" i="1"/>
  <c r="E486" i="1"/>
  <c r="C486" i="1"/>
  <c r="R485" i="1"/>
  <c r="I485" i="1"/>
  <c r="G485" i="1"/>
  <c r="E485" i="1"/>
  <c r="C485" i="1"/>
  <c r="R484" i="1"/>
  <c r="I484" i="1"/>
  <c r="G484" i="1"/>
  <c r="E484" i="1"/>
  <c r="C484" i="1"/>
  <c r="R483" i="1"/>
  <c r="I483" i="1"/>
  <c r="G483" i="1"/>
  <c r="E483" i="1"/>
  <c r="C483" i="1"/>
  <c r="R482" i="1"/>
  <c r="I482" i="1"/>
  <c r="G482" i="1"/>
  <c r="E482" i="1"/>
  <c r="C482" i="1"/>
  <c r="R481" i="1"/>
  <c r="I481" i="1"/>
  <c r="G481" i="1"/>
  <c r="E481" i="1"/>
  <c r="C481" i="1"/>
  <c r="R480" i="1"/>
  <c r="I480" i="1"/>
  <c r="G480" i="1"/>
  <c r="E480" i="1"/>
  <c r="C480" i="1"/>
  <c r="R479" i="1"/>
  <c r="I479" i="1"/>
  <c r="G479" i="1"/>
  <c r="E479" i="1"/>
  <c r="C479" i="1"/>
  <c r="R478" i="1"/>
  <c r="I478" i="1"/>
  <c r="G478" i="1"/>
  <c r="E478" i="1"/>
  <c r="C478" i="1"/>
  <c r="R477" i="1"/>
  <c r="I477" i="1"/>
  <c r="G477" i="1"/>
  <c r="E477" i="1"/>
  <c r="C477" i="1"/>
  <c r="R476" i="1"/>
  <c r="I476" i="1"/>
  <c r="G476" i="1"/>
  <c r="E476" i="1"/>
  <c r="C476" i="1"/>
  <c r="R475" i="1"/>
  <c r="I475" i="1"/>
  <c r="G475" i="1"/>
  <c r="E475" i="1"/>
  <c r="C475" i="1"/>
  <c r="R474" i="1"/>
  <c r="I474" i="1"/>
  <c r="G474" i="1"/>
  <c r="E474" i="1"/>
  <c r="C474" i="1"/>
  <c r="R473" i="1"/>
  <c r="I473" i="1"/>
  <c r="G473" i="1"/>
  <c r="E473" i="1"/>
  <c r="C473" i="1"/>
  <c r="R472" i="1"/>
  <c r="I472" i="1"/>
  <c r="G472" i="1"/>
  <c r="E472" i="1"/>
  <c r="C472" i="1"/>
  <c r="R471" i="1"/>
  <c r="I471" i="1"/>
  <c r="G471" i="1"/>
  <c r="E471" i="1"/>
  <c r="C471" i="1"/>
  <c r="R470" i="1"/>
  <c r="I470" i="1"/>
  <c r="G470" i="1"/>
  <c r="E470" i="1"/>
  <c r="C470" i="1"/>
  <c r="R469" i="1"/>
  <c r="I469" i="1"/>
  <c r="G469" i="1"/>
  <c r="E469" i="1"/>
  <c r="C469" i="1"/>
  <c r="R468" i="1"/>
  <c r="I468" i="1"/>
  <c r="G468" i="1"/>
  <c r="E468" i="1"/>
  <c r="C468" i="1"/>
  <c r="R467" i="1"/>
  <c r="I467" i="1"/>
  <c r="G467" i="1"/>
  <c r="E467" i="1"/>
  <c r="C467" i="1"/>
  <c r="R466" i="1"/>
  <c r="I466" i="1"/>
  <c r="G466" i="1"/>
  <c r="E466" i="1"/>
  <c r="C466" i="1"/>
  <c r="R465" i="1"/>
  <c r="I465" i="1"/>
  <c r="G465" i="1"/>
  <c r="E465" i="1"/>
  <c r="C465" i="1"/>
  <c r="R464" i="1"/>
  <c r="I464" i="1"/>
  <c r="G464" i="1"/>
  <c r="E464" i="1"/>
  <c r="C464" i="1"/>
  <c r="R463" i="1"/>
  <c r="I463" i="1"/>
  <c r="G463" i="1"/>
  <c r="E463" i="1"/>
  <c r="C463" i="1"/>
  <c r="R462" i="1"/>
  <c r="I462" i="1"/>
  <c r="G462" i="1"/>
  <c r="E462" i="1"/>
  <c r="C462" i="1"/>
  <c r="R461" i="1"/>
  <c r="I461" i="1"/>
  <c r="G461" i="1"/>
  <c r="E461" i="1"/>
  <c r="C461" i="1"/>
  <c r="R460" i="1"/>
  <c r="I460" i="1"/>
  <c r="G460" i="1"/>
  <c r="E460" i="1"/>
  <c r="C460" i="1"/>
  <c r="R459" i="1"/>
  <c r="I459" i="1"/>
  <c r="G459" i="1"/>
  <c r="E459" i="1"/>
  <c r="C459" i="1"/>
  <c r="R458" i="1"/>
  <c r="I458" i="1"/>
  <c r="G458" i="1"/>
  <c r="E458" i="1"/>
  <c r="C458" i="1"/>
  <c r="R457" i="1"/>
  <c r="I457" i="1"/>
  <c r="G457" i="1"/>
  <c r="E457" i="1"/>
  <c r="C457" i="1"/>
  <c r="R456" i="1"/>
  <c r="I456" i="1"/>
  <c r="G456" i="1"/>
  <c r="E456" i="1"/>
  <c r="C456" i="1"/>
  <c r="R455" i="1"/>
  <c r="I455" i="1"/>
  <c r="G455" i="1"/>
  <c r="E455" i="1"/>
  <c r="C455" i="1"/>
  <c r="R454" i="1"/>
  <c r="I454" i="1"/>
  <c r="G454" i="1"/>
  <c r="E454" i="1"/>
  <c r="C454" i="1"/>
  <c r="R453" i="1"/>
  <c r="I453" i="1"/>
  <c r="G453" i="1"/>
  <c r="E453" i="1"/>
  <c r="C453" i="1"/>
  <c r="R452" i="1"/>
  <c r="I452" i="1"/>
  <c r="G452" i="1"/>
  <c r="E452" i="1"/>
  <c r="C452" i="1"/>
  <c r="R451" i="1"/>
  <c r="I451" i="1"/>
  <c r="G451" i="1"/>
  <c r="E451" i="1"/>
  <c r="C451" i="1"/>
  <c r="R450" i="1"/>
  <c r="I450" i="1"/>
  <c r="G450" i="1"/>
  <c r="E450" i="1"/>
  <c r="C450" i="1"/>
  <c r="R449" i="1"/>
  <c r="I449" i="1"/>
  <c r="G449" i="1"/>
  <c r="E449" i="1"/>
  <c r="C449" i="1"/>
  <c r="R448" i="1"/>
  <c r="I448" i="1"/>
  <c r="G448" i="1"/>
  <c r="E448" i="1"/>
  <c r="C448" i="1"/>
  <c r="R447" i="1"/>
  <c r="I447" i="1"/>
  <c r="G447" i="1"/>
  <c r="E447" i="1"/>
  <c r="C447" i="1"/>
  <c r="R446" i="1"/>
  <c r="I446" i="1"/>
  <c r="G446" i="1"/>
  <c r="E446" i="1"/>
  <c r="C446" i="1"/>
  <c r="R445" i="1"/>
  <c r="I445" i="1"/>
  <c r="G445" i="1"/>
  <c r="E445" i="1"/>
  <c r="C445" i="1"/>
  <c r="R444" i="1"/>
  <c r="I444" i="1"/>
  <c r="G444" i="1"/>
  <c r="E444" i="1"/>
  <c r="C444" i="1"/>
  <c r="R443" i="1"/>
  <c r="I443" i="1"/>
  <c r="G443" i="1"/>
  <c r="E443" i="1"/>
  <c r="C443" i="1"/>
  <c r="R442" i="1"/>
  <c r="I442" i="1"/>
  <c r="G442" i="1"/>
  <c r="E442" i="1"/>
  <c r="C442" i="1"/>
  <c r="R441" i="1"/>
  <c r="I441" i="1"/>
  <c r="G441" i="1"/>
  <c r="E441" i="1"/>
  <c r="C441" i="1"/>
  <c r="R440" i="1"/>
  <c r="I440" i="1"/>
  <c r="G440" i="1"/>
  <c r="E440" i="1"/>
  <c r="C440" i="1"/>
  <c r="R439" i="1"/>
  <c r="I439" i="1"/>
  <c r="G439" i="1"/>
  <c r="E439" i="1"/>
  <c r="C439" i="1"/>
  <c r="R438" i="1"/>
  <c r="I438" i="1"/>
  <c r="G438" i="1"/>
  <c r="E438" i="1"/>
  <c r="C438" i="1"/>
  <c r="R437" i="1"/>
  <c r="I437" i="1"/>
  <c r="G437" i="1"/>
  <c r="E437" i="1"/>
  <c r="C437" i="1"/>
  <c r="R436" i="1"/>
  <c r="I436" i="1"/>
  <c r="G436" i="1"/>
  <c r="E436" i="1"/>
  <c r="C436" i="1"/>
  <c r="R435" i="1"/>
  <c r="I435" i="1"/>
  <c r="G435" i="1"/>
  <c r="E435" i="1"/>
  <c r="C435" i="1"/>
  <c r="R434" i="1"/>
  <c r="I434" i="1"/>
  <c r="G434" i="1"/>
  <c r="E434" i="1"/>
  <c r="C434" i="1"/>
  <c r="R433" i="1"/>
  <c r="I433" i="1"/>
  <c r="G433" i="1"/>
  <c r="E433" i="1"/>
  <c r="C433" i="1"/>
  <c r="R432" i="1"/>
  <c r="I432" i="1"/>
  <c r="G432" i="1"/>
  <c r="E432" i="1"/>
  <c r="C432" i="1"/>
  <c r="R431" i="1"/>
  <c r="I431" i="1"/>
  <c r="G431" i="1"/>
  <c r="E431" i="1"/>
  <c r="C431" i="1"/>
  <c r="R430" i="1"/>
  <c r="I430" i="1"/>
  <c r="G430" i="1"/>
  <c r="E430" i="1"/>
  <c r="C430" i="1"/>
  <c r="R429" i="1"/>
  <c r="I429" i="1"/>
  <c r="G429" i="1"/>
  <c r="E429" i="1"/>
  <c r="C429" i="1"/>
  <c r="R428" i="1"/>
  <c r="I428" i="1"/>
  <c r="G428" i="1"/>
  <c r="E428" i="1"/>
  <c r="C428" i="1"/>
  <c r="R427" i="1"/>
  <c r="I427" i="1"/>
  <c r="G427" i="1"/>
  <c r="E427" i="1"/>
  <c r="C427" i="1"/>
  <c r="R426" i="1"/>
  <c r="I426" i="1"/>
  <c r="G426" i="1"/>
  <c r="E426" i="1"/>
  <c r="C426" i="1"/>
  <c r="R425" i="1"/>
  <c r="I425" i="1"/>
  <c r="G425" i="1"/>
  <c r="E425" i="1"/>
  <c r="C425" i="1"/>
  <c r="R424" i="1"/>
  <c r="I424" i="1"/>
  <c r="G424" i="1"/>
  <c r="E424" i="1"/>
  <c r="C424" i="1"/>
  <c r="R423" i="1"/>
  <c r="I423" i="1"/>
  <c r="G423" i="1"/>
  <c r="E423" i="1"/>
  <c r="C423" i="1"/>
  <c r="R422" i="1"/>
  <c r="I422" i="1"/>
  <c r="G422" i="1"/>
  <c r="E422" i="1"/>
  <c r="C422" i="1"/>
  <c r="R421" i="1"/>
  <c r="I421" i="1"/>
  <c r="G421" i="1"/>
  <c r="E421" i="1"/>
  <c r="C421" i="1"/>
  <c r="R420" i="1"/>
  <c r="I420" i="1"/>
  <c r="G420" i="1"/>
  <c r="E420" i="1"/>
  <c r="C420" i="1"/>
  <c r="R419" i="1"/>
  <c r="I419" i="1"/>
  <c r="G419" i="1"/>
  <c r="E419" i="1"/>
  <c r="C419" i="1"/>
  <c r="R418" i="1"/>
  <c r="I418" i="1"/>
  <c r="G418" i="1"/>
  <c r="E418" i="1"/>
  <c r="C418" i="1"/>
  <c r="R417" i="1"/>
  <c r="I417" i="1"/>
  <c r="G417" i="1"/>
  <c r="E417" i="1"/>
  <c r="C417" i="1"/>
  <c r="R416" i="1"/>
  <c r="I416" i="1"/>
  <c r="G416" i="1"/>
  <c r="E416" i="1"/>
  <c r="C416" i="1"/>
  <c r="R415" i="1"/>
  <c r="I415" i="1"/>
  <c r="G415" i="1"/>
  <c r="E415" i="1"/>
  <c r="C415" i="1"/>
  <c r="R414" i="1"/>
  <c r="I414" i="1"/>
  <c r="G414" i="1"/>
  <c r="E414" i="1"/>
  <c r="C414" i="1"/>
  <c r="R413" i="1"/>
  <c r="I413" i="1"/>
  <c r="G413" i="1"/>
  <c r="E413" i="1"/>
  <c r="C413" i="1"/>
  <c r="R412" i="1"/>
  <c r="I412" i="1"/>
  <c r="G412" i="1"/>
  <c r="E412" i="1"/>
  <c r="C412" i="1"/>
  <c r="R411" i="1"/>
  <c r="I411" i="1"/>
  <c r="G411" i="1"/>
  <c r="E411" i="1"/>
  <c r="C411" i="1"/>
  <c r="R410" i="1"/>
  <c r="I410" i="1"/>
  <c r="G410" i="1"/>
  <c r="E410" i="1"/>
  <c r="C410" i="1"/>
  <c r="R409" i="1"/>
  <c r="I409" i="1"/>
  <c r="G409" i="1"/>
  <c r="E409" i="1"/>
  <c r="C409" i="1"/>
  <c r="R408" i="1"/>
  <c r="I408" i="1"/>
  <c r="G408" i="1"/>
  <c r="E408" i="1"/>
  <c r="C408" i="1"/>
  <c r="R407" i="1"/>
  <c r="I407" i="1"/>
  <c r="G407" i="1"/>
  <c r="E407" i="1"/>
  <c r="C407" i="1"/>
  <c r="R406" i="1"/>
  <c r="I406" i="1"/>
  <c r="G406" i="1"/>
  <c r="E406" i="1"/>
  <c r="C406" i="1"/>
  <c r="R405" i="1"/>
  <c r="I405" i="1"/>
  <c r="G405" i="1"/>
  <c r="E405" i="1"/>
  <c r="C405" i="1"/>
  <c r="R404" i="1"/>
  <c r="I404" i="1"/>
  <c r="G404" i="1"/>
  <c r="E404" i="1"/>
  <c r="C404" i="1"/>
  <c r="R403" i="1"/>
  <c r="I403" i="1"/>
  <c r="G403" i="1"/>
  <c r="E403" i="1"/>
  <c r="C403" i="1"/>
  <c r="R402" i="1"/>
  <c r="I402" i="1"/>
  <c r="G402" i="1"/>
  <c r="E402" i="1"/>
  <c r="C402" i="1"/>
  <c r="R401" i="1"/>
  <c r="I401" i="1"/>
  <c r="G401" i="1"/>
  <c r="E401" i="1"/>
  <c r="C401" i="1"/>
  <c r="R400" i="1"/>
  <c r="I400" i="1"/>
  <c r="G400" i="1"/>
  <c r="E400" i="1"/>
  <c r="C400" i="1"/>
  <c r="R399" i="1"/>
  <c r="I399" i="1"/>
  <c r="G399" i="1"/>
  <c r="E399" i="1"/>
  <c r="C399" i="1"/>
  <c r="R398" i="1"/>
  <c r="I398" i="1"/>
  <c r="G398" i="1"/>
  <c r="E398" i="1"/>
  <c r="C398" i="1"/>
  <c r="R397" i="1"/>
  <c r="I397" i="1"/>
  <c r="G397" i="1"/>
  <c r="E397" i="1"/>
  <c r="C397" i="1"/>
  <c r="R396" i="1"/>
  <c r="I396" i="1"/>
  <c r="G396" i="1"/>
  <c r="E396" i="1"/>
  <c r="C396" i="1"/>
  <c r="R395" i="1"/>
  <c r="I395" i="1"/>
  <c r="G395" i="1"/>
  <c r="E395" i="1"/>
  <c r="C395" i="1"/>
  <c r="R394" i="1"/>
  <c r="I394" i="1"/>
  <c r="G394" i="1"/>
  <c r="E394" i="1"/>
  <c r="C394" i="1"/>
  <c r="R393" i="1"/>
  <c r="I393" i="1"/>
  <c r="G393" i="1"/>
  <c r="E393" i="1"/>
  <c r="C393" i="1"/>
  <c r="R392" i="1"/>
  <c r="I392" i="1"/>
  <c r="G392" i="1"/>
  <c r="E392" i="1"/>
  <c r="C392" i="1"/>
  <c r="R391" i="1"/>
  <c r="I391" i="1"/>
  <c r="G391" i="1"/>
  <c r="E391" i="1"/>
  <c r="C391" i="1"/>
  <c r="R390" i="1"/>
  <c r="I390" i="1"/>
  <c r="G390" i="1"/>
  <c r="E390" i="1"/>
  <c r="C390" i="1"/>
  <c r="R389" i="1"/>
  <c r="I389" i="1"/>
  <c r="G389" i="1"/>
  <c r="E389" i="1"/>
  <c r="C389" i="1"/>
  <c r="R388" i="1"/>
  <c r="I388" i="1"/>
  <c r="G388" i="1"/>
  <c r="E388" i="1"/>
  <c r="C388" i="1"/>
  <c r="R387" i="1"/>
  <c r="I387" i="1"/>
  <c r="G387" i="1"/>
  <c r="E387" i="1"/>
  <c r="C387" i="1"/>
  <c r="R386" i="1"/>
  <c r="I386" i="1"/>
  <c r="G386" i="1"/>
  <c r="E386" i="1"/>
  <c r="C386" i="1"/>
  <c r="R385" i="1"/>
  <c r="I385" i="1"/>
  <c r="G385" i="1"/>
  <c r="E385" i="1"/>
  <c r="C385" i="1"/>
  <c r="R384" i="1"/>
  <c r="I384" i="1"/>
  <c r="G384" i="1"/>
  <c r="E384" i="1"/>
  <c r="C384" i="1"/>
  <c r="R383" i="1"/>
  <c r="I383" i="1"/>
  <c r="G383" i="1"/>
  <c r="E383" i="1"/>
  <c r="C383" i="1"/>
  <c r="R382" i="1"/>
  <c r="I382" i="1"/>
  <c r="G382" i="1"/>
  <c r="E382" i="1"/>
  <c r="C382" i="1"/>
  <c r="R381" i="1"/>
  <c r="I381" i="1"/>
  <c r="G381" i="1"/>
  <c r="E381" i="1"/>
  <c r="C381" i="1"/>
  <c r="R380" i="1"/>
  <c r="I380" i="1"/>
  <c r="G380" i="1"/>
  <c r="E380" i="1"/>
  <c r="C380" i="1"/>
  <c r="R379" i="1"/>
  <c r="I379" i="1"/>
  <c r="G379" i="1"/>
  <c r="E379" i="1"/>
  <c r="C379" i="1"/>
  <c r="R378" i="1"/>
  <c r="I378" i="1"/>
  <c r="G378" i="1"/>
  <c r="E378" i="1"/>
  <c r="C378" i="1"/>
  <c r="R377" i="1"/>
  <c r="I377" i="1"/>
  <c r="G377" i="1"/>
  <c r="E377" i="1"/>
  <c r="C377" i="1"/>
  <c r="R376" i="1"/>
  <c r="I376" i="1"/>
  <c r="G376" i="1"/>
  <c r="E376" i="1"/>
  <c r="C376" i="1"/>
  <c r="R375" i="1"/>
  <c r="I375" i="1"/>
  <c r="G375" i="1"/>
  <c r="E375" i="1"/>
  <c r="C375" i="1"/>
  <c r="R374" i="1"/>
  <c r="I374" i="1"/>
  <c r="G374" i="1"/>
  <c r="E374" i="1"/>
  <c r="C374" i="1"/>
  <c r="R373" i="1"/>
  <c r="I373" i="1"/>
  <c r="G373" i="1"/>
  <c r="E373" i="1"/>
  <c r="C373" i="1"/>
  <c r="R372" i="1"/>
  <c r="I372" i="1"/>
  <c r="G372" i="1"/>
  <c r="E372" i="1"/>
  <c r="C372" i="1"/>
  <c r="R371" i="1"/>
  <c r="I371" i="1"/>
  <c r="G371" i="1"/>
  <c r="E371" i="1"/>
  <c r="C371" i="1"/>
  <c r="R370" i="1"/>
  <c r="I370" i="1"/>
  <c r="G370" i="1"/>
  <c r="E370" i="1"/>
  <c r="C370" i="1"/>
  <c r="R369" i="1"/>
  <c r="I369" i="1"/>
  <c r="G369" i="1"/>
  <c r="E369" i="1"/>
  <c r="C369" i="1"/>
  <c r="R368" i="1"/>
  <c r="I368" i="1"/>
  <c r="G368" i="1"/>
  <c r="E368" i="1"/>
  <c r="C368" i="1"/>
  <c r="R367" i="1"/>
  <c r="I367" i="1"/>
  <c r="G367" i="1"/>
  <c r="E367" i="1"/>
  <c r="C367" i="1"/>
  <c r="R366" i="1"/>
  <c r="I366" i="1"/>
  <c r="G366" i="1"/>
  <c r="E366" i="1"/>
  <c r="C366" i="1"/>
  <c r="R365" i="1"/>
  <c r="I365" i="1"/>
  <c r="G365" i="1"/>
  <c r="E365" i="1"/>
  <c r="C365" i="1"/>
  <c r="R364" i="1"/>
  <c r="I364" i="1"/>
  <c r="G364" i="1"/>
  <c r="E364" i="1"/>
  <c r="C364" i="1"/>
  <c r="R363" i="1"/>
  <c r="I363" i="1"/>
  <c r="G363" i="1"/>
  <c r="E363" i="1"/>
  <c r="C363" i="1"/>
  <c r="R362" i="1"/>
  <c r="I362" i="1"/>
  <c r="G362" i="1"/>
  <c r="E362" i="1"/>
  <c r="C362" i="1"/>
  <c r="R361" i="1"/>
  <c r="I361" i="1"/>
  <c r="G361" i="1"/>
  <c r="E361" i="1"/>
  <c r="C361" i="1"/>
  <c r="R360" i="1"/>
  <c r="I360" i="1"/>
  <c r="G360" i="1"/>
  <c r="E360" i="1"/>
  <c r="C360" i="1"/>
  <c r="R359" i="1"/>
  <c r="I359" i="1"/>
  <c r="G359" i="1"/>
  <c r="E359" i="1"/>
  <c r="C359" i="1"/>
  <c r="R358" i="1"/>
  <c r="I358" i="1"/>
  <c r="G358" i="1"/>
  <c r="E358" i="1"/>
  <c r="C358" i="1"/>
  <c r="R357" i="1"/>
  <c r="I357" i="1"/>
  <c r="G357" i="1"/>
  <c r="E357" i="1"/>
  <c r="C357" i="1"/>
  <c r="R356" i="1"/>
  <c r="I356" i="1"/>
  <c r="G356" i="1"/>
  <c r="E356" i="1"/>
  <c r="C356" i="1"/>
  <c r="R355" i="1"/>
  <c r="I355" i="1"/>
  <c r="G355" i="1"/>
  <c r="E355" i="1"/>
  <c r="C355" i="1"/>
  <c r="R354" i="1"/>
  <c r="I354" i="1"/>
  <c r="G354" i="1"/>
  <c r="E354" i="1"/>
  <c r="C354" i="1"/>
  <c r="R353" i="1"/>
  <c r="I353" i="1"/>
  <c r="G353" i="1"/>
  <c r="E353" i="1"/>
  <c r="C353" i="1"/>
  <c r="R352" i="1"/>
  <c r="I352" i="1"/>
  <c r="G352" i="1"/>
  <c r="E352" i="1"/>
  <c r="C352" i="1"/>
  <c r="R351" i="1"/>
  <c r="I351" i="1"/>
  <c r="G351" i="1"/>
  <c r="E351" i="1"/>
  <c r="C351" i="1"/>
  <c r="R350" i="1"/>
  <c r="I350" i="1"/>
  <c r="G350" i="1"/>
  <c r="E350" i="1"/>
  <c r="C350" i="1"/>
  <c r="R349" i="1"/>
  <c r="I349" i="1"/>
  <c r="G349" i="1"/>
  <c r="E349" i="1"/>
  <c r="C349" i="1"/>
  <c r="R348" i="1"/>
  <c r="I348" i="1"/>
  <c r="G348" i="1"/>
  <c r="E348" i="1"/>
  <c r="C348" i="1"/>
  <c r="R347" i="1"/>
  <c r="I347" i="1"/>
  <c r="G347" i="1"/>
  <c r="E347" i="1"/>
  <c r="C347" i="1"/>
  <c r="R346" i="1"/>
  <c r="I346" i="1"/>
  <c r="G346" i="1"/>
  <c r="E346" i="1"/>
  <c r="C346" i="1"/>
  <c r="R345" i="1"/>
  <c r="I345" i="1"/>
  <c r="G345" i="1"/>
  <c r="E345" i="1"/>
  <c r="C345" i="1"/>
  <c r="R344" i="1"/>
  <c r="I344" i="1"/>
  <c r="G344" i="1"/>
  <c r="E344" i="1"/>
  <c r="C344" i="1"/>
  <c r="R343" i="1"/>
  <c r="I343" i="1"/>
  <c r="G343" i="1"/>
  <c r="E343" i="1"/>
  <c r="C343" i="1"/>
  <c r="R342" i="1"/>
  <c r="I342" i="1"/>
  <c r="G342" i="1"/>
  <c r="E342" i="1"/>
  <c r="C342" i="1"/>
  <c r="R341" i="1"/>
  <c r="I341" i="1"/>
  <c r="G341" i="1"/>
  <c r="E341" i="1"/>
  <c r="C341" i="1"/>
  <c r="R340" i="1"/>
  <c r="I340" i="1"/>
  <c r="G340" i="1"/>
  <c r="E340" i="1"/>
  <c r="C340" i="1"/>
  <c r="R339" i="1"/>
  <c r="I339" i="1"/>
  <c r="G339" i="1"/>
  <c r="E339" i="1"/>
  <c r="C339" i="1"/>
  <c r="R338" i="1"/>
  <c r="I338" i="1"/>
  <c r="G338" i="1"/>
  <c r="E338" i="1"/>
  <c r="C338" i="1"/>
  <c r="R337" i="1"/>
  <c r="I337" i="1"/>
  <c r="G337" i="1"/>
  <c r="E337" i="1"/>
  <c r="C337" i="1"/>
  <c r="R336" i="1"/>
  <c r="I336" i="1"/>
  <c r="G336" i="1"/>
  <c r="E336" i="1"/>
  <c r="C336" i="1"/>
  <c r="R335" i="1"/>
  <c r="I335" i="1"/>
  <c r="G335" i="1"/>
  <c r="E335" i="1"/>
  <c r="C335" i="1"/>
  <c r="R334" i="1"/>
  <c r="I334" i="1"/>
  <c r="G334" i="1"/>
  <c r="E334" i="1"/>
  <c r="C334" i="1"/>
  <c r="R333" i="1"/>
  <c r="I333" i="1"/>
  <c r="G333" i="1"/>
  <c r="E333" i="1"/>
  <c r="C333" i="1"/>
  <c r="R332" i="1"/>
  <c r="I332" i="1"/>
  <c r="G332" i="1"/>
  <c r="E332" i="1"/>
  <c r="C332" i="1"/>
  <c r="R331" i="1"/>
  <c r="I331" i="1"/>
  <c r="G331" i="1"/>
  <c r="E331" i="1"/>
  <c r="C331" i="1"/>
  <c r="R330" i="1"/>
  <c r="I330" i="1"/>
  <c r="G330" i="1"/>
  <c r="E330" i="1"/>
  <c r="C330" i="1"/>
  <c r="R329" i="1"/>
  <c r="I329" i="1"/>
  <c r="G329" i="1"/>
  <c r="E329" i="1"/>
  <c r="C329" i="1"/>
  <c r="R328" i="1"/>
  <c r="I328" i="1"/>
  <c r="G328" i="1"/>
  <c r="E328" i="1"/>
  <c r="C328" i="1"/>
  <c r="R327" i="1"/>
  <c r="I327" i="1"/>
  <c r="G327" i="1"/>
  <c r="E327" i="1"/>
  <c r="C327" i="1"/>
  <c r="R326" i="1"/>
  <c r="I326" i="1"/>
  <c r="G326" i="1"/>
  <c r="E326" i="1"/>
  <c r="C326" i="1"/>
  <c r="R325" i="1"/>
  <c r="I325" i="1"/>
  <c r="G325" i="1"/>
  <c r="E325" i="1"/>
  <c r="C325" i="1"/>
  <c r="R324" i="1"/>
  <c r="I324" i="1"/>
  <c r="G324" i="1"/>
  <c r="E324" i="1"/>
  <c r="C324" i="1"/>
  <c r="R323" i="1"/>
  <c r="I323" i="1"/>
  <c r="G323" i="1"/>
  <c r="E323" i="1"/>
  <c r="C323" i="1"/>
  <c r="R322" i="1"/>
  <c r="I322" i="1"/>
  <c r="G322" i="1"/>
  <c r="E322" i="1"/>
  <c r="C322" i="1"/>
  <c r="R321" i="1"/>
  <c r="I321" i="1"/>
  <c r="G321" i="1"/>
  <c r="E321" i="1"/>
  <c r="C321" i="1"/>
  <c r="R320" i="1"/>
  <c r="I320" i="1"/>
  <c r="G320" i="1"/>
  <c r="E320" i="1"/>
  <c r="C320" i="1"/>
  <c r="R319" i="1"/>
  <c r="I319" i="1"/>
  <c r="G319" i="1"/>
  <c r="E319" i="1"/>
  <c r="C319" i="1"/>
  <c r="R318" i="1"/>
  <c r="I318" i="1"/>
  <c r="G318" i="1"/>
  <c r="E318" i="1"/>
  <c r="C318" i="1"/>
  <c r="R317" i="1"/>
  <c r="I317" i="1"/>
  <c r="G317" i="1"/>
  <c r="E317" i="1"/>
  <c r="C317" i="1"/>
  <c r="R316" i="1"/>
  <c r="I316" i="1"/>
  <c r="G316" i="1"/>
  <c r="E316" i="1"/>
  <c r="C316" i="1"/>
  <c r="R315" i="1"/>
  <c r="I315" i="1"/>
  <c r="G315" i="1"/>
  <c r="E315" i="1"/>
  <c r="C315" i="1"/>
  <c r="R314" i="1"/>
  <c r="I314" i="1"/>
  <c r="G314" i="1"/>
  <c r="E314" i="1"/>
  <c r="C314" i="1"/>
  <c r="R313" i="1"/>
  <c r="I313" i="1"/>
  <c r="G313" i="1"/>
  <c r="E313" i="1"/>
  <c r="C313" i="1"/>
  <c r="R312" i="1"/>
  <c r="I312" i="1"/>
  <c r="G312" i="1"/>
  <c r="E312" i="1"/>
  <c r="C312" i="1"/>
  <c r="R311" i="1"/>
  <c r="I311" i="1"/>
  <c r="G311" i="1"/>
  <c r="E311" i="1"/>
  <c r="C311" i="1"/>
  <c r="R310" i="1"/>
  <c r="I310" i="1"/>
  <c r="G310" i="1"/>
  <c r="E310" i="1"/>
  <c r="C310" i="1"/>
  <c r="R309" i="1"/>
  <c r="I309" i="1"/>
  <c r="G309" i="1"/>
  <c r="E309" i="1"/>
  <c r="C309" i="1"/>
  <c r="R308" i="1"/>
  <c r="I308" i="1"/>
  <c r="G308" i="1"/>
  <c r="E308" i="1"/>
  <c r="C308" i="1"/>
  <c r="R307" i="1"/>
  <c r="I307" i="1"/>
  <c r="G307" i="1"/>
  <c r="E307" i="1"/>
  <c r="C307" i="1"/>
  <c r="R306" i="1"/>
  <c r="I306" i="1"/>
  <c r="G306" i="1"/>
  <c r="E306" i="1"/>
  <c r="C306" i="1"/>
  <c r="R305" i="1"/>
  <c r="I305" i="1"/>
  <c r="G305" i="1"/>
  <c r="E305" i="1"/>
  <c r="C305" i="1"/>
  <c r="R304" i="1"/>
  <c r="I304" i="1"/>
  <c r="G304" i="1"/>
  <c r="E304" i="1"/>
  <c r="C304" i="1"/>
  <c r="R303" i="1"/>
  <c r="I303" i="1"/>
  <c r="G303" i="1"/>
  <c r="E303" i="1"/>
  <c r="C303" i="1"/>
  <c r="R302" i="1"/>
  <c r="I302" i="1"/>
  <c r="G302" i="1"/>
  <c r="E302" i="1"/>
  <c r="C302" i="1"/>
  <c r="R301" i="1"/>
  <c r="I301" i="1"/>
  <c r="G301" i="1"/>
  <c r="E301" i="1"/>
  <c r="C301" i="1"/>
  <c r="R300" i="1"/>
  <c r="I300" i="1"/>
  <c r="G300" i="1"/>
  <c r="E300" i="1"/>
  <c r="C300" i="1"/>
  <c r="R299" i="1"/>
  <c r="I299" i="1"/>
  <c r="G299" i="1"/>
  <c r="E299" i="1"/>
  <c r="C299" i="1"/>
  <c r="R298" i="1"/>
  <c r="I298" i="1"/>
  <c r="G298" i="1"/>
  <c r="E298" i="1"/>
  <c r="C298" i="1"/>
  <c r="R297" i="1"/>
  <c r="I297" i="1"/>
  <c r="G297" i="1"/>
  <c r="E297" i="1"/>
  <c r="C297" i="1"/>
  <c r="R296" i="1"/>
  <c r="I296" i="1"/>
  <c r="G296" i="1"/>
  <c r="E296" i="1"/>
  <c r="C296" i="1"/>
  <c r="R295" i="1"/>
  <c r="I295" i="1"/>
  <c r="G295" i="1"/>
  <c r="E295" i="1"/>
  <c r="C295" i="1"/>
  <c r="R294" i="1"/>
  <c r="I294" i="1"/>
  <c r="G294" i="1"/>
  <c r="E294" i="1"/>
  <c r="C294" i="1"/>
  <c r="R293" i="1"/>
  <c r="I293" i="1"/>
  <c r="G293" i="1"/>
  <c r="E293" i="1"/>
  <c r="C293" i="1"/>
  <c r="R292" i="1"/>
  <c r="I292" i="1"/>
  <c r="G292" i="1"/>
  <c r="E292" i="1"/>
  <c r="C292" i="1"/>
  <c r="R291" i="1"/>
  <c r="I291" i="1"/>
  <c r="G291" i="1"/>
  <c r="E291" i="1"/>
  <c r="C291" i="1"/>
  <c r="R290" i="1"/>
  <c r="I290" i="1"/>
  <c r="G290" i="1"/>
  <c r="E290" i="1"/>
  <c r="C290" i="1"/>
  <c r="R289" i="1"/>
  <c r="I289" i="1"/>
  <c r="G289" i="1"/>
  <c r="E289" i="1"/>
  <c r="C289" i="1"/>
  <c r="R288" i="1"/>
  <c r="I288" i="1"/>
  <c r="G288" i="1"/>
  <c r="E288" i="1"/>
  <c r="C288" i="1"/>
  <c r="R287" i="1"/>
  <c r="I287" i="1"/>
  <c r="G287" i="1"/>
  <c r="E287" i="1"/>
  <c r="C287" i="1"/>
  <c r="R286" i="1"/>
  <c r="I286" i="1"/>
  <c r="G286" i="1"/>
  <c r="E286" i="1"/>
  <c r="C286" i="1"/>
  <c r="R285" i="1"/>
  <c r="I285" i="1"/>
  <c r="G285" i="1"/>
  <c r="E285" i="1"/>
  <c r="C285" i="1"/>
  <c r="R284" i="1"/>
  <c r="I284" i="1"/>
  <c r="G284" i="1"/>
  <c r="E284" i="1"/>
  <c r="C284" i="1"/>
  <c r="R283" i="1"/>
  <c r="I283" i="1"/>
  <c r="G283" i="1"/>
  <c r="E283" i="1"/>
  <c r="C283" i="1"/>
  <c r="R282" i="1"/>
  <c r="I282" i="1"/>
  <c r="G282" i="1"/>
  <c r="E282" i="1"/>
  <c r="C282" i="1"/>
  <c r="R281" i="1"/>
  <c r="I281" i="1"/>
  <c r="G281" i="1"/>
  <c r="E281" i="1"/>
  <c r="C281" i="1"/>
  <c r="R280" i="1"/>
  <c r="I280" i="1"/>
  <c r="G280" i="1"/>
  <c r="E280" i="1"/>
  <c r="C280" i="1"/>
  <c r="R279" i="1"/>
  <c r="I279" i="1"/>
  <c r="G279" i="1"/>
  <c r="E279" i="1"/>
  <c r="C279" i="1"/>
  <c r="R278" i="1"/>
  <c r="I278" i="1"/>
  <c r="G278" i="1"/>
  <c r="E278" i="1"/>
  <c r="C278" i="1"/>
  <c r="R277" i="1"/>
  <c r="I277" i="1"/>
  <c r="G277" i="1"/>
  <c r="E277" i="1"/>
  <c r="C277" i="1"/>
  <c r="R276" i="1"/>
  <c r="I276" i="1"/>
  <c r="G276" i="1"/>
  <c r="E276" i="1"/>
  <c r="C276" i="1"/>
  <c r="R275" i="1"/>
  <c r="I275" i="1"/>
  <c r="G275" i="1"/>
  <c r="E275" i="1"/>
  <c r="C275" i="1"/>
  <c r="R274" i="1"/>
  <c r="I274" i="1"/>
  <c r="G274" i="1"/>
  <c r="E274" i="1"/>
  <c r="C274" i="1"/>
  <c r="R273" i="1"/>
  <c r="I273" i="1"/>
  <c r="G273" i="1"/>
  <c r="E273" i="1"/>
  <c r="C273" i="1"/>
  <c r="R272" i="1"/>
  <c r="I272" i="1"/>
  <c r="G272" i="1"/>
  <c r="E272" i="1"/>
  <c r="C272" i="1"/>
  <c r="R271" i="1"/>
  <c r="I271" i="1"/>
  <c r="G271" i="1"/>
  <c r="E271" i="1"/>
  <c r="C271" i="1"/>
  <c r="R270" i="1"/>
  <c r="I270" i="1"/>
  <c r="G270" i="1"/>
  <c r="E270" i="1"/>
  <c r="C270" i="1"/>
  <c r="R269" i="1"/>
  <c r="I269" i="1"/>
  <c r="G269" i="1"/>
  <c r="E269" i="1"/>
  <c r="C269" i="1"/>
  <c r="R268" i="1"/>
  <c r="I268" i="1"/>
  <c r="G268" i="1"/>
  <c r="E268" i="1"/>
  <c r="C268" i="1"/>
  <c r="R267" i="1"/>
  <c r="I267" i="1"/>
  <c r="G267" i="1"/>
  <c r="E267" i="1"/>
  <c r="C267" i="1"/>
  <c r="R266" i="1"/>
  <c r="I266" i="1"/>
  <c r="G266" i="1"/>
  <c r="E266" i="1"/>
  <c r="C266" i="1"/>
  <c r="R265" i="1"/>
  <c r="I265" i="1"/>
  <c r="G265" i="1"/>
  <c r="E265" i="1"/>
  <c r="C265" i="1"/>
  <c r="R264" i="1"/>
  <c r="I264" i="1"/>
  <c r="G264" i="1"/>
  <c r="E264" i="1"/>
  <c r="C264" i="1"/>
  <c r="R263" i="1"/>
  <c r="I263" i="1"/>
  <c r="G263" i="1"/>
  <c r="E263" i="1"/>
  <c r="C263" i="1"/>
  <c r="R262" i="1"/>
  <c r="I262" i="1"/>
  <c r="G262" i="1"/>
  <c r="E262" i="1"/>
  <c r="C262" i="1"/>
  <c r="R261" i="1"/>
  <c r="I261" i="1"/>
  <c r="G261" i="1"/>
  <c r="E261" i="1"/>
  <c r="C261" i="1"/>
  <c r="R260" i="1"/>
  <c r="I260" i="1"/>
  <c r="G260" i="1"/>
  <c r="E260" i="1"/>
  <c r="C260" i="1"/>
  <c r="R259" i="1"/>
  <c r="I259" i="1"/>
  <c r="G259" i="1"/>
  <c r="E259" i="1"/>
  <c r="C259" i="1"/>
  <c r="R258" i="1"/>
  <c r="I258" i="1"/>
  <c r="G258" i="1"/>
  <c r="E258" i="1"/>
  <c r="C258" i="1"/>
  <c r="R257" i="1"/>
  <c r="I257" i="1"/>
  <c r="G257" i="1"/>
  <c r="E257" i="1"/>
  <c r="C257" i="1"/>
  <c r="R256" i="1"/>
  <c r="I256" i="1"/>
  <c r="G256" i="1"/>
  <c r="E256" i="1"/>
  <c r="C256" i="1"/>
  <c r="R255" i="1"/>
  <c r="I255" i="1"/>
  <c r="G255" i="1"/>
  <c r="E255" i="1"/>
  <c r="C255" i="1"/>
  <c r="R254" i="1"/>
  <c r="I254" i="1"/>
  <c r="G254" i="1"/>
  <c r="E254" i="1"/>
  <c r="C254" i="1"/>
  <c r="R253" i="1"/>
  <c r="I253" i="1"/>
  <c r="G253" i="1"/>
  <c r="E253" i="1"/>
  <c r="C253" i="1"/>
  <c r="R252" i="1"/>
  <c r="I252" i="1"/>
  <c r="G252" i="1"/>
  <c r="E252" i="1"/>
  <c r="C252" i="1"/>
  <c r="R251" i="1"/>
  <c r="I251" i="1"/>
  <c r="G251" i="1"/>
  <c r="E251" i="1"/>
  <c r="C251" i="1"/>
  <c r="R250" i="1"/>
  <c r="I250" i="1"/>
  <c r="G250" i="1"/>
  <c r="E250" i="1"/>
  <c r="C250" i="1"/>
  <c r="R249" i="1"/>
  <c r="I249" i="1"/>
  <c r="G249" i="1"/>
  <c r="E249" i="1"/>
  <c r="C249" i="1"/>
  <c r="R248" i="1"/>
  <c r="I248" i="1"/>
  <c r="G248" i="1"/>
  <c r="E248" i="1"/>
  <c r="C248" i="1"/>
  <c r="R247" i="1"/>
  <c r="I247" i="1"/>
  <c r="G247" i="1"/>
  <c r="E247" i="1"/>
  <c r="C247" i="1"/>
  <c r="R246" i="1"/>
  <c r="I246" i="1"/>
  <c r="G246" i="1"/>
  <c r="E246" i="1"/>
  <c r="C246" i="1"/>
  <c r="R245" i="1"/>
  <c r="I245" i="1"/>
  <c r="G245" i="1"/>
  <c r="E245" i="1"/>
  <c r="C245" i="1"/>
  <c r="R244" i="1"/>
  <c r="I244" i="1"/>
  <c r="G244" i="1"/>
  <c r="E244" i="1"/>
  <c r="C244" i="1"/>
  <c r="R243" i="1"/>
  <c r="I243" i="1"/>
  <c r="G243" i="1"/>
  <c r="E243" i="1"/>
  <c r="C243" i="1"/>
  <c r="R242" i="1"/>
  <c r="I242" i="1"/>
  <c r="G242" i="1"/>
  <c r="E242" i="1"/>
  <c r="C242" i="1"/>
  <c r="R241" i="1"/>
  <c r="I241" i="1"/>
  <c r="G241" i="1"/>
  <c r="E241" i="1"/>
  <c r="C241" i="1"/>
  <c r="R240" i="1"/>
  <c r="I240" i="1"/>
  <c r="G240" i="1"/>
  <c r="E240" i="1"/>
  <c r="C240" i="1"/>
  <c r="R239" i="1"/>
  <c r="I239" i="1"/>
  <c r="G239" i="1"/>
  <c r="E239" i="1"/>
  <c r="C239" i="1"/>
  <c r="R238" i="1"/>
  <c r="I238" i="1"/>
  <c r="G238" i="1"/>
  <c r="E238" i="1"/>
  <c r="C238" i="1"/>
  <c r="R237" i="1"/>
  <c r="I237" i="1"/>
  <c r="G237" i="1"/>
  <c r="E237" i="1"/>
  <c r="C237" i="1"/>
  <c r="R236" i="1"/>
  <c r="I236" i="1"/>
  <c r="G236" i="1"/>
  <c r="E236" i="1"/>
  <c r="C236" i="1"/>
  <c r="R235" i="1"/>
  <c r="I235" i="1"/>
  <c r="G235" i="1"/>
  <c r="E235" i="1"/>
  <c r="C235" i="1"/>
  <c r="R234" i="1"/>
  <c r="I234" i="1"/>
  <c r="G234" i="1"/>
  <c r="E234" i="1"/>
  <c r="C234" i="1"/>
  <c r="R233" i="1"/>
  <c r="I233" i="1"/>
  <c r="G233" i="1"/>
  <c r="E233" i="1"/>
  <c r="C233" i="1"/>
  <c r="R232" i="1"/>
  <c r="I232" i="1"/>
  <c r="G232" i="1"/>
  <c r="E232" i="1"/>
  <c r="C232" i="1"/>
  <c r="R231" i="1"/>
  <c r="I231" i="1"/>
  <c r="G231" i="1"/>
  <c r="E231" i="1"/>
  <c r="C231" i="1"/>
  <c r="R230" i="1"/>
  <c r="I230" i="1"/>
  <c r="G230" i="1"/>
  <c r="E230" i="1"/>
  <c r="C230" i="1"/>
  <c r="R229" i="1"/>
  <c r="I229" i="1"/>
  <c r="G229" i="1"/>
  <c r="E229" i="1"/>
  <c r="C229" i="1"/>
  <c r="R228" i="1"/>
  <c r="I228" i="1"/>
  <c r="G228" i="1"/>
  <c r="E228" i="1"/>
  <c r="C228" i="1"/>
  <c r="R227" i="1"/>
  <c r="I227" i="1"/>
  <c r="G227" i="1"/>
  <c r="E227" i="1"/>
  <c r="C227" i="1"/>
  <c r="R226" i="1"/>
  <c r="I226" i="1"/>
  <c r="G226" i="1"/>
  <c r="E226" i="1"/>
  <c r="C226" i="1"/>
  <c r="R225" i="1"/>
  <c r="I225" i="1"/>
  <c r="G225" i="1"/>
  <c r="E225" i="1"/>
  <c r="C225" i="1"/>
  <c r="R224" i="1"/>
  <c r="I224" i="1"/>
  <c r="G224" i="1"/>
  <c r="E224" i="1"/>
  <c r="C224" i="1"/>
  <c r="R223" i="1"/>
  <c r="I223" i="1"/>
  <c r="G223" i="1"/>
  <c r="E223" i="1"/>
  <c r="C223" i="1"/>
  <c r="R222" i="1"/>
  <c r="I222" i="1"/>
  <c r="G222" i="1"/>
  <c r="E222" i="1"/>
  <c r="C222" i="1"/>
  <c r="R221" i="1"/>
  <c r="I221" i="1"/>
  <c r="G221" i="1"/>
  <c r="E221" i="1"/>
  <c r="C221" i="1"/>
  <c r="R220" i="1"/>
  <c r="I220" i="1"/>
  <c r="G220" i="1"/>
  <c r="E220" i="1"/>
  <c r="C220" i="1"/>
  <c r="R219" i="1"/>
  <c r="I219" i="1"/>
  <c r="G219" i="1"/>
  <c r="E219" i="1"/>
  <c r="C219" i="1"/>
  <c r="R218" i="1"/>
  <c r="I218" i="1"/>
  <c r="G218" i="1"/>
  <c r="E218" i="1"/>
  <c r="C218" i="1"/>
  <c r="R217" i="1"/>
  <c r="I217" i="1"/>
  <c r="G217" i="1"/>
  <c r="E217" i="1"/>
  <c r="C217" i="1"/>
  <c r="R216" i="1"/>
  <c r="I216" i="1"/>
  <c r="G216" i="1"/>
  <c r="E216" i="1"/>
  <c r="C216" i="1"/>
  <c r="R215" i="1"/>
  <c r="I215" i="1"/>
  <c r="G215" i="1"/>
  <c r="E215" i="1"/>
  <c r="C215" i="1"/>
  <c r="R214" i="1"/>
  <c r="I214" i="1"/>
  <c r="G214" i="1"/>
  <c r="E214" i="1"/>
  <c r="C214" i="1"/>
  <c r="R213" i="1"/>
  <c r="I213" i="1"/>
  <c r="G213" i="1"/>
  <c r="E213" i="1"/>
  <c r="C213" i="1"/>
  <c r="R212" i="1"/>
  <c r="I212" i="1"/>
  <c r="G212" i="1"/>
  <c r="E212" i="1"/>
  <c r="C212" i="1"/>
  <c r="R211" i="1"/>
  <c r="I211" i="1"/>
  <c r="G211" i="1"/>
  <c r="E211" i="1"/>
  <c r="C211" i="1"/>
  <c r="R210" i="1"/>
  <c r="I210" i="1"/>
  <c r="G210" i="1"/>
  <c r="E210" i="1"/>
  <c r="C210" i="1"/>
  <c r="R209" i="1"/>
  <c r="I209" i="1"/>
  <c r="G209" i="1"/>
  <c r="E209" i="1"/>
  <c r="C209" i="1"/>
  <c r="R208" i="1"/>
  <c r="I208" i="1"/>
  <c r="G208" i="1"/>
  <c r="E208" i="1"/>
  <c r="C208" i="1"/>
  <c r="R207" i="1"/>
  <c r="I207" i="1"/>
  <c r="G207" i="1"/>
  <c r="E207" i="1"/>
  <c r="C207" i="1"/>
  <c r="R206" i="1"/>
  <c r="I206" i="1"/>
  <c r="G206" i="1"/>
  <c r="E206" i="1"/>
  <c r="C206" i="1"/>
  <c r="R205" i="1"/>
  <c r="I205" i="1"/>
  <c r="G205" i="1"/>
  <c r="E205" i="1"/>
  <c r="C205" i="1"/>
  <c r="R204" i="1"/>
  <c r="I204" i="1"/>
  <c r="G204" i="1"/>
  <c r="E204" i="1"/>
  <c r="C204" i="1"/>
  <c r="R203" i="1"/>
  <c r="I203" i="1"/>
  <c r="G203" i="1"/>
  <c r="E203" i="1"/>
  <c r="C203" i="1"/>
  <c r="R202" i="1"/>
  <c r="I202" i="1"/>
  <c r="G202" i="1"/>
  <c r="E202" i="1"/>
  <c r="C202" i="1"/>
  <c r="R201" i="1"/>
  <c r="I201" i="1"/>
  <c r="G201" i="1"/>
  <c r="E201" i="1"/>
  <c r="C201" i="1"/>
  <c r="R200" i="1"/>
  <c r="I200" i="1"/>
  <c r="G200" i="1"/>
  <c r="E200" i="1"/>
  <c r="C200" i="1"/>
  <c r="R199" i="1"/>
  <c r="I199" i="1"/>
  <c r="G199" i="1"/>
  <c r="E199" i="1"/>
  <c r="C199" i="1"/>
  <c r="R198" i="1"/>
  <c r="I198" i="1"/>
  <c r="G198" i="1"/>
  <c r="E198" i="1"/>
  <c r="C198" i="1"/>
  <c r="R197" i="1"/>
  <c r="I197" i="1"/>
  <c r="G197" i="1"/>
  <c r="E197" i="1"/>
  <c r="C197" i="1"/>
  <c r="R196" i="1"/>
  <c r="I196" i="1"/>
  <c r="G196" i="1"/>
  <c r="E196" i="1"/>
  <c r="C196" i="1"/>
  <c r="R195" i="1"/>
  <c r="I195" i="1"/>
  <c r="G195" i="1"/>
  <c r="E195" i="1"/>
  <c r="C195" i="1"/>
  <c r="R194" i="1"/>
  <c r="I194" i="1"/>
  <c r="G194" i="1"/>
  <c r="E194" i="1"/>
  <c r="C194" i="1"/>
  <c r="R193" i="1"/>
  <c r="I193" i="1"/>
  <c r="G193" i="1"/>
  <c r="E193" i="1"/>
  <c r="C193" i="1"/>
  <c r="R192" i="1"/>
  <c r="I192" i="1"/>
  <c r="G192" i="1"/>
  <c r="E192" i="1"/>
  <c r="C192" i="1"/>
  <c r="R191" i="1"/>
  <c r="I191" i="1"/>
  <c r="G191" i="1"/>
  <c r="E191" i="1"/>
  <c r="C191" i="1"/>
  <c r="R190" i="1"/>
  <c r="I190" i="1"/>
  <c r="G190" i="1"/>
  <c r="E190" i="1"/>
  <c r="C190" i="1"/>
  <c r="R189" i="1"/>
  <c r="I189" i="1"/>
  <c r="G189" i="1"/>
  <c r="E189" i="1"/>
  <c r="C189" i="1"/>
  <c r="R188" i="1"/>
  <c r="I188" i="1"/>
  <c r="G188" i="1"/>
  <c r="E188" i="1"/>
  <c r="C188" i="1"/>
  <c r="R187" i="1"/>
  <c r="I187" i="1"/>
  <c r="G187" i="1"/>
  <c r="E187" i="1"/>
  <c r="C187" i="1"/>
  <c r="R186" i="1"/>
  <c r="I186" i="1"/>
  <c r="G186" i="1"/>
  <c r="E186" i="1"/>
  <c r="C186" i="1"/>
  <c r="R185" i="1"/>
  <c r="I185" i="1"/>
  <c r="G185" i="1"/>
  <c r="E185" i="1"/>
  <c r="C185" i="1"/>
  <c r="R184" i="1"/>
  <c r="I184" i="1"/>
  <c r="G184" i="1"/>
  <c r="E184" i="1"/>
  <c r="C184" i="1"/>
  <c r="R183" i="1"/>
  <c r="I183" i="1"/>
  <c r="G183" i="1"/>
  <c r="E183" i="1"/>
  <c r="C183" i="1"/>
  <c r="R182" i="1"/>
  <c r="I182" i="1"/>
  <c r="G182" i="1"/>
  <c r="E182" i="1"/>
  <c r="C182" i="1"/>
  <c r="R181" i="1"/>
  <c r="I181" i="1"/>
  <c r="G181" i="1"/>
  <c r="E181" i="1"/>
  <c r="C181" i="1"/>
  <c r="R180" i="1"/>
  <c r="I180" i="1"/>
  <c r="G180" i="1"/>
  <c r="E180" i="1"/>
  <c r="C180" i="1"/>
  <c r="R179" i="1"/>
  <c r="I179" i="1"/>
  <c r="G179" i="1"/>
  <c r="E179" i="1"/>
  <c r="C179" i="1"/>
  <c r="R178" i="1"/>
  <c r="I178" i="1"/>
  <c r="G178" i="1"/>
  <c r="E178" i="1"/>
  <c r="C178" i="1"/>
  <c r="R177" i="1"/>
  <c r="I177" i="1"/>
  <c r="G177" i="1"/>
  <c r="E177" i="1"/>
  <c r="C177" i="1"/>
  <c r="R176" i="1"/>
  <c r="I176" i="1"/>
  <c r="G176" i="1"/>
  <c r="E176" i="1"/>
  <c r="C176" i="1"/>
  <c r="R175" i="1"/>
  <c r="I175" i="1"/>
  <c r="G175" i="1"/>
  <c r="E175" i="1"/>
  <c r="C175" i="1"/>
  <c r="R174" i="1"/>
  <c r="I174" i="1"/>
  <c r="G174" i="1"/>
  <c r="E174" i="1"/>
  <c r="C174" i="1"/>
  <c r="R173" i="1"/>
  <c r="I173" i="1"/>
  <c r="G173" i="1"/>
  <c r="E173" i="1"/>
  <c r="C173" i="1"/>
  <c r="R172" i="1"/>
  <c r="I172" i="1"/>
  <c r="G172" i="1"/>
  <c r="E172" i="1"/>
  <c r="C172" i="1"/>
  <c r="R171" i="1"/>
  <c r="I171" i="1"/>
  <c r="G171" i="1"/>
  <c r="E171" i="1"/>
  <c r="C171" i="1"/>
  <c r="R170" i="1"/>
  <c r="I170" i="1"/>
  <c r="G170" i="1"/>
  <c r="E170" i="1"/>
  <c r="C170" i="1"/>
  <c r="R169" i="1"/>
  <c r="I169" i="1"/>
  <c r="G169" i="1"/>
  <c r="E169" i="1"/>
  <c r="C169" i="1"/>
  <c r="R168" i="1"/>
  <c r="I168" i="1"/>
  <c r="G168" i="1"/>
  <c r="E168" i="1"/>
  <c r="C168" i="1"/>
  <c r="R167" i="1"/>
  <c r="I167" i="1"/>
  <c r="G167" i="1"/>
  <c r="E167" i="1"/>
  <c r="C167" i="1"/>
  <c r="R166" i="1"/>
  <c r="I166" i="1"/>
  <c r="G166" i="1"/>
  <c r="E166" i="1"/>
  <c r="C166" i="1"/>
  <c r="R165" i="1"/>
  <c r="I165" i="1"/>
  <c r="G165" i="1"/>
  <c r="E165" i="1"/>
  <c r="C165" i="1"/>
  <c r="R164" i="1"/>
  <c r="I164" i="1"/>
  <c r="G164" i="1"/>
  <c r="E164" i="1"/>
  <c r="C164" i="1"/>
  <c r="R163" i="1"/>
  <c r="I163" i="1"/>
  <c r="G163" i="1"/>
  <c r="E163" i="1"/>
  <c r="C163" i="1"/>
  <c r="R162" i="1"/>
  <c r="I162" i="1"/>
  <c r="G162" i="1"/>
  <c r="E162" i="1"/>
  <c r="C162" i="1"/>
  <c r="R161" i="1"/>
  <c r="I161" i="1"/>
  <c r="G161" i="1"/>
  <c r="E161" i="1"/>
  <c r="C161" i="1"/>
  <c r="R160" i="1"/>
  <c r="I160" i="1"/>
  <c r="G160" i="1"/>
  <c r="E160" i="1"/>
  <c r="C160" i="1"/>
  <c r="R159" i="1"/>
  <c r="I159" i="1"/>
  <c r="G159" i="1"/>
  <c r="E159" i="1"/>
  <c r="C159" i="1"/>
  <c r="R158" i="1"/>
  <c r="I158" i="1"/>
  <c r="G158" i="1"/>
  <c r="E158" i="1"/>
  <c r="C158" i="1"/>
  <c r="R157" i="1"/>
  <c r="I157" i="1"/>
  <c r="G157" i="1"/>
  <c r="E157" i="1"/>
  <c r="C157" i="1"/>
  <c r="R156" i="1"/>
  <c r="I156" i="1"/>
  <c r="G156" i="1"/>
  <c r="E156" i="1"/>
  <c r="C156" i="1"/>
  <c r="R155" i="1"/>
  <c r="I155" i="1"/>
  <c r="G155" i="1"/>
  <c r="E155" i="1"/>
  <c r="C155" i="1"/>
  <c r="R154" i="1"/>
  <c r="I154" i="1"/>
  <c r="G154" i="1"/>
  <c r="E154" i="1"/>
  <c r="C154" i="1"/>
  <c r="R153" i="1"/>
  <c r="I153" i="1"/>
  <c r="G153" i="1"/>
  <c r="E153" i="1"/>
  <c r="C153" i="1"/>
  <c r="R152" i="1"/>
  <c r="I152" i="1"/>
  <c r="G152" i="1"/>
  <c r="E152" i="1"/>
  <c r="C152" i="1"/>
  <c r="R151" i="1"/>
  <c r="I151" i="1"/>
  <c r="G151" i="1"/>
  <c r="E151" i="1"/>
  <c r="C151" i="1"/>
  <c r="R150" i="1"/>
  <c r="I150" i="1"/>
  <c r="G150" i="1"/>
  <c r="E150" i="1"/>
  <c r="C150" i="1"/>
  <c r="R149" i="1"/>
  <c r="I149" i="1"/>
  <c r="G149" i="1"/>
  <c r="E149" i="1"/>
  <c r="C149" i="1"/>
  <c r="R148" i="1"/>
  <c r="I148" i="1"/>
  <c r="G148" i="1"/>
  <c r="E148" i="1"/>
  <c r="C148" i="1"/>
  <c r="R147" i="1"/>
  <c r="I147" i="1"/>
  <c r="G147" i="1"/>
  <c r="E147" i="1"/>
  <c r="C147" i="1"/>
  <c r="R146" i="1"/>
  <c r="I146" i="1"/>
  <c r="G146" i="1"/>
  <c r="E146" i="1"/>
  <c r="C146" i="1"/>
  <c r="R145" i="1"/>
  <c r="I145" i="1"/>
  <c r="G145" i="1"/>
  <c r="E145" i="1"/>
  <c r="C145" i="1"/>
  <c r="R144" i="1"/>
  <c r="I144" i="1"/>
  <c r="G144" i="1"/>
  <c r="E144" i="1"/>
  <c r="C144" i="1"/>
  <c r="R143" i="1"/>
  <c r="I143" i="1"/>
  <c r="G143" i="1"/>
  <c r="E143" i="1"/>
  <c r="C143" i="1"/>
  <c r="R142" i="1"/>
  <c r="I142" i="1"/>
  <c r="G142" i="1"/>
  <c r="E142" i="1"/>
  <c r="C142" i="1"/>
  <c r="R141" i="1"/>
  <c r="I141" i="1"/>
  <c r="G141" i="1"/>
  <c r="E141" i="1"/>
  <c r="C141" i="1"/>
  <c r="R140" i="1"/>
  <c r="I140" i="1"/>
  <c r="G140" i="1"/>
  <c r="E140" i="1"/>
  <c r="C140" i="1"/>
  <c r="R139" i="1"/>
  <c r="I139" i="1"/>
  <c r="G139" i="1"/>
  <c r="E139" i="1"/>
  <c r="C139" i="1"/>
  <c r="R138" i="1"/>
  <c r="I138" i="1"/>
  <c r="G138" i="1"/>
  <c r="E138" i="1"/>
  <c r="C138" i="1"/>
  <c r="R137" i="1"/>
  <c r="I137" i="1"/>
  <c r="G137" i="1"/>
  <c r="E137" i="1"/>
  <c r="C137" i="1"/>
  <c r="R136" i="1"/>
  <c r="I136" i="1"/>
  <c r="G136" i="1"/>
  <c r="E136" i="1"/>
  <c r="C136" i="1"/>
  <c r="R135" i="1"/>
  <c r="I135" i="1"/>
  <c r="G135" i="1"/>
  <c r="E135" i="1"/>
  <c r="C135" i="1"/>
  <c r="R134" i="1"/>
  <c r="I134" i="1"/>
  <c r="G134" i="1"/>
  <c r="E134" i="1"/>
  <c r="C134" i="1"/>
  <c r="R133" i="1"/>
  <c r="I133" i="1"/>
  <c r="G133" i="1"/>
  <c r="E133" i="1"/>
  <c r="C133" i="1"/>
  <c r="R132" i="1"/>
  <c r="I132" i="1"/>
  <c r="G132" i="1"/>
  <c r="E132" i="1"/>
  <c r="C132" i="1"/>
  <c r="R131" i="1"/>
  <c r="I131" i="1"/>
  <c r="G131" i="1"/>
  <c r="E131" i="1"/>
  <c r="C131" i="1"/>
  <c r="R130" i="1"/>
  <c r="I130" i="1"/>
  <c r="G130" i="1"/>
  <c r="E130" i="1"/>
  <c r="C130" i="1"/>
  <c r="R129" i="1"/>
  <c r="I129" i="1"/>
  <c r="G129" i="1"/>
  <c r="E129" i="1"/>
  <c r="C129" i="1"/>
  <c r="R128" i="1"/>
  <c r="I128" i="1"/>
  <c r="G128" i="1"/>
  <c r="E128" i="1"/>
  <c r="C128" i="1"/>
  <c r="R127" i="1"/>
  <c r="I127" i="1"/>
  <c r="G127" i="1"/>
  <c r="E127" i="1"/>
  <c r="C127" i="1"/>
  <c r="R126" i="1"/>
  <c r="I126" i="1"/>
  <c r="G126" i="1"/>
  <c r="E126" i="1"/>
  <c r="C126" i="1"/>
  <c r="R125" i="1"/>
  <c r="I125" i="1"/>
  <c r="G125" i="1"/>
  <c r="E125" i="1"/>
  <c r="C125" i="1"/>
  <c r="R124" i="1"/>
  <c r="I124" i="1"/>
  <c r="G124" i="1"/>
  <c r="E124" i="1"/>
  <c r="C124" i="1"/>
  <c r="R123" i="1"/>
  <c r="I123" i="1"/>
  <c r="G123" i="1"/>
  <c r="E123" i="1"/>
  <c r="C123" i="1"/>
  <c r="R122" i="1"/>
  <c r="I122" i="1"/>
  <c r="G122" i="1"/>
  <c r="E122" i="1"/>
  <c r="C122" i="1"/>
  <c r="R121" i="1"/>
  <c r="I121" i="1"/>
  <c r="G121" i="1"/>
  <c r="E121" i="1"/>
  <c r="C121" i="1"/>
  <c r="R120" i="1"/>
  <c r="I120" i="1"/>
  <c r="G120" i="1"/>
  <c r="E120" i="1"/>
  <c r="C120" i="1"/>
  <c r="R119" i="1"/>
  <c r="I119" i="1"/>
  <c r="G119" i="1"/>
  <c r="E119" i="1"/>
  <c r="C119" i="1"/>
  <c r="R118" i="1"/>
  <c r="I118" i="1"/>
  <c r="G118" i="1"/>
  <c r="E118" i="1"/>
  <c r="C118" i="1"/>
  <c r="R117" i="1"/>
  <c r="I117" i="1"/>
  <c r="G117" i="1"/>
  <c r="E117" i="1"/>
  <c r="C117" i="1"/>
  <c r="R116" i="1"/>
  <c r="I116" i="1"/>
  <c r="G116" i="1"/>
  <c r="E116" i="1"/>
  <c r="C116" i="1"/>
  <c r="R115" i="1"/>
  <c r="I115" i="1"/>
  <c r="G115" i="1"/>
  <c r="E115" i="1"/>
  <c r="C115" i="1"/>
  <c r="R114" i="1"/>
  <c r="I114" i="1"/>
  <c r="G114" i="1"/>
  <c r="E114" i="1"/>
  <c r="C114" i="1"/>
  <c r="R113" i="1"/>
  <c r="I113" i="1"/>
  <c r="G113" i="1"/>
  <c r="E113" i="1"/>
  <c r="C113" i="1"/>
  <c r="R112" i="1"/>
  <c r="I112" i="1"/>
  <c r="G112" i="1"/>
  <c r="E112" i="1"/>
  <c r="C112" i="1"/>
  <c r="R111" i="1"/>
  <c r="I111" i="1"/>
  <c r="G111" i="1"/>
  <c r="E111" i="1"/>
  <c r="C111" i="1"/>
  <c r="R110" i="1"/>
  <c r="I110" i="1"/>
  <c r="G110" i="1"/>
  <c r="E110" i="1"/>
  <c r="C110" i="1"/>
  <c r="R109" i="1"/>
  <c r="I109" i="1"/>
  <c r="G109" i="1"/>
  <c r="E109" i="1"/>
  <c r="C109" i="1"/>
  <c r="R108" i="1"/>
  <c r="I108" i="1"/>
  <c r="G108" i="1"/>
  <c r="E108" i="1"/>
  <c r="C108" i="1"/>
  <c r="R107" i="1"/>
  <c r="I107" i="1"/>
  <c r="G107" i="1"/>
  <c r="E107" i="1"/>
  <c r="C107" i="1"/>
  <c r="R106" i="1"/>
  <c r="I106" i="1"/>
  <c r="G106" i="1"/>
  <c r="E106" i="1"/>
  <c r="C106" i="1"/>
  <c r="R105" i="1"/>
  <c r="I105" i="1"/>
  <c r="G105" i="1"/>
  <c r="E105" i="1"/>
  <c r="C105" i="1"/>
  <c r="R104" i="1"/>
  <c r="I104" i="1"/>
  <c r="G104" i="1"/>
  <c r="E104" i="1"/>
  <c r="C104" i="1"/>
  <c r="R103" i="1"/>
  <c r="I103" i="1"/>
  <c r="G103" i="1"/>
  <c r="E103" i="1"/>
  <c r="C103" i="1"/>
  <c r="R102" i="1"/>
  <c r="I102" i="1"/>
  <c r="G102" i="1"/>
  <c r="E102" i="1"/>
  <c r="C102" i="1"/>
  <c r="R101" i="1"/>
  <c r="I101" i="1"/>
  <c r="G101" i="1"/>
  <c r="E101" i="1"/>
  <c r="C101" i="1"/>
  <c r="R100" i="1"/>
  <c r="I100" i="1"/>
  <c r="G100" i="1"/>
  <c r="E100" i="1"/>
  <c r="C100" i="1"/>
  <c r="R99" i="1"/>
  <c r="I99" i="1"/>
  <c r="G99" i="1"/>
  <c r="E99" i="1"/>
  <c r="C99" i="1"/>
  <c r="R98" i="1"/>
  <c r="I98" i="1"/>
  <c r="G98" i="1"/>
  <c r="E98" i="1"/>
  <c r="C98" i="1"/>
  <c r="R97" i="1"/>
  <c r="I97" i="1"/>
  <c r="G97" i="1"/>
  <c r="E97" i="1"/>
  <c r="C97" i="1"/>
  <c r="R96" i="1"/>
  <c r="I96" i="1"/>
  <c r="G96" i="1"/>
  <c r="E96" i="1"/>
  <c r="C96" i="1"/>
  <c r="R95" i="1"/>
  <c r="I95" i="1"/>
  <c r="G95" i="1"/>
  <c r="E95" i="1"/>
  <c r="C95" i="1"/>
  <c r="R94" i="1"/>
  <c r="I94" i="1"/>
  <c r="G94" i="1"/>
  <c r="E94" i="1"/>
  <c r="C94" i="1"/>
  <c r="R93" i="1"/>
  <c r="I93" i="1"/>
  <c r="G93" i="1"/>
  <c r="E93" i="1"/>
  <c r="C93" i="1"/>
  <c r="R92" i="1"/>
  <c r="I92" i="1"/>
  <c r="G92" i="1"/>
  <c r="E92" i="1"/>
  <c r="C92" i="1"/>
  <c r="R91" i="1"/>
  <c r="I91" i="1"/>
  <c r="G91" i="1"/>
  <c r="E91" i="1"/>
  <c r="C91" i="1"/>
  <c r="R90" i="1"/>
  <c r="I90" i="1"/>
  <c r="G90" i="1"/>
  <c r="E90" i="1"/>
  <c r="C90" i="1"/>
  <c r="R89" i="1"/>
  <c r="I89" i="1"/>
  <c r="G89" i="1"/>
  <c r="E89" i="1"/>
  <c r="C89" i="1"/>
  <c r="R88" i="1"/>
  <c r="I88" i="1"/>
  <c r="G88" i="1"/>
  <c r="E88" i="1"/>
  <c r="C88" i="1"/>
  <c r="R87" i="1"/>
  <c r="I87" i="1"/>
  <c r="G87" i="1"/>
  <c r="E87" i="1"/>
  <c r="C87" i="1"/>
  <c r="R86" i="1"/>
  <c r="I86" i="1"/>
  <c r="G86" i="1"/>
  <c r="E86" i="1"/>
  <c r="C86" i="1"/>
  <c r="R85" i="1"/>
  <c r="I85" i="1"/>
  <c r="G85" i="1"/>
  <c r="E85" i="1"/>
  <c r="C85" i="1"/>
  <c r="R84" i="1"/>
  <c r="I84" i="1"/>
  <c r="G84" i="1"/>
  <c r="E84" i="1"/>
  <c r="C84" i="1"/>
  <c r="R83" i="1"/>
  <c r="I83" i="1"/>
  <c r="G83" i="1"/>
  <c r="E83" i="1"/>
  <c r="C83" i="1"/>
  <c r="R82" i="1"/>
  <c r="I82" i="1"/>
  <c r="G82" i="1"/>
  <c r="E82" i="1"/>
  <c r="C82" i="1"/>
  <c r="R81" i="1"/>
  <c r="I81" i="1"/>
  <c r="G81" i="1"/>
  <c r="E81" i="1"/>
  <c r="C81" i="1"/>
  <c r="R80" i="1"/>
  <c r="I80" i="1"/>
  <c r="G80" i="1"/>
  <c r="E80" i="1"/>
  <c r="C80" i="1"/>
  <c r="R79" i="1"/>
  <c r="I79" i="1"/>
  <c r="G79" i="1"/>
  <c r="E79" i="1"/>
  <c r="C79" i="1"/>
  <c r="R78" i="1"/>
  <c r="I78" i="1"/>
  <c r="G78" i="1"/>
  <c r="E78" i="1"/>
  <c r="C78" i="1"/>
  <c r="R77" i="1"/>
  <c r="I77" i="1"/>
  <c r="G77" i="1"/>
  <c r="E77" i="1"/>
  <c r="C77" i="1"/>
  <c r="R76" i="1"/>
  <c r="I76" i="1"/>
  <c r="G76" i="1"/>
  <c r="E76" i="1"/>
  <c r="C76" i="1"/>
  <c r="R75" i="1"/>
  <c r="I75" i="1"/>
  <c r="G75" i="1"/>
  <c r="E75" i="1"/>
  <c r="C75" i="1"/>
  <c r="R74" i="1"/>
  <c r="I74" i="1"/>
  <c r="G74" i="1"/>
  <c r="E74" i="1"/>
  <c r="C74" i="1"/>
  <c r="R73" i="1"/>
  <c r="I73" i="1"/>
  <c r="G73" i="1"/>
  <c r="E73" i="1"/>
  <c r="C73" i="1"/>
  <c r="R72" i="1"/>
  <c r="I72" i="1"/>
  <c r="G72" i="1"/>
  <c r="E72" i="1"/>
  <c r="C72" i="1"/>
  <c r="R71" i="1"/>
  <c r="I71" i="1"/>
  <c r="G71" i="1"/>
  <c r="E71" i="1"/>
  <c r="C71" i="1"/>
  <c r="R70" i="1"/>
  <c r="I70" i="1"/>
  <c r="G70" i="1"/>
  <c r="E70" i="1"/>
  <c r="C70" i="1"/>
  <c r="R69" i="1"/>
  <c r="I69" i="1"/>
  <c r="G69" i="1"/>
  <c r="E69" i="1"/>
  <c r="C69" i="1"/>
  <c r="R68" i="1"/>
  <c r="I68" i="1"/>
  <c r="G68" i="1"/>
  <c r="E68" i="1"/>
  <c r="C68" i="1"/>
  <c r="R67" i="1"/>
  <c r="I67" i="1"/>
  <c r="G67" i="1"/>
  <c r="E67" i="1"/>
  <c r="C67" i="1"/>
  <c r="R66" i="1"/>
  <c r="I66" i="1"/>
  <c r="G66" i="1"/>
  <c r="E66" i="1"/>
  <c r="C66" i="1"/>
  <c r="R65" i="1"/>
  <c r="I65" i="1"/>
  <c r="G65" i="1"/>
  <c r="E65" i="1"/>
  <c r="C65" i="1"/>
  <c r="R64" i="1"/>
  <c r="I64" i="1"/>
  <c r="G64" i="1"/>
  <c r="E64" i="1"/>
  <c r="C64" i="1"/>
  <c r="R63" i="1"/>
  <c r="I63" i="1"/>
  <c r="G63" i="1"/>
  <c r="E63" i="1"/>
  <c r="C63" i="1"/>
  <c r="R62" i="1"/>
  <c r="I62" i="1"/>
  <c r="G62" i="1"/>
  <c r="E62" i="1"/>
  <c r="C62" i="1"/>
  <c r="R61" i="1"/>
  <c r="I61" i="1"/>
  <c r="G61" i="1"/>
  <c r="E61" i="1"/>
  <c r="C61" i="1"/>
  <c r="R60" i="1"/>
  <c r="I60" i="1"/>
  <c r="G60" i="1"/>
  <c r="E60" i="1"/>
  <c r="C60" i="1"/>
  <c r="R59" i="1"/>
  <c r="I59" i="1"/>
  <c r="G59" i="1"/>
  <c r="E59" i="1"/>
  <c r="C59" i="1"/>
  <c r="R58" i="1"/>
  <c r="I58" i="1"/>
  <c r="G58" i="1"/>
  <c r="E58" i="1"/>
  <c r="C58" i="1"/>
  <c r="R57" i="1"/>
  <c r="I57" i="1"/>
  <c r="G57" i="1"/>
  <c r="E57" i="1"/>
  <c r="C57" i="1"/>
  <c r="R56" i="1"/>
  <c r="I56" i="1"/>
  <c r="G56" i="1"/>
  <c r="E56" i="1"/>
  <c r="C56" i="1"/>
  <c r="R55" i="1"/>
  <c r="I55" i="1"/>
  <c r="G55" i="1"/>
  <c r="E55" i="1"/>
  <c r="C55" i="1"/>
  <c r="R54" i="1"/>
  <c r="I54" i="1"/>
  <c r="G54" i="1"/>
  <c r="E54" i="1"/>
  <c r="C54" i="1"/>
  <c r="R53" i="1"/>
  <c r="I53" i="1"/>
  <c r="G53" i="1"/>
  <c r="E53" i="1"/>
  <c r="C53" i="1"/>
  <c r="R52" i="1"/>
  <c r="I52" i="1"/>
  <c r="G52" i="1"/>
  <c r="E52" i="1"/>
  <c r="C52" i="1"/>
  <c r="R51" i="1"/>
  <c r="I51" i="1"/>
  <c r="G51" i="1"/>
  <c r="E51" i="1"/>
  <c r="C51" i="1"/>
  <c r="R50" i="1"/>
  <c r="I50" i="1"/>
  <c r="G50" i="1"/>
  <c r="E50" i="1"/>
  <c r="C50" i="1"/>
  <c r="R49" i="1"/>
  <c r="I49" i="1"/>
  <c r="G49" i="1"/>
  <c r="E49" i="1"/>
  <c r="C49" i="1"/>
  <c r="R48" i="1"/>
  <c r="I48" i="1"/>
  <c r="G48" i="1"/>
  <c r="E48" i="1"/>
  <c r="C48" i="1"/>
  <c r="R47" i="1"/>
  <c r="I47" i="1"/>
  <c r="G47" i="1"/>
  <c r="E47" i="1"/>
  <c r="C47" i="1"/>
  <c r="R46" i="1"/>
  <c r="I46" i="1"/>
  <c r="G46" i="1"/>
  <c r="E46" i="1"/>
  <c r="C46" i="1"/>
  <c r="R45" i="1"/>
  <c r="I45" i="1"/>
  <c r="G45" i="1"/>
  <c r="E45" i="1"/>
  <c r="C45" i="1"/>
  <c r="R44" i="1"/>
  <c r="I44" i="1"/>
  <c r="G44" i="1"/>
  <c r="E44" i="1"/>
  <c r="C44" i="1"/>
  <c r="R43" i="1"/>
  <c r="I43" i="1"/>
  <c r="G43" i="1"/>
  <c r="E43" i="1"/>
  <c r="C43" i="1"/>
  <c r="R42" i="1"/>
  <c r="I42" i="1"/>
  <c r="G42" i="1"/>
  <c r="E42" i="1"/>
  <c r="C42" i="1"/>
  <c r="R41" i="1"/>
  <c r="I41" i="1"/>
  <c r="G41" i="1"/>
  <c r="E41" i="1"/>
  <c r="C41" i="1"/>
  <c r="R40" i="1"/>
  <c r="I40" i="1"/>
  <c r="G40" i="1"/>
  <c r="E40" i="1"/>
  <c r="C40" i="1"/>
  <c r="R39" i="1"/>
  <c r="I39" i="1"/>
  <c r="G39" i="1"/>
  <c r="E39" i="1"/>
  <c r="C39" i="1"/>
  <c r="R38" i="1"/>
  <c r="I38" i="1"/>
  <c r="G38" i="1"/>
  <c r="E38" i="1"/>
  <c r="C38" i="1"/>
  <c r="R37" i="1"/>
  <c r="I37" i="1"/>
  <c r="G37" i="1"/>
  <c r="E37" i="1"/>
  <c r="C37" i="1"/>
  <c r="R36" i="1"/>
  <c r="I36" i="1"/>
  <c r="G36" i="1"/>
  <c r="E36" i="1"/>
  <c r="C36" i="1"/>
  <c r="R35" i="1"/>
  <c r="I35" i="1"/>
  <c r="G35" i="1"/>
  <c r="E35" i="1"/>
  <c r="C35" i="1"/>
  <c r="R34" i="1"/>
  <c r="I34" i="1"/>
  <c r="G34" i="1"/>
  <c r="E34" i="1"/>
  <c r="C34" i="1"/>
  <c r="R33" i="1"/>
  <c r="I33" i="1"/>
  <c r="G33" i="1"/>
  <c r="E33" i="1"/>
  <c r="C33" i="1"/>
  <c r="R32" i="1"/>
  <c r="I32" i="1"/>
  <c r="G32" i="1"/>
  <c r="E32" i="1"/>
  <c r="C32" i="1"/>
  <c r="R31" i="1"/>
  <c r="I31" i="1"/>
  <c r="G31" i="1"/>
  <c r="E31" i="1"/>
  <c r="C31" i="1"/>
  <c r="R30" i="1"/>
  <c r="I30" i="1"/>
  <c r="G30" i="1"/>
  <c r="E30" i="1"/>
  <c r="C30" i="1"/>
  <c r="R29" i="1"/>
  <c r="I29" i="1"/>
  <c r="G29" i="1"/>
  <c r="E29" i="1"/>
  <c r="C29" i="1"/>
  <c r="R28" i="1"/>
  <c r="I28" i="1"/>
  <c r="G28" i="1"/>
  <c r="E28" i="1"/>
  <c r="C28" i="1"/>
  <c r="R27" i="1"/>
  <c r="I27" i="1"/>
  <c r="G27" i="1"/>
  <c r="E27" i="1"/>
  <c r="C27" i="1"/>
  <c r="R26" i="1"/>
  <c r="I26" i="1"/>
  <c r="G26" i="1"/>
  <c r="E26" i="1"/>
  <c r="C26" i="1"/>
  <c r="R25" i="1"/>
  <c r="I25" i="1"/>
  <c r="G25" i="1"/>
  <c r="E25" i="1"/>
  <c r="C25" i="1"/>
  <c r="R24" i="1"/>
  <c r="I24" i="1"/>
  <c r="G24" i="1"/>
  <c r="E24" i="1"/>
  <c r="C24" i="1"/>
  <c r="R23" i="1"/>
  <c r="I23" i="1"/>
  <c r="G23" i="1"/>
  <c r="E23" i="1"/>
  <c r="C23" i="1"/>
  <c r="R22" i="1"/>
  <c r="I22" i="1"/>
  <c r="G22" i="1"/>
  <c r="E22" i="1"/>
  <c r="C22" i="1"/>
  <c r="R21" i="1"/>
  <c r="I21" i="1"/>
  <c r="G21" i="1"/>
  <c r="E21" i="1"/>
  <c r="C21" i="1"/>
  <c r="R20" i="1"/>
  <c r="I20" i="1"/>
  <c r="G20" i="1"/>
  <c r="E20" i="1"/>
  <c r="C20" i="1"/>
  <c r="R19" i="1"/>
  <c r="I19" i="1"/>
  <c r="G19" i="1"/>
  <c r="E19" i="1"/>
  <c r="C19" i="1"/>
  <c r="R18" i="1"/>
  <c r="I18" i="1"/>
  <c r="G18" i="1"/>
  <c r="E18" i="1"/>
  <c r="C18" i="1"/>
  <c r="R17" i="1"/>
  <c r="I17" i="1"/>
  <c r="G17" i="1"/>
  <c r="E17" i="1"/>
  <c r="C17" i="1"/>
  <c r="R16" i="1"/>
  <c r="I16" i="1"/>
  <c r="G16" i="1"/>
  <c r="E16" i="1"/>
  <c r="C16" i="1"/>
  <c r="R15" i="1"/>
  <c r="I15" i="1"/>
  <c r="G15" i="1"/>
  <c r="E15" i="1"/>
  <c r="C15" i="1"/>
  <c r="R14" i="1"/>
  <c r="I14" i="1"/>
  <c r="G14" i="1"/>
  <c r="E14" i="1"/>
  <c r="C14" i="1"/>
  <c r="R13" i="1"/>
  <c r="I13" i="1"/>
  <c r="G13" i="1"/>
  <c r="E13" i="1"/>
  <c r="C13" i="1"/>
  <c r="R12" i="1"/>
  <c r="I12" i="1"/>
  <c r="G12" i="1"/>
  <c r="E12" i="1"/>
  <c r="C12" i="1"/>
  <c r="R11" i="1"/>
  <c r="I11" i="1"/>
  <c r="G11" i="1"/>
  <c r="E11" i="1"/>
  <c r="C11" i="1"/>
  <c r="R10" i="1"/>
  <c r="I10" i="1"/>
  <c r="G10" i="1"/>
  <c r="E10" i="1"/>
  <c r="C10" i="1"/>
  <c r="R9" i="1"/>
  <c r="I9" i="1"/>
  <c r="G9" i="1"/>
  <c r="E9" i="1"/>
  <c r="C9" i="1"/>
  <c r="R8" i="1"/>
  <c r="I8" i="1"/>
  <c r="G8" i="1"/>
  <c r="E8" i="1"/>
  <c r="C8" i="1"/>
  <c r="R7" i="1"/>
  <c r="I7" i="1"/>
  <c r="G7" i="1"/>
  <c r="E7" i="1"/>
  <c r="C7" i="1"/>
  <c r="R6" i="1"/>
  <c r="I6" i="1"/>
  <c r="G6" i="1"/>
  <c r="E6" i="1"/>
  <c r="C6" i="1"/>
  <c r="R5" i="1"/>
  <c r="I5" i="1"/>
  <c r="G5" i="1"/>
  <c r="E5" i="1"/>
  <c r="C5" i="1"/>
  <c r="R4" i="1"/>
  <c r="I4" i="1"/>
  <c r="G4" i="1"/>
  <c r="E4" i="1"/>
  <c r="C4" i="1"/>
  <c r="R3" i="1"/>
  <c r="I3" i="1"/>
  <c r="G3" i="1"/>
  <c r="E3" i="1"/>
  <c r="C3" i="1"/>
  <c r="R2" i="1"/>
  <c r="I2" i="1"/>
  <c r="G2" i="1"/>
  <c r="E2" i="1"/>
  <c r="C2" i="1"/>
</calcChain>
</file>

<file path=xl/sharedStrings.xml><?xml version="1.0" encoding="utf-8"?>
<sst xmlns="http://schemas.openxmlformats.org/spreadsheetml/2006/main" count="48340" uniqueCount="2690">
  <si>
    <t>Data Version</t>
  </si>
  <si>
    <t>NCBI Accession</t>
  </si>
  <si>
    <t>Protein Count</t>
  </si>
  <si>
    <t>Species Tax ID</t>
  </si>
  <si>
    <t>Taxonomic Group</t>
  </si>
  <si>
    <t>Scientific Name</t>
  </si>
  <si>
    <t>Common Name</t>
  </si>
  <si>
    <t>Protein Name</t>
  </si>
  <si>
    <t>BLASTp Bitscore</t>
  </si>
  <si>
    <t>Ortholog Candidate</t>
  </si>
  <si>
    <t>Ortholog Count</t>
  </si>
  <si>
    <t>Cut-off</t>
  </si>
  <si>
    <t>Percent Similarity</t>
  </si>
  <si>
    <t>Susceptibility Prediction</t>
  </si>
  <si>
    <t>Analysis Completed</t>
  </si>
  <si>
    <t>Eukaryote</t>
  </si>
  <si>
    <t>ECOTOX</t>
  </si>
  <si>
    <t>Actinopteri</t>
  </si>
  <si>
    <t>Fathead minnow</t>
  </si>
  <si>
    <t>Y</t>
  </si>
  <si>
    <t>2024 06 17 21:53:25</t>
  </si>
  <si>
    <t>Carps and others</t>
  </si>
  <si>
    <t>N</t>
  </si>
  <si>
    <t>Wuchang bream</t>
  </si>
  <si>
    <t>Grass carp</t>
  </si>
  <si>
    <t>Crucian carp</t>
  </si>
  <si>
    <t>Zebrafish</t>
  </si>
  <si>
    <t>Sumatra barb</t>
  </si>
  <si>
    <t>Silver crucian carp</t>
  </si>
  <si>
    <t>Goldfish</t>
  </si>
  <si>
    <t>Rohu</t>
  </si>
  <si>
    <t>Mud carp</t>
  </si>
  <si>
    <t>Chinese sucker</t>
  </si>
  <si>
    <t>Plateau loaches</t>
  </si>
  <si>
    <t>Razorback sucker</t>
  </si>
  <si>
    <t>Common carp</t>
  </si>
  <si>
    <t>Oriental weatherfish</t>
  </si>
  <si>
    <t>Mexican tetra</t>
  </si>
  <si>
    <t>Tambaqui</t>
  </si>
  <si>
    <t>Red-bellied piranha</t>
  </si>
  <si>
    <t>Channel catfish</t>
  </si>
  <si>
    <t>Lesser salmon catfish</t>
  </si>
  <si>
    <t>Blue catfish</t>
  </si>
  <si>
    <t>North African catfish</t>
  </si>
  <si>
    <t>Tarpon</t>
  </si>
  <si>
    <t>Bagrid catfishes</t>
  </si>
  <si>
    <t>American shad</t>
  </si>
  <si>
    <t>Yellow catfish</t>
  </si>
  <si>
    <t>Denticle herring</t>
  </si>
  <si>
    <t>Northern pike</t>
  </si>
  <si>
    <t>Indian glassy fish</t>
  </si>
  <si>
    <t>Electric eel</t>
  </si>
  <si>
    <t>Striped sea-bass</t>
  </si>
  <si>
    <t>Pinecone soldierfish</t>
  </si>
  <si>
    <t>Jacks</t>
  </si>
  <si>
    <t>Large yellow croaker</t>
  </si>
  <si>
    <t>Clown anemonefish</t>
  </si>
  <si>
    <t>Greater amberjack</t>
  </si>
  <si>
    <t>Turbot</t>
  </si>
  <si>
    <t>Airbreathing catfishes</t>
  </si>
  <si>
    <t>Senegalese sole</t>
  </si>
  <si>
    <t>Yellowtail amberjack</t>
  </si>
  <si>
    <t>Mandarin fish</t>
  </si>
  <si>
    <t>Sablefish</t>
  </si>
  <si>
    <t>Copperband butterflyfish</t>
  </si>
  <si>
    <t>Turquoise killifish</t>
  </si>
  <si>
    <t>Live sharksucker</t>
  </si>
  <si>
    <t>Yellow perch</t>
  </si>
  <si>
    <t>Flathead mullet</t>
  </si>
  <si>
    <t>Indian medaka</t>
  </si>
  <si>
    <t>Delta smelt</t>
  </si>
  <si>
    <t>Largemouth bass</t>
  </si>
  <si>
    <t>Lyretail cichlid</t>
  </si>
  <si>
    <t>Cichlids</t>
  </si>
  <si>
    <t>Eastern happy</t>
  </si>
  <si>
    <t>Burton's mouthbrooder</t>
  </si>
  <si>
    <t>Arkansas darter</t>
  </si>
  <si>
    <t>European seabass</t>
  </si>
  <si>
    <t>Banded archerfish</t>
  </si>
  <si>
    <t>Elephantfishes</t>
  </si>
  <si>
    <t>Zebra mbuna</t>
  </si>
  <si>
    <t>Bluestripe pipefish</t>
  </si>
  <si>
    <t>Smallmouth bass</t>
  </si>
  <si>
    <t>Japanese flounder</t>
  </si>
  <si>
    <t>Gilthead seabream</t>
  </si>
  <si>
    <t>Bicolor damselfish</t>
  </si>
  <si>
    <t>Nile tilapia</t>
  </si>
  <si>
    <t>Chub mackerel</t>
  </si>
  <si>
    <t>Spiny chromis</t>
  </si>
  <si>
    <t>Orangethroat darter</t>
  </si>
  <si>
    <t>Common sole</t>
  </si>
  <si>
    <t>Dwarf seahorse</t>
  </si>
  <si>
    <t>Cuckoo wrasse</t>
  </si>
  <si>
    <t>Blue tilapia</t>
  </si>
  <si>
    <t>Gobies</t>
  </si>
  <si>
    <t>Snakehead murrel</t>
  </si>
  <si>
    <t>Mammalia</t>
  </si>
  <si>
    <t>Domestic ferret</t>
  </si>
  <si>
    <t>Wolf-eel</t>
  </si>
  <si>
    <t>Pikeperch</t>
  </si>
  <si>
    <t>Yellowfin seabream</t>
  </si>
  <si>
    <t>Amur catfish</t>
  </si>
  <si>
    <t>Siamese fighting fish</t>
  </si>
  <si>
    <t>Ballan wrasse</t>
  </si>
  <si>
    <t>Pacific halibut</t>
  </si>
  <si>
    <t>Asian bonytongue</t>
  </si>
  <si>
    <t>Japanese medaka</t>
  </si>
  <si>
    <t>Ringed pipefish</t>
  </si>
  <si>
    <t>Atlantic halibut</t>
  </si>
  <si>
    <t>Torafugu</t>
  </si>
  <si>
    <t>Bonefishes</t>
  </si>
  <si>
    <t>Scribbled pipefish</t>
  </si>
  <si>
    <t>Northern snakehead</t>
  </si>
  <si>
    <t>Swordfish</t>
  </si>
  <si>
    <t>Mummichog</t>
  </si>
  <si>
    <t>Lumpfish</t>
  </si>
  <si>
    <t>Blunt-snouted clingfish</t>
  </si>
  <si>
    <t>Sailfin molly</t>
  </si>
  <si>
    <t>European perch</t>
  </si>
  <si>
    <t>Amazon molly</t>
  </si>
  <si>
    <t>Shortfin molly</t>
  </si>
  <si>
    <t>European plaice</t>
  </si>
  <si>
    <t>Goodeids</t>
  </si>
  <si>
    <t>Sheepshead minnow</t>
  </si>
  <si>
    <t>Atlantic silverside</t>
  </si>
  <si>
    <t>Killifishes</t>
  </si>
  <si>
    <t>Southern platyfish</t>
  </si>
  <si>
    <t>Great blue-spotted mudskipper</t>
  </si>
  <si>
    <t>Ninespine stickleback</t>
  </si>
  <si>
    <t>Green swordtail</t>
  </si>
  <si>
    <t>Lake whitefish</t>
  </si>
  <si>
    <t>Common dab</t>
  </si>
  <si>
    <t>Monterrey platyfish</t>
  </si>
  <si>
    <t>Lake trout</t>
  </si>
  <si>
    <t>Mandarinfish</t>
  </si>
  <si>
    <t>Gulf pipefish</t>
  </si>
  <si>
    <t>Rio pearlfish</t>
  </si>
  <si>
    <t>Tongue sole</t>
  </si>
  <si>
    <t>Three-spined stickleback</t>
  </si>
  <si>
    <t>Greater pipefish</t>
  </si>
  <si>
    <t>Climbing perch</t>
  </si>
  <si>
    <t>Mangrove rivulus</t>
  </si>
  <si>
    <t>Tiger tail seahorse</t>
  </si>
  <si>
    <t>Broad-nosed pipefish</t>
  </si>
  <si>
    <t>Flier cichlid</t>
  </si>
  <si>
    <t>Blackstripe livebearer</t>
  </si>
  <si>
    <t>Chum salmon</t>
  </si>
  <si>
    <t>Poison toadfishes</t>
  </si>
  <si>
    <t>Western mosquitofish</t>
  </si>
  <si>
    <t>Brook trout</t>
  </si>
  <si>
    <t>River trout</t>
  </si>
  <si>
    <t>Boeseman's rainbowfish</t>
  </si>
  <si>
    <t>Snailfishes</t>
  </si>
  <si>
    <t>Orbiculate cardinalfish</t>
  </si>
  <si>
    <t>Atlantic blue marlin</t>
  </si>
  <si>
    <t>Atlantic salmon</t>
  </si>
  <si>
    <t>Benguela hake</t>
  </si>
  <si>
    <t>Swamp eel</t>
  </si>
  <si>
    <t>Rainbow trout</t>
  </si>
  <si>
    <t>Pink salmon</t>
  </si>
  <si>
    <t>South Georgia icefish</t>
  </si>
  <si>
    <t>Antarctic dragonfishes</t>
  </si>
  <si>
    <t>Thornfishes</t>
  </si>
  <si>
    <t>Sockeye salmon</t>
  </si>
  <si>
    <t>Coho salmon</t>
  </si>
  <si>
    <t>Atlantic cod</t>
  </si>
  <si>
    <t>New World rivulines</t>
  </si>
  <si>
    <t>Emerald rockcod</t>
  </si>
  <si>
    <t>Pacific cod</t>
  </si>
  <si>
    <t>Naked-back knifefishes</t>
  </si>
  <si>
    <t>Gilbert's halosaur</t>
  </si>
  <si>
    <t>Black rockcod</t>
  </si>
  <si>
    <t>Sheatfishes</t>
  </si>
  <si>
    <t>Barcoo grunter</t>
  </si>
  <si>
    <t>Blackfin icefish</t>
  </si>
  <si>
    <t>Toothed Cuban cusk-eel</t>
  </si>
  <si>
    <t>Mekong giant catfish</t>
  </si>
  <si>
    <t>Amphibia</t>
  </si>
  <si>
    <t>Tropical clawed frog</t>
  </si>
  <si>
    <t>Coelacanthiformes</t>
  </si>
  <si>
    <t>Coelacanth</t>
  </si>
  <si>
    <t>Common toad</t>
  </si>
  <si>
    <t>Iberian ribbed newt</t>
  </si>
  <si>
    <t>Plains spadefoot toad</t>
  </si>
  <si>
    <t>African clawed frog</t>
  </si>
  <si>
    <t>Chinook salmon</t>
  </si>
  <si>
    <t>Asiatic toad</t>
  </si>
  <si>
    <t>Fire-bellied toad</t>
  </si>
  <si>
    <t>Congo dwarf clawed frog</t>
  </si>
  <si>
    <t>Gabon caecilian</t>
  </si>
  <si>
    <t>American bullfrog</t>
  </si>
  <si>
    <t>Common frog</t>
  </si>
  <si>
    <t>Lepidosauria</t>
  </si>
  <si>
    <t>Komodo dragon</t>
  </si>
  <si>
    <t>Green anole</t>
  </si>
  <si>
    <t>Chondrichthyes</t>
  </si>
  <si>
    <t>Great white shark</t>
  </si>
  <si>
    <t>Aeolian wall lizard</t>
  </si>
  <si>
    <t>Fence lizard</t>
  </si>
  <si>
    <t>Common lizard</t>
  </si>
  <si>
    <t>Lilford's wall lizard</t>
  </si>
  <si>
    <t>Allis shad</t>
  </si>
  <si>
    <t>Smalltooth sawfish</t>
  </si>
  <si>
    <t>Testudinata</t>
  </si>
  <si>
    <t>Mexican gopher tortoise</t>
  </si>
  <si>
    <t>Epaulette shark</t>
  </si>
  <si>
    <t>Sand lizard</t>
  </si>
  <si>
    <t>Leopard gecko</t>
  </si>
  <si>
    <t>Tiger rattlesnake</t>
  </si>
  <si>
    <t>Cloudy catshark</t>
  </si>
  <si>
    <t>Elephant shark</t>
  </si>
  <si>
    <t>Diamondback terrapin</t>
  </si>
  <si>
    <t>Carpet sharks</t>
  </si>
  <si>
    <t>Iguanian lizards</t>
  </si>
  <si>
    <t>Crocodylia</t>
  </si>
  <si>
    <t>American alligator</t>
  </si>
  <si>
    <t>Western terrestrial garter snake</t>
  </si>
  <si>
    <t>Tarantolino</t>
  </si>
  <si>
    <t>Leatherback sea turtle</t>
  </si>
  <si>
    <t>Smaller spotted catshark</t>
  </si>
  <si>
    <t>Prickly gecko</t>
  </si>
  <si>
    <t>Reeves's turtle</t>
  </si>
  <si>
    <t>Yellowpond turtle</t>
  </si>
  <si>
    <t>Common wall lizard</t>
  </si>
  <si>
    <t>Atlantic stingray</t>
  </si>
  <si>
    <t>Little skate</t>
  </si>
  <si>
    <t>Thorny skate</t>
  </si>
  <si>
    <t>Loggerhead turtle</t>
  </si>
  <si>
    <t>Whale shark</t>
  </si>
  <si>
    <t>Brownbanded bambooshark</t>
  </si>
  <si>
    <t>Agile Gracile Mouse Opossum</t>
  </si>
  <si>
    <t>Milkfish</t>
  </si>
  <si>
    <t>Goodes thornscrub tortoise</t>
  </si>
  <si>
    <t>Florida worm lizard</t>
  </si>
  <si>
    <t>Roundjaw bonefish</t>
  </si>
  <si>
    <t>Patagonian moray cod</t>
  </si>
  <si>
    <t>Dipnomorpha</t>
  </si>
  <si>
    <t>West African lungfish</t>
  </si>
  <si>
    <t>Whitespotted bambooshark</t>
  </si>
  <si>
    <t>Snooks</t>
  </si>
  <si>
    <t>Spotted gar</t>
  </si>
  <si>
    <t>Aves</t>
  </si>
  <si>
    <t>Chicken</t>
  </si>
  <si>
    <t>Helmeted guineafowl</t>
  </si>
  <si>
    <t>Arctic fox</t>
  </si>
  <si>
    <t>Ring-necked pheasant</t>
  </si>
  <si>
    <t>Dog</t>
  </si>
  <si>
    <t>Lance-tailed manakin</t>
  </si>
  <si>
    <t>Brown anole</t>
  </si>
  <si>
    <t>Ring-tailed lemur</t>
  </si>
  <si>
    <t>Downy woodpecker</t>
  </si>
  <si>
    <t>Graceful crag lizard</t>
  </si>
  <si>
    <t>White-ruffed manakin</t>
  </si>
  <si>
    <t>Prairie deer mouse</t>
  </si>
  <si>
    <t>Raccoon dog</t>
  </si>
  <si>
    <t>Geckos</t>
  </si>
  <si>
    <t>Southern grasshopper mouse</t>
  </si>
  <si>
    <t>Lesser kestrel</t>
  </si>
  <si>
    <t>Lesser Egyptian jerboa</t>
  </si>
  <si>
    <t>Dingo</t>
  </si>
  <si>
    <t>White-tufted-ear marmoset</t>
  </si>
  <si>
    <t>Asiatic elephant</t>
  </si>
  <si>
    <t>White-toothed pygmy shrew</t>
  </si>
  <si>
    <t>Gyrfalcon</t>
  </si>
  <si>
    <t>Lanner falcon</t>
  </si>
  <si>
    <t>Saker falcon</t>
  </si>
  <si>
    <t>Common barn owl</t>
  </si>
  <si>
    <t>Peregrine falcon</t>
  </si>
  <si>
    <t>European conger</t>
  </si>
  <si>
    <t>Saffron-crested tyrant-manakin</t>
  </si>
  <si>
    <t>Tufted capuchin</t>
  </si>
  <si>
    <t>Rock pigeon</t>
  </si>
  <si>
    <t>Colubrid snakes</t>
  </si>
  <si>
    <t>Red-eared slider turtle</t>
  </si>
  <si>
    <t>Leopard cat</t>
  </si>
  <si>
    <t>Greater sage-grouse</t>
  </si>
  <si>
    <t>Bolivian squirrel monkey</t>
  </si>
  <si>
    <t>Brown bear</t>
  </si>
  <si>
    <t>White-collared manakin</t>
  </si>
  <si>
    <t>Francois's langur</t>
  </si>
  <si>
    <t>White-footed mouse</t>
  </si>
  <si>
    <t>American black bear</t>
  </si>
  <si>
    <t>European eel</t>
  </si>
  <si>
    <t>Jaguarundi</t>
  </si>
  <si>
    <t>California mouse</t>
  </si>
  <si>
    <t>Golden hamster</t>
  </si>
  <si>
    <t>Geoffroy's cat</t>
  </si>
  <si>
    <t>Southern multimammate mouse</t>
  </si>
  <si>
    <t>Domestic cat</t>
  </si>
  <si>
    <t>Leopard</t>
  </si>
  <si>
    <t>Slow loris</t>
  </si>
  <si>
    <t>Golden spiny mouse</t>
  </si>
  <si>
    <t>Whooping crane</t>
  </si>
  <si>
    <t>Cladistia</t>
  </si>
  <si>
    <t>Gray bichir</t>
  </si>
  <si>
    <t>Norway rat</t>
  </si>
  <si>
    <t>Black-legged kittiwake</t>
  </si>
  <si>
    <t>Olive baboon</t>
  </si>
  <si>
    <t>Northern white-cheeked gibbon</t>
  </si>
  <si>
    <t>Common cuckoo</t>
  </si>
  <si>
    <t>Banner-tailed kangaroo rat</t>
  </si>
  <si>
    <t>Prairie vole</t>
  </si>
  <si>
    <t>Canada lynx</t>
  </si>
  <si>
    <t>Human</t>
  </si>
  <si>
    <t>Reedfish</t>
  </si>
  <si>
    <t>European snow vole</t>
  </si>
  <si>
    <t>Fishing cat</t>
  </si>
  <si>
    <t>Three-toed box turtle</t>
  </si>
  <si>
    <t>Cactus mouse</t>
  </si>
  <si>
    <t>Clouded leopard</t>
  </si>
  <si>
    <t>Woodpeckers and others</t>
  </si>
  <si>
    <t>European shrew</t>
  </si>
  <si>
    <t>Creeping vole</t>
  </si>
  <si>
    <t>Green monkey</t>
  </si>
  <si>
    <t>Tiger</t>
  </si>
  <si>
    <t>Chinese pangolin</t>
  </si>
  <si>
    <t>Smoky shrew</t>
  </si>
  <si>
    <t>Rhesus monkey</t>
  </si>
  <si>
    <t>Lion</t>
  </si>
  <si>
    <t>Okarito brown kiwi</t>
  </si>
  <si>
    <t>Desert hamster</t>
  </si>
  <si>
    <t>Bornean orangutan</t>
  </si>
  <si>
    <t>Greater horseshoe bat</t>
  </si>
  <si>
    <t>Mongolian gerbil</t>
  </si>
  <si>
    <t>Chimpanzee</t>
  </si>
  <si>
    <t>Shrew mouse</t>
  </si>
  <si>
    <t>Western painted turtle</t>
  </si>
  <si>
    <t>Snow leopard</t>
  </si>
  <si>
    <t>Malayan pangolin</t>
  </si>
  <si>
    <t>Pere David's macaque</t>
  </si>
  <si>
    <t>Red fox</t>
  </si>
  <si>
    <t>Crab-eating macaque</t>
  </si>
  <si>
    <t>Golden-collared manakin</t>
  </si>
  <si>
    <t>Cheetah</t>
  </si>
  <si>
    <t>Gray mouse lemur</t>
  </si>
  <si>
    <t>Giant grouper</t>
  </si>
  <si>
    <t>Chinese soft-shelled turtle</t>
  </si>
  <si>
    <t>Harbor seal</t>
  </si>
  <si>
    <t>Eurasian water vole</t>
  </si>
  <si>
    <t>Two-lined caecilian</t>
  </si>
  <si>
    <t>Pig-tailed macaque</t>
  </si>
  <si>
    <t>North Island brown kiwi</t>
  </si>
  <si>
    <t>Crested ibis</t>
  </si>
  <si>
    <t>Common swift</t>
  </si>
  <si>
    <t>Striped catfish</t>
  </si>
  <si>
    <t>Black rhinoceros</t>
  </si>
  <si>
    <t>Hoatzin</t>
  </si>
  <si>
    <t>House mouse</t>
  </si>
  <si>
    <t>California condor</t>
  </si>
  <si>
    <t>Fat sand rat</t>
  </si>
  <si>
    <t>Southern elephant seal</t>
  </si>
  <si>
    <t>Wild Bactrian camel</t>
  </si>
  <si>
    <t>Polar bear</t>
  </si>
  <si>
    <t>Ryukyu mouse</t>
  </si>
  <si>
    <t>Black-lipped pika</t>
  </si>
  <si>
    <t>Common warthog</t>
  </si>
  <si>
    <t>African ostrich</t>
  </si>
  <si>
    <t>Killdeer</t>
  </si>
  <si>
    <t>American pika</t>
  </si>
  <si>
    <t>Bobcat</t>
  </si>
  <si>
    <t>Chinese hamster</t>
  </si>
  <si>
    <t>Ugandan red Colobus</t>
  </si>
  <si>
    <t>Patagonian toothfish</t>
  </si>
  <si>
    <t>Mississippi paddlefish</t>
  </si>
  <si>
    <t>Fallow deer</t>
  </si>
  <si>
    <t>White-throated tinamou</t>
  </si>
  <si>
    <t>Brown-marbled grouper</t>
  </si>
  <si>
    <t>Tinamous</t>
  </si>
  <si>
    <t>Goat</t>
  </si>
  <si>
    <t>Chinese forest musk deer</t>
  </si>
  <si>
    <t>Angolan colobus</t>
  </si>
  <si>
    <t>Sheep</t>
  </si>
  <si>
    <t>American bison</t>
  </si>
  <si>
    <t>Scimitar-horned oryx</t>
  </si>
  <si>
    <t>Water buffalo</t>
  </si>
  <si>
    <t>Atlantic herring</t>
  </si>
  <si>
    <t>Gray short-tailed opossum</t>
  </si>
  <si>
    <t>Meerkat</t>
  </si>
  <si>
    <t>California sea lion</t>
  </si>
  <si>
    <t>Nile rat</t>
  </si>
  <si>
    <t>European woodmouse</t>
  </si>
  <si>
    <t>Daubenton's bat</t>
  </si>
  <si>
    <t>Cape elephant shrew</t>
  </si>
  <si>
    <t>Chinese rufous horseshoe bat</t>
  </si>
  <si>
    <t>Chimney swift</t>
  </si>
  <si>
    <t>Kingfishers</t>
  </si>
  <si>
    <t>Damara mole-rat</t>
  </si>
  <si>
    <t>Common bats</t>
  </si>
  <si>
    <t>Barramundi perch</t>
  </si>
  <si>
    <t>Gelada</t>
  </si>
  <si>
    <t>Hippopotamus</t>
  </si>
  <si>
    <t>Leopard coralgrouper</t>
  </si>
  <si>
    <t>Kelp grouper</t>
  </si>
  <si>
    <t>Plains zebra</t>
  </si>
  <si>
    <t>Takin</t>
  </si>
  <si>
    <t>Parnell's mustached bat</t>
  </si>
  <si>
    <t>Ass</t>
  </si>
  <si>
    <t>Black seabass</t>
  </si>
  <si>
    <t>Svalbard reindeer</t>
  </si>
  <si>
    <t>Sperm whale</t>
  </si>
  <si>
    <t>Pacific pocket mouse</t>
  </si>
  <si>
    <t>Hawaiian monk seal</t>
  </si>
  <si>
    <t>Carabao</t>
  </si>
  <si>
    <t>Black rat</t>
  </si>
  <si>
    <t>Bank vole</t>
  </si>
  <si>
    <t>Steller sea lion</t>
  </si>
  <si>
    <t>Landfowls</t>
  </si>
  <si>
    <t>Scats</t>
  </si>
  <si>
    <t>Amphibians</t>
  </si>
  <si>
    <t>Pygmy sperm whale</t>
  </si>
  <si>
    <t>Horse</t>
  </si>
  <si>
    <t>Mainland tiger snake</t>
  </si>
  <si>
    <t>Tawny-throated leaftosser</t>
  </si>
  <si>
    <t>Ord's kangaroo rat</t>
  </si>
  <si>
    <t>Spotted honeyguide</t>
  </si>
  <si>
    <t>Satin bowerbird</t>
  </si>
  <si>
    <t>Gray seal</t>
  </si>
  <si>
    <t>Indo-pacific humpbacked dolphin</t>
  </si>
  <si>
    <t>Monito del monte</t>
  </si>
  <si>
    <t>Storks and others</t>
  </si>
  <si>
    <t>Southern bluefin tuna</t>
  </si>
  <si>
    <t>Naked mole-rat</t>
  </si>
  <si>
    <t>Smalleye Pacific opah</t>
  </si>
  <si>
    <t>White-winged piprites</t>
  </si>
  <si>
    <t>Yellowfin tuna</t>
  </si>
  <si>
    <t>Panamanian white-faced capuchin</t>
  </si>
  <si>
    <t>Spotted green pufferfish</t>
  </si>
  <si>
    <t>Storks</t>
  </si>
  <si>
    <t>Reed vole</t>
  </si>
  <si>
    <t>Common murre</t>
  </si>
  <si>
    <t>Rufous treecreeper</t>
  </si>
  <si>
    <t>Southern cassowary</t>
  </si>
  <si>
    <t>Emu</t>
  </si>
  <si>
    <t>Eastern brown snake</t>
  </si>
  <si>
    <t>Shorebirds and others</t>
  </si>
  <si>
    <t>Song birds</t>
  </si>
  <si>
    <t>Platypus</t>
  </si>
  <si>
    <t>Ibis, herons and pelicans</t>
  </si>
  <si>
    <t>Puma</t>
  </si>
  <si>
    <t>Small-eared galago</t>
  </si>
  <si>
    <t>Eurasian golden-oriole</t>
  </si>
  <si>
    <t>Plains-wanderer</t>
  </si>
  <si>
    <t>Rabbit</t>
  </si>
  <si>
    <t>Pallas's mastiff bat</t>
  </si>
  <si>
    <t>Nicobar pigeon</t>
  </si>
  <si>
    <t>Western bronze ground-dove</t>
  </si>
  <si>
    <t>Australian echidna</t>
  </si>
  <si>
    <t>Garden warbler</t>
  </si>
  <si>
    <t>Greater spear-nosed bat</t>
  </si>
  <si>
    <t>Black-winged stilt</t>
  </si>
  <si>
    <t>Black flying fox</t>
  </si>
  <si>
    <t>Black-legged seriema</t>
  </si>
  <si>
    <t>Striped hyena</t>
  </si>
  <si>
    <t>Boat-billed heron</t>
  </si>
  <si>
    <t>Indian flying fox</t>
  </si>
  <si>
    <t>Honeycomb rockfish</t>
  </si>
  <si>
    <t>Jacamars</t>
  </si>
  <si>
    <t>Falcons and others</t>
  </si>
  <si>
    <t>Groove-billed ani</t>
  </si>
  <si>
    <t>European robin</t>
  </si>
  <si>
    <t>Pearly razorfish</t>
  </si>
  <si>
    <t>Jaguar</t>
  </si>
  <si>
    <t>Elegant crested-tinamou</t>
  </si>
  <si>
    <t>Chinese habu</t>
  </si>
  <si>
    <t>Cattle</t>
  </si>
  <si>
    <t>Rock ptarmigan</t>
  </si>
  <si>
    <t>Hybrid cattle</t>
  </si>
  <si>
    <t>Banteng</t>
  </si>
  <si>
    <t>Cuckoos and others</t>
  </si>
  <si>
    <t>Aardvark</t>
  </si>
  <si>
    <t>Black-capped chickadee</t>
  </si>
  <si>
    <t>Black snub-nosed monkey</t>
  </si>
  <si>
    <t>Blue-crowned manakin</t>
  </si>
  <si>
    <t>Burmese python</t>
  </si>
  <si>
    <t>Grebes</t>
  </si>
  <si>
    <t>Pale spear-nosed bat</t>
  </si>
  <si>
    <t>Giant panda</t>
  </si>
  <si>
    <t>Silvery gibbon</t>
  </si>
  <si>
    <t>Northern goshawk</t>
  </si>
  <si>
    <t>Alaska blackfish</t>
  </si>
  <si>
    <t>Mousebirds</t>
  </si>
  <si>
    <t>Pygmy chimpanzee</t>
  </si>
  <si>
    <t>Blue whale</t>
  </si>
  <si>
    <t>Western European hedgehog</t>
  </si>
  <si>
    <t>North Atlantic right whale</t>
  </si>
  <si>
    <t>Rice's whale</t>
  </si>
  <si>
    <t>Bactrian camel</t>
  </si>
  <si>
    <t>Bowfin</t>
  </si>
  <si>
    <t>Central bearded dragon</t>
  </si>
  <si>
    <t>Hyperoartia</t>
  </si>
  <si>
    <t>Sea lamprey</t>
  </si>
  <si>
    <t>White-beaked dolphin</t>
  </si>
  <si>
    <t>Coquerel's sifaka</t>
  </si>
  <si>
    <t>Desert horned lizard</t>
  </si>
  <si>
    <t>Cape golden mole</t>
  </si>
  <si>
    <t>Australian brush-turkey</t>
  </si>
  <si>
    <t>Far Eastern brook lamprey</t>
  </si>
  <si>
    <t>Band-tailed pigeon</t>
  </si>
  <si>
    <t>Alligator gar</t>
  </si>
  <si>
    <t>Yangtze River dolphin</t>
  </si>
  <si>
    <t>Tree swifts</t>
  </si>
  <si>
    <t>Walleye pollock</t>
  </si>
  <si>
    <t>Green sea turtle</t>
  </si>
  <si>
    <t>Brandt's bat</t>
  </si>
  <si>
    <t>Guppy</t>
  </si>
  <si>
    <t>Little brown bat</t>
  </si>
  <si>
    <t>New Caledonian crow</t>
  </si>
  <si>
    <t>Red-crested turaco</t>
  </si>
  <si>
    <t>Cuckoo roller</t>
  </si>
  <si>
    <t>Sansaifugu</t>
  </si>
  <si>
    <t>Rifleman</t>
  </si>
  <si>
    <t>White-tailed deer</t>
  </si>
  <si>
    <t>Pin-tailed whydah</t>
  </si>
  <si>
    <t>Zig-zag eel</t>
  </si>
  <si>
    <t>Arctic char</t>
  </si>
  <si>
    <t>Florida manatee</t>
  </si>
  <si>
    <t>California towhee</t>
  </si>
  <si>
    <t>Ma's night monkey</t>
  </si>
  <si>
    <t>Goonch</t>
  </si>
  <si>
    <t>Tufted duck</t>
  </si>
  <si>
    <t>Hooded crow</t>
  </si>
  <si>
    <t>White-tailed ptarmigan</t>
  </si>
  <si>
    <t>Golden eagle</t>
  </si>
  <si>
    <t>Harpy eagle</t>
  </si>
  <si>
    <t>Ground parrot</t>
  </si>
  <si>
    <t>Parrots</t>
  </si>
  <si>
    <t>Gray squirrel</t>
  </si>
  <si>
    <t>Kakapo</t>
  </si>
  <si>
    <t>Eurasian badger</t>
  </si>
  <si>
    <t>Woodchuck</t>
  </si>
  <si>
    <t>Ermine</t>
  </si>
  <si>
    <t>Jewelled blenny</t>
  </si>
  <si>
    <t>Lesser prairie-chicken</t>
  </si>
  <si>
    <t>Ruddy duck</t>
  </si>
  <si>
    <t>Black-footed ferret</t>
  </si>
  <si>
    <t>Ruff</t>
  </si>
  <si>
    <t>Northern American river otter</t>
  </si>
  <si>
    <t>Australian saltwater crocodile</t>
  </si>
  <si>
    <t>Bourke's parrot</t>
  </si>
  <si>
    <t>European mink</t>
  </si>
  <si>
    <t>Eurasian river otter</t>
  </si>
  <si>
    <t>Mallard</t>
  </si>
  <si>
    <t>Hawaiian crow</t>
  </si>
  <si>
    <t>Mariana crow</t>
  </si>
  <si>
    <t>White-throated sparrow</t>
  </si>
  <si>
    <t>Nine-banded armadillo</t>
  </si>
  <si>
    <t>Mute swan</t>
  </si>
  <si>
    <t>Western lowland gorilla</t>
  </si>
  <si>
    <t>Sumatran orangutan</t>
  </si>
  <si>
    <t>Barn swallow</t>
  </si>
  <si>
    <t>Golden snub-nosed monkey</t>
  </si>
  <si>
    <t>Swainson's thrush</t>
  </si>
  <si>
    <t>Iberian mole</t>
  </si>
  <si>
    <t>Common canary</t>
  </si>
  <si>
    <t>Eurasian tree sparrow</t>
  </si>
  <si>
    <t>Japanese quail</t>
  </si>
  <si>
    <t>Siamang</t>
  </si>
  <si>
    <t>American mink</t>
  </si>
  <si>
    <t>White wagtail</t>
  </si>
  <si>
    <t>Chinese alligator</t>
  </si>
  <si>
    <t>Gharial</t>
  </si>
  <si>
    <t>Tanagers</t>
  </si>
  <si>
    <t>Degu</t>
  </si>
  <si>
    <t>Zebra finch</t>
  </si>
  <si>
    <t>Budgerigar</t>
  </si>
  <si>
    <t>Southern two-toed sloth</t>
  </si>
  <si>
    <t>Bengalese finch</t>
  </si>
  <si>
    <t>Tibetan ground-tit</t>
  </si>
  <si>
    <t>Long-tailed chinchilla</t>
  </si>
  <si>
    <t>Bald eagle</t>
  </si>
  <si>
    <t>New World blackbirds, orioles and allies</t>
  </si>
  <si>
    <t>Burrowing owl</t>
  </si>
  <si>
    <t>Adelie penguin</t>
  </si>
  <si>
    <t>Great Tit</t>
  </si>
  <si>
    <t>Yellow-bellied marmot</t>
  </si>
  <si>
    <t>Spanish lynx</t>
  </si>
  <si>
    <t>Red deer</t>
  </si>
  <si>
    <t>Rufous-necked snowfinch</t>
  </si>
  <si>
    <t>Arctic ground squirrel</t>
  </si>
  <si>
    <t>Red-winged blackbird</t>
  </si>
  <si>
    <t>Tasmanian devil</t>
  </si>
  <si>
    <t>African thicket rats</t>
  </si>
  <si>
    <t>White-rumped snowfinch</t>
  </si>
  <si>
    <t>Anna's hummingbird</t>
  </si>
  <si>
    <t>Pig</t>
  </si>
  <si>
    <t>Black swan</t>
  </si>
  <si>
    <t>Beluga whale</t>
  </si>
  <si>
    <t>Long-finned pilot whale</t>
  </si>
  <si>
    <t>Common starling</t>
  </si>
  <si>
    <t>Chinese tree shrew</t>
  </si>
  <si>
    <t>Saddleback dolphin</t>
  </si>
  <si>
    <t>Narwhal</t>
  </si>
  <si>
    <t>Turkey</t>
  </si>
  <si>
    <t>Red-backed fairy wren</t>
  </si>
  <si>
    <t>Alpine marmot</t>
  </si>
  <si>
    <t>Common brushtail</t>
  </si>
  <si>
    <t>Koala</t>
  </si>
  <si>
    <t>Blainville's beaked whale</t>
  </si>
  <si>
    <t>Wheatears</t>
  </si>
  <si>
    <t>Atlantic sturgeon</t>
  </si>
  <si>
    <t>American pygmy kingfisher</t>
  </si>
  <si>
    <t>Northern sea otter</t>
  </si>
  <si>
    <t>Collared flycatcher</t>
  </si>
  <si>
    <t>Northern fur seal</t>
  </si>
  <si>
    <t>Common bottlenose dolphin</t>
  </si>
  <si>
    <t>Killer whale</t>
  </si>
  <si>
    <t>Pacific white-sided dolphin</t>
  </si>
  <si>
    <t>Common vampire bat</t>
  </si>
  <si>
    <t>Star-nosed mole</t>
  </si>
  <si>
    <t>Zebu cattle</t>
  </si>
  <si>
    <t>Javanese ricefish</t>
  </si>
  <si>
    <t>Egyptian rousette</t>
  </si>
  <si>
    <t>Silver-breasted broadbill</t>
  </si>
  <si>
    <t>Medium ground-finch</t>
  </si>
  <si>
    <t>Elk</t>
  </si>
  <si>
    <t>Yangtze finless porpoise</t>
  </si>
  <si>
    <t>Wild yak</t>
  </si>
  <si>
    <t>Big brown bat</t>
  </si>
  <si>
    <t>American beaver</t>
  </si>
  <si>
    <t>Yellow-footed antechinus</t>
  </si>
  <si>
    <t>Tit berrypecker</t>
  </si>
  <si>
    <t>Australian choughs</t>
  </si>
  <si>
    <t>Limpkin</t>
  </si>
  <si>
    <t>Northern chowchilla</t>
  </si>
  <si>
    <t>Shrikes</t>
  </si>
  <si>
    <t>Scrub jay</t>
  </si>
  <si>
    <t>Wattled ploughbill</t>
  </si>
  <si>
    <t>Waterfowl</t>
  </si>
  <si>
    <t>Superb lyrebird</t>
  </si>
  <si>
    <t>McConnell's flycatcher</t>
  </si>
  <si>
    <t>Vaquita</t>
  </si>
  <si>
    <t>Przewalski's horse</t>
  </si>
  <si>
    <t>Australian magpie</t>
  </si>
  <si>
    <t>Honeyeaters</t>
  </si>
  <si>
    <t>Owls</t>
  </si>
  <si>
    <t>Yellow-belllied whistler</t>
  </si>
  <si>
    <t>Macaroni penguin</t>
  </si>
  <si>
    <t>Magellanic penguin</t>
  </si>
  <si>
    <t>Bustards</t>
  </si>
  <si>
    <t>Kuhl's pipistrelle</t>
  </si>
  <si>
    <t>Jackass penguin</t>
  </si>
  <si>
    <t>Black-whiskered vireo</t>
  </si>
  <si>
    <t>King penguin</t>
  </si>
  <si>
    <t>Cuckooshrikes</t>
  </si>
  <si>
    <t>Galapagos penguin</t>
  </si>
  <si>
    <t>Crow tit</t>
  </si>
  <si>
    <t>Blue-capped ifrita</t>
  </si>
  <si>
    <t>White-tailed eagle</t>
  </si>
  <si>
    <t>Yellow-eyed penguin</t>
  </si>
  <si>
    <t>Thirteen-lined ground squirrel</t>
  </si>
  <si>
    <t>Red-winged fairywren</t>
  </si>
  <si>
    <t>Black hawk-eagle</t>
  </si>
  <si>
    <t>Northern rockhopper penguin</t>
  </si>
  <si>
    <t>Eastern shriketit</t>
  </si>
  <si>
    <t>Fiordland penguin</t>
  </si>
  <si>
    <t>Humboldt's penguin</t>
  </si>
  <si>
    <t>Spotted pardalote</t>
  </si>
  <si>
    <t>Rockhopper penguin</t>
  </si>
  <si>
    <t>Jamaican fruit-eating bat</t>
  </si>
  <si>
    <t>White-flippered penguin</t>
  </si>
  <si>
    <t>Southern rockhopper penguin</t>
  </si>
  <si>
    <t>Little blue penguin</t>
  </si>
  <si>
    <t>Pygmy drongo</t>
  </si>
  <si>
    <t>Abyssinian ground-hornbill</t>
  </si>
  <si>
    <t>Australian little penguin</t>
  </si>
  <si>
    <t>Chinstrap penguin</t>
  </si>
  <si>
    <t>Loria's bird-of-paradise</t>
  </si>
  <si>
    <t>Babblers</t>
  </si>
  <si>
    <t>Cuckoos</t>
  </si>
  <si>
    <t>Green hylia</t>
  </si>
  <si>
    <t>White-eyes</t>
  </si>
  <si>
    <t>Bohemian waxwing</t>
  </si>
  <si>
    <t>Leaf-nosed bats</t>
  </si>
  <si>
    <t>Gentoo penguin</t>
  </si>
  <si>
    <t>North Island kokako</t>
  </si>
  <si>
    <t>White-winged crossbill</t>
  </si>
  <si>
    <t>Fan-tailed berrypecker</t>
  </si>
  <si>
    <t>Black-headed bulbul</t>
  </si>
  <si>
    <t>Asian short-toed lark</t>
  </si>
  <si>
    <t>Fichtenkreuzschnabel</t>
  </si>
  <si>
    <t>Wood nuthatch</t>
  </si>
  <si>
    <t>Streak-breasted scimitar babbler</t>
  </si>
  <si>
    <t>Old World flycatchers</t>
  </si>
  <si>
    <t>Erect-crested penguin</t>
  </si>
  <si>
    <t>Snares penguin</t>
  </si>
  <si>
    <t>Northern wheatear</t>
  </si>
  <si>
    <t>Humphead wrasse</t>
  </si>
  <si>
    <t>Nightjars and others</t>
  </si>
  <si>
    <t>Australasian robins</t>
  </si>
  <si>
    <t>Minke whale</t>
  </si>
  <si>
    <t>Green crombec</t>
  </si>
  <si>
    <t>Eurasian tree-creeper</t>
  </si>
  <si>
    <t>Domestic guinea pig</t>
  </si>
  <si>
    <t>Picui ground-dove</t>
  </si>
  <si>
    <t>Buntings</t>
  </si>
  <si>
    <t>Willow flycatcher</t>
  </si>
  <si>
    <t>Skinks</t>
  </si>
  <si>
    <t>Sterlet</t>
  </si>
  <si>
    <t>Reeves' muntjac</t>
  </si>
  <si>
    <t>Emperor penguin</t>
  </si>
  <si>
    <t>King cobra</t>
  </si>
  <si>
    <t>Big-headed turtle</t>
  </si>
  <si>
    <t>Xingu scale-backed antbird</t>
  </si>
  <si>
    <t>New Zealand spotty</t>
  </si>
  <si>
    <t>Bluefin trevally</t>
  </si>
  <si>
    <t>Catfishes</t>
  </si>
  <si>
    <t>Muntjak</t>
  </si>
  <si>
    <t>Ferruginous pygmy-owl</t>
  </si>
  <si>
    <t>Arabian camel</t>
  </si>
  <si>
    <t>Sooty mangabey</t>
  </si>
  <si>
    <t>Kaup's arrowtooth eel</t>
  </si>
  <si>
    <t>Wire-tailed manakin</t>
  </si>
  <si>
    <t>Big head croaker</t>
  </si>
  <si>
    <t>Red-throated loon</t>
  </si>
  <si>
    <t>Western spadefoot toad</t>
  </si>
  <si>
    <t>Puerto Rican coqui</t>
  </si>
  <si>
    <t>Swan goose</t>
  </si>
  <si>
    <t>Frogs and toads</t>
  </si>
  <si>
    <t>Tungara frog</t>
  </si>
  <si>
    <t>Barbeled plunderfishes</t>
  </si>
  <si>
    <t>Red-headed barbet</t>
  </si>
  <si>
    <t>Teleost fishes</t>
  </si>
  <si>
    <t>Black skimmer</t>
  </si>
  <si>
    <t>Carmine bee-eater</t>
  </si>
  <si>
    <t>Indo-Pacific tarpon</t>
  </si>
  <si>
    <t>Philippine tarsier</t>
  </si>
  <si>
    <t>Whitefishes</t>
  </si>
  <si>
    <t>Ascidiacea</t>
  </si>
  <si>
    <t>Sea squirts</t>
  </si>
  <si>
    <t>House finch</t>
  </si>
  <si>
    <t>Razorbill</t>
  </si>
  <si>
    <t>Sardinian treefrog</t>
  </si>
  <si>
    <t>Dalmatian pelican</t>
  </si>
  <si>
    <t>Old World warblers</t>
  </si>
  <si>
    <t>American crow</t>
  </si>
  <si>
    <t>White-tailed tropicbird</t>
  </si>
  <si>
    <t>Giant moray</t>
  </si>
  <si>
    <t>Black bullhead</t>
  </si>
  <si>
    <t>Blue tit</t>
  </si>
  <si>
    <t>Drill</t>
  </si>
  <si>
    <t>Southern white rhinoceros</t>
  </si>
  <si>
    <t>Gouldian finch</t>
  </si>
  <si>
    <t>Abingdon island giant tortoise</t>
  </si>
  <si>
    <t>Little egret</t>
  </si>
  <si>
    <t>Upper Galilee mountains blind mole rat</t>
  </si>
  <si>
    <t>Spotted hyena</t>
  </si>
  <si>
    <t>Warty sea squirt</t>
  </si>
  <si>
    <t>Alpaca</t>
  </si>
  <si>
    <t>Common wombat</t>
  </si>
  <si>
    <t>African savanna elephant</t>
  </si>
  <si>
    <t>Northern elephant seal</t>
  </si>
  <si>
    <t>Pacific walrus</t>
  </si>
  <si>
    <t>Sunda flying lemur</t>
  </si>
  <si>
    <t>Vase tunicate</t>
  </si>
  <si>
    <t>Starlings</t>
  </si>
  <si>
    <t>Puffers</t>
  </si>
  <si>
    <t>Small Madagascar hedgehog</t>
  </si>
  <si>
    <t>Gastropoda</t>
  </si>
  <si>
    <t>Bloodfluke planorb</t>
  </si>
  <si>
    <t>Indian cobra</t>
  </si>
  <si>
    <t>Insecta</t>
  </si>
  <si>
    <t>Meadow brown</t>
  </si>
  <si>
    <t>Corn earworm</t>
  </si>
  <si>
    <t>Cotton bollworm</t>
  </si>
  <si>
    <t>Cat flea</t>
  </si>
  <si>
    <t>Roundnose grenadier</t>
  </si>
  <si>
    <t>Marbled wood quail</t>
  </si>
  <si>
    <t>Squinting bush brown</t>
  </si>
  <si>
    <t>Brown argus</t>
  </si>
  <si>
    <t>Wasps, ants &amp; bees</t>
  </si>
  <si>
    <t>Pharaoh ant</t>
  </si>
  <si>
    <t>Red mason bee</t>
  </si>
  <si>
    <t>Red harvester ant</t>
  </si>
  <si>
    <t>Red fire ant</t>
  </si>
  <si>
    <t>Jerdon's jumping ant</t>
  </si>
  <si>
    <t>Yellow-faced bees</t>
  </si>
  <si>
    <t>Orchard mason bee</t>
  </si>
  <si>
    <t>Long-legged flies</t>
  </si>
  <si>
    <t>Kingfishers and others</t>
  </si>
  <si>
    <t>Malacostraca</t>
  </si>
  <si>
    <t>Chinese mitten crab</t>
  </si>
  <si>
    <t>Narrow-clawed crayfish</t>
  </si>
  <si>
    <t>Swimming crab</t>
  </si>
  <si>
    <t>Large flying fox</t>
  </si>
  <si>
    <t>Yellow-throated sandgrouse</t>
  </si>
  <si>
    <t>Common trumpeter</t>
  </si>
  <si>
    <t>Rhinoceros hornbill</t>
  </si>
  <si>
    <t>Greater roadrunner</t>
  </si>
  <si>
    <t>Leptocardii</t>
  </si>
  <si>
    <t>Amphioxus</t>
  </si>
  <si>
    <t>Moles, shrew-moles, and desmans</t>
  </si>
  <si>
    <t>Northern cardinal</t>
  </si>
  <si>
    <t>Rufous-bellied thrush</t>
  </si>
  <si>
    <t>Belcher's lancelet</t>
  </si>
  <si>
    <t>Hexanauplia</t>
  </si>
  <si>
    <t>Copepods</t>
  </si>
  <si>
    <t>Florida lancelet</t>
  </si>
  <si>
    <t>Wolverine</t>
  </si>
  <si>
    <t>Weddell seal</t>
  </si>
  <si>
    <t>Yarkand deer</t>
  </si>
  <si>
    <t>Appendicularia</t>
  </si>
  <si>
    <t>Appendicularians</t>
  </si>
  <si>
    <t>Lesser marbled fritillary</t>
  </si>
  <si>
    <t>Greater wax moth</t>
  </si>
  <si>
    <t>Formosan subterranean termite</t>
  </si>
  <si>
    <t>Hornets and yellowjackets</t>
  </si>
  <si>
    <t>European paper wasp</t>
  </si>
  <si>
    <t>Western yellowjacket</t>
  </si>
  <si>
    <t>Paper wasps</t>
  </si>
  <si>
    <t>Leaf cutting ants</t>
  </si>
  <si>
    <t>Little fire ant</t>
  </si>
  <si>
    <t>Eurotatoria</t>
  </si>
  <si>
    <t>Rotifers</t>
  </si>
  <si>
    <t>Common paper wasp</t>
  </si>
  <si>
    <t>Clonal raider ant</t>
  </si>
  <si>
    <t>Alfalfa leafcutting bee</t>
  </si>
  <si>
    <t>Asiatic honeybee</t>
  </si>
  <si>
    <t>Stingless bees</t>
  </si>
  <si>
    <t>Panamanian leafcutter ant</t>
  </si>
  <si>
    <t>Small minnow mayflies</t>
  </si>
  <si>
    <t>Grey whale</t>
  </si>
  <si>
    <t>Fleshy prawn</t>
  </si>
  <si>
    <t>Great cormorant</t>
  </si>
  <si>
    <t>Kea</t>
  </si>
  <si>
    <t>Penaeid shrimps</t>
  </si>
  <si>
    <t>Fairy bluebird</t>
  </si>
  <si>
    <t>Australian red claw crayfish</t>
  </si>
  <si>
    <t>Antarctic toothfish</t>
  </si>
  <si>
    <t>Red-legged seriema</t>
  </si>
  <si>
    <t>Tidepool copepod</t>
  </si>
  <si>
    <t>Northern fulmar</t>
  </si>
  <si>
    <t>Giant pangolin</t>
  </si>
  <si>
    <t>Gastropods</t>
  </si>
  <si>
    <t>Bivalvia</t>
  </si>
  <si>
    <t>Mud oyster</t>
  </si>
  <si>
    <t>Rhabditophora</t>
  </si>
  <si>
    <t>Flatworms</t>
  </si>
  <si>
    <t>Oysters</t>
  </si>
  <si>
    <t>Northern quahog</t>
  </si>
  <si>
    <t>Softshell</t>
  </si>
  <si>
    <t>Eastern oyster</t>
  </si>
  <si>
    <t>Portugese oyster</t>
  </si>
  <si>
    <t>Manila clam</t>
  </si>
  <si>
    <t>Akoya pearl oyster</t>
  </si>
  <si>
    <t>Red abalone</t>
  </si>
  <si>
    <t>Bivalves</t>
  </si>
  <si>
    <t>Sunbittern</t>
  </si>
  <si>
    <t>Lettuce slug</t>
  </si>
  <si>
    <t>Narrow-winged damselflies</t>
  </si>
  <si>
    <t>Scallops</t>
  </si>
  <si>
    <t>Powder-post termites</t>
  </si>
  <si>
    <t>Owl limpet</t>
  </si>
  <si>
    <t>Sweet potato whitefly</t>
  </si>
  <si>
    <t>Brown roatelo</t>
  </si>
  <si>
    <t>Aphids</t>
  </si>
  <si>
    <t>Brown marmorated stink bug</t>
  </si>
  <si>
    <t>Grape phylloxera</t>
  </si>
  <si>
    <t>Yellow sugarcane aphid</t>
  </si>
  <si>
    <t>Spruce gall adelgid</t>
  </si>
  <si>
    <t>Fall armyworm</t>
  </si>
  <si>
    <t>Green lacewings</t>
  </si>
  <si>
    <t>Beet armyworm</t>
  </si>
  <si>
    <t>Polychaeta</t>
  </si>
  <si>
    <t>Polychaetes</t>
  </si>
  <si>
    <t>Red admiral</t>
  </si>
  <si>
    <t>Colorado potato beetle</t>
  </si>
  <si>
    <t>African cotton leafworm</t>
  </si>
  <si>
    <t>Southern green stink bug</t>
  </si>
  <si>
    <t>Painted lady</t>
  </si>
  <si>
    <t>White, yellow and sulphur butterflies</t>
  </si>
  <si>
    <t>Apollo</t>
  </si>
  <si>
    <t>Orange sulphur</t>
  </si>
  <si>
    <t>Ringlet</t>
  </si>
  <si>
    <t>Large cabbage white</t>
  </si>
  <si>
    <t>Tortoiseshells, admirals &amp;c.</t>
  </si>
  <si>
    <t>European peacock</t>
  </si>
  <si>
    <t>Leaf beetles</t>
  </si>
  <si>
    <t>Black flour beetle</t>
  </si>
  <si>
    <t>Wild silkworm</t>
  </si>
  <si>
    <t>Snout moths</t>
  </si>
  <si>
    <t>Domestic silkworm</t>
  </si>
  <si>
    <t>Small brown planthopper</t>
  </si>
  <si>
    <t>Cabbage white</t>
  </si>
  <si>
    <t>Owlet moths</t>
  </si>
  <si>
    <t>Red flour beetle</t>
  </si>
  <si>
    <t>Tobacco hornworm</t>
  </si>
  <si>
    <t>Asian corn borer</t>
  </si>
  <si>
    <t>Soybean looper</t>
  </si>
  <si>
    <t>Cabbage looper</t>
  </si>
  <si>
    <t>Northern armyworm</t>
  </si>
  <si>
    <t>Dogface butterfly</t>
  </si>
  <si>
    <t>Whites</t>
  </si>
  <si>
    <t>Monarch butterfly</t>
  </si>
  <si>
    <t>Rice leaffolder</t>
  </si>
  <si>
    <t>Speckled wood butterfly</t>
  </si>
  <si>
    <t>Common yellow swallowtail</t>
  </si>
  <si>
    <t>Small hive beetle</t>
  </si>
  <si>
    <t>Asian longhorned beetle</t>
  </si>
  <si>
    <t>Striped riceborer</t>
  </si>
  <si>
    <t>Sugarcane borer</t>
  </si>
  <si>
    <t>Flea beetles</t>
  </si>
  <si>
    <t>Indianmeal moth</t>
  </si>
  <si>
    <t>Yellow mealworm</t>
  </si>
  <si>
    <t>Twirler moths</t>
  </si>
  <si>
    <t>Arachnida</t>
  </si>
  <si>
    <t>Eight-eyed spiders</t>
  </si>
  <si>
    <t>May beetles &amp; June bugs</t>
  </si>
  <si>
    <t>Asian swallowtail</t>
  </si>
  <si>
    <t>Purple stem borer</t>
  </si>
  <si>
    <t>Seven-spotted ladybird</t>
  </si>
  <si>
    <t>Seed weevils</t>
  </si>
  <si>
    <t>Pink bollworm</t>
  </si>
  <si>
    <t>Azuki bean weevil</t>
  </si>
  <si>
    <t>Russian wheat aphid</t>
  </si>
  <si>
    <t>Speckled mousebird</t>
  </si>
  <si>
    <t>Asian citrus psyllid</t>
  </si>
  <si>
    <t>Green peach aphid</t>
  </si>
  <si>
    <t>Mosquitos</t>
  </si>
  <si>
    <t>Sweet potato weevil</t>
  </si>
  <si>
    <t>Potato aphid</t>
  </si>
  <si>
    <t>Yellow fever mosquito</t>
  </si>
  <si>
    <t>Stalk-eyed flies</t>
  </si>
  <si>
    <t>Orb weavers</t>
  </si>
  <si>
    <t>Rose-grain aphid</t>
  </si>
  <si>
    <t>Pea aphid</t>
  </si>
  <si>
    <t>Asian tiger mosquito</t>
  </si>
  <si>
    <t>Clouded yellow</t>
  </si>
  <si>
    <t>Buff-tailed bumblebee</t>
  </si>
  <si>
    <t>Bumble bees</t>
  </si>
  <si>
    <t>Southern house mosquito</t>
  </si>
  <si>
    <t>Northern house mosquito</t>
  </si>
  <si>
    <t>Rice weevil</t>
  </si>
  <si>
    <t>Florida carpenter ant</t>
  </si>
  <si>
    <t>Soybean aphid</t>
  </si>
  <si>
    <t>Rapeseed pollen beetle</t>
  </si>
  <si>
    <t>Bird cherry-oat aphid</t>
  </si>
  <si>
    <t>Cotton aphid</t>
  </si>
  <si>
    <t>Western corn rootworm</t>
  </si>
  <si>
    <t>Mountain pine beetle</t>
  </si>
  <si>
    <t>Great roundleaf bat</t>
  </si>
  <si>
    <t>African malaria mosquito</t>
  </si>
  <si>
    <t>Black soldier fly</t>
  </si>
  <si>
    <t>Sleeping chironomid</t>
  </si>
  <si>
    <t>Sandflies</t>
  </si>
  <si>
    <t>Citrus whitefly</t>
  </si>
  <si>
    <t>Chuck-will's-widow</t>
  </si>
  <si>
    <t>Hackled orbweavers</t>
  </si>
  <si>
    <t>Trichogrammid wasps</t>
  </si>
  <si>
    <t>Pitcher-plant mosquito</t>
  </si>
  <si>
    <t>Asian malaria mosquito</t>
  </si>
  <si>
    <t>American malaria mosquito</t>
  </si>
  <si>
    <t>Hardbacked ticks</t>
  </si>
  <si>
    <t>Stable fly</t>
  </si>
  <si>
    <t>Fruit flies</t>
  </si>
  <si>
    <t>Lingulata</t>
  </si>
  <si>
    <t>Lampshells</t>
  </si>
  <si>
    <t>Dung beetles &amp; tumblebugs</t>
  </si>
  <si>
    <t>Mexican fruit fly</t>
  </si>
  <si>
    <t>Brown citrus aphid</t>
  </si>
  <si>
    <t>Summer fruit tortrix moth</t>
  </si>
  <si>
    <t>Yesso scallop</t>
  </si>
  <si>
    <t>Butterflies and moths</t>
  </si>
  <si>
    <t>House flies</t>
  </si>
  <si>
    <t>Melon fly</t>
  </si>
  <si>
    <t>Blue-fronted amazon</t>
  </si>
  <si>
    <t>House fly</t>
  </si>
  <si>
    <t>Oriental fruit fly</t>
  </si>
  <si>
    <t>Carpenter bees</t>
  </si>
  <si>
    <t>Queensland fruit fly</t>
  </si>
  <si>
    <t>Black-legged tick</t>
  </si>
  <si>
    <t>Mustard beetle</t>
  </si>
  <si>
    <t>Snowberry fruit fly</t>
  </si>
  <si>
    <t>Common green bottle fly</t>
  </si>
  <si>
    <t>Australian sheep blowfly</t>
  </si>
  <si>
    <t>Nonbiting midges</t>
  </si>
  <si>
    <t>Corn leaf aphid</t>
  </si>
  <si>
    <t>Fruit fly</t>
  </si>
  <si>
    <t>Orange wheat blossom midge</t>
  </si>
  <si>
    <t>Ladybird beetles</t>
  </si>
  <si>
    <t>Coffee berry borer</t>
  </si>
  <si>
    <t>Fireflies</t>
  </si>
  <si>
    <t>Merostomata</t>
  </si>
  <si>
    <t>Atlantic horseshoe crab</t>
  </si>
  <si>
    <t>Olive fruit fly</t>
  </si>
  <si>
    <t>Pomace flies</t>
  </si>
  <si>
    <t>Lappet moths</t>
  </si>
  <si>
    <t>Two-spotted spider mite</t>
  </si>
  <si>
    <t>Cabbage seed weevil</t>
  </si>
  <si>
    <t>Common house spider</t>
  </si>
  <si>
    <t>Hover flies</t>
  </si>
  <si>
    <t>Marmalade hoverfly</t>
  </si>
  <si>
    <t>Sexton beetles</t>
  </si>
  <si>
    <t>Mites and ticks</t>
  </si>
  <si>
    <t>Swede midge</t>
  </si>
  <si>
    <t>Grey fleshfly</t>
  </si>
  <si>
    <t>Beetle mites</t>
  </si>
  <si>
    <t>Digger bees</t>
  </si>
  <si>
    <t>Thecostraca</t>
  </si>
  <si>
    <t>Acorn barnacles</t>
  </si>
  <si>
    <t>Collembola</t>
  </si>
  <si>
    <t>Smooth springtails</t>
  </si>
  <si>
    <t>American house dust mite</t>
  </si>
  <si>
    <t>Velvet mites</t>
  </si>
  <si>
    <t>Citrus red mite</t>
  </si>
  <si>
    <t>Titmice</t>
  </si>
  <si>
    <t>Whales, hippos, ruminants, pigs, camels etc.</t>
  </si>
  <si>
    <t>Argali</t>
  </si>
  <si>
    <t>Western predatory mite</t>
  </si>
  <si>
    <t>Zebra mussel</t>
  </si>
  <si>
    <t>Blacklip abalone</t>
  </si>
  <si>
    <t>Cephalopoda</t>
  </si>
  <si>
    <t>California two-spot octopus</t>
  </si>
  <si>
    <t>Common octopus</t>
  </si>
  <si>
    <t>Apple maggot</t>
  </si>
  <si>
    <t>East African grey crowned-crane</t>
  </si>
  <si>
    <t>Bar-tailed trogon</t>
  </si>
  <si>
    <t>Palaeacanthocephala</t>
  </si>
  <si>
    <t>Thorny-headed worms</t>
  </si>
  <si>
    <t>Ark shells</t>
  </si>
  <si>
    <t>Mediterranean mussel</t>
  </si>
  <si>
    <t>Echinoidea</t>
  </si>
  <si>
    <t>Painted urchin</t>
  </si>
  <si>
    <t>Asteroidea</t>
  </si>
  <si>
    <t>Crown-of-thorns starfish</t>
  </si>
  <si>
    <t>Chromadorea</t>
  </si>
  <si>
    <t>Lungworms</t>
  </si>
  <si>
    <t>Green sea urchin</t>
  </si>
  <si>
    <t>Roundworms</t>
  </si>
  <si>
    <t>California mussel</t>
  </si>
  <si>
    <t>Enteropneusta</t>
  </si>
  <si>
    <t>Acorn worms</t>
  </si>
  <si>
    <t>Western flower thrips</t>
  </si>
  <si>
    <t>Oak gall wasps</t>
  </si>
  <si>
    <t>Desert woodrat</t>
  </si>
  <si>
    <t>Desert locust</t>
  </si>
  <si>
    <t>South American locust</t>
  </si>
  <si>
    <t>American grasshopper</t>
  </si>
  <si>
    <t>True thrips</t>
  </si>
  <si>
    <t>Central American locust</t>
  </si>
  <si>
    <t>Walking sticks</t>
  </si>
  <si>
    <t>Vagrant locust</t>
  </si>
  <si>
    <t>Migratory bird locusts</t>
  </si>
  <si>
    <t>Glanville fritillary</t>
  </si>
  <si>
    <t>Wheat stem sawfly</t>
  </si>
  <si>
    <t>Aster leafhopper</t>
  </si>
  <si>
    <t>Hooded pitta</t>
  </si>
  <si>
    <t>Hymenopterans</t>
  </si>
  <si>
    <t>Diamondback moth</t>
  </si>
  <si>
    <t>Potter wasps</t>
  </si>
  <si>
    <t>Human body louse</t>
  </si>
  <si>
    <t>Bees</t>
  </si>
  <si>
    <t>European hornet</t>
  </si>
  <si>
    <t>Asian giant hornet</t>
  </si>
  <si>
    <t>Coleseed sawfly</t>
  </si>
  <si>
    <t>Bean blossom thrips</t>
  </si>
  <si>
    <t>Mosquito</t>
  </si>
  <si>
    <t>Brown planthopper</t>
  </si>
  <si>
    <t>Joro-gumo</t>
  </si>
  <si>
    <t>White pine sawfly</t>
  </si>
  <si>
    <t>Redheaded pine sawfly</t>
  </si>
  <si>
    <t>Enoplea</t>
  </si>
  <si>
    <t>Common eastern bumble bee</t>
  </si>
  <si>
    <t>Plant bugs</t>
  </si>
  <si>
    <t>Mediterranean fruit fly</t>
  </si>
  <si>
    <t>Honey bee</t>
  </si>
  <si>
    <t>Plasterer bees</t>
  </si>
  <si>
    <t>Giant honeybee</t>
  </si>
  <si>
    <t>Alkali bee</t>
  </si>
  <si>
    <t>Himalayan honeybee</t>
  </si>
  <si>
    <t>Pacific white shrimp</t>
  </si>
  <si>
    <t>Scaled quail</t>
  </si>
  <si>
    <t>Argentine ant</t>
  </si>
  <si>
    <t>White-backed planthopper</t>
  </si>
  <si>
    <t>Branchiopoda</t>
  </si>
  <si>
    <t>Common water fleas</t>
  </si>
  <si>
    <t>Jewel wasp</t>
  </si>
  <si>
    <t>Fig wasps</t>
  </si>
  <si>
    <t>Tsetse fly</t>
  </si>
  <si>
    <t>Brown dog tick</t>
  </si>
  <si>
    <t>Common Mormon</t>
  </si>
  <si>
    <t>Parasitic wood wasps</t>
  </si>
  <si>
    <t>Common eastern firefly</t>
  </si>
  <si>
    <t>Dwarf spiders</t>
  </si>
  <si>
    <t>Little honeybee</t>
  </si>
  <si>
    <t>Orchid bees</t>
  </si>
  <si>
    <t>Bed bug</t>
  </si>
  <si>
    <t>Caucasian honeybee</t>
  </si>
  <si>
    <t>Carniolan honeybee</t>
  </si>
  <si>
    <t>Bagworm moths</t>
  </si>
  <si>
    <t>Common water flea</t>
  </si>
  <si>
    <t>Boll weevil</t>
  </si>
  <si>
    <t>Porcelain crabs</t>
  </si>
  <si>
    <t>Eutardigrada</t>
  </si>
  <si>
    <t>Water bears</t>
  </si>
  <si>
    <t>Flat porcelain crab</t>
  </si>
  <si>
    <t>American lobster</t>
  </si>
  <si>
    <t>Black fungus gnats</t>
  </si>
  <si>
    <t>Northern bobwhite</t>
  </si>
  <si>
    <t>Red palm weevil</t>
  </si>
  <si>
    <t>Emerald ash borer</t>
  </si>
  <si>
    <t>Common snapping turtle</t>
  </si>
  <si>
    <t>Honeybee mite</t>
  </si>
  <si>
    <t>Beach hoppers, scuds and well shrimps</t>
  </si>
  <si>
    <t>European house dust mite</t>
  </si>
  <si>
    <t>Macqueen's bustard</t>
  </si>
  <si>
    <t>Ostracoda</t>
  </si>
  <si>
    <t>Seed shrimps &amp; mussel shrimps</t>
  </si>
  <si>
    <t>Pig whipworm</t>
  </si>
  <si>
    <t>Agent of lymphatic filariasis</t>
  </si>
  <si>
    <t>African eye worm</t>
  </si>
  <si>
    <t>Golden-crowned kinglet</t>
  </si>
  <si>
    <t>Salmon louse</t>
  </si>
  <si>
    <t>Crinoidea</t>
  </si>
  <si>
    <t>Crinoids</t>
  </si>
  <si>
    <t>Dog roundworm</t>
  </si>
  <si>
    <t>Long-horned beetles</t>
  </si>
  <si>
    <t>Northern bat</t>
  </si>
  <si>
    <t>Southern cattle tick</t>
  </si>
  <si>
    <t>Cowpea weevil</t>
  </si>
  <si>
    <t>Human whipworm</t>
  </si>
  <si>
    <t>Red swamp crayfish</t>
  </si>
  <si>
    <t>Damp wood termites</t>
  </si>
  <si>
    <t>Holothuroidea</t>
  </si>
  <si>
    <t>Sea cucumbers</t>
  </si>
  <si>
    <t>Riparian frogs</t>
  </si>
  <si>
    <t>Pacific oyster</t>
  </si>
  <si>
    <t>Bulb mites</t>
  </si>
  <si>
    <t>New World hookworm</t>
  </si>
  <si>
    <t>European starfish</t>
  </si>
  <si>
    <t>Pine wood nematode</t>
  </si>
  <si>
    <t>Sea urchins</t>
  </si>
  <si>
    <t>Cotton-top tamarin</t>
  </si>
  <si>
    <t>Pine wood nematodes</t>
  </si>
  <si>
    <t>Purple sea urchin</t>
  </si>
  <si>
    <t>Darkling ground beetles</t>
  </si>
  <si>
    <t>Cosmet moths</t>
  </si>
  <si>
    <t>Glassy-winged sharpshooter</t>
  </si>
  <si>
    <t>Speckled pigeon</t>
  </si>
  <si>
    <t>Tanaka's snailfish</t>
  </si>
  <si>
    <t>Palm worm</t>
  </si>
  <si>
    <t>Trematoda</t>
  </si>
  <si>
    <t>Blood flukes</t>
  </si>
  <si>
    <t>American rat lungworm</t>
  </si>
  <si>
    <t>Gymnolaemata</t>
  </si>
  <si>
    <t>Bryozoans</t>
  </si>
  <si>
    <t>Brine shrimps</t>
  </si>
  <si>
    <t>Eastern spruce budworm</t>
  </si>
  <si>
    <t>Springtails</t>
  </si>
  <si>
    <t>House-dust mites</t>
  </si>
  <si>
    <t>Rhinoceros beetles, hercules beetles &amp; elephant beetles</t>
  </si>
  <si>
    <t>Click beetles</t>
  </si>
  <si>
    <t>Uniplacotomia</t>
  </si>
  <si>
    <t>Placozoans</t>
  </si>
  <si>
    <t>Tiger moths</t>
  </si>
  <si>
    <t>African queen</t>
  </si>
  <si>
    <t>Black tiger shrimp</t>
  </si>
  <si>
    <t>Barnacles</t>
  </si>
  <si>
    <t>Pycnogonida</t>
  </si>
  <si>
    <t>Sea spiders</t>
  </si>
  <si>
    <t>Pogonophores</t>
  </si>
  <si>
    <t>East Asian common octopus</t>
  </si>
  <si>
    <t>Bar-tailed godwit</t>
  </si>
  <si>
    <t>Japanese sea cucumber</t>
  </si>
  <si>
    <t>Cowpea aphid</t>
  </si>
  <si>
    <t>Scarce swallowtail</t>
  </si>
  <si>
    <t>Edith's checkerspot</t>
  </si>
  <si>
    <t>Guinea worm</t>
  </si>
  <si>
    <t>Common limpet</t>
  </si>
  <si>
    <t>Priapulimorpha</t>
  </si>
  <si>
    <t>Priapulids</t>
  </si>
  <si>
    <t>Fin whale</t>
  </si>
  <si>
    <t>Potato tuberworm</t>
  </si>
  <si>
    <t>Cuttlefish</t>
  </si>
  <si>
    <t>Franciscana</t>
  </si>
  <si>
    <t>Thelaziosis nematode</t>
  </si>
  <si>
    <t>California timema</t>
  </si>
  <si>
    <t>American cockroach</t>
  </si>
  <si>
    <t>Giant wood spider</t>
  </si>
  <si>
    <t>Bark scorpion</t>
  </si>
  <si>
    <t>Barber pole worm</t>
  </si>
  <si>
    <t>Clitellata</t>
  </si>
  <si>
    <t>Leeches</t>
  </si>
  <si>
    <t>Dog hookworm</t>
  </si>
  <si>
    <t>Globular springtails</t>
  </si>
  <si>
    <t>False scorpions</t>
  </si>
  <si>
    <t>Cestoda</t>
  </si>
  <si>
    <t>Tapeworms</t>
  </si>
  <si>
    <t>Rat tapeworm</t>
  </si>
  <si>
    <t>Cat liver fluke</t>
  </si>
  <si>
    <t>Pararotatoria</t>
  </si>
  <si>
    <t>Dog heartworm nematode</t>
  </si>
  <si>
    <t>Eastern emerald elysia</t>
  </si>
  <si>
    <t>Bird nasal schistosome</t>
  </si>
  <si>
    <t>Human pinworm</t>
  </si>
  <si>
    <t>Flukes</t>
  </si>
  <si>
    <t>Scarce chaser</t>
  </si>
  <si>
    <t>Pacific beetle cockroach</t>
  </si>
  <si>
    <t>Oriental liver fluke</t>
  </si>
  <si>
    <t>Two-spotted cricket</t>
  </si>
  <si>
    <t>Liver fluke</t>
  </si>
  <si>
    <t>White flower croaker</t>
  </si>
  <si>
    <t>Bovine lungworm</t>
  </si>
  <si>
    <t>Golden orb-web spider</t>
  </si>
  <si>
    <t>Common burrower mayflies</t>
  </si>
  <si>
    <t>Asian tapeworm</t>
  </si>
  <si>
    <t>Southeast Asian liver fluke</t>
  </si>
  <si>
    <t>Pill bugs, wood lice and sea slaters</t>
  </si>
  <si>
    <t>Scrub typhus mite</t>
  </si>
  <si>
    <t>California sea hare</t>
  </si>
  <si>
    <t>Song sparrow</t>
  </si>
  <si>
    <t>Demospongiae</t>
  </si>
  <si>
    <t>Sponges</t>
  </si>
  <si>
    <t>Winter moth</t>
  </si>
  <si>
    <t>Bloodworm</t>
  </si>
  <si>
    <t>German cockroach</t>
  </si>
  <si>
    <t>Hexactinellida</t>
  </si>
  <si>
    <t>Herring worm</t>
  </si>
  <si>
    <t>Pepper-and-salt moth</t>
  </si>
  <si>
    <t>Choanoflagellata</t>
  </si>
  <si>
    <t>Choanoflagellates</t>
  </si>
  <si>
    <t>Filasterea</t>
  </si>
  <si>
    <t>Nuclearia sp. ATCC_30864</t>
  </si>
  <si>
    <t>Ornate bichir</t>
  </si>
  <si>
    <t>Mandarin duck</t>
  </si>
  <si>
    <t>Basidiobolomycetes</t>
  </si>
  <si>
    <t>Zoopagomycotan fungi</t>
  </si>
  <si>
    <t>Mucoromycetes</t>
  </si>
  <si>
    <t>Pin molds</t>
  </si>
  <si>
    <t>Kinetoplastea</t>
  </si>
  <si>
    <t>Kinetoplasts</t>
  </si>
  <si>
    <t>Rotosphaerida</t>
  </si>
  <si>
    <t>Fonticulida</t>
  </si>
  <si>
    <t>Spirotrichea</t>
  </si>
  <si>
    <t>Ciliates</t>
  </si>
  <si>
    <t>Chytridiomycetes</t>
  </si>
  <si>
    <t>Chytrids &amp; allies</t>
  </si>
  <si>
    <t>Zoopagomycetes</t>
  </si>
  <si>
    <t>Western European house mouse</t>
  </si>
  <si>
    <t>DATA ASSOCIATED WITH:</t>
  </si>
  <si>
    <t>TITLE OF MANUSCRIPT</t>
  </si>
  <si>
    <t>AUTHORS</t>
  </si>
  <si>
    <t>AUTHOR AFFILIATIONS</t>
  </si>
  <si>
    <t xml:space="preserve">Headers or Acronyms used in the data tabs (worksheets) </t>
  </si>
  <si>
    <t xml:space="preserve">Worksheet title: </t>
  </si>
  <si>
    <t>Worksheet description:</t>
  </si>
  <si>
    <t>SeqAPASS Level 1 Data</t>
  </si>
  <si>
    <t>Indicates which version of National Center for Biotechnology Information (NCBI) data is being used.</t>
  </si>
  <si>
    <t xml:space="preserve">A unique identifier for a sequence record in the National Center for Biotechnology Information (NCBI)made up of a combination of letter(s) and numbers. </t>
  </si>
  <si>
    <t xml:space="preserve">Indicates the number of protein records per species in the National Center for Biotechnology Information (NCBI) protein database. </t>
  </si>
  <si>
    <t xml:space="preserve">The identification number derived from the National Center for Biotechnology Information (NCBI) taxonomy database. </t>
  </si>
  <si>
    <t xml:space="preserve">Indicates which taxonomic group (class) the species is apart of. </t>
  </si>
  <si>
    <t>The species Latin name.</t>
  </si>
  <si>
    <t>The species common name associated with the scientific name.</t>
  </si>
  <si>
    <t xml:space="preserve">The name of the protein as annotated in the National Center for Biotechnology Information (NCBI). </t>
  </si>
  <si>
    <t>Describes the overall quality of the alignment.</t>
  </si>
  <si>
    <t>Indicates if that species was identified as an ortholog candidate, with "Y" for yes or a "N" for no.</t>
  </si>
  <si>
    <t>Describes the number of hits identified as ortholog candidates to the query species protein sequence.</t>
  </si>
  <si>
    <t>The susceptibility cut-off percentage that is determined through identifying local minimums in the density plot of the percent similarirt values for the primary report data set and evaluation of ortholog candidates.</t>
  </si>
  <si>
    <t>[hit bitscore/query bitscore]*100</t>
  </si>
  <si>
    <t>Identifies the susceptibility prediction for each species, with "Y" for yes or "N" for no.</t>
  </si>
  <si>
    <t>The date and time the SeqAPASS run was completed.</t>
  </si>
  <si>
    <t xml:space="preserve">Identifies if the species is a eukaryote noted with a "Y" for yes or "N" for no. </t>
  </si>
  <si>
    <t>Contains links out to the ECOTOX knowledgebase specific to the data row.</t>
  </si>
  <si>
    <t>Run ID</t>
  </si>
  <si>
    <t>RyR1</t>
  </si>
  <si>
    <t>RyR3</t>
  </si>
  <si>
    <t>RyR2</t>
  </si>
  <si>
    <t>2024 06 17 20:20:34</t>
  </si>
  <si>
    <t>Bat star</t>
  </si>
  <si>
    <t>Longhorned tick</t>
  </si>
  <si>
    <t>Mimic poison frog</t>
  </si>
  <si>
    <t>Taiga tick</t>
  </si>
  <si>
    <t>Tobacco budworm</t>
  </si>
  <si>
    <t>Broad fish tapeworm</t>
  </si>
  <si>
    <t>Longnose gar</t>
  </si>
  <si>
    <t>Bony tongues</t>
  </si>
  <si>
    <t>Australian bonytongue</t>
  </si>
  <si>
    <t>Blacksaddle filefish</t>
  </si>
  <si>
    <t>Harlequin filefish</t>
  </si>
  <si>
    <t>Lattice soldierfish</t>
  </si>
  <si>
    <t>Scrawled filefish</t>
  </si>
  <si>
    <t>Salamanderfish</t>
  </si>
  <si>
    <t>Ladyfish</t>
  </si>
  <si>
    <t>Bluelined hind</t>
  </si>
  <si>
    <t>Chocolate hind</t>
  </si>
  <si>
    <t>Sea basses</t>
  </si>
  <si>
    <t>Blacktip grouper</t>
  </si>
  <si>
    <t>Foursaddle grouper</t>
  </si>
  <si>
    <t>Silver tripodfish</t>
  </si>
  <si>
    <t>Honeycomb grouper</t>
  </si>
  <si>
    <t>Peacock hind</t>
  </si>
  <si>
    <t>Thread-sail filefish</t>
  </si>
  <si>
    <t>One-blotch grouper</t>
  </si>
  <si>
    <t>Mottled bichir</t>
  </si>
  <si>
    <t>West African bichir</t>
  </si>
  <si>
    <t>Nile bichir</t>
  </si>
  <si>
    <t>Saddled bichir</t>
  </si>
  <si>
    <t>Barred bichir</t>
  </si>
  <si>
    <t>Shortfin bichir</t>
  </si>
  <si>
    <t>Guinean bichir</t>
  </si>
  <si>
    <t>Mokele-mbembe bichir</t>
  </si>
  <si>
    <t>Bichirs</t>
  </si>
  <si>
    <t>Galaxiids</t>
  </si>
  <si>
    <t>Eastern mudminnow</t>
  </si>
  <si>
    <t>Fan-bellied leatherjacket</t>
  </si>
  <si>
    <t>Koaro</t>
  </si>
  <si>
    <t>Alpine galaxias</t>
  </si>
  <si>
    <t>Southern flathead galaxias</t>
  </si>
  <si>
    <t>Gollum galaxias</t>
  </si>
  <si>
    <t>Cape galaxias</t>
  </si>
  <si>
    <t>Tasmanian whitebait</t>
  </si>
  <si>
    <t>Cowfish</t>
  </si>
  <si>
    <t>Pacific bluefin tuna</t>
  </si>
  <si>
    <t>Albacore</t>
  </si>
  <si>
    <t>Longamoebia</t>
  </si>
  <si>
    <t>Acanthamoeba sp. ATCC 30011</t>
  </si>
  <si>
    <t>Diplonemea</t>
  </si>
  <si>
    <t>Eucaryotes</t>
  </si>
  <si>
    <t>Heterotrichea</t>
  </si>
  <si>
    <t>Oligohymenophorea</t>
  </si>
  <si>
    <t>2024 06 17 20:28:49</t>
  </si>
  <si>
    <t>Black carp</t>
  </si>
  <si>
    <t>Yellowcheek carp</t>
  </si>
  <si>
    <t>Silver carp</t>
  </si>
  <si>
    <t>Barbel chub</t>
  </si>
  <si>
    <t>Shimofuri goby</t>
  </si>
  <si>
    <t>Zenitanago</t>
  </si>
  <si>
    <t>Oily bitterling</t>
  </si>
  <si>
    <t>Freshwater minnow</t>
  </si>
  <si>
    <t>Rosy bitterling</t>
  </si>
  <si>
    <t>Bighead carp</t>
  </si>
  <si>
    <t>Chinese false gudgeon</t>
  </si>
  <si>
    <t>Longnose dace</t>
  </si>
  <si>
    <t>Bigeye chub</t>
  </si>
  <si>
    <t>Riffle minnow</t>
  </si>
  <si>
    <t>Eastern tonguetied minnow</t>
  </si>
  <si>
    <t>Bluntnose minnow</t>
  </si>
  <si>
    <t>Kamatsuka</t>
  </si>
  <si>
    <t>Golden shiner</t>
  </si>
  <si>
    <t>Streamline chub</t>
  </si>
  <si>
    <t>Largescale stoneroller</t>
  </si>
  <si>
    <t>Scarlet shiner</t>
  </si>
  <si>
    <t>Alabama shiner</t>
  </si>
  <si>
    <t>Java barb</t>
  </si>
  <si>
    <t>Sakhalin lake minnow</t>
  </si>
  <si>
    <t>Creek chub</t>
  </si>
  <si>
    <t>Gongota loach</t>
  </si>
  <si>
    <t>Tiger hillstream loach</t>
  </si>
  <si>
    <t>Goldeye</t>
  </si>
  <si>
    <t>Korean splendid dace</t>
  </si>
  <si>
    <t>Hillstream loaches</t>
  </si>
  <si>
    <t>Yellowfin</t>
  </si>
  <si>
    <t>Lemon-fin barb</t>
  </si>
  <si>
    <t>Loaches</t>
  </si>
  <si>
    <t>Chameleon loach</t>
  </si>
  <si>
    <t>White nose loach</t>
  </si>
  <si>
    <t>Tennessee shiner</t>
  </si>
  <si>
    <t>Topmouth culter</t>
  </si>
  <si>
    <t>River stone carp</t>
  </si>
  <si>
    <t>Blackline rasbora</t>
  </si>
  <si>
    <t>Siamese algae-eater</t>
  </si>
  <si>
    <t>Dorab wolf-herring</t>
  </si>
  <si>
    <t>American gizzard shad</t>
  </si>
  <si>
    <t>Guntea loach</t>
  </si>
  <si>
    <t>Jaosan cinsky</t>
  </si>
  <si>
    <t>Jambeau</t>
  </si>
  <si>
    <t>California roach</t>
  </si>
  <si>
    <t>Half-banded loach</t>
  </si>
  <si>
    <t>Spotted sucker</t>
  </si>
  <si>
    <t>Fleshy-lipped spikefish</t>
  </si>
  <si>
    <t>Siamese mud carp</t>
  </si>
  <si>
    <t>Bengal loach</t>
  </si>
  <si>
    <t>Senegal minnow</t>
  </si>
  <si>
    <t>Mahogany snapper</t>
  </si>
  <si>
    <t>Blunthead puffer</t>
  </si>
  <si>
    <t>Suckers</t>
  </si>
  <si>
    <t>Brook silverside</t>
  </si>
  <si>
    <t>Creek chubsucker</t>
  </si>
  <si>
    <t>Trey bang kouy</t>
  </si>
  <si>
    <t>Silver sharkminnow</t>
  </si>
  <si>
    <t>John dory</t>
  </si>
  <si>
    <t>Dwarf gudgeon</t>
  </si>
  <si>
    <t>Longnose sucker</t>
  </si>
  <si>
    <t>Siberian stone loach</t>
  </si>
  <si>
    <t>Yellowfin river pellona</t>
  </si>
  <si>
    <t>Triplespines</t>
  </si>
  <si>
    <t>Silver loach</t>
  </si>
  <si>
    <t>Notchlip redhorse</t>
  </si>
  <si>
    <t>Warrior shiner</t>
  </si>
  <si>
    <t>Hampala barb</t>
  </si>
  <si>
    <t>Lake chub</t>
  </si>
  <si>
    <t>Spotted algae eater</t>
  </si>
  <si>
    <t>Elongate ilisha</t>
  </si>
  <si>
    <t>Sharpbelly</t>
  </si>
  <si>
    <t>Silver eye</t>
  </si>
  <si>
    <t>Redtail botia</t>
  </si>
  <si>
    <t>Slender sunfish</t>
  </si>
  <si>
    <t>Mrigala</t>
  </si>
  <si>
    <t>Smooth puffer</t>
  </si>
  <si>
    <t>Tinfoil barb</t>
  </si>
  <si>
    <t>Blackstripe barb</t>
  </si>
  <si>
    <t>Rudd</t>
  </si>
  <si>
    <t>Assamese kingfish</t>
  </si>
  <si>
    <t>Fresh water puffer fish</t>
  </si>
  <si>
    <t>Lake Turkana sardine</t>
  </si>
  <si>
    <t>Starspotted grouper</t>
  </si>
  <si>
    <t>Four-eyed sleeper</t>
  </si>
  <si>
    <t>Pacific argentine</t>
  </si>
  <si>
    <t>Barecheek goby</t>
  </si>
  <si>
    <t>Amur goby</t>
  </si>
  <si>
    <t>Lenok trout</t>
  </si>
  <si>
    <t>Australian grayling</t>
  </si>
  <si>
    <t>Shortsnout spikefish</t>
  </si>
  <si>
    <t>Queen triggerfish</t>
  </si>
  <si>
    <t>Blacktip tripodfish</t>
  </si>
  <si>
    <t>Stokell's smelt</t>
  </si>
  <si>
    <t>Arctic rainbow smelt</t>
  </si>
  <si>
    <t>Longtail slickhead</t>
  </si>
  <si>
    <t>Icefishes</t>
  </si>
  <si>
    <t>Capelin</t>
  </si>
  <si>
    <t>Khanka gudgeon</t>
  </si>
  <si>
    <t>Flat-headed goby</t>
  </si>
  <si>
    <t>Shokihaze gobi</t>
  </si>
  <si>
    <t>Striated argentine</t>
  </si>
  <si>
    <t>Blind goby</t>
  </si>
  <si>
    <t>Forktongue goby</t>
  </si>
  <si>
    <t>Cheekspot goby</t>
  </si>
  <si>
    <t>Bandedtail goby</t>
  </si>
  <si>
    <t>Guaymas goby</t>
  </si>
  <si>
    <t>American shadow goby</t>
  </si>
  <si>
    <t>Amur pike</t>
  </si>
  <si>
    <t>Bay goby</t>
  </si>
  <si>
    <t>Arrow goby</t>
  </si>
  <si>
    <t>Clingfishes</t>
  </si>
  <si>
    <t>Shortjaw mudsucker</t>
  </si>
  <si>
    <t>Long-jawed mudsucker</t>
  </si>
  <si>
    <t>Drain mangrovegoby</t>
  </si>
  <si>
    <t>Colorado River mudsucker</t>
  </si>
  <si>
    <t>Softskin smooth-head</t>
  </si>
  <si>
    <t>Cornish sucker</t>
  </si>
  <si>
    <t>Tidewater goby</t>
  </si>
  <si>
    <t>Barbeled dragonfishes</t>
  </si>
  <si>
    <t>Chinese lake gudgeon</t>
  </si>
  <si>
    <t>Olive danio</t>
  </si>
  <si>
    <t>Saprolegniales</t>
  </si>
  <si>
    <t>Heterokonts</t>
  </si>
  <si>
    <t>SeqAPASS Level 3 Data</t>
  </si>
  <si>
    <t>Reports Sequence Alignment to Predict Across Species Susceptibility (SeqAPASS) Level 3 Output</t>
  </si>
  <si>
    <t>Similar Susceptibility as Template</t>
  </si>
  <si>
    <t>Position 1-10</t>
  </si>
  <si>
    <t>The number that indicates the position of the amino acid in the sequence.</t>
  </si>
  <si>
    <t>Amino Acid 1-10</t>
  </si>
  <si>
    <t>Indicates the amino acid with the one-letter abbreviation for the amino acid.</t>
  </si>
  <si>
    <t>Total Match 1-10</t>
  </si>
  <si>
    <t>Identifies whether the amino acid is a total match to the template sequence amino acid, with "Y" for yes or "N" for no.</t>
  </si>
  <si>
    <t>Position 1</t>
  </si>
  <si>
    <t>Amino Acid 1</t>
  </si>
  <si>
    <t>Total Match 1</t>
  </si>
  <si>
    <t>Position 2</t>
  </si>
  <si>
    <t>Amino Acid 2</t>
  </si>
  <si>
    <t>Total Match 2</t>
  </si>
  <si>
    <t>Position 3</t>
  </si>
  <si>
    <t>Amino Acid 3</t>
  </si>
  <si>
    <t>Total Match 3</t>
  </si>
  <si>
    <t>Position 4</t>
  </si>
  <si>
    <t>Amino Acid 4</t>
  </si>
  <si>
    <t>Total Match 4</t>
  </si>
  <si>
    <t>Position 5</t>
  </si>
  <si>
    <t>Amino Acid 5</t>
  </si>
  <si>
    <t>Total Match 5</t>
  </si>
  <si>
    <t>Position 6</t>
  </si>
  <si>
    <t>Amino Acid 6</t>
  </si>
  <si>
    <t>Total Match 6</t>
  </si>
  <si>
    <t>Position 7</t>
  </si>
  <si>
    <t>Amino Acid 7</t>
  </si>
  <si>
    <t>Total Match 7</t>
  </si>
  <si>
    <t>Position 8</t>
  </si>
  <si>
    <t>Amino Acid 8</t>
  </si>
  <si>
    <t>Total Match 8</t>
  </si>
  <si>
    <t>Position 9</t>
  </si>
  <si>
    <t>Amino Acid 9</t>
  </si>
  <si>
    <t>Total Match 9</t>
  </si>
  <si>
    <t>Position 10</t>
  </si>
  <si>
    <t>Amino Acid 10</t>
  </si>
  <si>
    <t>Total Match 10</t>
  </si>
  <si>
    <t>2024 06 20 15:13:02</t>
  </si>
  <si>
    <t>R</t>
  </si>
  <si>
    <t>F</t>
  </si>
  <si>
    <t>L</t>
  </si>
  <si>
    <t>T</t>
  </si>
  <si>
    <t>D</t>
  </si>
  <si>
    <t>G</t>
  </si>
  <si>
    <t>S</t>
  </si>
  <si>
    <t>C</t>
  </si>
  <si>
    <t>2024 06 20 15:37:07</t>
  </si>
  <si>
    <t>M</t>
  </si>
  <si>
    <t>2024 06 20 15:30:22</t>
  </si>
  <si>
    <t>RYR2</t>
  </si>
  <si>
    <t>Well ID</t>
  </si>
  <si>
    <t>Sample ID</t>
  </si>
  <si>
    <t>Control B</t>
  </si>
  <si>
    <t>Control C</t>
  </si>
  <si>
    <t>Control D</t>
  </si>
  <si>
    <t>10A</t>
  </si>
  <si>
    <t>10B</t>
  </si>
  <si>
    <t>10C</t>
  </si>
  <si>
    <t>24A</t>
  </si>
  <si>
    <t>24B</t>
  </si>
  <si>
    <t>24C</t>
  </si>
  <si>
    <t>24D</t>
  </si>
  <si>
    <t>51A</t>
  </si>
  <si>
    <t>51B</t>
  </si>
  <si>
    <t>51C</t>
  </si>
  <si>
    <t>51D</t>
  </si>
  <si>
    <t>113A</t>
  </si>
  <si>
    <t>113B</t>
  </si>
  <si>
    <t>113C</t>
  </si>
  <si>
    <t>113D</t>
  </si>
  <si>
    <t>250A</t>
  </si>
  <si>
    <t>250B</t>
  </si>
  <si>
    <t>250C</t>
  </si>
  <si>
    <t>250D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</si>
  <si>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</si>
  <si>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</si>
  <si>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</si>
  <si>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</si>
  <si>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</si>
  <si>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</si>
  <si>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</si>
  <si>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</si>
  <si>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</si>
  <si>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</si>
  <si>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</si>
  <si>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</si>
  <si>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</si>
  <si>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</si>
  <si>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</si>
  <si>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</si>
  <si>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</si>
  <si>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</si>
  <si>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</si>
  <si>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</si>
  <si>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</si>
  <si>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</si>
  <si>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</si>
  <si>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</si>
  <si>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</si>
  <si>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</si>
  <si>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</si>
  <si>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</si>
  <si>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</si>
  <si>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</si>
  <si>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</si>
  <si>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</si>
  <si>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</si>
  <si>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</si>
  <si>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</si>
  <si>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</si>
  <si>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</si>
  <si>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</si>
  <si>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</si>
  <si>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</si>
  <si>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</si>
  <si>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</si>
  <si>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</si>
  <si>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</si>
  <si>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</si>
  <si>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</si>
  <si>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</si>
  <si>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</si>
  <si>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</si>
  <si>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</si>
  <si>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</si>
  <si>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</si>
  <si>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</si>
  <si>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</si>
  <si>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</si>
  <si>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</si>
  <si>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</si>
  <si>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</si>
  <si>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</si>
  <si>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</si>
  <si>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</si>
  <si>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</si>
  <si>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</si>
  <si>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</si>
  <si>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</si>
  <si>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</si>
  <si>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</si>
  <si>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</si>
  <si>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</si>
  <si>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</si>
  <si>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</si>
  <si>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</si>
  <si>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</si>
  <si>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</si>
  <si>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</si>
  <si>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</si>
  <si>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</si>
  <si>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</si>
  <si>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</si>
  <si>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</si>
  <si>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</si>
  <si>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</si>
  <si>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</si>
  <si>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</si>
  <si>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</si>
  <si>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</si>
  <si>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</si>
  <si>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</si>
  <si>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</si>
  <si>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</si>
  <si>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</si>
  <si>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</si>
  <si>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</si>
  <si>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</si>
  <si>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</si>
  <si>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</si>
  <si>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</si>
  <si>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</si>
  <si>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</si>
  <si>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</si>
  <si>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</si>
  <si>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</si>
  <si>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</si>
  <si>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</si>
  <si>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</si>
  <si>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</si>
  <si>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</si>
  <si>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</si>
  <si>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</si>
  <si>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</si>
  <si>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</si>
  <si>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</si>
  <si>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</si>
  <si>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</si>
  <si>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</si>
  <si>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</si>
  <si>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</si>
  <si>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</si>
  <si>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</si>
  <si>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</si>
  <si>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</si>
  <si>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</si>
  <si>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</si>
  <si>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</si>
  <si>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</si>
  <si>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</si>
  <si>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</si>
  <si>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</si>
  <si>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</si>
  <si>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</si>
  <si>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</si>
  <si>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</si>
  <si>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</si>
  <si>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</si>
  <si>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</si>
  <si>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</si>
  <si>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</si>
  <si>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</si>
  <si>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</si>
  <si>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</si>
  <si>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</si>
  <si>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</si>
  <si>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</si>
  <si>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</si>
  <si>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</si>
  <si>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</si>
  <si>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</si>
  <si>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</si>
  <si>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</si>
  <si>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</si>
  <si>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</si>
  <si>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</si>
  <si>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</si>
  <si>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</si>
  <si>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</si>
  <si>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</si>
  <si>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</si>
  <si>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</si>
  <si>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</si>
  <si>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</si>
  <si>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</si>
  <si>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</si>
  <si>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</si>
  <si>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</si>
  <si>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</si>
  <si>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</si>
  <si>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</si>
  <si>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</si>
  <si>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</si>
  <si>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</si>
  <si>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</si>
  <si>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</si>
  <si>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</si>
  <si>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</si>
  <si>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</si>
  <si>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</si>
  <si>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</si>
  <si>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</si>
  <si>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</si>
  <si>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</si>
  <si>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</si>
  <si>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</si>
  <si>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</si>
  <si>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</si>
  <si>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</si>
  <si>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</si>
  <si>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</si>
  <si>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</si>
  <si>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</si>
  <si>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</si>
  <si>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</si>
  <si>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</si>
  <si>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</si>
  <si>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</si>
  <si>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</si>
  <si>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</si>
  <si>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</si>
  <si>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</si>
  <si>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</si>
  <si>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</si>
  <si>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</si>
  <si>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</si>
  <si>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</si>
  <si>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</si>
  <si>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</si>
  <si>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</si>
  <si>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</si>
  <si>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</si>
  <si>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</si>
  <si>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</si>
  <si>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</si>
  <si>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</si>
  <si>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I21</t>
  </si>
  <si>
    <t>I22</t>
  </si>
  <si>
    <t>I23</t>
  </si>
  <si>
    <t>I24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</si>
  <si>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</si>
  <si>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</si>
  <si>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</si>
  <si>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</si>
  <si>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</si>
  <si>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</si>
  <si>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</si>
  <si>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</si>
  <si>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</si>
  <si>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</si>
  <si>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</si>
  <si>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</si>
  <si>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</si>
  <si>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</si>
  <si>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</si>
  <si>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</si>
  <si>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</si>
  <si>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</si>
  <si>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</si>
  <si>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</si>
  <si>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</si>
  <si>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</si>
  <si>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</si>
  <si>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J24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</si>
  <si>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</si>
  <si>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</si>
  <si>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</si>
  <si>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</si>
  <si>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</si>
  <si>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</si>
  <si>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</si>
  <si>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</si>
  <si>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</si>
  <si>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</si>
  <si>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</si>
  <si>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</si>
  <si>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</si>
  <si>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</si>
  <si>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</si>
  <si>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</si>
  <si>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</si>
  <si>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</si>
  <si>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</si>
  <si>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</si>
  <si>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</si>
  <si>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</si>
  <si>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K23</t>
  </si>
  <si>
    <t>K24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</si>
  <si>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</si>
  <si>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</si>
  <si>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</si>
  <si>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</si>
  <si>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</si>
  <si>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</si>
  <si>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</si>
  <si>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</si>
  <si>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</si>
  <si>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</si>
  <si>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</si>
  <si>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</si>
  <si>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</si>
  <si>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</si>
  <si>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</si>
  <si>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</si>
  <si>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</si>
  <si>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</si>
  <si>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</si>
  <si>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</si>
  <si>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</si>
  <si>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</si>
  <si>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</si>
  <si>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</si>
  <si>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</si>
  <si>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</si>
  <si>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</si>
  <si>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</si>
  <si>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</si>
  <si>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</si>
  <si>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</si>
  <si>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</si>
  <si>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</si>
  <si>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</si>
  <si>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</si>
  <si>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</si>
  <si>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</si>
  <si>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</si>
  <si>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</si>
  <si>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</si>
  <si>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</si>
  <si>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</si>
  <si>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</si>
  <si>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</si>
  <si>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</si>
  <si>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</si>
  <si>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</si>
  <si>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</si>
  <si>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</si>
  <si>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</si>
  <si>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</si>
  <si>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</si>
  <si>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</si>
  <si>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</si>
  <si>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</si>
  <si>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</si>
  <si>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</si>
  <si>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</si>
  <si>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</si>
  <si>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</si>
  <si>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</si>
  <si>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</si>
  <si>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</si>
  <si>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</si>
  <si>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</si>
  <si>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</si>
  <si>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</si>
  <si>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</si>
  <si>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</si>
  <si>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</si>
  <si>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</si>
  <si>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N24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</si>
  <si>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</si>
  <si>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</si>
  <si>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</si>
  <si>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</si>
  <si>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</si>
  <si>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</si>
  <si>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</si>
  <si>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</si>
  <si>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</si>
  <si>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</si>
  <si>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</si>
  <si>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</si>
  <si>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</si>
  <si>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</si>
  <si>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</si>
  <si>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</si>
  <si>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</si>
  <si>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</si>
  <si>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</si>
  <si>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</si>
  <si>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</si>
  <si>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</si>
  <si>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</si>
  <si>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</si>
  <si>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</si>
  <si>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</si>
  <si>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</si>
  <si>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</si>
  <si>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</si>
  <si>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</si>
  <si>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</si>
  <si>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</si>
  <si>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</si>
  <si>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</si>
  <si>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</si>
  <si>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</si>
  <si>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</si>
  <si>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</si>
  <si>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</si>
  <si>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</si>
  <si>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</si>
  <si>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</si>
  <si>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</si>
  <si>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</si>
  <si>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</si>
  <si>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</si>
  <si>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</si>
  <si>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</si>
  <si>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NA</t>
  </si>
  <si>
    <t>10D</t>
  </si>
  <si>
    <t>Worksheet title:</t>
  </si>
  <si>
    <t>Gene</t>
  </si>
  <si>
    <t>Name</t>
  </si>
  <si>
    <t>abca1a</t>
  </si>
  <si>
    <t>abcc6b.2</t>
  </si>
  <si>
    <t>acaa1</t>
  </si>
  <si>
    <t>acadm</t>
  </si>
  <si>
    <t>acadvl</t>
  </si>
  <si>
    <t>acer1</t>
  </si>
  <si>
    <t>ache</t>
  </si>
  <si>
    <t>acox1</t>
  </si>
  <si>
    <t>acsl1a</t>
  </si>
  <si>
    <t>acsl5</t>
  </si>
  <si>
    <t>acss2</t>
  </si>
  <si>
    <t>actb1</t>
  </si>
  <si>
    <t>actn2b</t>
  </si>
  <si>
    <t>adh8a</t>
  </si>
  <si>
    <t>agt</t>
  </si>
  <si>
    <t>ahr1b</t>
  </si>
  <si>
    <t>ahr2</t>
  </si>
  <si>
    <t>ahrrb</t>
  </si>
  <si>
    <t>aip</t>
  </si>
  <si>
    <t>ak1</t>
  </si>
  <si>
    <t>akap13</t>
  </si>
  <si>
    <t>akt3a</t>
  </si>
  <si>
    <t>alas1</t>
  </si>
  <si>
    <t>aldh1a2</t>
  </si>
  <si>
    <t>alpl</t>
  </si>
  <si>
    <t>aoc1</t>
  </si>
  <si>
    <t>apoba</t>
  </si>
  <si>
    <t>ar</t>
  </si>
  <si>
    <t>arg2</t>
  </si>
  <si>
    <t>arhgap5</t>
  </si>
  <si>
    <t>arnt</t>
  </si>
  <si>
    <t>arsh</t>
  </si>
  <si>
    <t>as3mt</t>
  </si>
  <si>
    <t>asah1b</t>
  </si>
  <si>
    <t>atg5</t>
  </si>
  <si>
    <t>atm</t>
  </si>
  <si>
    <t>atp1a1a.1</t>
  </si>
  <si>
    <t>atp1b4</t>
  </si>
  <si>
    <t>atp5pb</t>
  </si>
  <si>
    <t>atr</t>
  </si>
  <si>
    <t>batf3</t>
  </si>
  <si>
    <t>bcl2a</t>
  </si>
  <si>
    <t>bcl2l1</t>
  </si>
  <si>
    <t>bdnf</t>
  </si>
  <si>
    <t>brip1</t>
  </si>
  <si>
    <t>c1galt1c1</t>
  </si>
  <si>
    <t>c1qbp</t>
  </si>
  <si>
    <t>cacna1ba</t>
  </si>
  <si>
    <t>cacna1c</t>
  </si>
  <si>
    <t>cacna2d4</t>
  </si>
  <si>
    <t>calm1</t>
  </si>
  <si>
    <t>casp2</t>
  </si>
  <si>
    <t>casp3a</t>
  </si>
  <si>
    <t>casp7</t>
  </si>
  <si>
    <t>casp8</t>
  </si>
  <si>
    <t>casp9</t>
  </si>
  <si>
    <t>cat</t>
  </si>
  <si>
    <t>ccl20a.3</t>
  </si>
  <si>
    <t>ccnd1</t>
  </si>
  <si>
    <t>ccnd2b</t>
  </si>
  <si>
    <t>ccnt1</t>
  </si>
  <si>
    <t>cd36</t>
  </si>
  <si>
    <t>cdh1</t>
  </si>
  <si>
    <t>cdh4</t>
  </si>
  <si>
    <t>cdk1</t>
  </si>
  <si>
    <t>cdk2</t>
  </si>
  <si>
    <t>cdk4</t>
  </si>
  <si>
    <t>cdkn1a</t>
  </si>
  <si>
    <t>cdkn1ba</t>
  </si>
  <si>
    <t>chek1</t>
  </si>
  <si>
    <t>chek2</t>
  </si>
  <si>
    <t>chst1</t>
  </si>
  <si>
    <t>cidec</t>
  </si>
  <si>
    <t>cox11</t>
  </si>
  <si>
    <t>cox15</t>
  </si>
  <si>
    <t>cox17</t>
  </si>
  <si>
    <t>cpt1aa</t>
  </si>
  <si>
    <t>creb1a</t>
  </si>
  <si>
    <t>crmp1</t>
  </si>
  <si>
    <t>crtc1a</t>
  </si>
  <si>
    <t>cryaba</t>
  </si>
  <si>
    <t>cryba4</t>
  </si>
  <si>
    <t>csnk1a1</t>
  </si>
  <si>
    <t>ctbp2a</t>
  </si>
  <si>
    <t>ctnnd1</t>
  </si>
  <si>
    <t>cyb561</t>
  </si>
  <si>
    <t>cyba</t>
  </si>
  <si>
    <t>cyc</t>
  </si>
  <si>
    <t>cyc1</t>
  </si>
  <si>
    <t>cyp11c1</t>
  </si>
  <si>
    <t>cyp17a1</t>
  </si>
  <si>
    <t>cyp19a1b</t>
  </si>
  <si>
    <t>cyp1a</t>
  </si>
  <si>
    <t>cyp1b1</t>
  </si>
  <si>
    <t>cyp21a2</t>
  </si>
  <si>
    <t>cyp2ad6</t>
  </si>
  <si>
    <t>cyp3c3</t>
  </si>
  <si>
    <t>cyp7a1</t>
  </si>
  <si>
    <t>cyp7b1</t>
  </si>
  <si>
    <t>ddb2</t>
  </si>
  <si>
    <t>ddx20</t>
  </si>
  <si>
    <t>dgat2</t>
  </si>
  <si>
    <t>dgkh</t>
  </si>
  <si>
    <t>dio1</t>
  </si>
  <si>
    <t>dio2</t>
  </si>
  <si>
    <t>dlg2</t>
  </si>
  <si>
    <t>dnajb1b</t>
  </si>
  <si>
    <t>dnmt1</t>
  </si>
  <si>
    <t>dnmt3aa</t>
  </si>
  <si>
    <t>drd2a</t>
  </si>
  <si>
    <t>dtx3l2.2</t>
  </si>
  <si>
    <t>dusp3a</t>
  </si>
  <si>
    <t>e2f1</t>
  </si>
  <si>
    <t>egr1</t>
  </si>
  <si>
    <t>eif5b</t>
  </si>
  <si>
    <t>elk1</t>
  </si>
  <si>
    <t>ep300a</t>
  </si>
  <si>
    <t>ep300b</t>
  </si>
  <si>
    <t>epha2b</t>
  </si>
  <si>
    <t>erc1a</t>
  </si>
  <si>
    <t>esr2a</t>
  </si>
  <si>
    <t>esrrb</t>
  </si>
  <si>
    <t>etfdh</t>
  </si>
  <si>
    <t>ets1</t>
  </si>
  <si>
    <t>fabp10a</t>
  </si>
  <si>
    <t>fabp1a</t>
  </si>
  <si>
    <t>fabp2</t>
  </si>
  <si>
    <t>fabp3</t>
  </si>
  <si>
    <t>fabp6</t>
  </si>
  <si>
    <t>fabp7a</t>
  </si>
  <si>
    <t>fadd</t>
  </si>
  <si>
    <t>fam114a1</t>
  </si>
  <si>
    <t>fasn</t>
  </si>
  <si>
    <t>fga</t>
  </si>
  <si>
    <t>flncb</t>
  </si>
  <si>
    <t>fosab</t>
  </si>
  <si>
    <t>foxa1</t>
  </si>
  <si>
    <t>foxo1a</t>
  </si>
  <si>
    <t>foxo3a</t>
  </si>
  <si>
    <t>g6pca.1</t>
  </si>
  <si>
    <t>g6pd</t>
  </si>
  <si>
    <t>gabrb2a</t>
  </si>
  <si>
    <t>gadd45ba</t>
  </si>
  <si>
    <t>gadd45ga</t>
  </si>
  <si>
    <t>gamt</t>
  </si>
  <si>
    <t>ganab</t>
  </si>
  <si>
    <t>gapdh</t>
  </si>
  <si>
    <t>gc2</t>
  </si>
  <si>
    <t>ggctb</t>
  </si>
  <si>
    <t>gli1</t>
  </si>
  <si>
    <t>gna12a</t>
  </si>
  <si>
    <t>gngt2b</t>
  </si>
  <si>
    <t>gnl2</t>
  </si>
  <si>
    <t>got1</t>
  </si>
  <si>
    <t>got2a</t>
  </si>
  <si>
    <t>gpat4</t>
  </si>
  <si>
    <t>gpcpd1</t>
  </si>
  <si>
    <t>gpx1a</t>
  </si>
  <si>
    <t>gpx4</t>
  </si>
  <si>
    <t>grin2ab</t>
  </si>
  <si>
    <t>gsna</t>
  </si>
  <si>
    <t>gsr</t>
  </si>
  <si>
    <t>gstcd</t>
  </si>
  <si>
    <t>gsto1</t>
  </si>
  <si>
    <t>gtf2e2</t>
  </si>
  <si>
    <t>h6pd</t>
  </si>
  <si>
    <t>hif1aa</t>
  </si>
  <si>
    <t>hif1ab</t>
  </si>
  <si>
    <t>hmbsa</t>
  </si>
  <si>
    <t>hmgcra</t>
  </si>
  <si>
    <t>hmox1a</t>
  </si>
  <si>
    <t>hnf4a</t>
  </si>
  <si>
    <t>hnf4g</t>
  </si>
  <si>
    <t>hnrnpk</t>
  </si>
  <si>
    <t>hrasb</t>
  </si>
  <si>
    <t>hrc</t>
  </si>
  <si>
    <t>hsd11b1la</t>
  </si>
  <si>
    <t>hsd3b1</t>
  </si>
  <si>
    <t>hsp70.3</t>
  </si>
  <si>
    <t>hsp90aa1.1</t>
  </si>
  <si>
    <t>hsp90b1</t>
  </si>
  <si>
    <t>hspa9</t>
  </si>
  <si>
    <t>hspg</t>
  </si>
  <si>
    <t>ifng1</t>
  </si>
  <si>
    <t>igf1</t>
  </si>
  <si>
    <t>il13ra2</t>
  </si>
  <si>
    <t>il16</t>
  </si>
  <si>
    <t>il1b</t>
  </si>
  <si>
    <t>il6</t>
  </si>
  <si>
    <t>irf1a</t>
  </si>
  <si>
    <t>itchb</t>
  </si>
  <si>
    <t>itga3a</t>
  </si>
  <si>
    <t>itpr1</t>
  </si>
  <si>
    <t>jak1</t>
  </si>
  <si>
    <t>jun</t>
  </si>
  <si>
    <t>kcnn3</t>
  </si>
  <si>
    <t>lamb4</t>
  </si>
  <si>
    <t>lct</t>
  </si>
  <si>
    <t>lef1</t>
  </si>
  <si>
    <t>lipca</t>
  </si>
  <si>
    <t>lonrf1l</t>
  </si>
  <si>
    <t>lpl</t>
  </si>
  <si>
    <t>mao</t>
  </si>
  <si>
    <t>mapk1</t>
  </si>
  <si>
    <t>mapk14a</t>
  </si>
  <si>
    <t>masp2</t>
  </si>
  <si>
    <t>mat1a</t>
  </si>
  <si>
    <t>mb</t>
  </si>
  <si>
    <t>mcl1a</t>
  </si>
  <si>
    <t>mgmt</t>
  </si>
  <si>
    <t>mgst1.1</t>
  </si>
  <si>
    <t>mgst3a</t>
  </si>
  <si>
    <t>mmadhc</t>
  </si>
  <si>
    <t>mre11a</t>
  </si>
  <si>
    <t>mrpl1</t>
  </si>
  <si>
    <t>msh2</t>
  </si>
  <si>
    <t>mtor</t>
  </si>
  <si>
    <t>myb</t>
  </si>
  <si>
    <t>myh10</t>
  </si>
  <si>
    <t>myo10</t>
  </si>
  <si>
    <t>myog</t>
  </si>
  <si>
    <t>nat10</t>
  </si>
  <si>
    <t>ncoa1</t>
  </si>
  <si>
    <t>ncoa3</t>
  </si>
  <si>
    <t>ndufv1</t>
  </si>
  <si>
    <t>nedd4l</t>
  </si>
  <si>
    <t>calm2</t>
  </si>
  <si>
    <t>neu3.3</t>
  </si>
  <si>
    <t>nfatc1</t>
  </si>
  <si>
    <t>nfatc3a</t>
  </si>
  <si>
    <t>nfe2l2a</t>
  </si>
  <si>
    <t>nfia</t>
  </si>
  <si>
    <t>nfkb2</t>
  </si>
  <si>
    <t>nos1</t>
  </si>
  <si>
    <t>nos2a</t>
  </si>
  <si>
    <t>nr0b1</t>
  </si>
  <si>
    <t>nr0b2a</t>
  </si>
  <si>
    <t>nr1d1</t>
  </si>
  <si>
    <t>nr1d2a</t>
  </si>
  <si>
    <t>nr1h3</t>
  </si>
  <si>
    <t>nr1h4</t>
  </si>
  <si>
    <t>nr1i2</t>
  </si>
  <si>
    <t>nr2c2</t>
  </si>
  <si>
    <t>nr2e1</t>
  </si>
  <si>
    <t>nr2f2</t>
  </si>
  <si>
    <t>nr3c1</t>
  </si>
  <si>
    <t>nr3c2</t>
  </si>
  <si>
    <t>nr4a1</t>
  </si>
  <si>
    <t>nr4a3</t>
  </si>
  <si>
    <t>nr5a1a</t>
  </si>
  <si>
    <t>nr5a2</t>
  </si>
  <si>
    <t>nrxn2a</t>
  </si>
  <si>
    <t>nrxn3a</t>
  </si>
  <si>
    <t>nsd3</t>
  </si>
  <si>
    <t>nsdhl</t>
  </si>
  <si>
    <t>nthl1</t>
  </si>
  <si>
    <t>odc1</t>
  </si>
  <si>
    <t>ogg1</t>
  </si>
  <si>
    <t>onecut1</t>
  </si>
  <si>
    <t>pax6a</t>
  </si>
  <si>
    <t>pck2</t>
  </si>
  <si>
    <t>pdk4</t>
  </si>
  <si>
    <t>pdss1</t>
  </si>
  <si>
    <t>pgr</t>
  </si>
  <si>
    <t>pkma</t>
  </si>
  <si>
    <t>plk4</t>
  </si>
  <si>
    <t>pms2</t>
  </si>
  <si>
    <t>polk</t>
  </si>
  <si>
    <t>pou2f1b</t>
  </si>
  <si>
    <t>ppa1b</t>
  </si>
  <si>
    <t>pparaa</t>
  </si>
  <si>
    <t>pparda</t>
  </si>
  <si>
    <t>pparg</t>
  </si>
  <si>
    <t>ppp1r3b</t>
  </si>
  <si>
    <t>ppp3ca</t>
  </si>
  <si>
    <t>preb</t>
  </si>
  <si>
    <t>psmd2</t>
  </si>
  <si>
    <t>ptges2</t>
  </si>
  <si>
    <t>ptgs2a</t>
  </si>
  <si>
    <t>ptk2aa</t>
  </si>
  <si>
    <t>ptprc</t>
  </si>
  <si>
    <t>puf60a</t>
  </si>
  <si>
    <t>pygmb</t>
  </si>
  <si>
    <t>qpct</t>
  </si>
  <si>
    <t>rad50</t>
  </si>
  <si>
    <t>rad9a</t>
  </si>
  <si>
    <t>rapgef1b</t>
  </si>
  <si>
    <t>raraa</t>
  </si>
  <si>
    <t>rars1</t>
  </si>
  <si>
    <t>rasgrf2</t>
  </si>
  <si>
    <t>rbp2a</t>
  </si>
  <si>
    <t>rdh1</t>
  </si>
  <si>
    <t>rela</t>
  </si>
  <si>
    <t>rgn</t>
  </si>
  <si>
    <t>rims1</t>
  </si>
  <si>
    <t>rock1</t>
  </si>
  <si>
    <t>roraa</t>
  </si>
  <si>
    <t>rorb</t>
  </si>
  <si>
    <t>rorc</t>
  </si>
  <si>
    <t>rpl13</t>
  </si>
  <si>
    <t>rpl15</t>
  </si>
  <si>
    <t>rpl8</t>
  </si>
  <si>
    <t>rplp1</t>
  </si>
  <si>
    <t>rxrgb</t>
  </si>
  <si>
    <t>saga</t>
  </si>
  <si>
    <t>scd</t>
  </si>
  <si>
    <t>sdha</t>
  </si>
  <si>
    <t>sec61al1</t>
  </si>
  <si>
    <t>setd1a</t>
  </si>
  <si>
    <t>sf3b4</t>
  </si>
  <si>
    <t>sfrp1a</t>
  </si>
  <si>
    <t>shc3</t>
  </si>
  <si>
    <t>adcy1</t>
  </si>
  <si>
    <t>mras</t>
  </si>
  <si>
    <t>tnnc2</t>
  </si>
  <si>
    <t>sipa1l2</t>
  </si>
  <si>
    <t>sipa1l3</t>
  </si>
  <si>
    <t>slc11a2</t>
  </si>
  <si>
    <t>slc12a2</t>
  </si>
  <si>
    <t>slc22a2</t>
  </si>
  <si>
    <t>slc27a6</t>
  </si>
  <si>
    <t>slc40a1</t>
  </si>
  <si>
    <t>slc8a2b</t>
  </si>
  <si>
    <t>slco1c1</t>
  </si>
  <si>
    <t>smad4a</t>
  </si>
  <si>
    <t>sod1</t>
  </si>
  <si>
    <t>sos1</t>
  </si>
  <si>
    <t>sp1</t>
  </si>
  <si>
    <t>spata2</t>
  </si>
  <si>
    <t>srebf1</t>
  </si>
  <si>
    <t>ssr3</t>
  </si>
  <si>
    <t>stat3</t>
  </si>
  <si>
    <t>sult1st5</t>
  </si>
  <si>
    <t>sult1st6</t>
  </si>
  <si>
    <t>sult3st2</t>
  </si>
  <si>
    <t>syk</t>
  </si>
  <si>
    <t>taf4a</t>
  </si>
  <si>
    <t>tapbp</t>
  </si>
  <si>
    <t>tcf7</t>
  </si>
  <si>
    <t>tcf7l1a</t>
  </si>
  <si>
    <t>tcf7l2</t>
  </si>
  <si>
    <t>tead1</t>
  </si>
  <si>
    <t>telo2</t>
  </si>
  <si>
    <t>tfap2a</t>
  </si>
  <si>
    <t>tfap2c</t>
  </si>
  <si>
    <t>tfr1b</t>
  </si>
  <si>
    <t>tg</t>
  </si>
  <si>
    <t>tgfb1a</t>
  </si>
  <si>
    <t>thbs2b</t>
  </si>
  <si>
    <t>thraa</t>
  </si>
  <si>
    <t>thrb</t>
  </si>
  <si>
    <t>tnfsf13b</t>
  </si>
  <si>
    <t>tp63</t>
  </si>
  <si>
    <t>trpv1</t>
  </si>
  <si>
    <t>tspo</t>
  </si>
  <si>
    <t>ttr</t>
  </si>
  <si>
    <t>txn</t>
  </si>
  <si>
    <t>txndc12</t>
  </si>
  <si>
    <t>uap1</t>
  </si>
  <si>
    <t>ugt1a1</t>
  </si>
  <si>
    <t>usf1</t>
  </si>
  <si>
    <t>usp7</t>
  </si>
  <si>
    <t>vav2</t>
  </si>
  <si>
    <t>vegfaa</t>
  </si>
  <si>
    <t>vhll</t>
  </si>
  <si>
    <t>vtg1</t>
  </si>
  <si>
    <t>vtg3</t>
  </si>
  <si>
    <t>wnt1</t>
  </si>
  <si>
    <t>xbp1</t>
  </si>
  <si>
    <t>xpc</t>
  </si>
  <si>
    <t>hexd</t>
  </si>
  <si>
    <t>pik3ca</t>
  </si>
  <si>
    <t>cox5ba</t>
  </si>
  <si>
    <t>sgms1</t>
  </si>
  <si>
    <t>zmat3</t>
  </si>
  <si>
    <t>ATP-binding cassette, sub-family A (ABC1), member 1A</t>
  </si>
  <si>
    <t>Multidrug resistance-associated protein 1-like</t>
  </si>
  <si>
    <t>Acetyl-CoA acyltransferase 1</t>
  </si>
  <si>
    <t>Medium-chain specific acyl-CoA dehydrogenase, mitochondrial</t>
  </si>
  <si>
    <t>Complex I assembly factor ACAD9, mitochondrial</t>
  </si>
  <si>
    <t>Alkaline ceramidase 1</t>
  </si>
  <si>
    <t>Acetylcholinesterase</t>
  </si>
  <si>
    <t>Acyl-CoA oxidase 1, palmitoyl</t>
  </si>
  <si>
    <t>Acyl-CoA synthetase long chain family member 1a</t>
  </si>
  <si>
    <t>Acyl-CoA synthetase long chain family member 5</t>
  </si>
  <si>
    <t>Acetyl-coenzyme A synthetase, cytoplasmic-like isoform X2</t>
  </si>
  <si>
    <t>Actin, beta 1</t>
  </si>
  <si>
    <t>Actinin, alpha 2b</t>
  </si>
  <si>
    <t>Alcohol dehydrogenase 8a</t>
  </si>
  <si>
    <t>Angiotensinogen</t>
  </si>
  <si>
    <t>Aryl hydrocarbon receptor 1b</t>
  </si>
  <si>
    <t>Aryl hydrocarbon receptor 2</t>
  </si>
  <si>
    <t>Aryl-hydrocarbon receptor repressor b</t>
  </si>
  <si>
    <t>Aryl hydrocarbon receptor interacting protein</t>
  </si>
  <si>
    <t>Adenylate kinase isoenzyme 1</t>
  </si>
  <si>
    <t>A-kinase anchor protein 13-like isoform X1</t>
  </si>
  <si>
    <t>V-akt murine thymoma viral oncogene homolog 3a</t>
  </si>
  <si>
    <t>Aminolevulinate, delta-, synthase 1</t>
  </si>
  <si>
    <t>Aldehyde dehydrogenase 1 family, member A2</t>
  </si>
  <si>
    <t>Alkaline phosphatase-like</t>
  </si>
  <si>
    <t>Amine oxidase, copper containing</t>
  </si>
  <si>
    <t>Apolipoprotein Ba</t>
  </si>
  <si>
    <t>Androgen receptor</t>
  </si>
  <si>
    <t>Arginase 2</t>
  </si>
  <si>
    <t>Rho GTPase-activating protein 5-like</t>
  </si>
  <si>
    <t>Aryl hydrocarbon receptor nuclear translocator</t>
  </si>
  <si>
    <t>Arylsulfatase H</t>
  </si>
  <si>
    <t>Arsenite methyltransferase</t>
  </si>
  <si>
    <t>N-acylsphingosine amidohydrolase (acid ceramidase) 1b</t>
  </si>
  <si>
    <t>Autophagy protein 5-like isoform X1</t>
  </si>
  <si>
    <t>ATM serine/threonine kinase</t>
  </si>
  <si>
    <t>ATPase Na+/K+ transporting subunit alpha 1a, tandem duplicate 1</t>
  </si>
  <si>
    <t>Protein ATP1B4-like isoform X1</t>
  </si>
  <si>
    <t>ATP synthase peripheral stalk-membrane subunit b</t>
  </si>
  <si>
    <t>ATR serine/threonine kinase</t>
  </si>
  <si>
    <t>Basic leucine zipper transcription factor, ATF-like 3</t>
  </si>
  <si>
    <t>BCL2 apoptosis regulator a</t>
  </si>
  <si>
    <t>Bcl-2-like protein 1 isoform X1</t>
  </si>
  <si>
    <t>Brain-derived neurotrophic factor</t>
  </si>
  <si>
    <t>Fanconi anemia group J protein isoform X1</t>
  </si>
  <si>
    <t>C1GALT1-specific chaperone 1-like</t>
  </si>
  <si>
    <t>Complement component 1, q subcomponent binding protein</t>
  </si>
  <si>
    <t>Voltage-dependent N-type calcium channel subunit alpha-1B isoform X1</t>
  </si>
  <si>
    <t>Voltage-dependent L-type calcium channel subunit alpha-1C-like isoform X3</t>
  </si>
  <si>
    <t>Voltage-dependent calcium channel subunit alpha-2/delta-4-like</t>
  </si>
  <si>
    <t>Calmodulin</t>
  </si>
  <si>
    <t>Caspase 2, apoptosis-related cysteine peptidase</t>
  </si>
  <si>
    <t>Caspase 3, apoptosis-related cysteine peptidase a</t>
  </si>
  <si>
    <t>Caspase 7, apoptosis-related cysteine peptidase</t>
  </si>
  <si>
    <t>Caspase 8, apoptosis-related cysteine peptidase</t>
  </si>
  <si>
    <t>Caspase 9, apoptosis-related cysteine peptidase</t>
  </si>
  <si>
    <t>Catalase</t>
  </si>
  <si>
    <t>Chemokine (C-C motif) ligand 20a, duplicate 3</t>
  </si>
  <si>
    <t>Cyclin D1</t>
  </si>
  <si>
    <t>Cyclin D2, b</t>
  </si>
  <si>
    <t>Cyclin T1</t>
  </si>
  <si>
    <t>CD36 molecule (thrombospondin receptor)</t>
  </si>
  <si>
    <t>Cadherin 1, type 1, E-cadherin (epithelial)</t>
  </si>
  <si>
    <t>Cadherin-4-like isoform X1</t>
  </si>
  <si>
    <t>Cyclin-dependent kinase 1</t>
  </si>
  <si>
    <t>Cyclin-dependent kinase 2</t>
  </si>
  <si>
    <t>Cyclin-dependent kinase 4</t>
  </si>
  <si>
    <t>Cyclin-dependent kinase inhibitor 1A</t>
  </si>
  <si>
    <t>Cyclin-dependent kinase inhibitor 1Ba</t>
  </si>
  <si>
    <t>Checkpoint kinase 1</t>
  </si>
  <si>
    <t>Checkpoint kinase 2</t>
  </si>
  <si>
    <t>Carbohydrate sulfotransferase 1</t>
  </si>
  <si>
    <t>Cell death inducing DFFA like effector c</t>
  </si>
  <si>
    <t>Cytochrome c oxidase assembly protein COX11, mitochondrial</t>
  </si>
  <si>
    <t>Cytochrome c oxidase assembly homolog 15 (yeast)</t>
  </si>
  <si>
    <t>Cytochrome c oxidase copper chaperone-like</t>
  </si>
  <si>
    <t>Carnitine palmitoyltransferase 1Aa (liver)</t>
  </si>
  <si>
    <t>CAMP responsive element binding protein 1a</t>
  </si>
  <si>
    <t>Collapsin response mediator protein 1</t>
  </si>
  <si>
    <t>CREB regulated transcription coactivator 1a</t>
  </si>
  <si>
    <t>Crystallin, alpha B, a</t>
  </si>
  <si>
    <t>Crystallin, beta A4</t>
  </si>
  <si>
    <t>Casein kinase 1, alpha</t>
  </si>
  <si>
    <t>Proline-rich protein 36-like isoform X1</t>
  </si>
  <si>
    <t>Catenin delta-1 isoform X1</t>
  </si>
  <si>
    <t>Cytochrome b561</t>
  </si>
  <si>
    <t>Cytochrome b-245, alpha polypeptide</t>
  </si>
  <si>
    <t>Cytochrome c</t>
  </si>
  <si>
    <t>Cytochrome c-1</t>
  </si>
  <si>
    <t>Cytochrome P450, family 11, subfamily C, polypeptide 1</t>
  </si>
  <si>
    <t>Cytochrome P450, family 17, subfamily A, polypeptide 1</t>
  </si>
  <si>
    <t>Cytochrome P450, family 19, subfamily A, polypeptide 1b</t>
  </si>
  <si>
    <t>Cytochrome P450, family 1, subfamily A</t>
  </si>
  <si>
    <t>Cytochrome P450 1B1</t>
  </si>
  <si>
    <t>Cytochrome P450, family 21, subfamily A, polypeptide 2</t>
  </si>
  <si>
    <t>Cytochrome P450, family 2, subfamily AD, polypeptide 6</t>
  </si>
  <si>
    <t>Cytochrome P450, family 3, subfamily c, polypeptide 3</t>
  </si>
  <si>
    <t>Cytochrome P450, family 7, subfamily A, polypeptide 1</t>
  </si>
  <si>
    <t>Cytochrome P450, family 7, subfamily B, polypeptide 1</t>
  </si>
  <si>
    <t>Damage-specific DNA binding protein 2</t>
  </si>
  <si>
    <t>Probable ATP-dependent RNA helicase DDX20</t>
  </si>
  <si>
    <t>Diacylglycerol O-acyltransferase 2</t>
  </si>
  <si>
    <t>Diacylglycerol kinase eta</t>
  </si>
  <si>
    <t>Iodothyronine deiodinase 1</t>
  </si>
  <si>
    <t>Iodothyronine deiodinase 2</t>
  </si>
  <si>
    <t>Disks large homolog 2 isoform X23</t>
  </si>
  <si>
    <t>DnaJ homolog subfamily B member 1-like</t>
  </si>
  <si>
    <t>DNA (cytosine-5)-methyltransferase</t>
  </si>
  <si>
    <t>DNA (cytosine-5-)-methyltransferase 3 alpha b</t>
  </si>
  <si>
    <t>D(2)-like dopamine receptor</t>
  </si>
  <si>
    <t>E3 ubiquitin-protein ligase DTX3L-like isoform X1</t>
  </si>
  <si>
    <t>Dual specificity protein phosphatase 3-like</t>
  </si>
  <si>
    <t>E2F transcription factor 1</t>
  </si>
  <si>
    <t>Early growth response 1</t>
  </si>
  <si>
    <t>Eukaryotic translation initiation factor 5B</t>
  </si>
  <si>
    <t>ETS transcription factor ELK1</t>
  </si>
  <si>
    <t>E1A binding protein p300 a</t>
  </si>
  <si>
    <t>E1A binding protein p300 b</t>
  </si>
  <si>
    <t>Ephrin type-A receptor 2-like</t>
  </si>
  <si>
    <t>ELKS/Rab6-interacting/CAST family member 1-like isoform X1</t>
  </si>
  <si>
    <t>Estrogen receptor</t>
  </si>
  <si>
    <t>Estrogen-related receptor beta</t>
  </si>
  <si>
    <t>Electron transfer flavoprotein dehydrogenase</t>
  </si>
  <si>
    <t>V-ets avian erythroblastosis virus E26 oncogene</t>
  </si>
  <si>
    <t>Fatty acid binding protein 10a, liver basic</t>
  </si>
  <si>
    <t>Fatty acid binding protein 1-A, liver</t>
  </si>
  <si>
    <t>Fatty acid-binding protein, intestinal</t>
  </si>
  <si>
    <t>Fatty acid binding protein 3, muscle and heart</t>
  </si>
  <si>
    <t>Fatty acid binding protein 6, ileal (gastrotropin)</t>
  </si>
  <si>
    <t>Fatty acid binding protein 7, brain, a</t>
  </si>
  <si>
    <t>Fas (tnfrsf6)-associated via death domain</t>
  </si>
  <si>
    <t>Family with sequence similarity 114 member A1</t>
  </si>
  <si>
    <t>Fatty acid synthase</t>
  </si>
  <si>
    <t>Fibrinogen alpha chain</t>
  </si>
  <si>
    <t>Filamin-C isoform X1</t>
  </si>
  <si>
    <t>V-fos FBJ murine osteosarcoma viral oncogene homolog Ab</t>
  </si>
  <si>
    <t>Forkhead box A1</t>
  </si>
  <si>
    <t>Forkhead box O1 a</t>
  </si>
  <si>
    <t>Forkhead box O3A</t>
  </si>
  <si>
    <t>Glucose-6-phosphatase a, catalytic subunit, tandem duplicate 1</t>
  </si>
  <si>
    <t>Glucose-6-phosphate dehydrogenase</t>
  </si>
  <si>
    <t>Gamma-aminobutyric acid receptor subunit beta-2 isoform X2</t>
  </si>
  <si>
    <t>Growth arrest and DNA-damage-inducible, beta a</t>
  </si>
  <si>
    <t>Growth arrest and DNA-damage-inducible, gamma a</t>
  </si>
  <si>
    <t>Guanidinoacetate N-methyltransferase</t>
  </si>
  <si>
    <t>Neutral alpha-glucosidase AB</t>
  </si>
  <si>
    <t>Glyceraldehyde-3-phosphate dehydrogenase</t>
  </si>
  <si>
    <t>Retinal guanylyl cyclase 2-like isoform X1</t>
  </si>
  <si>
    <t>Gamma-glutamylcyclotransferase isoform X2</t>
  </si>
  <si>
    <t>GLI family zinc finger 1</t>
  </si>
  <si>
    <t>Guanine nucleotide-binding protein subunit alpha-12</t>
  </si>
  <si>
    <t>Guanine nucleotide-binding protein G(I)/G(S)/G(O) subunit gamma-T2-like</t>
  </si>
  <si>
    <t>Nucleolar GTP-binding protein 2-like</t>
  </si>
  <si>
    <t>Glutamic-oxaloacetic transaminase 1, soluble</t>
  </si>
  <si>
    <t>Glutamic-oxaloacetic transaminase 2a, mitochondrial</t>
  </si>
  <si>
    <t>Glycerol-3-phosphate acyltransferase 4-like</t>
  </si>
  <si>
    <t>Glycerophosphocholine phosphodiesterase GPCPD1-like</t>
  </si>
  <si>
    <t>Glutathione peroxidase 1a</t>
  </si>
  <si>
    <t>Phospholipid hydroperoxide glutathione peroxidase isoform C</t>
  </si>
  <si>
    <t>Glutamate receptor, ionotropic, N-methyl D-aspartate 2A, b</t>
  </si>
  <si>
    <t>Gelsolin-like isoform X2</t>
  </si>
  <si>
    <t>Glutathione reductase</t>
  </si>
  <si>
    <t>Glutathione S-transferase, C-terminal domain containing</t>
  </si>
  <si>
    <t>Glutathione S-transferase omega gene 1</t>
  </si>
  <si>
    <t>General transcription factor IIE, polypeptide 2, beta</t>
  </si>
  <si>
    <t>Hexose-6-phosphate dehydrogenase (glucose 1-dehydrogenase)</t>
  </si>
  <si>
    <t>Hypoxia inducible factor 1 subunit alpha a</t>
  </si>
  <si>
    <t>Hypoxia-inducible factor 1 alpha</t>
  </si>
  <si>
    <t>Hydroxymethylbilane synthase a</t>
  </si>
  <si>
    <t>3-hydroxy-3-methylglutaryl-CoA reductase a</t>
  </si>
  <si>
    <t>Heme oxygenase 1a</t>
  </si>
  <si>
    <t>Hepatocyte nuclear factor 4, alpha</t>
  </si>
  <si>
    <t>Hepatocyte nuclear factor 4, gamma</t>
  </si>
  <si>
    <t>Heterogeneous nuclear ribonucleoprotein K-like isoform X2</t>
  </si>
  <si>
    <t>HRas proto-oncogene, GTPase b</t>
  </si>
  <si>
    <t>Transient receptor potential cation channel subfamily M member 4-like</t>
  </si>
  <si>
    <t xml:space="preserve">Danio rerio Hydroxysteroid 11-beta-dehydrogenase 1-like protein-like (LOC100006793), mRNA. </t>
  </si>
  <si>
    <t>Hydroxy-delta-5-steroid dehydrogenase, 3 beta- and steroid delta-isomerase 1</t>
  </si>
  <si>
    <t>Heat shock cognate 70-kd protein, tandem-like gene 3</t>
  </si>
  <si>
    <t>Heat shock protein HSP 90-alpha</t>
  </si>
  <si>
    <t>Heat shock protein 90, beta (grp94), member 1</t>
  </si>
  <si>
    <t>Stress-70 protein, mitochondrial</t>
  </si>
  <si>
    <t>Basement membrane-specific heparan sulfate proteoglycan core protein</t>
  </si>
  <si>
    <t>Interferon gamma 1</t>
  </si>
  <si>
    <t>Insulin-like growth factor 1</t>
  </si>
  <si>
    <t>Interleukin-13 receptor subunit alpha-2</t>
  </si>
  <si>
    <t>Interleukin 16</t>
  </si>
  <si>
    <t>Interleukin 1, beta</t>
  </si>
  <si>
    <t>Interleukin 6 (interferon, beta 2)</t>
  </si>
  <si>
    <t>Interferon regulatory factor 1a</t>
  </si>
  <si>
    <t>E3 ubiquitin-protein ligase Itchy-like</t>
  </si>
  <si>
    <t>Integrin alpha-3-like</t>
  </si>
  <si>
    <t>Inositol 1,4,5-trisphosphate receptor type 1-like isoform X5</t>
  </si>
  <si>
    <t>Tyrosine-protein kinase JAK1 isoform X1</t>
  </si>
  <si>
    <t>JunB proto-oncogene, AP-1 transcription factor subunit a</t>
  </si>
  <si>
    <t>Small conductance calcium-activated potassium channel protein 1 isoform X2</t>
  </si>
  <si>
    <t>Laminin subunit beta-4-like</t>
  </si>
  <si>
    <t>Lactase</t>
  </si>
  <si>
    <t>Lymphoid enhancer-binding factor 1</t>
  </si>
  <si>
    <t>Lipase, hepatic a</t>
  </si>
  <si>
    <t>LON peptidase N-terminal domain and ring finger 1, like</t>
  </si>
  <si>
    <t>Lipoprotein lipase</t>
  </si>
  <si>
    <t>Monoamine oxidase</t>
  </si>
  <si>
    <t>Mitogen-activated protein kinase 1</t>
  </si>
  <si>
    <t>Mitogen-activated protein kinase 14A</t>
  </si>
  <si>
    <t>Mannan-binding lectin serine peptidase 2</t>
  </si>
  <si>
    <t>Methionine adenosyltransferase I, alpha</t>
  </si>
  <si>
    <t>Danio rerio myoglobin (mb), transcript variant 2, mRNA.</t>
  </si>
  <si>
    <t>MCL1 apoptosis regulator, BCL2 family member a</t>
  </si>
  <si>
    <t>O-6-methylguanine-DNA methyltransferase</t>
  </si>
  <si>
    <t>Microsomal glutathione S-transferase 1.1</t>
  </si>
  <si>
    <t>Microsomal glutathione S-transferase 3b</t>
  </si>
  <si>
    <t>Metabolism of cobalamin associated D</t>
  </si>
  <si>
    <t>MRE11 homolog A, double strand break repair nuclease</t>
  </si>
  <si>
    <t>39S ribosomal protein L1, mitochondrial</t>
  </si>
  <si>
    <t>MutS homolog 2 (E. coli)</t>
  </si>
  <si>
    <t>Mechanistic target of rapamycin kinase</t>
  </si>
  <si>
    <t>V-myb avian myeloblastosis viral oncogene homolog</t>
  </si>
  <si>
    <t>Myosin-10 isoform X3</t>
  </si>
  <si>
    <t>Unconventional myosin-X-like</t>
  </si>
  <si>
    <t>Myogenin</t>
  </si>
  <si>
    <t>N-acetyltransferase 10</t>
  </si>
  <si>
    <t>Nuclear receptor coactivator 1</t>
  </si>
  <si>
    <t>Nuclear receptor coactivator 3</t>
  </si>
  <si>
    <t>NADH dehydrogenase [ubiquinone] flavoprotein 1, mitochondrial</t>
  </si>
  <si>
    <t>E3 ubiquitin-protein ligase NEDD4-like isoform X14</t>
  </si>
  <si>
    <t>Neo-calmodulin</t>
  </si>
  <si>
    <t>Sialidase 3 (membrane sialidase), tandem duplicate 3</t>
  </si>
  <si>
    <t>Nuclear factor of activated T cells 1</t>
  </si>
  <si>
    <t>Nuclear factor of activated T cells 3a</t>
  </si>
  <si>
    <t>Nuclear factor, erythroid 2-like 2a</t>
  </si>
  <si>
    <t>Nuclear factor I/A</t>
  </si>
  <si>
    <t>Nuclear factor of kappa light polypeptide gene enhancer in B-cells 2 (p49/p100)</t>
  </si>
  <si>
    <t>Nitric oxide synthase 1 (neuronal)</t>
  </si>
  <si>
    <t>Nitric oxide synthase 2a, inducible</t>
  </si>
  <si>
    <t>Nuclear receptor subfamily 0, group B, member 1</t>
  </si>
  <si>
    <t>Nuclear receptor subfamily 0, group B, member 2a</t>
  </si>
  <si>
    <t>Nuclear receptor subfamily 1, group d, member 1</t>
  </si>
  <si>
    <t>Nuclear receptor subfamily 1, group D, member 2a</t>
  </si>
  <si>
    <t>Nuclear receptor subfamily 1, group H, member 3</t>
  </si>
  <si>
    <t>Nuclear receptor subfamily 1, group H, member 4</t>
  </si>
  <si>
    <t>Nuclear receptor subfamily 1, group I, member 2</t>
  </si>
  <si>
    <t>Nuclear receptor subfamily 2, group C, member 2</t>
  </si>
  <si>
    <t>Nuclear receptor subfamily 2, group E, member 1</t>
  </si>
  <si>
    <t>Nuclear receptor subfamily 2, group F, member 2</t>
  </si>
  <si>
    <t>Nuclear receptor subfamily 3, group C, member 1 (glucocorticoid receptor)</t>
  </si>
  <si>
    <t>Nuclear receptor subfamily 4, group A, member 1</t>
  </si>
  <si>
    <t>Nuclear receptor subfamily 4, group A, member 3</t>
  </si>
  <si>
    <t>Nuclear receptor subfamily 5, group A, member 1a</t>
  </si>
  <si>
    <t>Nuclear receptor subfamily 5, group A, member 2</t>
  </si>
  <si>
    <t>Neurexin-1-like isoform X2</t>
  </si>
  <si>
    <t>Neurexin-3a-like isoform X2</t>
  </si>
  <si>
    <t>Histone-lysine N-methyltransferase NSD3</t>
  </si>
  <si>
    <t>3beta-hydroxysteroid-dehydrogenase/decarboxylase isoform X1</t>
  </si>
  <si>
    <t>Endonuclease III-like</t>
  </si>
  <si>
    <t>Ornithine decarboxylase 1</t>
  </si>
  <si>
    <t>8-oxoguanine DNA glycosylase</t>
  </si>
  <si>
    <t>One cut homeobox 1</t>
  </si>
  <si>
    <t>Paired box 6a</t>
  </si>
  <si>
    <t>Phosphoenolpyruvate carboxykinase 2 (mitochondrial)</t>
  </si>
  <si>
    <t>Pyruvate dehydrogenase (acetyl-transferring) kinase isozyme 1, mitochondrial</t>
  </si>
  <si>
    <t>Prenyl (Decaprenyl) diphosphate synthase, subunit</t>
  </si>
  <si>
    <t>Progesterone receptor</t>
  </si>
  <si>
    <t>Pyruvate kinase M1/2a</t>
  </si>
  <si>
    <t>Serine/threonine-protein kinase PLK4 isoform X1</t>
  </si>
  <si>
    <t>Mismatch repair endonuclease PMS2</t>
  </si>
  <si>
    <t>Polymerase (DNA directed) kappa</t>
  </si>
  <si>
    <t>POU class 2 homeobox 1b</t>
  </si>
  <si>
    <t>Inorganic pyrophosphatase-like</t>
  </si>
  <si>
    <t>Peroxisome proliferator-activated receptor alpha a</t>
  </si>
  <si>
    <t>Peroxisome proliferator-activated receptor delta a</t>
  </si>
  <si>
    <t>Peroxisome proliferator-activated receptor gamma</t>
  </si>
  <si>
    <t>Protein phosphatase 1, regulatory subunit 3B</t>
  </si>
  <si>
    <t>Serine/threonine-protein phosphatase 2B catalytic subunit alpha isoform-like isoform X2</t>
  </si>
  <si>
    <t>Prolactin regulatory element-binding protein-like</t>
  </si>
  <si>
    <t>26S proteasome non-ATPase regulatory subunit gene 7</t>
  </si>
  <si>
    <t>Prostaglandin E synthase</t>
  </si>
  <si>
    <t>Prostaglandin-endoperoxide synthase 2a</t>
  </si>
  <si>
    <t>Protein tyrosine kinase 2aa</t>
  </si>
  <si>
    <t>Receptor-type tyrosine-protein phosphatase C-like isoform X2</t>
  </si>
  <si>
    <t>Poly(U)-binding-splicing factor PUF60-like isoform X4</t>
  </si>
  <si>
    <t>Glycogen phosphorylase, muscle form-like</t>
  </si>
  <si>
    <t>Glutaminyl-peptide cyclotransferase</t>
  </si>
  <si>
    <t>RAD50 homolog, double strand break repair protein</t>
  </si>
  <si>
    <t>RAD9 checkpoint clamp component A</t>
  </si>
  <si>
    <t>Rap guanine nucleotide exchange factor 1-like isoform X1</t>
  </si>
  <si>
    <t>Retinoic acid receptor, alpha a</t>
  </si>
  <si>
    <t>Arginine--tRNA ligase, cytoplasmic</t>
  </si>
  <si>
    <t>Ras-specific guanine nucleotide-releasing factor 2 isoform X1</t>
  </si>
  <si>
    <t>Retinol binding protein 2a, cellular</t>
  </si>
  <si>
    <t>Retinol dehydrogenase gene 1</t>
  </si>
  <si>
    <t>V-rel avian reticuloendotheliosis viral oncogene homolog A</t>
  </si>
  <si>
    <t>Regucalcin</t>
  </si>
  <si>
    <t>Regulating synaptic membrane exocytosis protein 1-like isoform X1</t>
  </si>
  <si>
    <t>Rho-associated, coiled-coil containing protein kinase 1</t>
  </si>
  <si>
    <t>RAR-related orphan receptor A, paralog a</t>
  </si>
  <si>
    <t>RAR-related orphan receptor B</t>
  </si>
  <si>
    <t>RAR-related orphan receptor C</t>
  </si>
  <si>
    <t>60S ribosomal protein L13</t>
  </si>
  <si>
    <t>Ribosomal protein L15</t>
  </si>
  <si>
    <t>60S ribosomal protein L8</t>
  </si>
  <si>
    <t>Ribosomal protein, large, P1</t>
  </si>
  <si>
    <t>Retinoic acid receptor RXR-gamma-A</t>
  </si>
  <si>
    <t>S-arrestin-like isoform X1</t>
  </si>
  <si>
    <t>Stearoyl-CoA desaturase (delta-9-desaturase)</t>
  </si>
  <si>
    <t>Succinate dehydrogenase [ubiquinone] flavoprotein subunit, mitochondrial</t>
  </si>
  <si>
    <t>Protein transport protein Sec61 subunit alpha-like 1</t>
  </si>
  <si>
    <t>Histone-lysine N-methyltransferase SETD1A-like isoform X1</t>
  </si>
  <si>
    <t>Splicing factor 3b, subunit 4</t>
  </si>
  <si>
    <t>Secreted frizzled-related protein gene 3</t>
  </si>
  <si>
    <t>SHC-transforming protein 3-like</t>
  </si>
  <si>
    <t>Adenylate cyclase type gene 1</t>
  </si>
  <si>
    <t>Ras-related protein M-Ras isoform X1</t>
  </si>
  <si>
    <t>Troponin C, skeletal muscle</t>
  </si>
  <si>
    <t>Signal-induced proliferation-associated protein 1-like isoform X1</t>
  </si>
  <si>
    <t>Signal-induced proliferation-associated-like gene 2</t>
  </si>
  <si>
    <t>Solute carrier family 11 member 2</t>
  </si>
  <si>
    <t>Solute carrier family 12 member 2</t>
  </si>
  <si>
    <t>Solute carrier family 22 member 2</t>
  </si>
  <si>
    <t>Long-chain fatty acid transport protein 6</t>
  </si>
  <si>
    <t>Solute carrier family gene 5</t>
  </si>
  <si>
    <t>Sodium/calcium exchanger 2-like isoform X1</t>
  </si>
  <si>
    <t>Solute carrier organic anion transporter family member 1C1-like</t>
  </si>
  <si>
    <t>SMAD family member 4a</t>
  </si>
  <si>
    <t>Superoxide dismutase 1, soluble</t>
  </si>
  <si>
    <t>Son of sevenless homolog 1 (Drosophila)</t>
  </si>
  <si>
    <t>Sp1 transcription factor</t>
  </si>
  <si>
    <t>Spermatogenesis-associated protein gene 6</t>
  </si>
  <si>
    <t>Sterol regulatory element binding transcription factor 1</t>
  </si>
  <si>
    <t>Translocon-associated protein subunit gamma</t>
  </si>
  <si>
    <t>Signal transducer and activator of transcription 3 (acute-phase response factor)</t>
  </si>
  <si>
    <t>Sulfotransferase family 1, cytosolic sulfotransferase 5</t>
  </si>
  <si>
    <t>Sulfotransferase family 1, cytosolic sulfotransferase 6</t>
  </si>
  <si>
    <t>Sulfotransferase family 3, cytosolic sulfotransferase 2</t>
  </si>
  <si>
    <t>Tyrosine-protein kinase SYK gene 1</t>
  </si>
  <si>
    <t>TAF4A RNA polymerase II, TATA box binding protein (TBP)-associated factor</t>
  </si>
  <si>
    <t>Tpsn protein</t>
  </si>
  <si>
    <t>Transcription factor 7</t>
  </si>
  <si>
    <t>Transcription factor 7 like 1a</t>
  </si>
  <si>
    <t>Transcription factor 7 like 2</t>
  </si>
  <si>
    <t>Transcriptional enhancer factor TEF-1 isoform X4</t>
  </si>
  <si>
    <t>Telomere length regulation protein TEL2 homolog</t>
  </si>
  <si>
    <t>Transcription factor AP-2 alpha</t>
  </si>
  <si>
    <t>Transcription factor AP-2 gamma (activating enhancer binding protein 2 gamma)</t>
  </si>
  <si>
    <t>Transferrin receptor protein 1-like isoform X1</t>
  </si>
  <si>
    <t>Thyroglobulin</t>
  </si>
  <si>
    <t>Transforming growth factor, beta 1a</t>
  </si>
  <si>
    <t>Thrombospondin-2-like isoform X1</t>
  </si>
  <si>
    <t>Thyroid hormone receptor alpha a</t>
  </si>
  <si>
    <t>Thyroid hormone receptor beta</t>
  </si>
  <si>
    <t>TNF superfamily member 13b</t>
  </si>
  <si>
    <t>Tumor protein p63</t>
  </si>
  <si>
    <t>Transient receptor potential cation channel, subfamily V, member 1</t>
  </si>
  <si>
    <t>Translocator protein-like</t>
  </si>
  <si>
    <t>Transthyretin</t>
  </si>
  <si>
    <t>Thioredoxin</t>
  </si>
  <si>
    <t>Thioredoxin domain-containing protein 12-like</t>
  </si>
  <si>
    <t>UDP-N-acetylglucosamine pyrophosphorylase</t>
  </si>
  <si>
    <t>UDP glucuronosyltransferase 1 family, polypeptide A1</t>
  </si>
  <si>
    <t>Upstream transcription factor 1</t>
  </si>
  <si>
    <t>Ubiquitin-specific peptidase 7 (herpes virus-associated)</t>
  </si>
  <si>
    <t>Guanine nucleotide exchange factor VAV2 isoform X5</t>
  </si>
  <si>
    <t>Vascular endothelial growth factor A-A</t>
  </si>
  <si>
    <t>Von Hippel-Lindau disease tumor suppressor-like</t>
  </si>
  <si>
    <t>Vitellogenin 1</t>
  </si>
  <si>
    <t>Vitellogenin 3, phosvitinless</t>
  </si>
  <si>
    <t>Wingless-type MMTV integration site family, member 1</t>
  </si>
  <si>
    <t>X-box binding protein 1</t>
  </si>
  <si>
    <t>Xeroderma pigmentosum, complementation group C</t>
  </si>
  <si>
    <t>Hexosaminidase D-like isoform X1</t>
  </si>
  <si>
    <t>Phosphatidylinositol 4,5-bisphosphate 3-kinase catalytic subunit alpha isoform-like</t>
  </si>
  <si>
    <t>Cytochrome c oxidase subunit 5B, mitochondrial-like</t>
  </si>
  <si>
    <t>Phosphatidylcholine:ceramide cholinephosphotransferase 1-like</t>
  </si>
  <si>
    <t>Zinc finger matrin-type protein gene 1</t>
  </si>
  <si>
    <t>EcoToxChip Raw Data</t>
  </si>
  <si>
    <t>QGDC-1</t>
  </si>
  <si>
    <t>QGDC-2</t>
  </si>
  <si>
    <t>QGDC-3</t>
  </si>
  <si>
    <t>RTC-1</t>
  </si>
  <si>
    <t>RTC-2</t>
  </si>
  <si>
    <t>RTC-3</t>
  </si>
  <si>
    <t>PPC-1</t>
  </si>
  <si>
    <t>PPC-2</t>
  </si>
  <si>
    <t>PPC-3</t>
  </si>
  <si>
    <t>Genomic dna control 1</t>
  </si>
  <si>
    <t>Genomic dna control 2</t>
  </si>
  <si>
    <t>Genomic dna control 3</t>
  </si>
  <si>
    <t>Reverse transcription control 1</t>
  </si>
  <si>
    <t>Reverse transcription control 2</t>
  </si>
  <si>
    <t>Reverse transcription control 3</t>
  </si>
  <si>
    <t>Positive pcr control 1</t>
  </si>
  <si>
    <t>Positive pcr control 2</t>
  </si>
  <si>
    <t>Positive pcr control 3</t>
  </si>
  <si>
    <t xml:space="preserve">Identifies which SeqAPASS run the row corresponds to, specifically which ryanodine receptor (RyR) type. </t>
  </si>
  <si>
    <t>Reports Sequence Alignment to Predict Across Species Susceptibility (SeqAPASS) Level 1 Output for each ryanodine receptor (RyR) evaluation.</t>
  </si>
  <si>
    <t xml:space="preserve">Reports the raw EcoToxChip data in the form of Cт values of each well/gene for each sample. </t>
  </si>
  <si>
    <t>The abbreviation of the gene name.</t>
  </si>
  <si>
    <t>The full name of the gene in the previous column.</t>
  </si>
  <si>
    <r>
      <t xml:space="preserve">A unique identifying name assigned to each sample in the experiments. Each ID has the chlorantraniliprole nominal concentration in micrograms/liter, and an arbitrary letter assigned to each replicate cup within the treatment group (A-D). For example, the sample "10A" corresponds to the sample from the 10 </t>
    </r>
    <r>
      <rPr>
        <sz val="11"/>
        <color theme="1"/>
        <rFont val="Calibri"/>
        <family val="2"/>
      </rPr>
      <t xml:space="preserve">µg/L "A" replicate. </t>
    </r>
  </si>
  <si>
    <t>The Cт value was not detected or undetermined for that well.</t>
  </si>
  <si>
    <t>A letter/number identification for each well on the 384-well EcoToxChip plate, corresponding to one gene.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</si>
  <si>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US Environmental Protection Agency, Office of Research and Development, Center for Computational Toxicology and Exposure, Great Lakes Toxicology and Ecology Division, Duluth, MN; 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University of Minnesota-Duluth, Duluth, MN; 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Oak Ridge Institute for Science and Education, US EPA, Office of Research and Development, Great Lakes Toxicology and Ecology Division, Duluth, MN;</t>
    </r>
  </si>
  <si>
    <t>EcoToxChip Provides Insights into Pathway Perturbation Upon Chlorantraniliprole Exposure to Larval Fathead Minnow</t>
  </si>
  <si>
    <r>
      <t>Marissa Jensen-Brickley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Jacob Collins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Jenna Cavallin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 Dan Villeneuve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 Carlie LaLone</t>
    </r>
    <r>
      <rPr>
        <vertAlign val="superscript"/>
        <sz val="11"/>
        <color theme="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</si>
</sst>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1" fillId="0" borderId="3" xfId="0" applyFont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E2B9D-8352-479B-8C1F-19701E0BB406}">
  <dimension ref="A1:B53"/>
  <sheetViews>
    <sheetView tabSelected="1" workbookViewId="0">
      <selection activeCell="B4" sqref="B4"/>
    </sheetView>
  </sheetViews>
  <sheetFormatPr defaultRowHeight="14.25" x14ac:dyDescent="0.45"/>
  <cols>
    <col min="1" max="1" width="52.46484375" bestFit="1" customWidth="1"/>
    <col min="2" max="2" width="94.796875" customWidth="1"/>
  </cols>
  <sheetData>
    <row r="1" spans="1:2" x14ac:dyDescent="0.45">
      <c r="A1" s="1" t="s">
        <v>1238</v>
      </c>
    </row>
    <row r="2" spans="1:2" x14ac:dyDescent="0.45">
      <c r="A2" s="1" t="s">
        <v>1239</v>
      </c>
      <c r="B2" t="s">
        <v>2688</v>
      </c>
    </row>
    <row r="4" spans="1:2" ht="15.75" x14ac:dyDescent="0.45">
      <c r="A4" s="1" t="s">
        <v>1240</v>
      </c>
      <c r="B4" t="s">
        <v>2689</v>
      </c>
    </row>
    <row r="5" spans="1:2" ht="61.5" x14ac:dyDescent="0.45">
      <c r="A5" s="1" t="s">
        <v>1241</v>
      </c>
      <c r="B5" s="2" t="s">
        <v>2687</v>
      </c>
    </row>
    <row r="7" spans="1:2" x14ac:dyDescent="0.45">
      <c r="A7" s="1" t="s">
        <v>1242</v>
      </c>
    </row>
    <row r="8" spans="1:2" x14ac:dyDescent="0.45">
      <c r="A8" s="1"/>
    </row>
    <row r="9" spans="1:2" x14ac:dyDescent="0.45">
      <c r="A9" s="1" t="s">
        <v>1908</v>
      </c>
      <c r="B9" s="1" t="s">
        <v>2660</v>
      </c>
    </row>
    <row r="10" spans="1:2" x14ac:dyDescent="0.45">
      <c r="A10" t="s">
        <v>1244</v>
      </c>
      <c r="B10" t="s">
        <v>2681</v>
      </c>
    </row>
    <row r="11" spans="1:2" x14ac:dyDescent="0.45">
      <c r="A11" t="s">
        <v>1909</v>
      </c>
      <c r="B11" t="s">
        <v>2682</v>
      </c>
    </row>
    <row r="12" spans="1:2" x14ac:dyDescent="0.45">
      <c r="A12" t="s">
        <v>1910</v>
      </c>
      <c r="B12" t="s">
        <v>2683</v>
      </c>
    </row>
    <row r="13" spans="1:2" x14ac:dyDescent="0.45">
      <c r="A13" t="s">
        <v>1498</v>
      </c>
      <c r="B13" t="s">
        <v>2686</v>
      </c>
    </row>
    <row r="14" spans="1:2" ht="42.75" x14ac:dyDescent="0.45">
      <c r="A14" t="s">
        <v>1499</v>
      </c>
      <c r="B14" s="2" t="s">
        <v>2684</v>
      </c>
    </row>
    <row r="15" spans="1:2" x14ac:dyDescent="0.45">
      <c r="A15" t="s">
        <v>1906</v>
      </c>
      <c r="B15" s="2" t="s">
        <v>2685</v>
      </c>
    </row>
    <row r="17" spans="1:2" x14ac:dyDescent="0.45">
      <c r="A17" s="1" t="s">
        <v>1243</v>
      </c>
      <c r="B17" s="1" t="s">
        <v>1245</v>
      </c>
    </row>
    <row r="18" spans="1:2" ht="28.5" x14ac:dyDescent="0.45">
      <c r="A18" s="2" t="s">
        <v>1244</v>
      </c>
      <c r="B18" s="2" t="s">
        <v>2680</v>
      </c>
    </row>
    <row r="19" spans="1:2" ht="18" customHeight="1" x14ac:dyDescent="0.45">
      <c r="A19" s="2" t="s">
        <v>1263</v>
      </c>
      <c r="B19" s="2" t="s">
        <v>2679</v>
      </c>
    </row>
    <row r="20" spans="1:2" x14ac:dyDescent="0.45">
      <c r="A20" s="2" t="s">
        <v>0</v>
      </c>
      <c r="B20" s="2" t="s">
        <v>1246</v>
      </c>
    </row>
    <row r="21" spans="1:2" ht="28.5" x14ac:dyDescent="0.45">
      <c r="A21" s="2" t="s">
        <v>1</v>
      </c>
      <c r="B21" s="2" t="s">
        <v>1247</v>
      </c>
    </row>
    <row r="22" spans="1:2" ht="28.5" x14ac:dyDescent="0.45">
      <c r="A22" s="2" t="s">
        <v>2</v>
      </c>
      <c r="B22" s="2" t="s">
        <v>1248</v>
      </c>
    </row>
    <row r="23" spans="1:2" ht="28.5" x14ac:dyDescent="0.45">
      <c r="A23" s="2" t="s">
        <v>3</v>
      </c>
      <c r="B23" s="2" t="s">
        <v>1249</v>
      </c>
    </row>
    <row r="24" spans="1:2" x14ac:dyDescent="0.45">
      <c r="A24" s="2" t="s">
        <v>4</v>
      </c>
      <c r="B24" s="2" t="s">
        <v>1250</v>
      </c>
    </row>
    <row r="25" spans="1:2" x14ac:dyDescent="0.45">
      <c r="A25" s="2" t="s">
        <v>5</v>
      </c>
      <c r="B25" s="2" t="s">
        <v>1251</v>
      </c>
    </row>
    <row r="26" spans="1:2" x14ac:dyDescent="0.45">
      <c r="A26" s="2" t="s">
        <v>6</v>
      </c>
      <c r="B26" s="2" t="s">
        <v>1252</v>
      </c>
    </row>
    <row r="27" spans="1:2" x14ac:dyDescent="0.45">
      <c r="A27" s="2" t="s">
        <v>7</v>
      </c>
      <c r="B27" s="2" t="s">
        <v>1253</v>
      </c>
    </row>
    <row r="28" spans="1:2" x14ac:dyDescent="0.45">
      <c r="A28" s="2" t="s">
        <v>8</v>
      </c>
      <c r="B28" s="2" t="s">
        <v>1254</v>
      </c>
    </row>
    <row r="29" spans="1:2" x14ac:dyDescent="0.45">
      <c r="A29" s="2" t="s">
        <v>9</v>
      </c>
      <c r="B29" s="2" t="s">
        <v>1255</v>
      </c>
    </row>
    <row r="30" spans="1:2" x14ac:dyDescent="0.45">
      <c r="A30" s="2" t="s">
        <v>10</v>
      </c>
      <c r="B30" s="2" t="s">
        <v>1256</v>
      </c>
    </row>
    <row r="31" spans="1:2" ht="28.5" x14ac:dyDescent="0.45">
      <c r="A31" s="2" t="s">
        <v>11</v>
      </c>
      <c r="B31" s="2" t="s">
        <v>1257</v>
      </c>
    </row>
    <row r="32" spans="1:2" x14ac:dyDescent="0.45">
      <c r="A32" s="2" t="s">
        <v>12</v>
      </c>
      <c r="B32" s="2" t="s">
        <v>1258</v>
      </c>
    </row>
    <row r="33" spans="1:2" x14ac:dyDescent="0.45">
      <c r="A33" s="2" t="s">
        <v>13</v>
      </c>
      <c r="B33" s="2" t="s">
        <v>1259</v>
      </c>
    </row>
    <row r="34" spans="1:2" x14ac:dyDescent="0.45">
      <c r="A34" s="2" t="s">
        <v>14</v>
      </c>
      <c r="B34" s="2" t="s">
        <v>1260</v>
      </c>
    </row>
    <row r="35" spans="1:2" x14ac:dyDescent="0.45">
      <c r="A35" s="2" t="s">
        <v>15</v>
      </c>
      <c r="B35" s="2" t="s">
        <v>1261</v>
      </c>
    </row>
    <row r="36" spans="1:2" x14ac:dyDescent="0.45">
      <c r="A36" s="2" t="s">
        <v>16</v>
      </c>
      <c r="B36" s="2" t="s">
        <v>1262</v>
      </c>
    </row>
    <row r="38" spans="1:2" x14ac:dyDescent="0.45">
      <c r="A38" s="1" t="s">
        <v>1243</v>
      </c>
      <c r="B38" s="1" t="s">
        <v>1446</v>
      </c>
    </row>
    <row r="39" spans="1:2" x14ac:dyDescent="0.45">
      <c r="A39" t="s">
        <v>1244</v>
      </c>
      <c r="B39" t="s">
        <v>1447</v>
      </c>
    </row>
    <row r="40" spans="1:2" ht="14.25" customHeight="1" x14ac:dyDescent="0.45">
      <c r="A40" s="2" t="s">
        <v>1263</v>
      </c>
      <c r="B40" s="2" t="s">
        <v>2679</v>
      </c>
    </row>
    <row r="41" spans="1:2" x14ac:dyDescent="0.45">
      <c r="A41" t="s">
        <v>0</v>
      </c>
      <c r="B41" s="2" t="s">
        <v>1246</v>
      </c>
    </row>
    <row r="42" spans="1:2" ht="28.5" x14ac:dyDescent="0.45">
      <c r="A42" t="s">
        <v>1</v>
      </c>
      <c r="B42" s="2" t="s">
        <v>1247</v>
      </c>
    </row>
    <row r="43" spans="1:2" ht="28.5" x14ac:dyDescent="0.45">
      <c r="A43" t="s">
        <v>2</v>
      </c>
      <c r="B43" s="2" t="s">
        <v>1248</v>
      </c>
    </row>
    <row r="44" spans="1:2" ht="28.5" x14ac:dyDescent="0.45">
      <c r="A44" t="s">
        <v>3</v>
      </c>
      <c r="B44" s="2" t="s">
        <v>1249</v>
      </c>
    </row>
    <row r="45" spans="1:2" x14ac:dyDescent="0.45">
      <c r="A45" t="s">
        <v>4</v>
      </c>
      <c r="B45" s="2" t="s">
        <v>1250</v>
      </c>
    </row>
    <row r="46" spans="1:2" x14ac:dyDescent="0.45">
      <c r="A46" t="s">
        <v>5</v>
      </c>
      <c r="B46" s="2" t="s">
        <v>1251</v>
      </c>
    </row>
    <row r="47" spans="1:2" x14ac:dyDescent="0.45">
      <c r="A47" t="s">
        <v>6</v>
      </c>
      <c r="B47" s="2" t="s">
        <v>1252</v>
      </c>
    </row>
    <row r="48" spans="1:2" x14ac:dyDescent="0.45">
      <c r="A48" t="s">
        <v>7</v>
      </c>
      <c r="B48" s="2" t="s">
        <v>1253</v>
      </c>
    </row>
    <row r="49" spans="1:2" x14ac:dyDescent="0.45">
      <c r="A49" t="s">
        <v>14</v>
      </c>
      <c r="B49" s="2" t="s">
        <v>1260</v>
      </c>
    </row>
    <row r="50" spans="1:2" x14ac:dyDescent="0.45">
      <c r="A50" t="s">
        <v>1448</v>
      </c>
      <c r="B50" s="2" t="s">
        <v>1259</v>
      </c>
    </row>
    <row r="51" spans="1:2" x14ac:dyDescent="0.45">
      <c r="A51" t="s">
        <v>1449</v>
      </c>
      <c r="B51" s="2" t="s">
        <v>1450</v>
      </c>
    </row>
    <row r="52" spans="1:2" x14ac:dyDescent="0.45">
      <c r="A52" t="s">
        <v>1451</v>
      </c>
      <c r="B52" s="2" t="s">
        <v>1452</v>
      </c>
    </row>
    <row r="53" spans="1:2" ht="28.5" x14ac:dyDescent="0.45">
      <c r="A53" t="s">
        <v>1453</v>
      </c>
      <c r="B53" s="2" t="s">
        <v>1454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4D1D8-4A06-4C33-A898-BB013C716670}">
  <dimension ref="A1:Z386"/>
  <sheetViews>
    <sheetView zoomScaleNormal="100" workbookViewId="0">
      <selection activeCell="N1" sqref="N1"/>
    </sheetView>
  </sheetViews>
  <sheetFormatPr defaultRowHeight="14.25" x14ac:dyDescent="0.45"/>
  <cols>
    <col min="1" max="1" width="10.73046875" bestFit="1" customWidth="1"/>
    <col min="2" max="2" width="16.73046875" customWidth="1"/>
    <col min="3" max="3" width="7.53125" style="3" bestFit="1" customWidth="1"/>
    <col min="4" max="4" width="9.796875" bestFit="1" customWidth="1"/>
  </cols>
  <sheetData>
    <row r="1" spans="1:26" x14ac:dyDescent="0.45">
      <c r="C1"/>
      <c r="D1" s="1" t="s">
        <v>1499</v>
      </c>
    </row>
    <row r="2" spans="1:26" s="5" customFormat="1" x14ac:dyDescent="0.45">
      <c r="A2" s="5" t="s">
        <v>1909</v>
      </c>
      <c r="B2" s="5" t="s">
        <v>1910</v>
      </c>
      <c r="C2" s="4" t="s">
        <v>1498</v>
      </c>
      <c r="D2" s="5" t="s">
        <v>1500</v>
      </c>
      <c r="E2" s="5" t="s">
        <v>1501</v>
      </c>
      <c r="F2" s="5" t="s">
        <v>1502</v>
      </c>
      <c r="G2" s="5" t="s">
        <v>1503</v>
      </c>
      <c r="H2" s="5" t="s">
        <v>1504</v>
      </c>
      <c r="I2" s="5" t="s">
        <v>1505</v>
      </c>
      <c r="J2" s="5" t="s">
        <v>1907</v>
      </c>
      <c r="K2" s="5" t="s">
        <v>1506</v>
      </c>
      <c r="L2" s="5" t="s">
        <v>1507</v>
      </c>
      <c r="M2" s="5" t="s">
        <v>1508</v>
      </c>
      <c r="N2" s="5" t="s">
        <v>1509</v>
      </c>
      <c r="O2" s="5" t="s">
        <v>1510</v>
      </c>
      <c r="P2" s="5" t="s">
        <v>1511</v>
      </c>
      <c r="Q2" s="5" t="s">
        <v>1512</v>
      </c>
      <c r="R2" s="5" t="s">
        <v>1513</v>
      </c>
      <c r="S2" s="5" t="s">
        <v>1514</v>
      </c>
      <c r="T2" s="5" t="s">
        <v>1515</v>
      </c>
      <c r="U2" s="5" t="s">
        <v>1516</v>
      </c>
      <c r="V2" s="5" t="s">
        <v>1517</v>
      </c>
      <c r="W2" s="5" t="s">
        <v>1518</v>
      </c>
      <c r="X2" s="5" t="s">
        <v>1519</v>
      </c>
      <c r="Y2" s="5" t="s">
        <v>1520</v>
      </c>
      <c r="Z2" s="5" t="s">
        <v>1521</v>
      </c>
    </row>
    <row r="3" spans="1:26" x14ac:dyDescent="0.45">
      <c r="A3" t="s">
        <v>1911</v>
      </c>
      <c r="B3" t="s">
        <v>2286</v>
      </c>
      <c r="C3" s="3" t="s">
        <v>1522</v>
      </c>
      <c r="D3">
        <v>25.526</v>
      </c>
      <c r="E3">
        <v>25.491</v>
      </c>
      <c r="F3">
        <v>24.83</v>
      </c>
      <c r="G3">
        <v>26.73</v>
      </c>
      <c r="H3">
        <v>25.535</v>
      </c>
      <c r="I3">
        <v>25.349</v>
      </c>
      <c r="J3">
        <v>25.324000000000002</v>
      </c>
      <c r="K3">
        <v>25.774000000000001</v>
      </c>
      <c r="L3">
        <v>25.550999999999998</v>
      </c>
      <c r="M3">
        <v>25.867999999999999</v>
      </c>
      <c r="N3">
        <v>25.716999999999999</v>
      </c>
      <c r="O3">
        <v>25.843</v>
      </c>
      <c r="P3">
        <v>25.141999999999999</v>
      </c>
      <c r="Q3">
        <v>25.398</v>
      </c>
      <c r="R3">
        <v>26.359000000000002</v>
      </c>
      <c r="S3">
        <v>25.733000000000001</v>
      </c>
      <c r="T3">
        <v>25.408999999999999</v>
      </c>
      <c r="U3">
        <v>25.3</v>
      </c>
      <c r="V3">
        <v>25.143000000000001</v>
      </c>
      <c r="W3">
        <v>25.792999999999999</v>
      </c>
      <c r="X3">
        <v>26.315999999999999</v>
      </c>
      <c r="Y3">
        <v>25.375</v>
      </c>
      <c r="Z3">
        <v>25.231999999999999</v>
      </c>
    </row>
    <row r="4" spans="1:26" x14ac:dyDescent="0.45">
      <c r="A4" t="s">
        <v>1912</v>
      </c>
      <c r="B4" t="s">
        <v>2287</v>
      </c>
      <c r="C4" s="3" t="s">
        <v>1523</v>
      </c>
      <c r="D4">
        <v>27.844999999999999</v>
      </c>
      <c r="E4">
        <v>27.667000000000002</v>
      </c>
      <c r="F4">
        <v>26.523</v>
      </c>
      <c r="G4">
        <v>28.434999999999999</v>
      </c>
      <c r="H4">
        <v>27.419</v>
      </c>
      <c r="I4">
        <v>27.186</v>
      </c>
      <c r="J4">
        <v>27.614999999999998</v>
      </c>
      <c r="K4">
        <v>27.931999999999999</v>
      </c>
      <c r="L4">
        <v>27.759</v>
      </c>
      <c r="M4">
        <v>28.257999999999999</v>
      </c>
      <c r="N4">
        <v>27.98</v>
      </c>
      <c r="O4">
        <v>28.335000000000001</v>
      </c>
      <c r="P4">
        <v>27.760999999999999</v>
      </c>
      <c r="Q4">
        <v>28.166</v>
      </c>
      <c r="R4">
        <v>27.638000000000002</v>
      </c>
      <c r="S4">
        <v>27.716999999999999</v>
      </c>
      <c r="T4">
        <v>27.751999999999999</v>
      </c>
      <c r="U4">
        <v>27.856000000000002</v>
      </c>
      <c r="V4">
        <v>26.603999999999999</v>
      </c>
      <c r="W4">
        <v>27.677</v>
      </c>
      <c r="X4">
        <v>28.71</v>
      </c>
      <c r="Y4">
        <v>27.353000000000002</v>
      </c>
      <c r="Z4">
        <v>27.736999999999998</v>
      </c>
    </row>
    <row r="5" spans="1:26" x14ac:dyDescent="0.45">
      <c r="A5" t="s">
        <v>1913</v>
      </c>
      <c r="B5" t="s">
        <v>2288</v>
      </c>
      <c r="C5" s="3" t="s">
        <v>1524</v>
      </c>
      <c r="D5">
        <v>28.356999999999999</v>
      </c>
      <c r="E5">
        <v>28.163</v>
      </c>
      <c r="F5">
        <v>28.216000000000001</v>
      </c>
      <c r="G5">
        <v>29.274000000000001</v>
      </c>
      <c r="H5">
        <v>28.295999999999999</v>
      </c>
      <c r="I5">
        <v>30.004000000000001</v>
      </c>
      <c r="J5">
        <v>28.277000000000001</v>
      </c>
      <c r="K5">
        <v>29.21</v>
      </c>
      <c r="L5">
        <v>28.558</v>
      </c>
      <c r="M5">
        <v>28.503</v>
      </c>
      <c r="N5">
        <v>28.315999999999999</v>
      </c>
      <c r="O5">
        <v>30.673999999999999</v>
      </c>
      <c r="P5">
        <v>28.41</v>
      </c>
      <c r="Q5">
        <v>28.594000000000001</v>
      </c>
      <c r="R5">
        <v>29.288</v>
      </c>
      <c r="S5">
        <v>28.593</v>
      </c>
      <c r="T5">
        <v>28.777000000000001</v>
      </c>
      <c r="U5">
        <v>27.928000000000001</v>
      </c>
      <c r="V5">
        <v>29.475999999999999</v>
      </c>
      <c r="W5">
        <v>29.276</v>
      </c>
      <c r="X5">
        <v>28.86</v>
      </c>
      <c r="Y5">
        <v>28.89</v>
      </c>
      <c r="Z5">
        <v>28.917999999999999</v>
      </c>
    </row>
    <row r="6" spans="1:26" x14ac:dyDescent="0.45">
      <c r="A6" t="s">
        <v>1914</v>
      </c>
      <c r="B6" t="s">
        <v>2289</v>
      </c>
      <c r="C6" s="3" t="s">
        <v>1525</v>
      </c>
      <c r="D6">
        <v>24.885000000000002</v>
      </c>
      <c r="E6">
        <v>24.436</v>
      </c>
      <c r="F6">
        <v>23.946000000000002</v>
      </c>
      <c r="G6">
        <v>26.123999999999999</v>
      </c>
      <c r="H6">
        <v>24.911999999999999</v>
      </c>
      <c r="I6">
        <v>23.547999999999998</v>
      </c>
      <c r="J6">
        <v>24.494</v>
      </c>
      <c r="K6">
        <v>24.837</v>
      </c>
      <c r="L6">
        <v>24.797999999999998</v>
      </c>
      <c r="M6">
        <v>24.585000000000001</v>
      </c>
      <c r="N6">
        <v>24.576000000000001</v>
      </c>
      <c r="O6">
        <v>25.373999999999999</v>
      </c>
      <c r="P6">
        <v>24.878</v>
      </c>
      <c r="Q6">
        <v>24.803000000000001</v>
      </c>
      <c r="R6">
        <v>24.768000000000001</v>
      </c>
      <c r="S6">
        <v>24.759</v>
      </c>
      <c r="T6">
        <v>24.76</v>
      </c>
      <c r="U6">
        <v>24.704000000000001</v>
      </c>
      <c r="V6">
        <v>24.324000000000002</v>
      </c>
      <c r="W6">
        <v>25.106999999999999</v>
      </c>
      <c r="X6">
        <v>25.399000000000001</v>
      </c>
      <c r="Y6">
        <v>24.56</v>
      </c>
      <c r="Z6">
        <v>24.449000000000002</v>
      </c>
    </row>
    <row r="7" spans="1:26" x14ac:dyDescent="0.45">
      <c r="A7" t="s">
        <v>1915</v>
      </c>
      <c r="B7" t="s">
        <v>2290</v>
      </c>
      <c r="C7" s="3" t="s">
        <v>1526</v>
      </c>
      <c r="D7">
        <v>23.768999999999998</v>
      </c>
      <c r="E7">
        <v>24.370999999999999</v>
      </c>
      <c r="F7">
        <v>23.395</v>
      </c>
      <c r="G7">
        <v>25.010999999999999</v>
      </c>
      <c r="H7">
        <v>23.847000000000001</v>
      </c>
      <c r="I7">
        <v>23.202000000000002</v>
      </c>
      <c r="J7">
        <v>23.67</v>
      </c>
      <c r="K7">
        <v>24.547000000000001</v>
      </c>
      <c r="L7">
        <v>24.349</v>
      </c>
      <c r="M7">
        <v>24.332999999999998</v>
      </c>
      <c r="N7">
        <v>24.47</v>
      </c>
      <c r="O7">
        <v>24.591000000000001</v>
      </c>
      <c r="P7">
        <v>24.146000000000001</v>
      </c>
      <c r="Q7">
        <v>24.231000000000002</v>
      </c>
      <c r="R7">
        <v>24.562999999999999</v>
      </c>
      <c r="S7">
        <v>24.725000000000001</v>
      </c>
      <c r="T7">
        <v>24.253</v>
      </c>
      <c r="U7">
        <v>23.808</v>
      </c>
      <c r="V7">
        <v>23.658999999999999</v>
      </c>
      <c r="W7">
        <v>23.992999999999999</v>
      </c>
      <c r="X7">
        <v>24.936</v>
      </c>
      <c r="Y7">
        <v>23.983000000000001</v>
      </c>
      <c r="Z7">
        <v>23.876999999999999</v>
      </c>
    </row>
    <row r="8" spans="1:26" x14ac:dyDescent="0.45">
      <c r="A8" t="s">
        <v>1916</v>
      </c>
      <c r="B8" t="s">
        <v>2291</v>
      </c>
      <c r="C8" s="3" t="s">
        <v>1527</v>
      </c>
      <c r="D8">
        <v>32.356000000000002</v>
      </c>
      <c r="E8">
        <v>34.25</v>
      </c>
      <c r="F8">
        <v>32.238999999999997</v>
      </c>
      <c r="G8" t="s">
        <v>1906</v>
      </c>
      <c r="H8">
        <v>36.106999999999999</v>
      </c>
      <c r="I8" t="s">
        <v>1906</v>
      </c>
      <c r="J8">
        <v>33.811999999999998</v>
      </c>
      <c r="K8" t="s">
        <v>1906</v>
      </c>
      <c r="L8">
        <v>32.805</v>
      </c>
      <c r="M8" t="s">
        <v>1906</v>
      </c>
      <c r="N8">
        <v>33.988999999999997</v>
      </c>
      <c r="O8" t="s">
        <v>1906</v>
      </c>
      <c r="P8">
        <v>32.734000000000002</v>
      </c>
      <c r="Q8">
        <v>33.652000000000001</v>
      </c>
      <c r="R8">
        <v>33.462000000000003</v>
      </c>
      <c r="S8">
        <v>33.549999999999997</v>
      </c>
      <c r="T8">
        <v>33.356999999999999</v>
      </c>
      <c r="U8">
        <v>38.930999999999997</v>
      </c>
      <c r="V8">
        <v>34.283000000000001</v>
      </c>
      <c r="W8">
        <v>34.262</v>
      </c>
      <c r="X8">
        <v>33.159999999999997</v>
      </c>
      <c r="Y8">
        <v>33.96</v>
      </c>
      <c r="Z8">
        <v>32.369</v>
      </c>
    </row>
    <row r="9" spans="1:26" x14ac:dyDescent="0.45">
      <c r="A9" t="s">
        <v>1917</v>
      </c>
      <c r="B9" t="s">
        <v>2292</v>
      </c>
      <c r="C9" s="3" t="s">
        <v>1528</v>
      </c>
      <c r="D9">
        <v>24.513000000000002</v>
      </c>
      <c r="E9">
        <v>24.681999999999999</v>
      </c>
      <c r="F9">
        <v>23.605</v>
      </c>
      <c r="G9">
        <v>25.236999999999998</v>
      </c>
      <c r="H9">
        <v>24.446999999999999</v>
      </c>
      <c r="I9">
        <v>23.835999999999999</v>
      </c>
      <c r="J9">
        <v>24.33</v>
      </c>
      <c r="K9">
        <v>24.672000000000001</v>
      </c>
      <c r="L9">
        <v>24.475000000000001</v>
      </c>
      <c r="M9">
        <v>24.634</v>
      </c>
      <c r="N9">
        <v>24.72</v>
      </c>
      <c r="O9">
        <v>24.725999999999999</v>
      </c>
      <c r="P9">
        <v>24.42</v>
      </c>
      <c r="Q9">
        <v>24.803999999999998</v>
      </c>
      <c r="R9">
        <v>24.454000000000001</v>
      </c>
      <c r="S9">
        <v>24.765999999999998</v>
      </c>
      <c r="T9">
        <v>24.873999999999999</v>
      </c>
      <c r="U9">
        <v>25.472000000000001</v>
      </c>
      <c r="V9">
        <v>24.236000000000001</v>
      </c>
      <c r="W9">
        <v>24.516999999999999</v>
      </c>
      <c r="X9">
        <v>25.228999999999999</v>
      </c>
      <c r="Y9">
        <v>24.472000000000001</v>
      </c>
      <c r="Z9">
        <v>24.391999999999999</v>
      </c>
    </row>
    <row r="10" spans="1:26" x14ac:dyDescent="0.45">
      <c r="A10" t="s">
        <v>1918</v>
      </c>
      <c r="B10" t="s">
        <v>2293</v>
      </c>
      <c r="C10" s="3" t="s">
        <v>1529</v>
      </c>
      <c r="D10">
        <v>24.827999999999999</v>
      </c>
      <c r="E10">
        <v>24.751999999999999</v>
      </c>
      <c r="F10">
        <v>23.661999999999999</v>
      </c>
      <c r="G10">
        <v>25.367000000000001</v>
      </c>
      <c r="H10">
        <v>24.640999999999998</v>
      </c>
      <c r="I10">
        <v>23.952999999999999</v>
      </c>
      <c r="J10">
        <v>24.401</v>
      </c>
      <c r="K10">
        <v>24.643000000000001</v>
      </c>
      <c r="L10">
        <v>24.762</v>
      </c>
      <c r="M10">
        <v>24.88</v>
      </c>
      <c r="N10">
        <v>24.881</v>
      </c>
      <c r="O10">
        <v>24.797999999999998</v>
      </c>
      <c r="P10">
        <v>24.402000000000001</v>
      </c>
      <c r="Q10">
        <v>25.155000000000001</v>
      </c>
      <c r="R10">
        <v>24.318000000000001</v>
      </c>
      <c r="S10">
        <v>24.818999999999999</v>
      </c>
      <c r="T10">
        <v>24.908000000000001</v>
      </c>
      <c r="U10">
        <v>25.454999999999998</v>
      </c>
      <c r="V10">
        <v>24.372</v>
      </c>
      <c r="W10">
        <v>24.501000000000001</v>
      </c>
      <c r="X10">
        <v>24.869</v>
      </c>
      <c r="Y10">
        <v>24.484999999999999</v>
      </c>
      <c r="Z10">
        <v>24.187999999999999</v>
      </c>
    </row>
    <row r="11" spans="1:26" x14ac:dyDescent="0.45">
      <c r="A11" t="s">
        <v>1919</v>
      </c>
      <c r="B11" t="s">
        <v>2294</v>
      </c>
      <c r="C11" s="3" t="s">
        <v>1530</v>
      </c>
      <c r="D11">
        <v>26.210999999999999</v>
      </c>
      <c r="E11">
        <v>26.638000000000002</v>
      </c>
      <c r="F11">
        <v>26.43</v>
      </c>
      <c r="G11">
        <v>28.256</v>
      </c>
      <c r="H11">
        <v>27.481999999999999</v>
      </c>
      <c r="I11">
        <v>26.181000000000001</v>
      </c>
      <c r="J11">
        <v>27.407</v>
      </c>
      <c r="K11">
        <v>27.542000000000002</v>
      </c>
      <c r="L11">
        <v>26.565999999999999</v>
      </c>
      <c r="M11">
        <v>27.411000000000001</v>
      </c>
      <c r="N11">
        <v>26.509</v>
      </c>
      <c r="O11">
        <v>27.905000000000001</v>
      </c>
      <c r="P11">
        <v>26.626999999999999</v>
      </c>
      <c r="Q11">
        <v>27.678000000000001</v>
      </c>
      <c r="R11">
        <v>27.364999999999998</v>
      </c>
      <c r="S11">
        <v>26.707999999999998</v>
      </c>
      <c r="T11">
        <v>27.273</v>
      </c>
      <c r="U11">
        <v>27.393999999999998</v>
      </c>
      <c r="V11">
        <v>27.259</v>
      </c>
      <c r="W11">
        <v>26.7</v>
      </c>
      <c r="X11">
        <v>28.164999999999999</v>
      </c>
      <c r="Y11">
        <v>27.164999999999999</v>
      </c>
      <c r="Z11">
        <v>26.594999999999999</v>
      </c>
    </row>
    <row r="12" spans="1:26" x14ac:dyDescent="0.45">
      <c r="A12" t="s">
        <v>1920</v>
      </c>
      <c r="B12" t="s">
        <v>2295</v>
      </c>
      <c r="C12" s="3" t="s">
        <v>1531</v>
      </c>
      <c r="D12">
        <v>27.867999999999999</v>
      </c>
      <c r="E12">
        <v>28.271000000000001</v>
      </c>
      <c r="F12">
        <v>27.59</v>
      </c>
      <c r="G12">
        <v>29.579000000000001</v>
      </c>
      <c r="H12">
        <v>29.012</v>
      </c>
      <c r="I12">
        <v>28.285</v>
      </c>
      <c r="J12">
        <v>28.44</v>
      </c>
      <c r="K12">
        <v>28.931000000000001</v>
      </c>
      <c r="L12">
        <v>27.86</v>
      </c>
      <c r="M12">
        <v>29.11</v>
      </c>
      <c r="N12">
        <v>29.193000000000001</v>
      </c>
      <c r="O12">
        <v>28.994</v>
      </c>
      <c r="P12">
        <v>28.369</v>
      </c>
      <c r="Q12">
        <v>29.434000000000001</v>
      </c>
      <c r="R12">
        <v>28.934000000000001</v>
      </c>
      <c r="S12">
        <v>28.826000000000001</v>
      </c>
      <c r="T12">
        <v>28.643000000000001</v>
      </c>
      <c r="U12">
        <v>28.26</v>
      </c>
      <c r="V12">
        <v>28.283999999999999</v>
      </c>
      <c r="W12">
        <v>28.422999999999998</v>
      </c>
      <c r="X12">
        <v>30.390999999999998</v>
      </c>
      <c r="Y12">
        <v>28.86</v>
      </c>
      <c r="Z12">
        <v>28.015999999999998</v>
      </c>
    </row>
    <row r="13" spans="1:26" x14ac:dyDescent="0.45">
      <c r="A13" t="s">
        <v>1921</v>
      </c>
      <c r="B13" t="s">
        <v>2296</v>
      </c>
      <c r="C13" s="3" t="s">
        <v>1532</v>
      </c>
      <c r="D13">
        <v>31.495999999999999</v>
      </c>
      <c r="E13">
        <v>30.765999999999998</v>
      </c>
      <c r="F13">
        <v>31.088000000000001</v>
      </c>
      <c r="G13">
        <v>31.948</v>
      </c>
      <c r="H13">
        <v>30.184000000000001</v>
      </c>
      <c r="I13">
        <v>30.452999999999999</v>
      </c>
      <c r="J13">
        <v>30.858000000000001</v>
      </c>
      <c r="K13">
        <v>30.137</v>
      </c>
      <c r="L13">
        <v>30.654</v>
      </c>
      <c r="M13">
        <v>31.684999999999999</v>
      </c>
      <c r="N13">
        <v>30.617999999999999</v>
      </c>
      <c r="O13">
        <v>32.728999999999999</v>
      </c>
      <c r="P13">
        <v>31.271000000000001</v>
      </c>
      <c r="Q13">
        <v>31.03</v>
      </c>
      <c r="R13">
        <v>31.347000000000001</v>
      </c>
      <c r="S13">
        <v>31.227</v>
      </c>
      <c r="T13">
        <v>30.92</v>
      </c>
      <c r="U13">
        <v>32.162999999999997</v>
      </c>
      <c r="V13">
        <v>30.673999999999999</v>
      </c>
      <c r="W13">
        <v>29.567</v>
      </c>
      <c r="X13">
        <v>30.579000000000001</v>
      </c>
      <c r="Y13">
        <v>30.882999999999999</v>
      </c>
      <c r="Z13">
        <v>31.733000000000001</v>
      </c>
    </row>
    <row r="14" spans="1:26" x14ac:dyDescent="0.45">
      <c r="A14" t="s">
        <v>1922</v>
      </c>
      <c r="B14" t="s">
        <v>2297</v>
      </c>
      <c r="C14" s="3" t="s">
        <v>1533</v>
      </c>
      <c r="D14">
        <v>22.875</v>
      </c>
      <c r="E14">
        <v>21.986000000000001</v>
      </c>
      <c r="F14">
        <v>21.170999999999999</v>
      </c>
      <c r="G14">
        <v>23.367999999999999</v>
      </c>
      <c r="H14">
        <v>22.111000000000001</v>
      </c>
      <c r="I14">
        <v>21.824999999999999</v>
      </c>
      <c r="J14">
        <v>22.396000000000001</v>
      </c>
      <c r="K14">
        <v>23.103999999999999</v>
      </c>
      <c r="L14">
        <v>23.189</v>
      </c>
      <c r="M14">
        <v>23.146000000000001</v>
      </c>
      <c r="N14">
        <v>22.187999999999999</v>
      </c>
      <c r="O14">
        <v>23.936</v>
      </c>
      <c r="P14">
        <v>22.332999999999998</v>
      </c>
      <c r="Q14">
        <v>22.745000000000001</v>
      </c>
      <c r="R14">
        <v>23.3</v>
      </c>
      <c r="S14">
        <v>23.82</v>
      </c>
      <c r="T14">
        <v>23.352</v>
      </c>
      <c r="U14">
        <v>23.216000000000001</v>
      </c>
      <c r="V14">
        <v>22.013999999999999</v>
      </c>
      <c r="W14">
        <v>22.757000000000001</v>
      </c>
      <c r="X14">
        <v>23.616</v>
      </c>
      <c r="Y14">
        <v>22.417000000000002</v>
      </c>
      <c r="Z14">
        <v>22.347000000000001</v>
      </c>
    </row>
    <row r="15" spans="1:26" x14ac:dyDescent="0.45">
      <c r="A15" t="s">
        <v>1923</v>
      </c>
      <c r="B15" t="s">
        <v>2298</v>
      </c>
      <c r="C15" s="3" t="s">
        <v>1534</v>
      </c>
      <c r="D15">
        <v>27.635999999999999</v>
      </c>
      <c r="E15">
        <v>26.87</v>
      </c>
      <c r="F15">
        <v>26.724</v>
      </c>
      <c r="G15">
        <v>28.31</v>
      </c>
      <c r="H15">
        <v>27.37</v>
      </c>
      <c r="I15">
        <v>28.286999999999999</v>
      </c>
      <c r="J15">
        <v>26.501999999999999</v>
      </c>
      <c r="K15">
        <v>27.308</v>
      </c>
      <c r="L15">
        <v>25.945</v>
      </c>
      <c r="M15">
        <v>26.774999999999999</v>
      </c>
      <c r="N15">
        <v>26.526</v>
      </c>
      <c r="O15">
        <v>27.591000000000001</v>
      </c>
      <c r="P15">
        <v>26.44</v>
      </c>
      <c r="Q15">
        <v>27.977</v>
      </c>
      <c r="R15">
        <v>26.719000000000001</v>
      </c>
      <c r="S15">
        <v>27.199000000000002</v>
      </c>
      <c r="T15">
        <v>29.097999999999999</v>
      </c>
      <c r="U15">
        <v>26.972000000000001</v>
      </c>
      <c r="V15">
        <v>26.207000000000001</v>
      </c>
      <c r="W15">
        <v>26.451000000000001</v>
      </c>
      <c r="X15">
        <v>26.881</v>
      </c>
      <c r="Y15">
        <v>26.545999999999999</v>
      </c>
      <c r="Z15">
        <v>26.434000000000001</v>
      </c>
    </row>
    <row r="16" spans="1:26" x14ac:dyDescent="0.45">
      <c r="A16" t="s">
        <v>1924</v>
      </c>
      <c r="B16" t="s">
        <v>2299</v>
      </c>
      <c r="C16" s="3" t="s">
        <v>1535</v>
      </c>
      <c r="D16">
        <v>27.462</v>
      </c>
      <c r="E16">
        <v>27.395</v>
      </c>
      <c r="F16">
        <v>27.4</v>
      </c>
      <c r="G16">
        <v>29.234999999999999</v>
      </c>
      <c r="H16">
        <v>28.77</v>
      </c>
      <c r="I16">
        <v>29.161999999999999</v>
      </c>
      <c r="J16">
        <v>26.986999999999998</v>
      </c>
      <c r="K16">
        <v>28.474</v>
      </c>
      <c r="L16">
        <v>27.18</v>
      </c>
      <c r="M16">
        <v>27.812999999999999</v>
      </c>
      <c r="N16">
        <v>27.93</v>
      </c>
      <c r="O16">
        <v>28.001000000000001</v>
      </c>
      <c r="P16">
        <v>27.128</v>
      </c>
      <c r="Q16">
        <v>29.379000000000001</v>
      </c>
      <c r="R16">
        <v>27.895</v>
      </c>
      <c r="S16">
        <v>27.991</v>
      </c>
      <c r="T16">
        <v>30.282</v>
      </c>
      <c r="U16">
        <v>27.748000000000001</v>
      </c>
      <c r="V16">
        <v>27.306000000000001</v>
      </c>
      <c r="W16">
        <v>27.702000000000002</v>
      </c>
      <c r="X16">
        <v>27.533999999999999</v>
      </c>
      <c r="Y16">
        <v>27.978999999999999</v>
      </c>
      <c r="Z16">
        <v>27.105</v>
      </c>
    </row>
    <row r="17" spans="1:26" x14ac:dyDescent="0.45">
      <c r="A17" t="s">
        <v>1925</v>
      </c>
      <c r="B17" t="s">
        <v>2300</v>
      </c>
      <c r="C17" s="3" t="s">
        <v>1536</v>
      </c>
      <c r="D17">
        <v>26.780999999999999</v>
      </c>
      <c r="E17">
        <v>29.867999999999999</v>
      </c>
      <c r="F17">
        <v>25.972000000000001</v>
      </c>
      <c r="G17">
        <v>27.817</v>
      </c>
      <c r="H17">
        <v>26.785</v>
      </c>
      <c r="I17">
        <v>31.675000000000001</v>
      </c>
      <c r="J17">
        <v>26.466999999999999</v>
      </c>
      <c r="K17">
        <v>29.742999999999999</v>
      </c>
      <c r="L17">
        <v>27.375</v>
      </c>
      <c r="M17">
        <v>26.896000000000001</v>
      </c>
      <c r="N17">
        <v>26.3</v>
      </c>
      <c r="O17">
        <v>28.292999999999999</v>
      </c>
      <c r="P17">
        <v>26.701000000000001</v>
      </c>
      <c r="Q17">
        <v>26.876999999999999</v>
      </c>
      <c r="R17">
        <v>27.681999999999999</v>
      </c>
      <c r="S17">
        <v>28.52</v>
      </c>
      <c r="T17">
        <v>27.004000000000001</v>
      </c>
      <c r="U17">
        <v>26.673999999999999</v>
      </c>
      <c r="V17">
        <v>26.98</v>
      </c>
      <c r="W17">
        <v>28.263999999999999</v>
      </c>
      <c r="X17">
        <v>27.581</v>
      </c>
      <c r="Y17">
        <v>27.463999999999999</v>
      </c>
      <c r="Z17">
        <v>27.7</v>
      </c>
    </row>
    <row r="18" spans="1:26" x14ac:dyDescent="0.45">
      <c r="A18" t="s">
        <v>1926</v>
      </c>
      <c r="B18" t="s">
        <v>2301</v>
      </c>
      <c r="C18" s="3" t="s">
        <v>1537</v>
      </c>
      <c r="D18">
        <v>26.613</v>
      </c>
      <c r="E18">
        <v>28.856000000000002</v>
      </c>
      <c r="F18">
        <v>26.376000000000001</v>
      </c>
      <c r="G18">
        <v>28.187000000000001</v>
      </c>
      <c r="H18">
        <v>26.495000000000001</v>
      </c>
      <c r="I18">
        <v>31.064</v>
      </c>
      <c r="J18">
        <v>26.594999999999999</v>
      </c>
      <c r="K18">
        <v>29.132000000000001</v>
      </c>
      <c r="L18">
        <v>27.225999999999999</v>
      </c>
      <c r="M18">
        <v>27.245999999999999</v>
      </c>
      <c r="N18">
        <v>26.582000000000001</v>
      </c>
      <c r="O18">
        <v>28.073</v>
      </c>
      <c r="P18">
        <v>26.811</v>
      </c>
      <c r="Q18">
        <v>26.841999999999999</v>
      </c>
      <c r="R18">
        <v>27.172999999999998</v>
      </c>
      <c r="S18">
        <v>27.779</v>
      </c>
      <c r="T18">
        <v>26.577999999999999</v>
      </c>
      <c r="U18">
        <v>26.422999999999998</v>
      </c>
      <c r="V18">
        <v>26.667000000000002</v>
      </c>
      <c r="W18">
        <v>27.771999999999998</v>
      </c>
      <c r="X18">
        <v>26.983000000000001</v>
      </c>
      <c r="Y18">
        <v>27.417999999999999</v>
      </c>
      <c r="Z18">
        <v>27.196999999999999</v>
      </c>
    </row>
    <row r="19" spans="1:26" x14ac:dyDescent="0.45">
      <c r="A19" t="s">
        <v>1927</v>
      </c>
      <c r="B19" t="s">
        <v>2302</v>
      </c>
      <c r="C19" s="3" t="s">
        <v>1538</v>
      </c>
      <c r="D19">
        <v>23.417999999999999</v>
      </c>
      <c r="E19">
        <v>25.734000000000002</v>
      </c>
      <c r="F19">
        <v>24.274000000000001</v>
      </c>
      <c r="G19">
        <v>24.263000000000002</v>
      </c>
      <c r="H19">
        <v>23.838999999999999</v>
      </c>
      <c r="I19" t="s">
        <v>1906</v>
      </c>
      <c r="J19">
        <v>23.655000000000001</v>
      </c>
      <c r="K19">
        <v>24.675000000000001</v>
      </c>
      <c r="L19">
        <v>26.198</v>
      </c>
      <c r="M19">
        <v>27.577000000000002</v>
      </c>
      <c r="N19">
        <v>24.344000000000001</v>
      </c>
      <c r="O19">
        <v>24.853000000000002</v>
      </c>
      <c r="P19">
        <v>24.277000000000001</v>
      </c>
      <c r="Q19">
        <v>23.565999999999999</v>
      </c>
      <c r="R19">
        <v>23.905000000000001</v>
      </c>
      <c r="S19">
        <v>24.704000000000001</v>
      </c>
      <c r="T19">
        <v>23.666</v>
      </c>
      <c r="U19">
        <v>23.812999999999999</v>
      </c>
      <c r="V19">
        <v>23.391999999999999</v>
      </c>
      <c r="W19">
        <v>24.265999999999998</v>
      </c>
      <c r="X19">
        <v>24.303999999999998</v>
      </c>
      <c r="Y19">
        <v>24.815999999999999</v>
      </c>
      <c r="Z19">
        <v>23.576000000000001</v>
      </c>
    </row>
    <row r="20" spans="1:26" x14ac:dyDescent="0.45">
      <c r="A20" t="s">
        <v>1928</v>
      </c>
      <c r="B20" t="s">
        <v>2303</v>
      </c>
      <c r="C20" s="3" t="s">
        <v>1539</v>
      </c>
      <c r="D20">
        <v>31.414000000000001</v>
      </c>
      <c r="E20">
        <v>33.244</v>
      </c>
      <c r="F20">
        <v>31.114999999999998</v>
      </c>
      <c r="G20">
        <v>32.235999999999997</v>
      </c>
      <c r="H20">
        <v>32.152000000000001</v>
      </c>
      <c r="I20" t="s">
        <v>1906</v>
      </c>
      <c r="J20">
        <v>31.626000000000001</v>
      </c>
      <c r="K20">
        <v>33.530999999999999</v>
      </c>
      <c r="L20" t="s">
        <v>1906</v>
      </c>
      <c r="M20">
        <v>38.241</v>
      </c>
      <c r="N20">
        <v>32.290999999999997</v>
      </c>
      <c r="O20">
        <v>38.527000000000001</v>
      </c>
      <c r="P20">
        <v>31.542999999999999</v>
      </c>
      <c r="Q20">
        <v>31.346</v>
      </c>
      <c r="R20">
        <v>32.789000000000001</v>
      </c>
      <c r="S20">
        <v>32.43</v>
      </c>
      <c r="T20">
        <v>31.763999999999999</v>
      </c>
      <c r="U20">
        <v>31.853999999999999</v>
      </c>
      <c r="V20">
        <v>30.782</v>
      </c>
      <c r="W20">
        <v>31.516999999999999</v>
      </c>
      <c r="X20">
        <v>32.451999999999998</v>
      </c>
      <c r="Y20">
        <v>31.917999999999999</v>
      </c>
      <c r="Z20">
        <v>31.515999999999998</v>
      </c>
    </row>
    <row r="21" spans="1:26" x14ac:dyDescent="0.45">
      <c r="A21" t="s">
        <v>1929</v>
      </c>
      <c r="B21" t="s">
        <v>2304</v>
      </c>
      <c r="C21" s="3" t="s">
        <v>1540</v>
      </c>
      <c r="D21">
        <v>25.780999999999999</v>
      </c>
      <c r="E21">
        <v>25.384</v>
      </c>
      <c r="F21">
        <v>24.925000000000001</v>
      </c>
      <c r="G21">
        <v>26.638999999999999</v>
      </c>
      <c r="H21">
        <v>25.652000000000001</v>
      </c>
      <c r="I21">
        <v>25.385999999999999</v>
      </c>
      <c r="J21">
        <v>25.262</v>
      </c>
      <c r="K21">
        <v>27.951000000000001</v>
      </c>
      <c r="L21">
        <v>25.436</v>
      </c>
      <c r="M21">
        <v>25.751999999999999</v>
      </c>
      <c r="N21">
        <v>25.265999999999998</v>
      </c>
      <c r="O21">
        <v>26.283000000000001</v>
      </c>
      <c r="P21">
        <v>25.895</v>
      </c>
      <c r="Q21">
        <v>25.742999999999999</v>
      </c>
      <c r="R21">
        <v>26.58</v>
      </c>
      <c r="S21">
        <v>26.195</v>
      </c>
      <c r="T21">
        <v>25.936</v>
      </c>
      <c r="U21">
        <v>25.454999999999998</v>
      </c>
      <c r="V21">
        <v>25.26</v>
      </c>
      <c r="W21">
        <v>25.933</v>
      </c>
      <c r="X21">
        <v>26.119</v>
      </c>
      <c r="Y21">
        <v>25.167999999999999</v>
      </c>
      <c r="Z21">
        <v>25.478000000000002</v>
      </c>
    </row>
    <row r="22" spans="1:26" x14ac:dyDescent="0.45">
      <c r="A22" t="s">
        <v>1930</v>
      </c>
      <c r="B22" t="s">
        <v>2305</v>
      </c>
      <c r="C22" s="3" t="s">
        <v>1541</v>
      </c>
      <c r="D22">
        <v>21.838000000000001</v>
      </c>
      <c r="E22">
        <v>21.875</v>
      </c>
      <c r="F22">
        <v>21.812000000000001</v>
      </c>
      <c r="G22">
        <v>22.939</v>
      </c>
      <c r="H22">
        <v>22.3</v>
      </c>
      <c r="I22">
        <v>22.359000000000002</v>
      </c>
      <c r="J22">
        <v>21.597999999999999</v>
      </c>
      <c r="K22">
        <v>24.443000000000001</v>
      </c>
      <c r="L22">
        <v>22.437000000000001</v>
      </c>
      <c r="M22">
        <v>22.591000000000001</v>
      </c>
      <c r="N22">
        <v>22.346</v>
      </c>
      <c r="O22">
        <v>22.757999999999999</v>
      </c>
      <c r="P22">
        <v>22.574999999999999</v>
      </c>
      <c r="Q22">
        <v>22.588999999999999</v>
      </c>
      <c r="R22">
        <v>23.271000000000001</v>
      </c>
      <c r="S22">
        <v>22.303000000000001</v>
      </c>
      <c r="T22">
        <v>22.382000000000001</v>
      </c>
      <c r="U22">
        <v>21.925999999999998</v>
      </c>
      <c r="V22">
        <v>21.876000000000001</v>
      </c>
      <c r="W22">
        <v>22.792000000000002</v>
      </c>
      <c r="X22">
        <v>22.349</v>
      </c>
      <c r="Y22">
        <v>22.100999999999999</v>
      </c>
      <c r="Z22">
        <v>21.937000000000001</v>
      </c>
    </row>
    <row r="23" spans="1:26" x14ac:dyDescent="0.45">
      <c r="A23" t="s">
        <v>1931</v>
      </c>
      <c r="B23" t="s">
        <v>2306</v>
      </c>
      <c r="C23" s="3" t="s">
        <v>1542</v>
      </c>
      <c r="D23">
        <v>25.965</v>
      </c>
      <c r="E23">
        <v>26.193999999999999</v>
      </c>
      <c r="F23">
        <v>25.196999999999999</v>
      </c>
      <c r="G23">
        <v>26.777000000000001</v>
      </c>
      <c r="H23">
        <v>25.954000000000001</v>
      </c>
      <c r="I23">
        <v>25.753</v>
      </c>
      <c r="J23">
        <v>25.863</v>
      </c>
      <c r="K23">
        <v>26.928000000000001</v>
      </c>
      <c r="L23">
        <v>25.800999999999998</v>
      </c>
      <c r="M23">
        <v>26.02</v>
      </c>
      <c r="N23">
        <v>25.931000000000001</v>
      </c>
      <c r="O23">
        <v>27.006</v>
      </c>
      <c r="P23">
        <v>26.073</v>
      </c>
      <c r="Q23">
        <v>25.678000000000001</v>
      </c>
      <c r="R23">
        <v>26.344999999999999</v>
      </c>
      <c r="S23">
        <v>27.298999999999999</v>
      </c>
      <c r="T23">
        <v>25.905000000000001</v>
      </c>
      <c r="U23">
        <v>25.675999999999998</v>
      </c>
      <c r="V23">
        <v>25.609000000000002</v>
      </c>
      <c r="W23">
        <v>26.832999999999998</v>
      </c>
      <c r="X23">
        <v>26.446999999999999</v>
      </c>
      <c r="Y23">
        <v>25.76</v>
      </c>
      <c r="Z23">
        <v>25.914999999999999</v>
      </c>
    </row>
    <row r="24" spans="1:26" x14ac:dyDescent="0.45">
      <c r="A24" t="s">
        <v>1932</v>
      </c>
      <c r="B24" t="s">
        <v>2307</v>
      </c>
      <c r="C24" s="3" t="s">
        <v>1543</v>
      </c>
      <c r="D24">
        <v>27.866</v>
      </c>
      <c r="E24">
        <v>28.233000000000001</v>
      </c>
      <c r="F24">
        <v>27.181000000000001</v>
      </c>
      <c r="G24">
        <v>28.484999999999999</v>
      </c>
      <c r="H24">
        <v>28.431000000000001</v>
      </c>
      <c r="I24">
        <v>27.44</v>
      </c>
      <c r="J24">
        <v>28.236999999999998</v>
      </c>
      <c r="K24">
        <v>29.928999999999998</v>
      </c>
      <c r="L24">
        <v>28.186</v>
      </c>
      <c r="M24">
        <v>28.359000000000002</v>
      </c>
      <c r="N24">
        <v>29.271000000000001</v>
      </c>
      <c r="O24">
        <v>28.436</v>
      </c>
      <c r="P24">
        <v>27.326000000000001</v>
      </c>
      <c r="Q24">
        <v>30.751999999999999</v>
      </c>
      <c r="R24">
        <v>28.981999999999999</v>
      </c>
      <c r="S24">
        <v>29.585000000000001</v>
      </c>
      <c r="T24">
        <v>29.073</v>
      </c>
      <c r="U24">
        <v>28.753</v>
      </c>
      <c r="V24">
        <v>29.462</v>
      </c>
      <c r="W24">
        <v>29.260999999999999</v>
      </c>
      <c r="X24">
        <v>29.492999999999999</v>
      </c>
      <c r="Y24">
        <v>27.503</v>
      </c>
      <c r="Z24">
        <v>27.614999999999998</v>
      </c>
    </row>
    <row r="25" spans="1:26" x14ac:dyDescent="0.45">
      <c r="A25" t="s">
        <v>1933</v>
      </c>
      <c r="B25" t="s">
        <v>2308</v>
      </c>
      <c r="C25" s="3" t="s">
        <v>1544</v>
      </c>
      <c r="D25">
        <v>28.239000000000001</v>
      </c>
      <c r="E25">
        <v>29.484000000000002</v>
      </c>
      <c r="F25">
        <v>26.629000000000001</v>
      </c>
      <c r="G25">
        <v>28.614999999999998</v>
      </c>
      <c r="H25">
        <v>27.524000000000001</v>
      </c>
      <c r="I25">
        <v>26.786999999999999</v>
      </c>
      <c r="J25">
        <v>27.212</v>
      </c>
      <c r="K25">
        <v>27.702999999999999</v>
      </c>
      <c r="L25">
        <v>27.545000000000002</v>
      </c>
      <c r="M25">
        <v>27.457000000000001</v>
      </c>
      <c r="N25">
        <v>27.504999999999999</v>
      </c>
      <c r="O25">
        <v>28.521999999999998</v>
      </c>
      <c r="P25">
        <v>27.738</v>
      </c>
      <c r="Q25">
        <v>27.376000000000001</v>
      </c>
      <c r="R25">
        <v>27.532</v>
      </c>
      <c r="S25">
        <v>28.102</v>
      </c>
      <c r="T25">
        <v>27.582000000000001</v>
      </c>
      <c r="U25">
        <v>27.221</v>
      </c>
      <c r="V25">
        <v>27.196000000000002</v>
      </c>
      <c r="W25">
        <v>28.221</v>
      </c>
      <c r="X25">
        <v>28.684999999999999</v>
      </c>
      <c r="Y25">
        <v>27.495999999999999</v>
      </c>
      <c r="Z25">
        <v>27.308</v>
      </c>
    </row>
    <row r="26" spans="1:26" x14ac:dyDescent="0.45">
      <c r="A26" t="s">
        <v>1934</v>
      </c>
      <c r="B26" t="s">
        <v>2309</v>
      </c>
      <c r="C26" s="3" t="s">
        <v>1545</v>
      </c>
      <c r="D26">
        <v>26.355</v>
      </c>
      <c r="E26">
        <v>27.61</v>
      </c>
      <c r="F26">
        <v>25.466000000000001</v>
      </c>
      <c r="G26">
        <v>26.677</v>
      </c>
      <c r="H26">
        <v>25.725000000000001</v>
      </c>
      <c r="I26">
        <v>25.518000000000001</v>
      </c>
      <c r="J26">
        <v>25.744</v>
      </c>
      <c r="K26">
        <v>26.744</v>
      </c>
      <c r="L26">
        <v>26.602</v>
      </c>
      <c r="M26">
        <v>26.152999999999999</v>
      </c>
      <c r="N26">
        <v>25.776</v>
      </c>
      <c r="O26">
        <v>26.757999999999999</v>
      </c>
      <c r="P26">
        <v>26.443999999999999</v>
      </c>
      <c r="Q26">
        <v>26.158999999999999</v>
      </c>
      <c r="R26">
        <v>26.241</v>
      </c>
      <c r="S26">
        <v>26.736000000000001</v>
      </c>
      <c r="T26">
        <v>26.108000000000001</v>
      </c>
      <c r="U26">
        <v>26.186</v>
      </c>
      <c r="V26">
        <v>25.875</v>
      </c>
      <c r="W26">
        <v>26.718</v>
      </c>
      <c r="X26">
        <v>27.411000000000001</v>
      </c>
      <c r="Y26">
        <v>26.381</v>
      </c>
      <c r="Z26">
        <v>26.13</v>
      </c>
    </row>
    <row r="27" spans="1:26" x14ac:dyDescent="0.45">
      <c r="A27" t="s">
        <v>1935</v>
      </c>
      <c r="B27" t="s">
        <v>2310</v>
      </c>
      <c r="C27" s="3" t="s">
        <v>1546</v>
      </c>
      <c r="D27">
        <v>25.241</v>
      </c>
      <c r="E27">
        <v>25.2</v>
      </c>
      <c r="F27">
        <v>24.69</v>
      </c>
      <c r="G27">
        <v>26.164000000000001</v>
      </c>
      <c r="H27">
        <v>25.343</v>
      </c>
      <c r="I27">
        <v>24.818000000000001</v>
      </c>
      <c r="J27">
        <v>25.344999999999999</v>
      </c>
      <c r="K27">
        <v>25.574000000000002</v>
      </c>
      <c r="L27">
        <v>25.446999999999999</v>
      </c>
      <c r="M27">
        <v>25.693000000000001</v>
      </c>
      <c r="N27">
        <v>25.673999999999999</v>
      </c>
      <c r="O27">
        <v>25.690999999999999</v>
      </c>
      <c r="P27">
        <v>25.66</v>
      </c>
      <c r="Q27">
        <v>25.547999999999998</v>
      </c>
      <c r="R27">
        <v>25.811</v>
      </c>
      <c r="S27">
        <v>25.338000000000001</v>
      </c>
      <c r="T27">
        <v>25.774999999999999</v>
      </c>
      <c r="U27">
        <v>25.31</v>
      </c>
      <c r="V27">
        <v>25.257000000000001</v>
      </c>
      <c r="W27">
        <v>25.608000000000001</v>
      </c>
      <c r="X27">
        <v>26.013999999999999</v>
      </c>
      <c r="Y27">
        <v>25.125</v>
      </c>
      <c r="Z27">
        <v>25.666</v>
      </c>
    </row>
    <row r="28" spans="1:26" x14ac:dyDescent="0.45">
      <c r="A28" t="s">
        <v>1936</v>
      </c>
      <c r="B28" t="s">
        <v>2311</v>
      </c>
      <c r="C28" s="3" t="s">
        <v>1547</v>
      </c>
      <c r="D28">
        <v>24.323</v>
      </c>
      <c r="E28">
        <v>24.131</v>
      </c>
      <c r="F28">
        <v>23.742999999999999</v>
      </c>
      <c r="G28">
        <v>25.401</v>
      </c>
      <c r="H28">
        <v>24.507000000000001</v>
      </c>
      <c r="I28">
        <v>23.913</v>
      </c>
      <c r="J28">
        <v>24.376000000000001</v>
      </c>
      <c r="K28">
        <v>24.655000000000001</v>
      </c>
      <c r="L28">
        <v>24.564</v>
      </c>
      <c r="M28">
        <v>24.684999999999999</v>
      </c>
      <c r="N28">
        <v>24.87</v>
      </c>
      <c r="O28">
        <v>25.012</v>
      </c>
      <c r="P28">
        <v>24.591000000000001</v>
      </c>
      <c r="Q28">
        <v>24.576000000000001</v>
      </c>
      <c r="R28">
        <v>24.640999999999998</v>
      </c>
      <c r="S28">
        <v>25.193000000000001</v>
      </c>
      <c r="T28">
        <v>24.460999999999999</v>
      </c>
      <c r="U28">
        <v>24.431999999999999</v>
      </c>
      <c r="V28">
        <v>24.466999999999999</v>
      </c>
      <c r="W28">
        <v>24.616</v>
      </c>
      <c r="X28">
        <v>24.744</v>
      </c>
      <c r="Y28">
        <v>24.259</v>
      </c>
      <c r="Z28">
        <v>24.427</v>
      </c>
    </row>
    <row r="29" spans="1:26" x14ac:dyDescent="0.45">
      <c r="A29" t="s">
        <v>1937</v>
      </c>
      <c r="B29" t="s">
        <v>2312</v>
      </c>
      <c r="C29" s="3" t="s">
        <v>1548</v>
      </c>
      <c r="D29">
        <v>26.221</v>
      </c>
      <c r="E29">
        <v>26.46</v>
      </c>
      <c r="F29">
        <v>26.687999999999999</v>
      </c>
      <c r="G29">
        <v>27.88</v>
      </c>
      <c r="H29">
        <v>26.983000000000001</v>
      </c>
      <c r="I29">
        <v>26.423999999999999</v>
      </c>
      <c r="J29">
        <v>26.95</v>
      </c>
      <c r="K29">
        <v>26.827000000000002</v>
      </c>
      <c r="L29">
        <v>26.779</v>
      </c>
      <c r="M29">
        <v>26.77</v>
      </c>
      <c r="N29">
        <v>27.16</v>
      </c>
      <c r="O29">
        <v>27.292999999999999</v>
      </c>
      <c r="P29">
        <v>27.277999999999999</v>
      </c>
      <c r="Q29">
        <v>27.018000000000001</v>
      </c>
      <c r="R29">
        <v>26.745000000000001</v>
      </c>
      <c r="S29">
        <v>26.146999999999998</v>
      </c>
      <c r="T29">
        <v>26.989000000000001</v>
      </c>
      <c r="U29">
        <v>26.794</v>
      </c>
      <c r="V29">
        <v>26.831</v>
      </c>
      <c r="W29">
        <v>27.553999999999998</v>
      </c>
      <c r="X29">
        <v>26.861000000000001</v>
      </c>
      <c r="Y29">
        <v>26.812000000000001</v>
      </c>
      <c r="Z29">
        <v>26.123000000000001</v>
      </c>
    </row>
    <row r="30" spans="1:26" x14ac:dyDescent="0.45">
      <c r="A30" t="s">
        <v>1938</v>
      </c>
      <c r="B30" t="s">
        <v>2313</v>
      </c>
      <c r="C30" s="3" t="s">
        <v>1549</v>
      </c>
      <c r="D30">
        <v>26.722999999999999</v>
      </c>
      <c r="E30">
        <v>26.518999999999998</v>
      </c>
      <c r="F30">
        <v>26.155999999999999</v>
      </c>
      <c r="G30">
        <v>27.411999999999999</v>
      </c>
      <c r="H30">
        <v>26.771999999999998</v>
      </c>
      <c r="I30">
        <v>25.651</v>
      </c>
      <c r="J30">
        <v>26.375</v>
      </c>
      <c r="K30">
        <v>26.702999999999999</v>
      </c>
      <c r="L30">
        <v>26.594000000000001</v>
      </c>
      <c r="M30">
        <v>26.599</v>
      </c>
      <c r="N30">
        <v>26.443000000000001</v>
      </c>
      <c r="O30">
        <v>26.995000000000001</v>
      </c>
      <c r="P30">
        <v>26.667999999999999</v>
      </c>
      <c r="Q30">
        <v>26.524999999999999</v>
      </c>
      <c r="R30">
        <v>26.861999999999998</v>
      </c>
      <c r="S30">
        <v>27.72</v>
      </c>
      <c r="T30">
        <v>26.748999999999999</v>
      </c>
      <c r="U30">
        <v>26.718</v>
      </c>
      <c r="V30">
        <v>26.375</v>
      </c>
      <c r="W30">
        <v>26.542000000000002</v>
      </c>
      <c r="X30">
        <v>26.895</v>
      </c>
      <c r="Y30">
        <v>26.63</v>
      </c>
      <c r="Z30">
        <v>26.652999999999999</v>
      </c>
    </row>
    <row r="31" spans="1:26" x14ac:dyDescent="0.45">
      <c r="A31" t="s">
        <v>1939</v>
      </c>
      <c r="B31" t="s">
        <v>2314</v>
      </c>
      <c r="C31" s="3" t="s">
        <v>1550</v>
      </c>
      <c r="D31">
        <v>21.129000000000001</v>
      </c>
      <c r="E31">
        <v>21.216999999999999</v>
      </c>
      <c r="F31">
        <v>20.376999999999999</v>
      </c>
      <c r="G31">
        <v>21.908000000000001</v>
      </c>
      <c r="H31">
        <v>20.69</v>
      </c>
      <c r="I31">
        <v>20.355</v>
      </c>
      <c r="J31">
        <v>21.167000000000002</v>
      </c>
      <c r="K31">
        <v>21.687000000000001</v>
      </c>
      <c r="L31">
        <v>21.411000000000001</v>
      </c>
      <c r="M31">
        <v>20.888000000000002</v>
      </c>
      <c r="N31">
        <v>21.238</v>
      </c>
      <c r="O31">
        <v>21.640999999999998</v>
      </c>
      <c r="P31">
        <v>21.007999999999999</v>
      </c>
      <c r="Q31">
        <v>21.169</v>
      </c>
      <c r="R31">
        <v>21.341999999999999</v>
      </c>
      <c r="S31">
        <v>21.523</v>
      </c>
      <c r="T31">
        <v>20.736000000000001</v>
      </c>
      <c r="U31">
        <v>20.622</v>
      </c>
      <c r="V31">
        <v>20.558</v>
      </c>
      <c r="W31">
        <v>21.093</v>
      </c>
      <c r="X31">
        <v>21.937999999999999</v>
      </c>
      <c r="Y31">
        <v>20.946000000000002</v>
      </c>
      <c r="Z31">
        <v>21.146000000000001</v>
      </c>
    </row>
    <row r="32" spans="1:26" x14ac:dyDescent="0.45">
      <c r="A32" t="s">
        <v>1940</v>
      </c>
      <c r="B32" t="s">
        <v>2315</v>
      </c>
      <c r="C32" s="3" t="s">
        <v>1551</v>
      </c>
      <c r="D32">
        <v>25.713999999999999</v>
      </c>
      <c r="E32">
        <v>25.766999999999999</v>
      </c>
      <c r="F32">
        <v>24.878</v>
      </c>
      <c r="G32">
        <v>26.777000000000001</v>
      </c>
      <c r="H32">
        <v>25.35</v>
      </c>
      <c r="I32">
        <v>24.991</v>
      </c>
      <c r="J32">
        <v>25.57</v>
      </c>
      <c r="K32">
        <v>26.878</v>
      </c>
      <c r="L32">
        <v>26.263000000000002</v>
      </c>
      <c r="M32">
        <v>27.311</v>
      </c>
      <c r="N32">
        <v>25.635000000000002</v>
      </c>
      <c r="O32">
        <v>25.785</v>
      </c>
      <c r="P32">
        <v>25.721</v>
      </c>
      <c r="Q32">
        <v>25.92</v>
      </c>
      <c r="R32">
        <v>25.957000000000001</v>
      </c>
      <c r="S32">
        <v>26.225999999999999</v>
      </c>
      <c r="T32">
        <v>25.898</v>
      </c>
      <c r="U32">
        <v>25.541</v>
      </c>
      <c r="V32">
        <v>25.228999999999999</v>
      </c>
      <c r="W32">
        <v>25.867000000000001</v>
      </c>
      <c r="X32">
        <v>26.428000000000001</v>
      </c>
      <c r="Y32">
        <v>25.54</v>
      </c>
      <c r="Z32">
        <v>25.448</v>
      </c>
    </row>
    <row r="33" spans="1:26" x14ac:dyDescent="0.45">
      <c r="A33" t="s">
        <v>1941</v>
      </c>
      <c r="B33" t="s">
        <v>2316</v>
      </c>
      <c r="C33" s="3" t="s">
        <v>1552</v>
      </c>
      <c r="D33">
        <v>25.096</v>
      </c>
      <c r="E33">
        <v>25.111999999999998</v>
      </c>
      <c r="F33">
        <v>23.79</v>
      </c>
      <c r="G33">
        <v>25.218</v>
      </c>
      <c r="H33">
        <v>24.585999999999999</v>
      </c>
      <c r="I33">
        <v>24.218</v>
      </c>
      <c r="J33">
        <v>24.609000000000002</v>
      </c>
      <c r="K33">
        <v>24.707000000000001</v>
      </c>
      <c r="L33">
        <v>24.946999999999999</v>
      </c>
      <c r="M33">
        <v>25.186</v>
      </c>
      <c r="N33">
        <v>25.175000000000001</v>
      </c>
      <c r="O33">
        <v>24.893000000000001</v>
      </c>
      <c r="P33">
        <v>24.686</v>
      </c>
      <c r="Q33">
        <v>25.315000000000001</v>
      </c>
      <c r="R33">
        <v>24.78</v>
      </c>
      <c r="S33">
        <v>25.163</v>
      </c>
      <c r="T33">
        <v>25.411000000000001</v>
      </c>
      <c r="U33">
        <v>25.626000000000001</v>
      </c>
      <c r="V33">
        <v>24.396999999999998</v>
      </c>
      <c r="W33">
        <v>24.763999999999999</v>
      </c>
      <c r="X33">
        <v>25.513999999999999</v>
      </c>
      <c r="Y33">
        <v>24.72</v>
      </c>
      <c r="Z33">
        <v>24.681000000000001</v>
      </c>
    </row>
    <row r="34" spans="1:26" x14ac:dyDescent="0.45">
      <c r="A34" t="s">
        <v>1942</v>
      </c>
      <c r="B34" t="s">
        <v>2317</v>
      </c>
      <c r="C34" s="3" t="s">
        <v>1553</v>
      </c>
      <c r="D34">
        <v>27.361000000000001</v>
      </c>
      <c r="E34">
        <v>27.356999999999999</v>
      </c>
      <c r="F34">
        <v>26.623000000000001</v>
      </c>
      <c r="G34">
        <v>27.902000000000001</v>
      </c>
      <c r="H34">
        <v>26.957000000000001</v>
      </c>
      <c r="I34">
        <v>26.655999999999999</v>
      </c>
      <c r="J34">
        <v>27.012</v>
      </c>
      <c r="K34">
        <v>27.303999999999998</v>
      </c>
      <c r="L34">
        <v>26.812000000000001</v>
      </c>
      <c r="M34">
        <v>27.58</v>
      </c>
      <c r="N34">
        <v>27.521999999999998</v>
      </c>
      <c r="O34">
        <v>27.795000000000002</v>
      </c>
      <c r="P34">
        <v>26.931000000000001</v>
      </c>
      <c r="Q34">
        <v>27.518999999999998</v>
      </c>
      <c r="R34">
        <v>27.265000000000001</v>
      </c>
      <c r="S34">
        <v>27.428000000000001</v>
      </c>
      <c r="T34">
        <v>27.71</v>
      </c>
      <c r="U34">
        <v>27.722999999999999</v>
      </c>
      <c r="V34">
        <v>27.221</v>
      </c>
      <c r="W34">
        <v>27.134</v>
      </c>
      <c r="X34">
        <v>27.667999999999999</v>
      </c>
      <c r="Y34">
        <v>27.367000000000001</v>
      </c>
      <c r="Z34">
        <v>27.189</v>
      </c>
    </row>
    <row r="35" spans="1:26" x14ac:dyDescent="0.45">
      <c r="A35" t="s">
        <v>1943</v>
      </c>
      <c r="B35" t="s">
        <v>2318</v>
      </c>
      <c r="C35" s="3" t="s">
        <v>1554</v>
      </c>
      <c r="D35">
        <v>26.259</v>
      </c>
      <c r="E35">
        <v>26.782</v>
      </c>
      <c r="F35">
        <v>26.454999999999998</v>
      </c>
      <c r="G35">
        <v>26.823</v>
      </c>
      <c r="H35">
        <v>27.003</v>
      </c>
      <c r="I35">
        <v>25.844000000000001</v>
      </c>
      <c r="J35">
        <v>27.841999999999999</v>
      </c>
      <c r="K35">
        <v>26.925999999999998</v>
      </c>
      <c r="L35">
        <v>26.277000000000001</v>
      </c>
      <c r="M35">
        <v>27.015000000000001</v>
      </c>
      <c r="N35">
        <v>26.167000000000002</v>
      </c>
      <c r="O35">
        <v>26.97</v>
      </c>
      <c r="P35">
        <v>26.619</v>
      </c>
      <c r="Q35">
        <v>27.199000000000002</v>
      </c>
      <c r="R35">
        <v>27.172000000000001</v>
      </c>
      <c r="S35">
        <v>26.158000000000001</v>
      </c>
      <c r="T35">
        <v>26.4</v>
      </c>
      <c r="U35">
        <v>27.257999999999999</v>
      </c>
      <c r="V35">
        <v>26.376999999999999</v>
      </c>
      <c r="W35">
        <v>25.773</v>
      </c>
      <c r="X35">
        <v>27.614000000000001</v>
      </c>
      <c r="Y35">
        <v>26.739000000000001</v>
      </c>
      <c r="Z35">
        <v>26.4</v>
      </c>
    </row>
    <row r="36" spans="1:26" x14ac:dyDescent="0.45">
      <c r="A36" t="s">
        <v>1944</v>
      </c>
      <c r="B36" t="s">
        <v>2319</v>
      </c>
      <c r="C36" s="3" t="s">
        <v>1555</v>
      </c>
      <c r="D36">
        <v>23.812000000000001</v>
      </c>
      <c r="E36">
        <v>23.722000000000001</v>
      </c>
      <c r="F36">
        <v>23.196999999999999</v>
      </c>
      <c r="G36">
        <v>24.99</v>
      </c>
      <c r="H36">
        <v>24.416</v>
      </c>
      <c r="I36">
        <v>22.968</v>
      </c>
      <c r="J36">
        <v>24.196999999999999</v>
      </c>
      <c r="K36">
        <v>24.2</v>
      </c>
      <c r="L36">
        <v>23.571999999999999</v>
      </c>
      <c r="M36">
        <v>24.158000000000001</v>
      </c>
      <c r="N36">
        <v>23.734000000000002</v>
      </c>
      <c r="O36">
        <v>24.713999999999999</v>
      </c>
      <c r="P36">
        <v>23.655999999999999</v>
      </c>
      <c r="Q36">
        <v>24.582000000000001</v>
      </c>
      <c r="R36">
        <v>24.43</v>
      </c>
      <c r="S36">
        <v>24.18</v>
      </c>
      <c r="T36">
        <v>24.114999999999998</v>
      </c>
      <c r="U36">
        <v>24.231000000000002</v>
      </c>
      <c r="V36">
        <v>23.925000000000001</v>
      </c>
      <c r="W36">
        <v>23.832999999999998</v>
      </c>
      <c r="X36">
        <v>25.404</v>
      </c>
      <c r="Y36">
        <v>24.248000000000001</v>
      </c>
      <c r="Z36">
        <v>23.792999999999999</v>
      </c>
    </row>
    <row r="37" spans="1:26" x14ac:dyDescent="0.45">
      <c r="A37" t="s">
        <v>1945</v>
      </c>
      <c r="B37" t="s">
        <v>2320</v>
      </c>
      <c r="C37" s="3" t="s">
        <v>1556</v>
      </c>
      <c r="D37">
        <v>24.774000000000001</v>
      </c>
      <c r="E37">
        <v>24.408999999999999</v>
      </c>
      <c r="F37">
        <v>23.800999999999998</v>
      </c>
      <c r="G37">
        <v>25.164999999999999</v>
      </c>
      <c r="H37">
        <v>24.542999999999999</v>
      </c>
      <c r="I37">
        <v>24.335000000000001</v>
      </c>
      <c r="J37">
        <v>24.673999999999999</v>
      </c>
      <c r="K37">
        <v>24.838999999999999</v>
      </c>
      <c r="L37">
        <v>24.731000000000002</v>
      </c>
      <c r="M37">
        <v>25.44</v>
      </c>
      <c r="N37">
        <v>24.68</v>
      </c>
      <c r="O37">
        <v>25.469000000000001</v>
      </c>
      <c r="P37">
        <v>24.49</v>
      </c>
      <c r="Q37">
        <v>24.96</v>
      </c>
      <c r="R37">
        <v>25.183</v>
      </c>
      <c r="S37">
        <v>25.141999999999999</v>
      </c>
      <c r="T37">
        <v>25.207999999999998</v>
      </c>
      <c r="U37">
        <v>24.934999999999999</v>
      </c>
      <c r="V37">
        <v>24.619</v>
      </c>
      <c r="W37">
        <v>24.689</v>
      </c>
      <c r="X37">
        <v>25.433</v>
      </c>
      <c r="Y37">
        <v>24.709</v>
      </c>
      <c r="Z37">
        <v>24.965</v>
      </c>
    </row>
    <row r="38" spans="1:26" x14ac:dyDescent="0.45">
      <c r="A38" t="s">
        <v>1946</v>
      </c>
      <c r="B38" t="s">
        <v>2321</v>
      </c>
      <c r="C38" s="3" t="s">
        <v>1557</v>
      </c>
      <c r="D38">
        <v>28.702999999999999</v>
      </c>
      <c r="E38">
        <v>28.428999999999998</v>
      </c>
      <c r="F38">
        <v>27.619</v>
      </c>
      <c r="G38">
        <v>28.777999999999999</v>
      </c>
      <c r="H38">
        <v>27.986000000000001</v>
      </c>
      <c r="I38">
        <v>27.76</v>
      </c>
      <c r="J38">
        <v>28.675999999999998</v>
      </c>
      <c r="K38">
        <v>28.856999999999999</v>
      </c>
      <c r="L38">
        <v>28.939</v>
      </c>
      <c r="M38">
        <v>28.989000000000001</v>
      </c>
      <c r="N38">
        <v>28.963999999999999</v>
      </c>
      <c r="O38">
        <v>29.521000000000001</v>
      </c>
      <c r="P38">
        <v>28.231999999999999</v>
      </c>
      <c r="Q38">
        <v>29.151</v>
      </c>
      <c r="R38">
        <v>29.56</v>
      </c>
      <c r="S38">
        <v>28.581</v>
      </c>
      <c r="T38">
        <v>29.097999999999999</v>
      </c>
      <c r="U38">
        <v>29.437000000000001</v>
      </c>
      <c r="V38">
        <v>28.548999999999999</v>
      </c>
      <c r="W38">
        <v>28.561</v>
      </c>
      <c r="X38">
        <v>29.692</v>
      </c>
      <c r="Y38">
        <v>28.175999999999998</v>
      </c>
      <c r="Z38">
        <v>28.465</v>
      </c>
    </row>
    <row r="39" spans="1:26" x14ac:dyDescent="0.45">
      <c r="A39" t="s">
        <v>1947</v>
      </c>
      <c r="B39" t="s">
        <v>2322</v>
      </c>
      <c r="C39" s="3" t="s">
        <v>1558</v>
      </c>
      <c r="D39">
        <v>23.724</v>
      </c>
      <c r="E39">
        <v>22.867999999999999</v>
      </c>
      <c r="F39">
        <v>22.323</v>
      </c>
      <c r="G39">
        <v>24.268000000000001</v>
      </c>
      <c r="H39">
        <v>23.545999999999999</v>
      </c>
      <c r="I39">
        <v>23.888000000000002</v>
      </c>
      <c r="J39">
        <v>22.501999999999999</v>
      </c>
      <c r="K39">
        <v>23.419</v>
      </c>
      <c r="L39">
        <v>22.338000000000001</v>
      </c>
      <c r="M39">
        <v>22.704999999999998</v>
      </c>
      <c r="N39">
        <v>22.577999999999999</v>
      </c>
      <c r="O39">
        <v>23.437999999999999</v>
      </c>
      <c r="P39">
        <v>22.43</v>
      </c>
      <c r="Q39">
        <v>24.163</v>
      </c>
      <c r="R39">
        <v>22.888000000000002</v>
      </c>
      <c r="S39">
        <v>23.687999999999999</v>
      </c>
      <c r="T39">
        <v>25.268999999999998</v>
      </c>
      <c r="U39">
        <v>22.8</v>
      </c>
      <c r="V39">
        <v>22.37</v>
      </c>
      <c r="W39">
        <v>22.838000000000001</v>
      </c>
      <c r="X39">
        <v>23.44</v>
      </c>
      <c r="Y39">
        <v>22.879000000000001</v>
      </c>
      <c r="Z39">
        <v>22.870999999999999</v>
      </c>
    </row>
    <row r="40" spans="1:26" x14ac:dyDescent="0.45">
      <c r="A40" t="s">
        <v>1948</v>
      </c>
      <c r="B40" t="s">
        <v>2323</v>
      </c>
      <c r="C40" s="3" t="s">
        <v>1559</v>
      </c>
      <c r="D40">
        <v>30.841000000000001</v>
      </c>
      <c r="E40">
        <v>31.866</v>
      </c>
      <c r="F40">
        <v>30.227</v>
      </c>
      <c r="G40">
        <v>32.578000000000003</v>
      </c>
      <c r="H40">
        <v>31.849</v>
      </c>
      <c r="I40">
        <v>33.667999999999999</v>
      </c>
      <c r="J40">
        <v>30.63</v>
      </c>
      <c r="K40">
        <v>31.132000000000001</v>
      </c>
      <c r="L40">
        <v>29.515000000000001</v>
      </c>
      <c r="M40">
        <v>32.328000000000003</v>
      </c>
      <c r="N40">
        <v>30.861999999999998</v>
      </c>
      <c r="O40">
        <v>31.155999999999999</v>
      </c>
      <c r="P40">
        <v>29.741</v>
      </c>
      <c r="Q40">
        <v>32.514000000000003</v>
      </c>
      <c r="R40">
        <v>30.425000000000001</v>
      </c>
      <c r="S40">
        <v>30.693999999999999</v>
      </c>
      <c r="T40">
        <v>38.036999999999999</v>
      </c>
      <c r="U40">
        <v>30.998000000000001</v>
      </c>
      <c r="V40">
        <v>30.449000000000002</v>
      </c>
      <c r="W40">
        <v>29.702000000000002</v>
      </c>
      <c r="X40">
        <v>30.234000000000002</v>
      </c>
      <c r="Y40">
        <v>31.887</v>
      </c>
      <c r="Z40">
        <v>30.135000000000002</v>
      </c>
    </row>
    <row r="41" spans="1:26" x14ac:dyDescent="0.45">
      <c r="A41" t="s">
        <v>1949</v>
      </c>
      <c r="B41" t="s">
        <v>2324</v>
      </c>
      <c r="C41" s="3" t="s">
        <v>1560</v>
      </c>
      <c r="D41">
        <v>25.35</v>
      </c>
      <c r="E41">
        <v>27.745999999999999</v>
      </c>
      <c r="F41">
        <v>24.164999999999999</v>
      </c>
      <c r="G41">
        <v>26.331</v>
      </c>
      <c r="H41">
        <v>25.608000000000001</v>
      </c>
      <c r="I41">
        <v>28.922000000000001</v>
      </c>
      <c r="J41">
        <v>25.221</v>
      </c>
      <c r="K41">
        <v>27.969000000000001</v>
      </c>
      <c r="L41">
        <v>25.364999999999998</v>
      </c>
      <c r="M41">
        <v>24.428000000000001</v>
      </c>
      <c r="N41">
        <v>24.901</v>
      </c>
      <c r="O41">
        <v>26.126000000000001</v>
      </c>
      <c r="P41">
        <v>25.762</v>
      </c>
      <c r="Q41">
        <v>26.206</v>
      </c>
      <c r="R41">
        <v>24.780999999999999</v>
      </c>
      <c r="S41">
        <v>26.260999999999999</v>
      </c>
      <c r="T41">
        <v>24.831</v>
      </c>
      <c r="U41">
        <v>24.574999999999999</v>
      </c>
      <c r="V41">
        <v>25.367000000000001</v>
      </c>
      <c r="W41">
        <v>25.98</v>
      </c>
      <c r="X41">
        <v>26.431000000000001</v>
      </c>
      <c r="Y41">
        <v>26.279</v>
      </c>
      <c r="Z41">
        <v>25.309000000000001</v>
      </c>
    </row>
    <row r="42" spans="1:26" x14ac:dyDescent="0.45">
      <c r="A42" t="s">
        <v>1950</v>
      </c>
      <c r="B42" t="s">
        <v>2325</v>
      </c>
      <c r="C42" s="3" t="s">
        <v>1561</v>
      </c>
      <c r="D42">
        <v>27.443999999999999</v>
      </c>
      <c r="E42">
        <v>29.190999999999999</v>
      </c>
      <c r="F42">
        <v>27.16</v>
      </c>
      <c r="G42">
        <v>28.594999999999999</v>
      </c>
      <c r="H42">
        <v>27.747</v>
      </c>
      <c r="I42">
        <v>31.972999999999999</v>
      </c>
      <c r="J42">
        <v>27.532</v>
      </c>
      <c r="K42">
        <v>29.84</v>
      </c>
      <c r="L42">
        <v>28.506</v>
      </c>
      <c r="M42">
        <v>28.378</v>
      </c>
      <c r="N42">
        <v>27.465</v>
      </c>
      <c r="O42">
        <v>29.565999999999999</v>
      </c>
      <c r="P42">
        <v>27.776</v>
      </c>
      <c r="Q42">
        <v>28.306000000000001</v>
      </c>
      <c r="R42">
        <v>28.186</v>
      </c>
      <c r="S42">
        <v>28.428000000000001</v>
      </c>
      <c r="T42">
        <v>27.338000000000001</v>
      </c>
      <c r="U42">
        <v>27.460999999999999</v>
      </c>
      <c r="V42">
        <v>27.451000000000001</v>
      </c>
      <c r="W42">
        <v>29.13</v>
      </c>
      <c r="X42">
        <v>28.289000000000001</v>
      </c>
      <c r="Y42">
        <v>29.123999999999999</v>
      </c>
      <c r="Z42">
        <v>28.347999999999999</v>
      </c>
    </row>
    <row r="43" spans="1:26" x14ac:dyDescent="0.45">
      <c r="A43" t="s">
        <v>1951</v>
      </c>
      <c r="B43" t="s">
        <v>2326</v>
      </c>
      <c r="C43" s="3" t="s">
        <v>1562</v>
      </c>
      <c r="D43">
        <v>29.408000000000001</v>
      </c>
      <c r="E43">
        <v>29.760999999999999</v>
      </c>
      <c r="F43">
        <v>29.593</v>
      </c>
      <c r="G43">
        <v>30.012</v>
      </c>
      <c r="H43">
        <v>29.805</v>
      </c>
      <c r="I43">
        <v>35.838000000000001</v>
      </c>
      <c r="J43">
        <v>28.684999999999999</v>
      </c>
      <c r="K43">
        <v>31.111999999999998</v>
      </c>
      <c r="L43">
        <v>31.224</v>
      </c>
      <c r="M43">
        <v>31.306999999999999</v>
      </c>
      <c r="N43">
        <v>29.603999999999999</v>
      </c>
      <c r="O43">
        <v>30.375</v>
      </c>
      <c r="P43">
        <v>29.888000000000002</v>
      </c>
      <c r="Q43">
        <v>29.952999999999999</v>
      </c>
      <c r="R43">
        <v>29.841000000000001</v>
      </c>
      <c r="S43">
        <v>30.46</v>
      </c>
      <c r="T43">
        <v>29.146999999999998</v>
      </c>
      <c r="U43">
        <v>29.266999999999999</v>
      </c>
      <c r="V43">
        <v>28.91</v>
      </c>
      <c r="W43">
        <v>29.448</v>
      </c>
      <c r="X43">
        <v>30.655000000000001</v>
      </c>
      <c r="Y43">
        <v>30.678000000000001</v>
      </c>
      <c r="Z43">
        <v>30.154</v>
      </c>
    </row>
    <row r="44" spans="1:26" x14ac:dyDescent="0.45">
      <c r="A44" t="s">
        <v>1952</v>
      </c>
      <c r="B44" t="s">
        <v>2327</v>
      </c>
      <c r="C44" s="3" t="s">
        <v>1563</v>
      </c>
      <c r="D44">
        <v>26.631</v>
      </c>
      <c r="E44">
        <v>27.257999999999999</v>
      </c>
      <c r="F44">
        <v>26.326000000000001</v>
      </c>
      <c r="G44">
        <v>27.331</v>
      </c>
      <c r="H44">
        <v>26.698</v>
      </c>
      <c r="I44">
        <v>37.186</v>
      </c>
      <c r="J44">
        <v>26.082999999999998</v>
      </c>
      <c r="K44">
        <v>27.5</v>
      </c>
      <c r="L44">
        <v>27.916</v>
      </c>
      <c r="M44">
        <v>28.873000000000001</v>
      </c>
      <c r="N44">
        <v>26.532</v>
      </c>
      <c r="O44">
        <v>27.507999999999999</v>
      </c>
      <c r="P44">
        <v>26.402000000000001</v>
      </c>
      <c r="Q44">
        <v>27.361000000000001</v>
      </c>
      <c r="R44">
        <v>26.748000000000001</v>
      </c>
      <c r="S44">
        <v>27.966000000000001</v>
      </c>
      <c r="T44">
        <v>26.466999999999999</v>
      </c>
      <c r="U44">
        <v>26.481000000000002</v>
      </c>
      <c r="V44">
        <v>26.068999999999999</v>
      </c>
      <c r="W44">
        <v>26.928999999999998</v>
      </c>
      <c r="X44">
        <v>26.806000000000001</v>
      </c>
      <c r="Y44">
        <v>27.212</v>
      </c>
      <c r="Z44">
        <v>26.728000000000002</v>
      </c>
    </row>
    <row r="45" spans="1:26" x14ac:dyDescent="0.45">
      <c r="A45" t="s">
        <v>1953</v>
      </c>
      <c r="B45" t="s">
        <v>2328</v>
      </c>
      <c r="C45" s="3" t="s">
        <v>1564</v>
      </c>
      <c r="D45">
        <v>25.670999999999999</v>
      </c>
      <c r="E45">
        <v>25.645</v>
      </c>
      <c r="F45">
        <v>25.213000000000001</v>
      </c>
      <c r="G45">
        <v>26.850999999999999</v>
      </c>
      <c r="H45">
        <v>25.652000000000001</v>
      </c>
      <c r="I45">
        <v>25.216000000000001</v>
      </c>
      <c r="J45">
        <v>25.681999999999999</v>
      </c>
      <c r="K45">
        <v>29.605</v>
      </c>
      <c r="L45">
        <v>25.763000000000002</v>
      </c>
      <c r="M45">
        <v>25.818999999999999</v>
      </c>
      <c r="N45">
        <v>25.835999999999999</v>
      </c>
      <c r="O45">
        <v>26.824000000000002</v>
      </c>
      <c r="P45">
        <v>25.338999999999999</v>
      </c>
      <c r="Q45">
        <v>25.67</v>
      </c>
      <c r="R45">
        <v>26.602</v>
      </c>
      <c r="S45">
        <v>26.277000000000001</v>
      </c>
      <c r="T45">
        <v>25.785</v>
      </c>
      <c r="U45">
        <v>25.818000000000001</v>
      </c>
      <c r="V45">
        <v>25.231999999999999</v>
      </c>
      <c r="W45">
        <v>25.927</v>
      </c>
      <c r="X45">
        <v>26.591000000000001</v>
      </c>
      <c r="Y45">
        <v>26.007000000000001</v>
      </c>
      <c r="Z45">
        <v>25.67</v>
      </c>
    </row>
    <row r="46" spans="1:26" x14ac:dyDescent="0.45">
      <c r="A46" t="s">
        <v>1954</v>
      </c>
      <c r="B46" t="s">
        <v>2329</v>
      </c>
      <c r="C46" s="3" t="s">
        <v>1565</v>
      </c>
      <c r="D46">
        <v>25.122</v>
      </c>
      <c r="E46">
        <v>25.295999999999999</v>
      </c>
      <c r="F46">
        <v>25.263999999999999</v>
      </c>
      <c r="G46">
        <v>25.805</v>
      </c>
      <c r="H46">
        <v>25.494</v>
      </c>
      <c r="I46">
        <v>25.361000000000001</v>
      </c>
      <c r="J46">
        <v>24.8</v>
      </c>
      <c r="K46">
        <v>27.667000000000002</v>
      </c>
      <c r="L46">
        <v>25.527000000000001</v>
      </c>
      <c r="M46">
        <v>25.835000000000001</v>
      </c>
      <c r="N46">
        <v>24.471</v>
      </c>
      <c r="O46">
        <v>25.457000000000001</v>
      </c>
      <c r="P46">
        <v>25.521999999999998</v>
      </c>
      <c r="Q46">
        <v>25.716999999999999</v>
      </c>
      <c r="R46">
        <v>26.86</v>
      </c>
      <c r="S46">
        <v>25.398</v>
      </c>
      <c r="T46">
        <v>25.297000000000001</v>
      </c>
      <c r="U46">
        <v>24.789000000000001</v>
      </c>
      <c r="V46">
        <v>24.478000000000002</v>
      </c>
      <c r="W46">
        <v>25.433</v>
      </c>
      <c r="X46">
        <v>25.422999999999998</v>
      </c>
      <c r="Y46">
        <v>24.556000000000001</v>
      </c>
      <c r="Z46">
        <v>24.908999999999999</v>
      </c>
    </row>
    <row r="47" spans="1:26" x14ac:dyDescent="0.45">
      <c r="A47" t="s">
        <v>1955</v>
      </c>
      <c r="B47" t="s">
        <v>2330</v>
      </c>
      <c r="C47" s="3" t="s">
        <v>1566</v>
      </c>
      <c r="D47">
        <v>29.315999999999999</v>
      </c>
      <c r="E47">
        <v>29.245000000000001</v>
      </c>
      <c r="F47">
        <v>29.161000000000001</v>
      </c>
      <c r="G47">
        <v>29.972999999999999</v>
      </c>
      <c r="H47">
        <v>29.202000000000002</v>
      </c>
      <c r="I47">
        <v>28.728000000000002</v>
      </c>
      <c r="J47">
        <v>28.881</v>
      </c>
      <c r="K47">
        <v>30.271000000000001</v>
      </c>
      <c r="L47">
        <v>29.259</v>
      </c>
      <c r="M47">
        <v>29.263999999999999</v>
      </c>
      <c r="N47">
        <v>28.838000000000001</v>
      </c>
      <c r="O47">
        <v>30.699000000000002</v>
      </c>
      <c r="P47">
        <v>29.783000000000001</v>
      </c>
      <c r="Q47">
        <v>29.216999999999999</v>
      </c>
      <c r="R47">
        <v>29.565999999999999</v>
      </c>
      <c r="S47">
        <v>29.809000000000001</v>
      </c>
      <c r="T47">
        <v>29.734000000000002</v>
      </c>
      <c r="U47">
        <v>29.481000000000002</v>
      </c>
      <c r="V47">
        <v>29.401</v>
      </c>
      <c r="W47">
        <v>29.870999999999999</v>
      </c>
      <c r="X47">
        <v>30.193999999999999</v>
      </c>
      <c r="Y47">
        <v>29</v>
      </c>
      <c r="Z47">
        <v>29.76</v>
      </c>
    </row>
    <row r="48" spans="1:26" x14ac:dyDescent="0.45">
      <c r="A48" t="s">
        <v>1956</v>
      </c>
      <c r="B48" t="s">
        <v>2331</v>
      </c>
      <c r="C48" s="3" t="s">
        <v>1567</v>
      </c>
      <c r="D48">
        <v>33.776000000000003</v>
      </c>
      <c r="E48">
        <v>34.918999999999997</v>
      </c>
      <c r="F48">
        <v>37.697000000000003</v>
      </c>
      <c r="G48">
        <v>37.182000000000002</v>
      </c>
      <c r="H48">
        <v>39.390999999999998</v>
      </c>
      <c r="I48">
        <v>34.545999999999999</v>
      </c>
      <c r="J48">
        <v>33.451000000000001</v>
      </c>
      <c r="K48">
        <v>37.753999999999998</v>
      </c>
      <c r="L48">
        <v>38.037999999999997</v>
      </c>
      <c r="M48">
        <v>39.889000000000003</v>
      </c>
      <c r="N48">
        <v>36.709000000000003</v>
      </c>
      <c r="O48">
        <v>34.619999999999997</v>
      </c>
      <c r="P48">
        <v>35.667000000000002</v>
      </c>
      <c r="Q48">
        <v>33.906999999999996</v>
      </c>
      <c r="R48">
        <v>33.83</v>
      </c>
      <c r="S48">
        <v>39.235999999999997</v>
      </c>
      <c r="T48">
        <v>37.246000000000002</v>
      </c>
      <c r="U48">
        <v>36.994999999999997</v>
      </c>
      <c r="V48">
        <v>39.274999999999999</v>
      </c>
      <c r="W48" t="s">
        <v>1906</v>
      </c>
      <c r="X48">
        <v>33.311999999999998</v>
      </c>
      <c r="Y48">
        <v>35.932000000000002</v>
      </c>
      <c r="Z48">
        <v>33.901000000000003</v>
      </c>
    </row>
    <row r="49" spans="1:26" x14ac:dyDescent="0.45">
      <c r="A49" t="s">
        <v>1957</v>
      </c>
      <c r="B49" t="s">
        <v>2332</v>
      </c>
      <c r="C49" s="3" t="s">
        <v>1568</v>
      </c>
      <c r="D49">
        <v>24.18</v>
      </c>
      <c r="E49">
        <v>24.617000000000001</v>
      </c>
      <c r="F49">
        <v>23.978000000000002</v>
      </c>
      <c r="G49">
        <v>24.777000000000001</v>
      </c>
      <c r="H49">
        <v>24.178000000000001</v>
      </c>
      <c r="I49">
        <v>24.497</v>
      </c>
      <c r="J49">
        <v>24.135999999999999</v>
      </c>
      <c r="K49">
        <v>24.972999999999999</v>
      </c>
      <c r="L49">
        <v>24.065999999999999</v>
      </c>
      <c r="M49">
        <v>24.564</v>
      </c>
      <c r="N49">
        <v>24.834</v>
      </c>
      <c r="O49">
        <v>24.49</v>
      </c>
      <c r="P49">
        <v>24.241</v>
      </c>
      <c r="Q49">
        <v>24.827000000000002</v>
      </c>
      <c r="R49">
        <v>24.591000000000001</v>
      </c>
      <c r="S49">
        <v>24.684999999999999</v>
      </c>
      <c r="T49">
        <v>24.323</v>
      </c>
      <c r="U49">
        <v>24.459</v>
      </c>
      <c r="V49">
        <v>24.393999999999998</v>
      </c>
      <c r="W49">
        <v>24.276</v>
      </c>
      <c r="X49">
        <v>24.454000000000001</v>
      </c>
      <c r="Y49">
        <v>24.338999999999999</v>
      </c>
      <c r="Z49">
        <v>24.812999999999999</v>
      </c>
    </row>
    <row r="50" spans="1:26" x14ac:dyDescent="0.45">
      <c r="A50" t="s">
        <v>1958</v>
      </c>
      <c r="B50" t="s">
        <v>2333</v>
      </c>
      <c r="C50" s="3" t="s">
        <v>1569</v>
      </c>
      <c r="D50">
        <v>28.619</v>
      </c>
      <c r="E50">
        <v>30.614999999999998</v>
      </c>
      <c r="F50">
        <v>28.114999999999998</v>
      </c>
      <c r="G50">
        <v>30.596</v>
      </c>
      <c r="H50">
        <v>29.11</v>
      </c>
      <c r="I50">
        <v>28.533999999999999</v>
      </c>
      <c r="J50">
        <v>28.196999999999999</v>
      </c>
      <c r="K50">
        <v>29.89</v>
      </c>
      <c r="L50">
        <v>28.827000000000002</v>
      </c>
      <c r="M50">
        <v>28.707999999999998</v>
      </c>
      <c r="N50">
        <v>29.016999999999999</v>
      </c>
      <c r="O50">
        <v>29.542999999999999</v>
      </c>
      <c r="P50">
        <v>28.576000000000001</v>
      </c>
      <c r="Q50">
        <v>28.649000000000001</v>
      </c>
      <c r="R50">
        <v>28.808</v>
      </c>
      <c r="S50">
        <v>28.875</v>
      </c>
      <c r="T50">
        <v>28.271000000000001</v>
      </c>
      <c r="U50">
        <v>29.091999999999999</v>
      </c>
      <c r="V50">
        <v>28.49</v>
      </c>
      <c r="W50">
        <v>28.417999999999999</v>
      </c>
      <c r="X50">
        <v>28.74</v>
      </c>
      <c r="Y50">
        <v>27.99</v>
      </c>
      <c r="Z50">
        <v>28.218</v>
      </c>
    </row>
    <row r="51" spans="1:26" x14ac:dyDescent="0.45">
      <c r="A51" t="s">
        <v>1959</v>
      </c>
      <c r="B51" t="s">
        <v>2334</v>
      </c>
      <c r="C51" s="3" t="s">
        <v>1570</v>
      </c>
      <c r="D51">
        <v>25.280999999999999</v>
      </c>
      <c r="E51">
        <v>25.792999999999999</v>
      </c>
      <c r="F51">
        <v>25.263000000000002</v>
      </c>
      <c r="G51">
        <v>26.611999999999998</v>
      </c>
      <c r="H51">
        <v>25.315000000000001</v>
      </c>
      <c r="I51">
        <v>25.478000000000002</v>
      </c>
      <c r="J51">
        <v>25.372</v>
      </c>
      <c r="K51">
        <v>25.852</v>
      </c>
      <c r="L51">
        <v>25.550999999999998</v>
      </c>
      <c r="M51">
        <v>26.277000000000001</v>
      </c>
      <c r="N51">
        <v>25.869</v>
      </c>
      <c r="O51">
        <v>26.353999999999999</v>
      </c>
      <c r="P51">
        <v>26.100999999999999</v>
      </c>
      <c r="Q51">
        <v>25.638000000000002</v>
      </c>
      <c r="R51">
        <v>25.917999999999999</v>
      </c>
      <c r="S51">
        <v>25.748999999999999</v>
      </c>
      <c r="T51">
        <v>25.622</v>
      </c>
      <c r="U51">
        <v>25.571000000000002</v>
      </c>
      <c r="V51">
        <v>25.128</v>
      </c>
      <c r="W51">
        <v>25.65</v>
      </c>
      <c r="X51">
        <v>25.847999999999999</v>
      </c>
      <c r="Y51">
        <v>25.298999999999999</v>
      </c>
      <c r="Z51">
        <v>25.15</v>
      </c>
    </row>
    <row r="52" spans="1:26" x14ac:dyDescent="0.45">
      <c r="A52" t="s">
        <v>1960</v>
      </c>
      <c r="B52" t="s">
        <v>2335</v>
      </c>
      <c r="C52" s="3" t="s">
        <v>1571</v>
      </c>
      <c r="D52">
        <v>27.79</v>
      </c>
      <c r="E52">
        <v>28.681000000000001</v>
      </c>
      <c r="F52">
        <v>27.449000000000002</v>
      </c>
      <c r="G52">
        <v>29.742000000000001</v>
      </c>
      <c r="H52">
        <v>28.338999999999999</v>
      </c>
      <c r="I52">
        <v>28.260999999999999</v>
      </c>
      <c r="J52">
        <v>27.998999999999999</v>
      </c>
      <c r="K52">
        <v>28.931999999999999</v>
      </c>
      <c r="L52">
        <v>27.984999999999999</v>
      </c>
      <c r="M52">
        <v>29.003</v>
      </c>
      <c r="N52">
        <v>29.216999999999999</v>
      </c>
      <c r="O52">
        <v>29.326000000000001</v>
      </c>
      <c r="P52">
        <v>28.754999999999999</v>
      </c>
      <c r="Q52">
        <v>28.751000000000001</v>
      </c>
      <c r="R52">
        <v>28.821999999999999</v>
      </c>
      <c r="S52">
        <v>28.571000000000002</v>
      </c>
      <c r="T52">
        <v>28.244</v>
      </c>
      <c r="U52">
        <v>28.46</v>
      </c>
      <c r="V52">
        <v>28.536000000000001</v>
      </c>
      <c r="W52">
        <v>28.44</v>
      </c>
      <c r="X52">
        <v>29.207999999999998</v>
      </c>
      <c r="Y52">
        <v>28.373999999999999</v>
      </c>
      <c r="Z52">
        <v>28.425000000000001</v>
      </c>
    </row>
    <row r="53" spans="1:26" x14ac:dyDescent="0.45">
      <c r="A53" t="s">
        <v>1961</v>
      </c>
      <c r="B53" t="s">
        <v>2336</v>
      </c>
      <c r="C53" s="3" t="s">
        <v>1572</v>
      </c>
      <c r="D53">
        <v>22.274000000000001</v>
      </c>
      <c r="E53">
        <v>22.434999999999999</v>
      </c>
      <c r="F53">
        <v>21.771999999999998</v>
      </c>
      <c r="G53">
        <v>23.652999999999999</v>
      </c>
      <c r="H53">
        <v>22.443999999999999</v>
      </c>
      <c r="I53">
        <v>21.571000000000002</v>
      </c>
      <c r="J53">
        <v>22.113</v>
      </c>
      <c r="K53">
        <v>22.798999999999999</v>
      </c>
      <c r="L53">
        <v>22.347999999999999</v>
      </c>
      <c r="M53">
        <v>22.553999999999998</v>
      </c>
      <c r="N53">
        <v>22.971</v>
      </c>
      <c r="O53">
        <v>22.946999999999999</v>
      </c>
      <c r="P53">
        <v>22.707000000000001</v>
      </c>
      <c r="Q53">
        <v>22.582999999999998</v>
      </c>
      <c r="R53">
        <v>22.8</v>
      </c>
      <c r="S53">
        <v>22.675999999999998</v>
      </c>
      <c r="T53">
        <v>22.489000000000001</v>
      </c>
      <c r="U53">
        <v>22.475000000000001</v>
      </c>
      <c r="V53">
        <v>22.271999999999998</v>
      </c>
      <c r="W53">
        <v>22.63</v>
      </c>
      <c r="X53">
        <v>22.835999999999999</v>
      </c>
      <c r="Y53">
        <v>21.998000000000001</v>
      </c>
      <c r="Z53">
        <v>22.251000000000001</v>
      </c>
    </row>
    <row r="54" spans="1:26" x14ac:dyDescent="0.45">
      <c r="A54" t="s">
        <v>1962</v>
      </c>
      <c r="B54" t="s">
        <v>2337</v>
      </c>
      <c r="C54" s="3" t="s">
        <v>1573</v>
      </c>
      <c r="D54">
        <v>26.254999999999999</v>
      </c>
      <c r="E54">
        <v>26.396999999999998</v>
      </c>
      <c r="F54">
        <v>25.481000000000002</v>
      </c>
      <c r="G54">
        <v>27.605</v>
      </c>
      <c r="H54">
        <v>26.4</v>
      </c>
      <c r="I54">
        <v>25.452999999999999</v>
      </c>
      <c r="J54">
        <v>25.847999999999999</v>
      </c>
      <c r="K54">
        <v>26.66</v>
      </c>
      <c r="L54">
        <v>26.329000000000001</v>
      </c>
      <c r="M54">
        <v>26.420999999999999</v>
      </c>
      <c r="N54">
        <v>26.795000000000002</v>
      </c>
      <c r="O54">
        <v>26.858000000000001</v>
      </c>
      <c r="P54">
        <v>26.751000000000001</v>
      </c>
      <c r="Q54">
        <v>26.579000000000001</v>
      </c>
      <c r="R54">
        <v>26.571000000000002</v>
      </c>
      <c r="S54">
        <v>26.367999999999999</v>
      </c>
      <c r="T54">
        <v>26.408999999999999</v>
      </c>
      <c r="U54">
        <v>26.338000000000001</v>
      </c>
      <c r="V54">
        <v>26.143999999999998</v>
      </c>
      <c r="W54">
        <v>26.416</v>
      </c>
      <c r="X54">
        <v>26.827000000000002</v>
      </c>
      <c r="Y54">
        <v>25.933</v>
      </c>
      <c r="Z54">
        <v>25.978999999999999</v>
      </c>
    </row>
    <row r="55" spans="1:26" x14ac:dyDescent="0.45">
      <c r="A55" t="s">
        <v>1963</v>
      </c>
      <c r="B55" t="s">
        <v>2338</v>
      </c>
      <c r="C55" s="3" t="s">
        <v>1574</v>
      </c>
      <c r="D55">
        <v>31.38</v>
      </c>
      <c r="E55">
        <v>33.520000000000003</v>
      </c>
      <c r="F55">
        <v>32.524000000000001</v>
      </c>
      <c r="G55">
        <v>33.258000000000003</v>
      </c>
      <c r="H55">
        <v>31.905000000000001</v>
      </c>
      <c r="I55">
        <v>30.721</v>
      </c>
      <c r="J55">
        <v>33.691000000000003</v>
      </c>
      <c r="K55">
        <v>31.948</v>
      </c>
      <c r="L55">
        <v>31.899000000000001</v>
      </c>
      <c r="M55">
        <v>33.447000000000003</v>
      </c>
      <c r="N55">
        <v>33.493000000000002</v>
      </c>
      <c r="O55">
        <v>30.733000000000001</v>
      </c>
      <c r="P55">
        <v>32.456000000000003</v>
      </c>
      <c r="Q55">
        <v>32.997</v>
      </c>
      <c r="R55">
        <v>33.411999999999999</v>
      </c>
      <c r="S55">
        <v>32.869999999999997</v>
      </c>
      <c r="T55">
        <v>30.77</v>
      </c>
      <c r="U55">
        <v>32.99</v>
      </c>
      <c r="V55">
        <v>32.712000000000003</v>
      </c>
      <c r="W55">
        <v>32.56</v>
      </c>
      <c r="X55">
        <v>34.588000000000001</v>
      </c>
      <c r="Y55">
        <v>31.259</v>
      </c>
      <c r="Z55">
        <v>30.481000000000002</v>
      </c>
    </row>
    <row r="56" spans="1:26" x14ac:dyDescent="0.45">
      <c r="A56" t="s">
        <v>1964</v>
      </c>
      <c r="B56" t="s">
        <v>2339</v>
      </c>
      <c r="C56" s="3" t="s">
        <v>1575</v>
      </c>
      <c r="D56">
        <v>30.718</v>
      </c>
      <c r="E56">
        <v>29.908999999999999</v>
      </c>
      <c r="F56">
        <v>29.581</v>
      </c>
      <c r="G56">
        <v>31.765000000000001</v>
      </c>
      <c r="H56">
        <v>30.318999999999999</v>
      </c>
      <c r="I56">
        <v>30.373000000000001</v>
      </c>
      <c r="J56">
        <v>30.335999999999999</v>
      </c>
      <c r="K56">
        <v>31.875</v>
      </c>
      <c r="L56">
        <v>30.747</v>
      </c>
      <c r="M56">
        <v>30.613</v>
      </c>
      <c r="N56">
        <v>29.341999999999999</v>
      </c>
      <c r="O56">
        <v>31.329000000000001</v>
      </c>
      <c r="P56">
        <v>30.125</v>
      </c>
      <c r="Q56">
        <v>30.802</v>
      </c>
      <c r="R56">
        <v>30.593</v>
      </c>
      <c r="S56">
        <v>30.672999999999998</v>
      </c>
      <c r="T56">
        <v>29.56</v>
      </c>
      <c r="U56">
        <v>30.677</v>
      </c>
      <c r="V56">
        <v>29.47</v>
      </c>
      <c r="W56">
        <v>30.280999999999999</v>
      </c>
      <c r="X56">
        <v>31.632999999999999</v>
      </c>
      <c r="Y56">
        <v>30.55</v>
      </c>
      <c r="Z56">
        <v>30.219000000000001</v>
      </c>
    </row>
    <row r="57" spans="1:26" x14ac:dyDescent="0.45">
      <c r="A57" t="s">
        <v>1965</v>
      </c>
      <c r="B57" t="s">
        <v>2340</v>
      </c>
      <c r="C57" s="3" t="s">
        <v>1576</v>
      </c>
      <c r="D57">
        <v>32.456000000000003</v>
      </c>
      <c r="E57">
        <v>33.090000000000003</v>
      </c>
      <c r="F57">
        <v>30.596</v>
      </c>
      <c r="G57">
        <v>32.496000000000002</v>
      </c>
      <c r="H57">
        <v>31.503</v>
      </c>
      <c r="I57">
        <v>31.106999999999999</v>
      </c>
      <c r="J57">
        <v>32.207999999999998</v>
      </c>
      <c r="K57">
        <v>32.32</v>
      </c>
      <c r="L57">
        <v>30.736000000000001</v>
      </c>
      <c r="M57">
        <v>32.378</v>
      </c>
      <c r="N57">
        <v>29.93</v>
      </c>
      <c r="O57">
        <v>32.417000000000002</v>
      </c>
      <c r="P57">
        <v>31.437999999999999</v>
      </c>
      <c r="Q57">
        <v>33.213999999999999</v>
      </c>
      <c r="R57">
        <v>32.130000000000003</v>
      </c>
      <c r="S57">
        <v>32.07</v>
      </c>
      <c r="T57">
        <v>32.162999999999997</v>
      </c>
      <c r="U57">
        <v>32.329000000000001</v>
      </c>
      <c r="V57">
        <v>30.875</v>
      </c>
      <c r="W57">
        <v>31.504999999999999</v>
      </c>
      <c r="X57">
        <v>32.655000000000001</v>
      </c>
      <c r="Y57">
        <v>30.890999999999998</v>
      </c>
      <c r="Z57">
        <v>31.782</v>
      </c>
    </row>
    <row r="58" spans="1:26" x14ac:dyDescent="0.45">
      <c r="A58" t="s">
        <v>1966</v>
      </c>
      <c r="B58" t="s">
        <v>2341</v>
      </c>
      <c r="C58" s="3" t="s">
        <v>1577</v>
      </c>
      <c r="D58">
        <v>31.317</v>
      </c>
      <c r="E58">
        <v>30.695</v>
      </c>
      <c r="F58">
        <v>31.382000000000001</v>
      </c>
      <c r="G58">
        <v>32.220999999999997</v>
      </c>
      <c r="H58">
        <v>30.978000000000002</v>
      </c>
      <c r="I58">
        <v>32.118000000000002</v>
      </c>
      <c r="J58">
        <v>31.498999999999999</v>
      </c>
      <c r="K58">
        <v>31.992000000000001</v>
      </c>
      <c r="L58">
        <v>32.997999999999998</v>
      </c>
      <c r="M58">
        <v>32.095999999999997</v>
      </c>
      <c r="N58">
        <v>31.998000000000001</v>
      </c>
      <c r="O58">
        <v>32.973999999999997</v>
      </c>
      <c r="P58">
        <v>32.625</v>
      </c>
      <c r="Q58">
        <v>32.99</v>
      </c>
      <c r="R58">
        <v>33.186</v>
      </c>
      <c r="S58">
        <v>33.012</v>
      </c>
      <c r="T58">
        <v>32.811999999999998</v>
      </c>
      <c r="U58">
        <v>31.286000000000001</v>
      </c>
      <c r="V58">
        <v>30.218</v>
      </c>
      <c r="W58">
        <v>31.92</v>
      </c>
      <c r="X58">
        <v>33.405000000000001</v>
      </c>
      <c r="Y58">
        <v>30.885999999999999</v>
      </c>
      <c r="Z58">
        <v>31.471</v>
      </c>
    </row>
    <row r="59" spans="1:26" x14ac:dyDescent="0.45">
      <c r="A59" t="s">
        <v>1967</v>
      </c>
      <c r="B59" t="s">
        <v>2342</v>
      </c>
      <c r="C59" s="3" t="s">
        <v>1578</v>
      </c>
      <c r="D59">
        <v>23.981000000000002</v>
      </c>
      <c r="E59">
        <v>24.207999999999998</v>
      </c>
      <c r="F59">
        <v>23.658000000000001</v>
      </c>
      <c r="G59">
        <v>24.492999999999999</v>
      </c>
      <c r="H59">
        <v>24.201000000000001</v>
      </c>
      <c r="I59">
        <v>22.986000000000001</v>
      </c>
      <c r="J59">
        <v>24.291</v>
      </c>
      <c r="K59">
        <v>24.559000000000001</v>
      </c>
      <c r="L59">
        <v>23.632000000000001</v>
      </c>
      <c r="M59">
        <v>23.911999999999999</v>
      </c>
      <c r="N59">
        <v>24.760999999999999</v>
      </c>
      <c r="O59">
        <v>24.126999999999999</v>
      </c>
      <c r="P59">
        <v>23.795999999999999</v>
      </c>
      <c r="Q59">
        <v>24.245000000000001</v>
      </c>
      <c r="R59">
        <v>24.495999999999999</v>
      </c>
      <c r="S59">
        <v>24.244</v>
      </c>
      <c r="T59">
        <v>24.4</v>
      </c>
      <c r="U59">
        <v>24.553999999999998</v>
      </c>
      <c r="V59">
        <v>23.71</v>
      </c>
      <c r="W59">
        <v>23.882999999999999</v>
      </c>
      <c r="X59">
        <v>25.103000000000002</v>
      </c>
      <c r="Y59">
        <v>23.748000000000001</v>
      </c>
      <c r="Z59">
        <v>23.632000000000001</v>
      </c>
    </row>
    <row r="60" spans="1:26" x14ac:dyDescent="0.45">
      <c r="A60" t="s">
        <v>1968</v>
      </c>
      <c r="B60" t="s">
        <v>2343</v>
      </c>
      <c r="C60" s="3" t="s">
        <v>1579</v>
      </c>
      <c r="D60">
        <v>31.236999999999998</v>
      </c>
      <c r="E60">
        <v>30.687000000000001</v>
      </c>
      <c r="F60">
        <v>31.800999999999998</v>
      </c>
      <c r="G60">
        <v>32.906999999999996</v>
      </c>
      <c r="H60">
        <v>30.597000000000001</v>
      </c>
      <c r="I60">
        <v>29.85</v>
      </c>
      <c r="J60">
        <v>31.905000000000001</v>
      </c>
      <c r="K60">
        <v>31.896999999999998</v>
      </c>
      <c r="L60">
        <v>30.800999999999998</v>
      </c>
      <c r="M60">
        <v>31.757000000000001</v>
      </c>
      <c r="N60">
        <v>31.373999999999999</v>
      </c>
      <c r="O60">
        <v>30.959</v>
      </c>
      <c r="P60">
        <v>30.888999999999999</v>
      </c>
      <c r="Q60">
        <v>31.852</v>
      </c>
      <c r="R60">
        <v>31.292999999999999</v>
      </c>
      <c r="S60">
        <v>30.280999999999999</v>
      </c>
      <c r="T60">
        <v>31.832000000000001</v>
      </c>
      <c r="U60">
        <v>32.353000000000002</v>
      </c>
      <c r="V60">
        <v>29.795999999999999</v>
      </c>
      <c r="W60">
        <v>31.385999999999999</v>
      </c>
      <c r="X60">
        <v>32.735999999999997</v>
      </c>
      <c r="Y60">
        <v>32.225000000000001</v>
      </c>
      <c r="Z60">
        <v>30.443999999999999</v>
      </c>
    </row>
    <row r="61" spans="1:26" x14ac:dyDescent="0.45">
      <c r="A61" t="s">
        <v>1969</v>
      </c>
      <c r="B61" t="s">
        <v>2344</v>
      </c>
      <c r="C61" s="3" t="s">
        <v>1580</v>
      </c>
      <c r="D61">
        <v>25.129000000000001</v>
      </c>
      <c r="E61">
        <v>24.873999999999999</v>
      </c>
      <c r="F61">
        <v>24.356999999999999</v>
      </c>
      <c r="G61">
        <v>27.271000000000001</v>
      </c>
      <c r="H61">
        <v>25.959</v>
      </c>
      <c r="I61">
        <v>25.396999999999998</v>
      </c>
      <c r="J61">
        <v>25.367000000000001</v>
      </c>
      <c r="K61">
        <v>25.827000000000002</v>
      </c>
      <c r="L61">
        <v>25.332999999999998</v>
      </c>
      <c r="M61">
        <v>25.632999999999999</v>
      </c>
      <c r="N61">
        <v>25.826000000000001</v>
      </c>
      <c r="O61">
        <v>26.417000000000002</v>
      </c>
      <c r="P61">
        <v>25.445</v>
      </c>
      <c r="Q61">
        <v>25.358000000000001</v>
      </c>
      <c r="R61">
        <v>26.423999999999999</v>
      </c>
      <c r="S61">
        <v>25.748999999999999</v>
      </c>
      <c r="T61">
        <v>26.128</v>
      </c>
      <c r="U61">
        <v>25.497</v>
      </c>
      <c r="V61">
        <v>25.135000000000002</v>
      </c>
      <c r="W61">
        <v>25.722000000000001</v>
      </c>
      <c r="X61">
        <v>26.629000000000001</v>
      </c>
      <c r="Y61">
        <v>25.87</v>
      </c>
      <c r="Z61">
        <v>25.535</v>
      </c>
    </row>
    <row r="62" spans="1:26" x14ac:dyDescent="0.45">
      <c r="A62" t="s">
        <v>1970</v>
      </c>
      <c r="B62" t="s">
        <v>2345</v>
      </c>
      <c r="C62" s="3" t="s">
        <v>1581</v>
      </c>
      <c r="D62">
        <v>26.555</v>
      </c>
      <c r="E62">
        <v>26.881</v>
      </c>
      <c r="F62">
        <v>26.649000000000001</v>
      </c>
      <c r="G62">
        <v>29.15</v>
      </c>
      <c r="H62">
        <v>28.19</v>
      </c>
      <c r="I62">
        <v>27.791</v>
      </c>
      <c r="J62">
        <v>27.346</v>
      </c>
      <c r="K62">
        <v>27.423999999999999</v>
      </c>
      <c r="L62">
        <v>27.376000000000001</v>
      </c>
      <c r="M62">
        <v>27.81</v>
      </c>
      <c r="N62">
        <v>28.091999999999999</v>
      </c>
      <c r="O62">
        <v>28.248999999999999</v>
      </c>
      <c r="P62">
        <v>27.305</v>
      </c>
      <c r="Q62">
        <v>27.809000000000001</v>
      </c>
      <c r="R62">
        <v>28.253</v>
      </c>
      <c r="S62">
        <v>27.157</v>
      </c>
      <c r="T62">
        <v>27.812000000000001</v>
      </c>
      <c r="U62">
        <v>27.439</v>
      </c>
      <c r="V62">
        <v>26.908999999999999</v>
      </c>
      <c r="W62">
        <v>27.271000000000001</v>
      </c>
      <c r="X62">
        <v>28.885000000000002</v>
      </c>
      <c r="Y62">
        <v>27.850999999999999</v>
      </c>
      <c r="Z62">
        <v>27.495999999999999</v>
      </c>
    </row>
    <row r="63" spans="1:26" x14ac:dyDescent="0.45">
      <c r="A63" t="s">
        <v>1971</v>
      </c>
      <c r="B63" t="s">
        <v>2346</v>
      </c>
      <c r="C63" s="3" t="s">
        <v>1582</v>
      </c>
      <c r="D63">
        <v>31.193999999999999</v>
      </c>
      <c r="E63">
        <v>30.402999999999999</v>
      </c>
      <c r="F63">
        <v>29.620999999999999</v>
      </c>
      <c r="G63">
        <v>32.267000000000003</v>
      </c>
      <c r="H63">
        <v>31.116</v>
      </c>
      <c r="I63">
        <v>36.563000000000002</v>
      </c>
      <c r="J63">
        <v>30.788</v>
      </c>
      <c r="K63">
        <v>31.727</v>
      </c>
      <c r="L63">
        <v>30.004999999999999</v>
      </c>
      <c r="M63">
        <v>31.864000000000001</v>
      </c>
      <c r="N63">
        <v>32.741</v>
      </c>
      <c r="O63" t="s">
        <v>1906</v>
      </c>
      <c r="P63">
        <v>30.878</v>
      </c>
      <c r="Q63">
        <v>30.724</v>
      </c>
      <c r="R63">
        <v>31.553000000000001</v>
      </c>
      <c r="S63">
        <v>31.533999999999999</v>
      </c>
      <c r="T63">
        <v>30.515999999999998</v>
      </c>
      <c r="U63">
        <v>30.823</v>
      </c>
      <c r="V63">
        <v>30.481999999999999</v>
      </c>
      <c r="W63">
        <v>30.841000000000001</v>
      </c>
      <c r="X63">
        <v>33.637999999999998</v>
      </c>
      <c r="Y63">
        <v>31.178000000000001</v>
      </c>
      <c r="Z63">
        <v>32.515999999999998</v>
      </c>
    </row>
    <row r="64" spans="1:26" x14ac:dyDescent="0.45">
      <c r="A64" t="s">
        <v>1972</v>
      </c>
      <c r="B64" t="s">
        <v>2347</v>
      </c>
      <c r="C64" s="3" t="s">
        <v>1583</v>
      </c>
      <c r="D64">
        <v>33.258000000000003</v>
      </c>
      <c r="E64">
        <v>37.509</v>
      </c>
      <c r="F64">
        <v>32.777999999999999</v>
      </c>
      <c r="G64">
        <v>34.963000000000001</v>
      </c>
      <c r="H64">
        <v>34.514000000000003</v>
      </c>
      <c r="I64">
        <v>38.198999999999998</v>
      </c>
      <c r="J64">
        <v>34.616999999999997</v>
      </c>
      <c r="K64">
        <v>32.652999999999999</v>
      </c>
      <c r="L64">
        <v>33.270000000000003</v>
      </c>
      <c r="M64">
        <v>34.491</v>
      </c>
      <c r="N64">
        <v>35.709000000000003</v>
      </c>
      <c r="O64">
        <v>34.451000000000001</v>
      </c>
      <c r="P64">
        <v>32.773000000000003</v>
      </c>
      <c r="Q64">
        <v>34.116</v>
      </c>
      <c r="R64">
        <v>33.46</v>
      </c>
      <c r="S64">
        <v>35.468000000000004</v>
      </c>
      <c r="T64">
        <v>34.701000000000001</v>
      </c>
      <c r="U64">
        <v>33.619</v>
      </c>
      <c r="V64">
        <v>32.648000000000003</v>
      </c>
      <c r="W64">
        <v>33.567</v>
      </c>
      <c r="X64">
        <v>34.771000000000001</v>
      </c>
      <c r="Y64">
        <v>33.084000000000003</v>
      </c>
      <c r="Z64">
        <v>33.942</v>
      </c>
    </row>
    <row r="65" spans="1:26" x14ac:dyDescent="0.45">
      <c r="A65" t="s">
        <v>1973</v>
      </c>
      <c r="B65" t="s">
        <v>2348</v>
      </c>
      <c r="C65" s="3" t="s">
        <v>1584</v>
      </c>
      <c r="D65">
        <v>35.545999999999999</v>
      </c>
      <c r="E65">
        <v>31.48</v>
      </c>
      <c r="F65">
        <v>30.509</v>
      </c>
      <c r="G65">
        <v>31.106999999999999</v>
      </c>
      <c r="H65">
        <v>29.942</v>
      </c>
      <c r="I65">
        <v>36.462000000000003</v>
      </c>
      <c r="J65">
        <v>31.934000000000001</v>
      </c>
      <c r="K65">
        <v>34.618000000000002</v>
      </c>
      <c r="L65">
        <v>30.422999999999998</v>
      </c>
      <c r="M65">
        <v>33.283000000000001</v>
      </c>
      <c r="N65">
        <v>28.852</v>
      </c>
      <c r="O65">
        <v>31.692</v>
      </c>
      <c r="P65">
        <v>29.93</v>
      </c>
      <c r="Q65">
        <v>29.544</v>
      </c>
      <c r="R65">
        <v>30.914000000000001</v>
      </c>
      <c r="S65">
        <v>32.457999999999998</v>
      </c>
      <c r="T65">
        <v>31.27</v>
      </c>
      <c r="U65">
        <v>31.134</v>
      </c>
      <c r="V65">
        <v>28.864000000000001</v>
      </c>
      <c r="W65">
        <v>31.602</v>
      </c>
      <c r="X65">
        <v>30.715</v>
      </c>
      <c r="Y65">
        <v>30.547999999999998</v>
      </c>
      <c r="Z65">
        <v>31.611999999999998</v>
      </c>
    </row>
    <row r="66" spans="1:26" x14ac:dyDescent="0.45">
      <c r="A66" t="s">
        <v>1974</v>
      </c>
      <c r="B66" t="s">
        <v>2349</v>
      </c>
      <c r="C66" s="3" t="s">
        <v>1585</v>
      </c>
      <c r="D66">
        <v>35.79</v>
      </c>
      <c r="E66">
        <v>31.664999999999999</v>
      </c>
      <c r="F66">
        <v>30.219000000000001</v>
      </c>
      <c r="G66">
        <v>29.303000000000001</v>
      </c>
      <c r="H66">
        <v>28.611999999999998</v>
      </c>
      <c r="I66" t="s">
        <v>1906</v>
      </c>
      <c r="J66">
        <v>31.190999999999999</v>
      </c>
      <c r="K66">
        <v>32.006</v>
      </c>
      <c r="L66">
        <v>28.992999999999999</v>
      </c>
      <c r="M66">
        <v>33.673999999999999</v>
      </c>
      <c r="N66">
        <v>30.404</v>
      </c>
      <c r="O66">
        <v>30.524000000000001</v>
      </c>
      <c r="P66">
        <v>29.431999999999999</v>
      </c>
      <c r="Q66">
        <v>29.332999999999998</v>
      </c>
      <c r="R66">
        <v>31.395</v>
      </c>
      <c r="S66">
        <v>30.359000000000002</v>
      </c>
      <c r="T66">
        <v>28.949000000000002</v>
      </c>
      <c r="U66">
        <v>29.626999999999999</v>
      </c>
      <c r="V66">
        <v>28.841000000000001</v>
      </c>
      <c r="W66">
        <v>30.952000000000002</v>
      </c>
      <c r="X66">
        <v>29.032</v>
      </c>
      <c r="Y66">
        <v>28.423999999999999</v>
      </c>
      <c r="Z66">
        <v>29.116</v>
      </c>
    </row>
    <row r="67" spans="1:26" x14ac:dyDescent="0.45">
      <c r="A67" t="s">
        <v>1975</v>
      </c>
      <c r="B67" t="s">
        <v>2350</v>
      </c>
      <c r="C67" s="3" t="s">
        <v>1586</v>
      </c>
      <c r="D67">
        <v>33.567</v>
      </c>
      <c r="E67">
        <v>39.334000000000003</v>
      </c>
      <c r="F67">
        <v>35.429000000000002</v>
      </c>
      <c r="G67">
        <v>39.186999999999998</v>
      </c>
      <c r="H67" t="s">
        <v>1906</v>
      </c>
      <c r="I67">
        <v>37.816000000000003</v>
      </c>
      <c r="J67">
        <v>39.671999999999997</v>
      </c>
      <c r="K67">
        <v>36.747999999999998</v>
      </c>
      <c r="L67" t="s">
        <v>1906</v>
      </c>
      <c r="M67">
        <v>38.508000000000003</v>
      </c>
      <c r="N67">
        <v>37.83</v>
      </c>
      <c r="O67">
        <v>36.548999999999999</v>
      </c>
      <c r="P67">
        <v>35.679000000000002</v>
      </c>
      <c r="Q67">
        <v>36.622999999999998</v>
      </c>
      <c r="R67">
        <v>38.151000000000003</v>
      </c>
      <c r="S67" t="s">
        <v>1906</v>
      </c>
      <c r="T67">
        <v>35.850999999999999</v>
      </c>
      <c r="U67">
        <v>38.783999999999999</v>
      </c>
      <c r="V67">
        <v>35.835999999999999</v>
      </c>
      <c r="W67">
        <v>36.107999999999997</v>
      </c>
      <c r="X67" t="s">
        <v>1906</v>
      </c>
      <c r="Y67">
        <v>36.118000000000002</v>
      </c>
      <c r="Z67">
        <v>35.558</v>
      </c>
    </row>
    <row r="68" spans="1:26" x14ac:dyDescent="0.45">
      <c r="A68" t="s">
        <v>1976</v>
      </c>
      <c r="B68" t="s">
        <v>2351</v>
      </c>
      <c r="C68" s="3" t="s">
        <v>1587</v>
      </c>
      <c r="D68">
        <v>28.623000000000001</v>
      </c>
      <c r="E68">
        <v>29.109000000000002</v>
      </c>
      <c r="F68">
        <v>27.956</v>
      </c>
      <c r="G68">
        <v>29.457999999999998</v>
      </c>
      <c r="H68">
        <v>29.349</v>
      </c>
      <c r="I68">
        <v>31.779</v>
      </c>
      <c r="J68">
        <v>29.312999999999999</v>
      </c>
      <c r="K68">
        <v>29.908000000000001</v>
      </c>
      <c r="L68">
        <v>30.103000000000002</v>
      </c>
      <c r="M68">
        <v>28.806000000000001</v>
      </c>
      <c r="N68">
        <v>27.72</v>
      </c>
      <c r="O68">
        <v>29.625</v>
      </c>
      <c r="P68">
        <v>28.911999999999999</v>
      </c>
      <c r="Q68">
        <v>28.628</v>
      </c>
      <c r="R68">
        <v>28.876999999999999</v>
      </c>
      <c r="S68">
        <v>29.582000000000001</v>
      </c>
      <c r="T68">
        <v>28.713000000000001</v>
      </c>
      <c r="U68">
        <v>28.975999999999999</v>
      </c>
      <c r="V68">
        <v>28.745000000000001</v>
      </c>
      <c r="W68">
        <v>29.170999999999999</v>
      </c>
      <c r="X68">
        <v>31.302</v>
      </c>
      <c r="Y68">
        <v>29.202000000000002</v>
      </c>
      <c r="Z68">
        <v>29.661000000000001</v>
      </c>
    </row>
    <row r="69" spans="1:26" x14ac:dyDescent="0.45">
      <c r="A69" t="s">
        <v>1977</v>
      </c>
      <c r="B69" t="s">
        <v>2352</v>
      </c>
      <c r="C69" s="3" t="s">
        <v>1588</v>
      </c>
      <c r="D69">
        <v>34.381</v>
      </c>
      <c r="E69">
        <v>33.835999999999999</v>
      </c>
      <c r="F69">
        <v>32.731999999999999</v>
      </c>
      <c r="G69">
        <v>36.991999999999997</v>
      </c>
      <c r="H69">
        <v>34.023000000000003</v>
      </c>
      <c r="I69">
        <v>33.639000000000003</v>
      </c>
      <c r="J69">
        <v>33.881</v>
      </c>
      <c r="K69">
        <v>34.207999999999998</v>
      </c>
      <c r="L69">
        <v>34.067</v>
      </c>
      <c r="M69">
        <v>36.466000000000001</v>
      </c>
      <c r="N69">
        <v>34.064</v>
      </c>
      <c r="O69">
        <v>36.286000000000001</v>
      </c>
      <c r="P69">
        <v>34.898000000000003</v>
      </c>
      <c r="Q69">
        <v>36.945</v>
      </c>
      <c r="R69">
        <v>35.314</v>
      </c>
      <c r="S69" t="s">
        <v>1906</v>
      </c>
      <c r="T69">
        <v>33.716000000000001</v>
      </c>
      <c r="U69">
        <v>35.024000000000001</v>
      </c>
      <c r="V69">
        <v>34.840000000000003</v>
      </c>
      <c r="W69">
        <v>34.420999999999999</v>
      </c>
      <c r="X69" t="s">
        <v>1906</v>
      </c>
      <c r="Y69" t="s">
        <v>1906</v>
      </c>
      <c r="Z69">
        <v>34.392000000000003</v>
      </c>
    </row>
    <row r="70" spans="1:26" x14ac:dyDescent="0.45">
      <c r="A70" t="s">
        <v>1978</v>
      </c>
      <c r="B70" t="s">
        <v>2353</v>
      </c>
      <c r="C70" s="3" t="s">
        <v>1589</v>
      </c>
      <c r="D70">
        <v>26.215</v>
      </c>
      <c r="E70">
        <v>25.806999999999999</v>
      </c>
      <c r="F70">
        <v>25.515000000000001</v>
      </c>
      <c r="G70">
        <v>26.158000000000001</v>
      </c>
      <c r="H70">
        <v>25.558</v>
      </c>
      <c r="I70">
        <v>25.751999999999999</v>
      </c>
      <c r="J70">
        <v>25.719000000000001</v>
      </c>
      <c r="K70">
        <v>26.161000000000001</v>
      </c>
      <c r="L70">
        <v>25.718</v>
      </c>
      <c r="M70">
        <v>26.931000000000001</v>
      </c>
      <c r="N70">
        <v>25.670999999999999</v>
      </c>
      <c r="O70">
        <v>26.419</v>
      </c>
      <c r="P70">
        <v>25.92</v>
      </c>
      <c r="Q70">
        <v>25.63</v>
      </c>
      <c r="R70">
        <v>25.952999999999999</v>
      </c>
      <c r="S70">
        <v>28.158000000000001</v>
      </c>
      <c r="T70">
        <v>26.018000000000001</v>
      </c>
      <c r="U70">
        <v>25.567</v>
      </c>
      <c r="V70">
        <v>25.148</v>
      </c>
      <c r="W70">
        <v>26.215</v>
      </c>
      <c r="X70">
        <v>29.856000000000002</v>
      </c>
      <c r="Y70">
        <v>25.716000000000001</v>
      </c>
      <c r="Z70">
        <v>26.908999999999999</v>
      </c>
    </row>
    <row r="71" spans="1:26" x14ac:dyDescent="0.45">
      <c r="A71" t="s">
        <v>1979</v>
      </c>
      <c r="B71" t="s">
        <v>2354</v>
      </c>
      <c r="C71" s="3" t="s">
        <v>1590</v>
      </c>
      <c r="D71">
        <v>25.39</v>
      </c>
      <c r="E71">
        <v>25.189</v>
      </c>
      <c r="F71">
        <v>24.366</v>
      </c>
      <c r="G71">
        <v>25.78</v>
      </c>
      <c r="H71">
        <v>25.25</v>
      </c>
      <c r="I71">
        <v>25.125</v>
      </c>
      <c r="J71">
        <v>26.407</v>
      </c>
      <c r="K71">
        <v>25.844000000000001</v>
      </c>
      <c r="L71">
        <v>25.8</v>
      </c>
      <c r="M71">
        <v>25.248999999999999</v>
      </c>
      <c r="N71">
        <v>25.574999999999999</v>
      </c>
      <c r="O71">
        <v>25.356000000000002</v>
      </c>
      <c r="P71">
        <v>25.347000000000001</v>
      </c>
      <c r="Q71">
        <v>25.725000000000001</v>
      </c>
      <c r="R71">
        <v>25.414000000000001</v>
      </c>
      <c r="S71">
        <v>26.379000000000001</v>
      </c>
      <c r="T71">
        <v>25.167000000000002</v>
      </c>
      <c r="U71">
        <v>25.116</v>
      </c>
      <c r="V71">
        <v>25.103999999999999</v>
      </c>
      <c r="W71">
        <v>25.446999999999999</v>
      </c>
      <c r="X71">
        <v>25.597000000000001</v>
      </c>
      <c r="Y71">
        <v>24.844000000000001</v>
      </c>
      <c r="Z71">
        <v>24.849</v>
      </c>
    </row>
    <row r="72" spans="1:26" x14ac:dyDescent="0.45">
      <c r="A72" t="s">
        <v>1980</v>
      </c>
      <c r="B72" t="s">
        <v>2355</v>
      </c>
      <c r="C72" s="3" t="s">
        <v>1591</v>
      </c>
      <c r="D72">
        <v>28.353000000000002</v>
      </c>
      <c r="E72">
        <v>28.876999999999999</v>
      </c>
      <c r="F72">
        <v>28.001000000000001</v>
      </c>
      <c r="G72">
        <v>29.776</v>
      </c>
      <c r="H72">
        <v>28.875</v>
      </c>
      <c r="I72">
        <v>28.529</v>
      </c>
      <c r="J72">
        <v>30.475000000000001</v>
      </c>
      <c r="K72">
        <v>28.625</v>
      </c>
      <c r="L72">
        <v>28.542000000000002</v>
      </c>
      <c r="M72">
        <v>28.513000000000002</v>
      </c>
      <c r="N72">
        <v>28.437999999999999</v>
      </c>
      <c r="O72">
        <v>28.943000000000001</v>
      </c>
      <c r="P72">
        <v>29.111999999999998</v>
      </c>
      <c r="Q72">
        <v>28.536000000000001</v>
      </c>
      <c r="R72">
        <v>28.704999999999998</v>
      </c>
      <c r="S72">
        <v>30.521000000000001</v>
      </c>
      <c r="T72">
        <v>28.785</v>
      </c>
      <c r="U72">
        <v>28.620999999999999</v>
      </c>
      <c r="V72">
        <v>28.38</v>
      </c>
      <c r="W72">
        <v>29.516999999999999</v>
      </c>
      <c r="X72">
        <v>29.437000000000001</v>
      </c>
      <c r="Y72">
        <v>28.501999999999999</v>
      </c>
      <c r="Z72">
        <v>28.771999999999998</v>
      </c>
    </row>
    <row r="73" spans="1:26" x14ac:dyDescent="0.45">
      <c r="A73" t="s">
        <v>1981</v>
      </c>
      <c r="B73" t="s">
        <v>2356</v>
      </c>
      <c r="C73" s="3" t="s">
        <v>1592</v>
      </c>
      <c r="D73">
        <v>29.527999999999999</v>
      </c>
      <c r="E73">
        <v>30.035</v>
      </c>
      <c r="F73">
        <v>29.634</v>
      </c>
      <c r="G73">
        <v>30.917999999999999</v>
      </c>
      <c r="H73">
        <v>29.917000000000002</v>
      </c>
      <c r="I73">
        <v>29.395</v>
      </c>
      <c r="J73">
        <v>30.285</v>
      </c>
      <c r="K73">
        <v>29.792000000000002</v>
      </c>
      <c r="L73">
        <v>30.241</v>
      </c>
      <c r="M73">
        <v>30.602</v>
      </c>
      <c r="N73">
        <v>29.321999999999999</v>
      </c>
      <c r="O73">
        <v>29.978999999999999</v>
      </c>
      <c r="P73">
        <v>31.015000000000001</v>
      </c>
      <c r="Q73">
        <v>30.327000000000002</v>
      </c>
      <c r="R73">
        <v>30.297999999999998</v>
      </c>
      <c r="S73">
        <v>30.504000000000001</v>
      </c>
      <c r="T73">
        <v>30.24</v>
      </c>
      <c r="U73">
        <v>29.795999999999999</v>
      </c>
      <c r="V73">
        <v>29.675000000000001</v>
      </c>
      <c r="W73">
        <v>31.234999999999999</v>
      </c>
      <c r="X73">
        <v>29.664999999999999</v>
      </c>
      <c r="Y73">
        <v>29.364000000000001</v>
      </c>
      <c r="Z73">
        <v>29.332999999999998</v>
      </c>
    </row>
    <row r="74" spans="1:26" x14ac:dyDescent="0.45">
      <c r="A74" t="s">
        <v>1982</v>
      </c>
      <c r="B74" t="s">
        <v>2357</v>
      </c>
      <c r="C74" s="3" t="s">
        <v>1593</v>
      </c>
      <c r="D74">
        <v>27.855</v>
      </c>
      <c r="E74">
        <v>28.382999999999999</v>
      </c>
      <c r="F74">
        <v>28.292000000000002</v>
      </c>
      <c r="G74">
        <v>28.556999999999999</v>
      </c>
      <c r="H74">
        <v>28.181000000000001</v>
      </c>
      <c r="I74">
        <v>27.98</v>
      </c>
      <c r="J74">
        <v>27.966999999999999</v>
      </c>
      <c r="K74">
        <v>28.486999999999998</v>
      </c>
      <c r="L74">
        <v>27.597999999999999</v>
      </c>
      <c r="M74">
        <v>28.657</v>
      </c>
      <c r="N74">
        <v>28.109000000000002</v>
      </c>
      <c r="O74">
        <v>29.100999999999999</v>
      </c>
      <c r="P74">
        <v>28.681999999999999</v>
      </c>
      <c r="Q74">
        <v>28.206</v>
      </c>
      <c r="R74">
        <v>28.437999999999999</v>
      </c>
      <c r="S74">
        <v>28.047000000000001</v>
      </c>
      <c r="T74">
        <v>27.584</v>
      </c>
      <c r="U74">
        <v>28.17</v>
      </c>
      <c r="V74">
        <v>27.696000000000002</v>
      </c>
      <c r="W74">
        <v>27.867000000000001</v>
      </c>
      <c r="X74">
        <v>28.123999999999999</v>
      </c>
      <c r="Y74">
        <v>27.847000000000001</v>
      </c>
      <c r="Z74">
        <v>27.885999999999999</v>
      </c>
    </row>
    <row r="75" spans="1:26" x14ac:dyDescent="0.45">
      <c r="A75" t="s">
        <v>1983</v>
      </c>
      <c r="B75" t="s">
        <v>2358</v>
      </c>
      <c r="C75" s="3" t="s">
        <v>1594</v>
      </c>
      <c r="D75">
        <v>27.209</v>
      </c>
      <c r="E75">
        <v>26.850999999999999</v>
      </c>
      <c r="F75">
        <v>26.928000000000001</v>
      </c>
      <c r="G75">
        <v>27.742999999999999</v>
      </c>
      <c r="H75">
        <v>27.111999999999998</v>
      </c>
      <c r="I75">
        <v>26.869</v>
      </c>
      <c r="J75">
        <v>26.527000000000001</v>
      </c>
      <c r="K75">
        <v>27.672999999999998</v>
      </c>
      <c r="L75">
        <v>27.183</v>
      </c>
      <c r="M75">
        <v>27.975999999999999</v>
      </c>
      <c r="N75">
        <v>28.094000000000001</v>
      </c>
      <c r="O75">
        <v>27.146999999999998</v>
      </c>
      <c r="P75">
        <v>27.881</v>
      </c>
      <c r="Q75">
        <v>27.666</v>
      </c>
      <c r="R75">
        <v>28.22</v>
      </c>
      <c r="S75">
        <v>27.661000000000001</v>
      </c>
      <c r="T75">
        <v>27.300999999999998</v>
      </c>
      <c r="U75">
        <v>27.757000000000001</v>
      </c>
      <c r="V75">
        <v>26.763000000000002</v>
      </c>
      <c r="W75">
        <v>27.710999999999999</v>
      </c>
      <c r="X75">
        <v>27.895</v>
      </c>
      <c r="Y75">
        <v>26.484999999999999</v>
      </c>
      <c r="Z75">
        <v>26.571999999999999</v>
      </c>
    </row>
    <row r="76" spans="1:26" x14ac:dyDescent="0.45">
      <c r="A76" t="s">
        <v>1984</v>
      </c>
      <c r="B76" t="s">
        <v>2359</v>
      </c>
      <c r="C76" s="3" t="s">
        <v>1595</v>
      </c>
      <c r="D76">
        <v>24.699000000000002</v>
      </c>
      <c r="E76">
        <v>24.791</v>
      </c>
      <c r="F76">
        <v>24.140999999999998</v>
      </c>
      <c r="G76">
        <v>26.158999999999999</v>
      </c>
      <c r="H76">
        <v>24.568999999999999</v>
      </c>
      <c r="I76">
        <v>24.204000000000001</v>
      </c>
      <c r="J76">
        <v>24.45</v>
      </c>
      <c r="K76">
        <v>24.850999999999999</v>
      </c>
      <c r="L76">
        <v>24.928999999999998</v>
      </c>
      <c r="M76">
        <v>25.492999999999999</v>
      </c>
      <c r="N76">
        <v>25.181999999999999</v>
      </c>
      <c r="O76">
        <v>25.152999999999999</v>
      </c>
      <c r="P76">
        <v>25.001000000000001</v>
      </c>
      <c r="Q76">
        <v>24.896999999999998</v>
      </c>
      <c r="R76">
        <v>24.965</v>
      </c>
      <c r="S76">
        <v>24.937000000000001</v>
      </c>
      <c r="T76">
        <v>24.981000000000002</v>
      </c>
      <c r="U76">
        <v>24.638999999999999</v>
      </c>
      <c r="V76">
        <v>24.617000000000001</v>
      </c>
      <c r="W76">
        <v>25.138000000000002</v>
      </c>
      <c r="X76">
        <v>25.335000000000001</v>
      </c>
      <c r="Y76">
        <v>24.49</v>
      </c>
      <c r="Z76">
        <v>24.567</v>
      </c>
    </row>
    <row r="77" spans="1:26" x14ac:dyDescent="0.45">
      <c r="A77" t="s">
        <v>1985</v>
      </c>
      <c r="B77" t="s">
        <v>2360</v>
      </c>
      <c r="C77" s="3" t="s">
        <v>1596</v>
      </c>
      <c r="D77">
        <v>25.759</v>
      </c>
      <c r="E77">
        <v>25.773</v>
      </c>
      <c r="F77">
        <v>24.911000000000001</v>
      </c>
      <c r="G77">
        <v>26.507999999999999</v>
      </c>
      <c r="H77">
        <v>25.646000000000001</v>
      </c>
      <c r="I77">
        <v>24.795000000000002</v>
      </c>
      <c r="J77">
        <v>25.332999999999998</v>
      </c>
      <c r="K77">
        <v>25.815000000000001</v>
      </c>
      <c r="L77">
        <v>25.619</v>
      </c>
      <c r="M77">
        <v>25.643999999999998</v>
      </c>
      <c r="N77">
        <v>25.722000000000001</v>
      </c>
      <c r="O77">
        <v>26.152000000000001</v>
      </c>
      <c r="P77">
        <v>25.661000000000001</v>
      </c>
      <c r="Q77">
        <v>25.600999999999999</v>
      </c>
      <c r="R77">
        <v>26.216999999999999</v>
      </c>
      <c r="S77">
        <v>25.824000000000002</v>
      </c>
      <c r="T77">
        <v>25.856999999999999</v>
      </c>
      <c r="U77">
        <v>25.648</v>
      </c>
      <c r="V77">
        <v>25.408999999999999</v>
      </c>
      <c r="W77">
        <v>25.832999999999998</v>
      </c>
      <c r="X77">
        <v>26.404</v>
      </c>
      <c r="Y77">
        <v>25.623999999999999</v>
      </c>
      <c r="Z77">
        <v>25.638000000000002</v>
      </c>
    </row>
    <row r="78" spans="1:26" x14ac:dyDescent="0.45">
      <c r="A78" t="s">
        <v>1986</v>
      </c>
      <c r="B78" t="s">
        <v>2361</v>
      </c>
      <c r="C78" s="3" t="s">
        <v>1597</v>
      </c>
      <c r="D78">
        <v>22.824999999999999</v>
      </c>
      <c r="E78">
        <v>23.225999999999999</v>
      </c>
      <c r="F78">
        <v>22.937999999999999</v>
      </c>
      <c r="G78">
        <v>23.960999999999999</v>
      </c>
      <c r="H78">
        <v>22.838999999999999</v>
      </c>
      <c r="I78">
        <v>22.149000000000001</v>
      </c>
      <c r="J78">
        <v>22.623000000000001</v>
      </c>
      <c r="K78">
        <v>23.196999999999999</v>
      </c>
      <c r="L78">
        <v>22.995000000000001</v>
      </c>
      <c r="M78">
        <v>23.091000000000001</v>
      </c>
      <c r="N78">
        <v>23.393000000000001</v>
      </c>
      <c r="O78">
        <v>23.094000000000001</v>
      </c>
      <c r="P78">
        <v>22.908000000000001</v>
      </c>
      <c r="Q78">
        <v>22.826000000000001</v>
      </c>
      <c r="R78">
        <v>23.350999999999999</v>
      </c>
      <c r="S78">
        <v>23.361999999999998</v>
      </c>
      <c r="T78">
        <v>22.911000000000001</v>
      </c>
      <c r="U78">
        <v>22.942</v>
      </c>
      <c r="V78">
        <v>22.797000000000001</v>
      </c>
      <c r="W78">
        <v>22.988</v>
      </c>
      <c r="X78">
        <v>23.47</v>
      </c>
      <c r="Y78">
        <v>22.567</v>
      </c>
      <c r="Z78">
        <v>22.768000000000001</v>
      </c>
    </row>
    <row r="79" spans="1:26" x14ac:dyDescent="0.45">
      <c r="A79" t="s">
        <v>1987</v>
      </c>
      <c r="B79" t="s">
        <v>2362</v>
      </c>
      <c r="C79" s="3" t="s">
        <v>1598</v>
      </c>
      <c r="D79">
        <v>26.812999999999999</v>
      </c>
      <c r="E79">
        <v>26.436</v>
      </c>
      <c r="F79">
        <v>26.221</v>
      </c>
      <c r="G79">
        <v>27.643000000000001</v>
      </c>
      <c r="H79">
        <v>26.277999999999999</v>
      </c>
      <c r="I79">
        <v>25.86</v>
      </c>
      <c r="J79">
        <v>26.722000000000001</v>
      </c>
      <c r="K79">
        <v>27.334</v>
      </c>
      <c r="L79">
        <v>26.863</v>
      </c>
      <c r="M79">
        <v>27.170999999999999</v>
      </c>
      <c r="N79">
        <v>26.995000000000001</v>
      </c>
      <c r="O79">
        <v>27.238</v>
      </c>
      <c r="P79">
        <v>26.498999999999999</v>
      </c>
      <c r="Q79">
        <v>26.858000000000001</v>
      </c>
      <c r="R79">
        <v>26.672999999999998</v>
      </c>
      <c r="S79">
        <v>26.879000000000001</v>
      </c>
      <c r="T79">
        <v>26.687000000000001</v>
      </c>
      <c r="U79">
        <v>26.631</v>
      </c>
      <c r="V79">
        <v>26.460999999999999</v>
      </c>
      <c r="W79">
        <v>26.69</v>
      </c>
      <c r="X79">
        <v>27.434000000000001</v>
      </c>
      <c r="Y79">
        <v>26.571999999999999</v>
      </c>
      <c r="Z79">
        <v>26.42</v>
      </c>
    </row>
    <row r="80" spans="1:26" x14ac:dyDescent="0.45">
      <c r="A80" t="s">
        <v>1988</v>
      </c>
      <c r="B80" t="s">
        <v>2363</v>
      </c>
      <c r="C80" s="3" t="s">
        <v>1599</v>
      </c>
      <c r="D80">
        <v>30.375</v>
      </c>
      <c r="E80">
        <v>30.686</v>
      </c>
      <c r="F80">
        <v>29.702000000000002</v>
      </c>
      <c r="G80">
        <v>30.396999999999998</v>
      </c>
      <c r="H80">
        <v>32.133000000000003</v>
      </c>
      <c r="I80">
        <v>32.493000000000002</v>
      </c>
      <c r="J80">
        <v>29.573</v>
      </c>
      <c r="K80">
        <v>30.3</v>
      </c>
      <c r="L80">
        <v>30.111999999999998</v>
      </c>
      <c r="M80">
        <v>29.492000000000001</v>
      </c>
      <c r="N80">
        <v>29.425999999999998</v>
      </c>
      <c r="O80">
        <v>32.484999999999999</v>
      </c>
      <c r="P80">
        <v>29.95</v>
      </c>
      <c r="Q80">
        <v>30.172999999999998</v>
      </c>
      <c r="R80">
        <v>30.292000000000002</v>
      </c>
      <c r="S80">
        <v>30.872</v>
      </c>
      <c r="T80">
        <v>36.872</v>
      </c>
      <c r="U80">
        <v>30.327000000000002</v>
      </c>
      <c r="V80">
        <v>30.077999999999999</v>
      </c>
      <c r="W80">
        <v>31.834</v>
      </c>
      <c r="X80">
        <v>30.800999999999998</v>
      </c>
      <c r="Y80">
        <v>30.652000000000001</v>
      </c>
      <c r="Z80">
        <v>31.792000000000002</v>
      </c>
    </row>
    <row r="81" spans="1:26" x14ac:dyDescent="0.45">
      <c r="A81" t="s">
        <v>1989</v>
      </c>
      <c r="B81" t="s">
        <v>2364</v>
      </c>
      <c r="C81" s="3" t="s">
        <v>1600</v>
      </c>
      <c r="D81">
        <v>27.962</v>
      </c>
      <c r="E81">
        <v>28.494</v>
      </c>
      <c r="F81">
        <v>27.361000000000001</v>
      </c>
      <c r="G81">
        <v>28.984000000000002</v>
      </c>
      <c r="H81">
        <v>28.286000000000001</v>
      </c>
      <c r="I81">
        <v>27.753</v>
      </c>
      <c r="J81">
        <v>28.123000000000001</v>
      </c>
      <c r="K81">
        <v>28.824999999999999</v>
      </c>
      <c r="L81">
        <v>28.18</v>
      </c>
      <c r="M81">
        <v>28.43</v>
      </c>
      <c r="N81">
        <v>27.655000000000001</v>
      </c>
      <c r="O81">
        <v>28.484000000000002</v>
      </c>
      <c r="P81">
        <v>28.39</v>
      </c>
      <c r="Q81">
        <v>28.484000000000002</v>
      </c>
      <c r="R81">
        <v>28.315000000000001</v>
      </c>
      <c r="S81">
        <v>28.382000000000001</v>
      </c>
      <c r="T81">
        <v>28.341000000000001</v>
      </c>
      <c r="U81">
        <v>28.364999999999998</v>
      </c>
      <c r="V81">
        <v>27.966999999999999</v>
      </c>
      <c r="W81">
        <v>28.28</v>
      </c>
      <c r="X81">
        <v>28.98</v>
      </c>
      <c r="Y81">
        <v>28.472999999999999</v>
      </c>
      <c r="Z81">
        <v>27.899000000000001</v>
      </c>
    </row>
    <row r="82" spans="1:26" x14ac:dyDescent="0.45">
      <c r="A82" t="s">
        <v>1990</v>
      </c>
      <c r="B82" t="s">
        <v>2365</v>
      </c>
      <c r="C82" s="3" t="s">
        <v>1601</v>
      </c>
      <c r="D82">
        <v>28.532</v>
      </c>
      <c r="E82">
        <v>29.076000000000001</v>
      </c>
      <c r="F82">
        <v>28.734999999999999</v>
      </c>
      <c r="G82">
        <v>29.614999999999998</v>
      </c>
      <c r="H82">
        <v>28.888000000000002</v>
      </c>
      <c r="I82">
        <v>28.552</v>
      </c>
      <c r="J82">
        <v>29.664999999999999</v>
      </c>
      <c r="K82">
        <v>28.196999999999999</v>
      </c>
      <c r="L82">
        <v>29.006</v>
      </c>
      <c r="M82">
        <v>29.201000000000001</v>
      </c>
      <c r="N82">
        <v>29.783999999999999</v>
      </c>
      <c r="O82">
        <v>29.963000000000001</v>
      </c>
      <c r="P82">
        <v>27.753</v>
      </c>
      <c r="Q82">
        <v>30.681000000000001</v>
      </c>
      <c r="R82">
        <v>29.658000000000001</v>
      </c>
      <c r="S82">
        <v>28.561</v>
      </c>
      <c r="T82">
        <v>29.297999999999998</v>
      </c>
      <c r="U82">
        <v>29.933</v>
      </c>
      <c r="V82">
        <v>28.52</v>
      </c>
      <c r="W82">
        <v>29.327999999999999</v>
      </c>
      <c r="X82">
        <v>30.119</v>
      </c>
      <c r="Y82">
        <v>29.606999999999999</v>
      </c>
      <c r="Z82">
        <v>27.917000000000002</v>
      </c>
    </row>
    <row r="83" spans="1:26" x14ac:dyDescent="0.45">
      <c r="A83" t="s">
        <v>1991</v>
      </c>
      <c r="B83" t="s">
        <v>2366</v>
      </c>
      <c r="C83" s="3" t="s">
        <v>1602</v>
      </c>
      <c r="D83">
        <v>30.614999999999998</v>
      </c>
      <c r="E83">
        <v>32.624000000000002</v>
      </c>
      <c r="F83">
        <v>31.462</v>
      </c>
      <c r="G83">
        <v>30.888000000000002</v>
      </c>
      <c r="H83">
        <v>30.934000000000001</v>
      </c>
      <c r="I83">
        <v>30.24</v>
      </c>
      <c r="J83">
        <v>32.134999999999998</v>
      </c>
      <c r="K83">
        <v>30.76</v>
      </c>
      <c r="L83">
        <v>31.111000000000001</v>
      </c>
      <c r="M83">
        <v>31.515000000000001</v>
      </c>
      <c r="N83">
        <v>32.527999999999999</v>
      </c>
      <c r="O83">
        <v>30.768999999999998</v>
      </c>
      <c r="P83">
        <v>30.452000000000002</v>
      </c>
      <c r="Q83">
        <v>31.32</v>
      </c>
      <c r="R83">
        <v>31.411999999999999</v>
      </c>
      <c r="S83">
        <v>31.681000000000001</v>
      </c>
      <c r="T83">
        <v>33.802999999999997</v>
      </c>
      <c r="U83">
        <v>31.331</v>
      </c>
      <c r="V83">
        <v>30.367999999999999</v>
      </c>
      <c r="W83">
        <v>31.478000000000002</v>
      </c>
      <c r="X83">
        <v>32.124000000000002</v>
      </c>
      <c r="Y83">
        <v>29.876000000000001</v>
      </c>
      <c r="Z83">
        <v>31.222999999999999</v>
      </c>
    </row>
    <row r="84" spans="1:26" x14ac:dyDescent="0.45">
      <c r="A84" t="s">
        <v>1992</v>
      </c>
      <c r="B84" t="s">
        <v>2367</v>
      </c>
      <c r="C84" s="3" t="s">
        <v>1603</v>
      </c>
      <c r="D84">
        <v>20.524999999999999</v>
      </c>
      <c r="E84">
        <v>20.437999999999999</v>
      </c>
      <c r="F84">
        <v>19.905999999999999</v>
      </c>
      <c r="G84">
        <v>21.611999999999998</v>
      </c>
      <c r="H84">
        <v>20.587</v>
      </c>
      <c r="I84">
        <v>19.212</v>
      </c>
      <c r="J84">
        <v>20.649000000000001</v>
      </c>
      <c r="K84">
        <v>20.719000000000001</v>
      </c>
      <c r="L84">
        <v>19.882000000000001</v>
      </c>
      <c r="M84">
        <v>20.3</v>
      </c>
      <c r="N84">
        <v>20.661000000000001</v>
      </c>
      <c r="O84">
        <v>20.689</v>
      </c>
      <c r="P84">
        <v>20.111999999999998</v>
      </c>
      <c r="Q84">
        <v>20.529</v>
      </c>
      <c r="R84">
        <v>20.641999999999999</v>
      </c>
      <c r="S84">
        <v>20.800999999999998</v>
      </c>
      <c r="T84">
        <v>20.718</v>
      </c>
      <c r="U84">
        <v>20.654</v>
      </c>
      <c r="V84">
        <v>19.928999999999998</v>
      </c>
      <c r="W84">
        <v>20.363</v>
      </c>
      <c r="X84">
        <v>21</v>
      </c>
      <c r="Y84">
        <v>19.905999999999999</v>
      </c>
      <c r="Z84">
        <v>20.004999999999999</v>
      </c>
    </row>
    <row r="85" spans="1:26" x14ac:dyDescent="0.45">
      <c r="A85" t="s">
        <v>1993</v>
      </c>
      <c r="B85" t="s">
        <v>2368</v>
      </c>
      <c r="C85" s="3" t="s">
        <v>1604</v>
      </c>
      <c r="D85">
        <v>24.709</v>
      </c>
      <c r="E85">
        <v>24.684000000000001</v>
      </c>
      <c r="F85">
        <v>23.994</v>
      </c>
      <c r="G85">
        <v>26.295999999999999</v>
      </c>
      <c r="H85">
        <v>25.690999999999999</v>
      </c>
      <c r="I85">
        <v>25.274000000000001</v>
      </c>
      <c r="J85">
        <v>25.117000000000001</v>
      </c>
      <c r="K85">
        <v>25.177</v>
      </c>
      <c r="L85">
        <v>24.853000000000002</v>
      </c>
      <c r="M85">
        <v>25.376000000000001</v>
      </c>
      <c r="N85">
        <v>25.465</v>
      </c>
      <c r="O85">
        <v>25.556000000000001</v>
      </c>
      <c r="P85">
        <v>24.81</v>
      </c>
      <c r="Q85">
        <v>24.85</v>
      </c>
      <c r="R85">
        <v>25.991</v>
      </c>
      <c r="S85">
        <v>24.815999999999999</v>
      </c>
      <c r="T85">
        <v>25.457999999999998</v>
      </c>
      <c r="U85">
        <v>25.015000000000001</v>
      </c>
      <c r="V85">
        <v>24.648</v>
      </c>
      <c r="W85">
        <v>24.748000000000001</v>
      </c>
      <c r="X85">
        <v>26.46</v>
      </c>
      <c r="Y85">
        <v>25.343</v>
      </c>
      <c r="Z85">
        <v>24.84</v>
      </c>
    </row>
    <row r="86" spans="1:26" x14ac:dyDescent="0.45">
      <c r="A86" t="s">
        <v>1994</v>
      </c>
      <c r="B86" t="s">
        <v>2369</v>
      </c>
      <c r="C86" s="3" t="s">
        <v>1605</v>
      </c>
      <c r="D86">
        <v>26.308</v>
      </c>
      <c r="E86">
        <v>26.544</v>
      </c>
      <c r="F86">
        <v>25.888999999999999</v>
      </c>
      <c r="G86">
        <v>28.484999999999999</v>
      </c>
      <c r="H86">
        <v>27.152999999999999</v>
      </c>
      <c r="I86">
        <v>26.645</v>
      </c>
      <c r="J86">
        <v>27.300999999999998</v>
      </c>
      <c r="K86">
        <v>27.3</v>
      </c>
      <c r="L86">
        <v>26.489000000000001</v>
      </c>
      <c r="M86">
        <v>26.884</v>
      </c>
      <c r="N86">
        <v>27.462</v>
      </c>
      <c r="O86">
        <v>27.472999999999999</v>
      </c>
      <c r="P86">
        <v>26.657</v>
      </c>
      <c r="Q86">
        <v>26.536000000000001</v>
      </c>
      <c r="R86">
        <v>27.347000000000001</v>
      </c>
      <c r="S86">
        <v>26.408000000000001</v>
      </c>
      <c r="T86">
        <v>26.838999999999999</v>
      </c>
      <c r="U86">
        <v>26.689</v>
      </c>
      <c r="V86">
        <v>26.492999999999999</v>
      </c>
      <c r="W86">
        <v>26.568999999999999</v>
      </c>
      <c r="X86">
        <v>27.872</v>
      </c>
      <c r="Y86">
        <v>26.887</v>
      </c>
      <c r="Z86">
        <v>26.713000000000001</v>
      </c>
    </row>
    <row r="87" spans="1:26" x14ac:dyDescent="0.45">
      <c r="A87" t="s">
        <v>1995</v>
      </c>
      <c r="B87" t="s">
        <v>2370</v>
      </c>
      <c r="C87" s="3" t="s">
        <v>1606</v>
      </c>
      <c r="D87">
        <v>25.876999999999999</v>
      </c>
      <c r="E87">
        <v>25.170999999999999</v>
      </c>
      <c r="F87">
        <v>24.587</v>
      </c>
      <c r="G87">
        <v>26.408999999999999</v>
      </c>
      <c r="H87">
        <v>25.545999999999999</v>
      </c>
      <c r="I87">
        <v>27.893000000000001</v>
      </c>
      <c r="J87">
        <v>25.254000000000001</v>
      </c>
      <c r="K87">
        <v>25.885999999999999</v>
      </c>
      <c r="L87">
        <v>24.783000000000001</v>
      </c>
      <c r="M87">
        <v>26.395</v>
      </c>
      <c r="N87">
        <v>26.167000000000002</v>
      </c>
      <c r="O87">
        <v>25.827000000000002</v>
      </c>
      <c r="P87">
        <v>25.2</v>
      </c>
      <c r="Q87">
        <v>25.326000000000001</v>
      </c>
      <c r="R87">
        <v>25.489000000000001</v>
      </c>
      <c r="S87">
        <v>26.302</v>
      </c>
      <c r="T87">
        <v>25.132999999999999</v>
      </c>
      <c r="U87">
        <v>25.158999999999999</v>
      </c>
      <c r="V87">
        <v>24.907</v>
      </c>
      <c r="W87">
        <v>25.582999999999998</v>
      </c>
      <c r="X87">
        <v>26.821000000000002</v>
      </c>
      <c r="Y87">
        <v>25.689</v>
      </c>
      <c r="Z87">
        <v>25.725000000000001</v>
      </c>
    </row>
    <row r="88" spans="1:26" x14ac:dyDescent="0.45">
      <c r="A88" t="s">
        <v>1996</v>
      </c>
      <c r="B88" t="s">
        <v>2371</v>
      </c>
      <c r="C88" s="3" t="s">
        <v>1607</v>
      </c>
      <c r="D88">
        <v>29.167000000000002</v>
      </c>
      <c r="E88">
        <v>28.454999999999998</v>
      </c>
      <c r="F88">
        <v>28.109000000000002</v>
      </c>
      <c r="G88">
        <v>29.71</v>
      </c>
      <c r="H88">
        <v>28.96</v>
      </c>
      <c r="I88">
        <v>31.638000000000002</v>
      </c>
      <c r="J88">
        <v>28.201000000000001</v>
      </c>
      <c r="K88">
        <v>28.702999999999999</v>
      </c>
      <c r="L88">
        <v>27.7</v>
      </c>
      <c r="M88">
        <v>29.614999999999998</v>
      </c>
      <c r="N88">
        <v>29.312000000000001</v>
      </c>
      <c r="O88">
        <v>29.14</v>
      </c>
      <c r="P88">
        <v>27.997</v>
      </c>
      <c r="Q88">
        <v>27.762</v>
      </c>
      <c r="R88">
        <v>28.503</v>
      </c>
      <c r="S88">
        <v>29.41</v>
      </c>
      <c r="T88">
        <v>28.001999999999999</v>
      </c>
      <c r="U88">
        <v>28.222999999999999</v>
      </c>
      <c r="V88">
        <v>27.754999999999999</v>
      </c>
      <c r="W88">
        <v>28.795000000000002</v>
      </c>
      <c r="X88">
        <v>29.649000000000001</v>
      </c>
      <c r="Y88">
        <v>28.882999999999999</v>
      </c>
      <c r="Z88">
        <v>28.663</v>
      </c>
    </row>
    <row r="89" spans="1:26" x14ac:dyDescent="0.45">
      <c r="A89" t="s">
        <v>1997</v>
      </c>
      <c r="B89" t="s">
        <v>2372</v>
      </c>
      <c r="C89" s="3" t="s">
        <v>1608</v>
      </c>
      <c r="D89">
        <v>31.048999999999999</v>
      </c>
      <c r="E89">
        <v>29.352</v>
      </c>
      <c r="F89">
        <v>26.637</v>
      </c>
      <c r="G89">
        <v>26.613</v>
      </c>
      <c r="H89">
        <v>26.192</v>
      </c>
      <c r="I89">
        <v>32.978000000000002</v>
      </c>
      <c r="J89">
        <v>28.545000000000002</v>
      </c>
      <c r="K89">
        <v>29.399000000000001</v>
      </c>
      <c r="L89">
        <v>26.527999999999999</v>
      </c>
      <c r="M89">
        <v>29.69</v>
      </c>
      <c r="N89">
        <v>27.925000000000001</v>
      </c>
      <c r="O89">
        <v>27.459</v>
      </c>
      <c r="P89">
        <v>26.835999999999999</v>
      </c>
      <c r="Q89">
        <v>28.431999999999999</v>
      </c>
      <c r="R89">
        <v>28.245999999999999</v>
      </c>
      <c r="S89">
        <v>27.527000000000001</v>
      </c>
      <c r="T89">
        <v>27.946999999999999</v>
      </c>
      <c r="U89">
        <v>27.106000000000002</v>
      </c>
      <c r="V89">
        <v>26.43</v>
      </c>
      <c r="W89">
        <v>27.23</v>
      </c>
      <c r="X89">
        <v>26.199000000000002</v>
      </c>
      <c r="Y89">
        <v>26.888000000000002</v>
      </c>
      <c r="Z89">
        <v>27.321000000000002</v>
      </c>
    </row>
    <row r="90" spans="1:26" x14ac:dyDescent="0.45">
      <c r="A90" t="s">
        <v>1998</v>
      </c>
      <c r="B90" t="s">
        <v>2373</v>
      </c>
      <c r="C90" s="3" t="s">
        <v>1609</v>
      </c>
      <c r="D90">
        <v>36.792999999999999</v>
      </c>
      <c r="E90">
        <v>33.276000000000003</v>
      </c>
      <c r="F90">
        <v>31.628</v>
      </c>
      <c r="G90">
        <v>32.470999999999997</v>
      </c>
      <c r="H90">
        <v>31.337</v>
      </c>
      <c r="I90">
        <v>39.296999999999997</v>
      </c>
      <c r="J90">
        <v>34.329000000000001</v>
      </c>
      <c r="K90">
        <v>34.281999999999996</v>
      </c>
      <c r="L90">
        <v>31.414000000000001</v>
      </c>
      <c r="M90">
        <v>34.929000000000002</v>
      </c>
      <c r="N90">
        <v>31</v>
      </c>
      <c r="O90">
        <v>33.012999999999998</v>
      </c>
      <c r="P90">
        <v>31.484999999999999</v>
      </c>
      <c r="Q90">
        <v>31.888000000000002</v>
      </c>
      <c r="R90">
        <v>34.110999999999997</v>
      </c>
      <c r="S90">
        <v>34.569000000000003</v>
      </c>
      <c r="T90">
        <v>31.712</v>
      </c>
      <c r="U90">
        <v>31.815999999999999</v>
      </c>
      <c r="V90">
        <v>30.033999999999999</v>
      </c>
      <c r="W90">
        <v>32.909999999999997</v>
      </c>
      <c r="X90">
        <v>32.545999999999999</v>
      </c>
      <c r="Y90">
        <v>31.53</v>
      </c>
      <c r="Z90">
        <v>31.873000000000001</v>
      </c>
    </row>
    <row r="91" spans="1:26" x14ac:dyDescent="0.45">
      <c r="A91" t="s">
        <v>1999</v>
      </c>
      <c r="B91" t="s">
        <v>2374</v>
      </c>
      <c r="C91" s="3" t="s">
        <v>1610</v>
      </c>
      <c r="D91">
        <v>22.672000000000001</v>
      </c>
      <c r="E91">
        <v>22.885999999999999</v>
      </c>
      <c r="F91">
        <v>22.187000000000001</v>
      </c>
      <c r="G91">
        <v>23.210999999999999</v>
      </c>
      <c r="H91">
        <v>23.338000000000001</v>
      </c>
      <c r="I91">
        <v>25.716000000000001</v>
      </c>
      <c r="J91">
        <v>23.638000000000002</v>
      </c>
      <c r="K91">
        <v>23.492999999999999</v>
      </c>
      <c r="L91">
        <v>23.849</v>
      </c>
      <c r="M91">
        <v>22.649000000000001</v>
      </c>
      <c r="N91">
        <v>22.530999999999999</v>
      </c>
      <c r="O91">
        <v>22.98</v>
      </c>
      <c r="P91">
        <v>22.882999999999999</v>
      </c>
      <c r="Q91">
        <v>22.635000000000002</v>
      </c>
      <c r="R91">
        <v>22.853999999999999</v>
      </c>
      <c r="S91">
        <v>24.143000000000001</v>
      </c>
      <c r="T91">
        <v>22.702000000000002</v>
      </c>
      <c r="U91">
        <v>23.227</v>
      </c>
      <c r="V91">
        <v>23.094999999999999</v>
      </c>
      <c r="W91">
        <v>23.326000000000001</v>
      </c>
      <c r="X91">
        <v>25.327999999999999</v>
      </c>
      <c r="Y91">
        <v>22.518000000000001</v>
      </c>
      <c r="Z91">
        <v>23.742000000000001</v>
      </c>
    </row>
    <row r="92" spans="1:26" x14ac:dyDescent="0.45">
      <c r="A92" t="s">
        <v>2000</v>
      </c>
      <c r="B92" t="s">
        <v>2375</v>
      </c>
      <c r="C92" s="3" t="s">
        <v>1611</v>
      </c>
      <c r="D92">
        <v>29.661999999999999</v>
      </c>
      <c r="E92">
        <v>29.684999999999999</v>
      </c>
      <c r="F92">
        <v>29.268999999999998</v>
      </c>
      <c r="G92">
        <v>29.707000000000001</v>
      </c>
      <c r="H92">
        <v>30.378</v>
      </c>
      <c r="I92">
        <v>33.26</v>
      </c>
      <c r="J92">
        <v>30.183</v>
      </c>
      <c r="K92">
        <v>29.741</v>
      </c>
      <c r="L92">
        <v>30.692</v>
      </c>
      <c r="M92">
        <v>29.861000000000001</v>
      </c>
      <c r="N92">
        <v>28.765000000000001</v>
      </c>
      <c r="O92">
        <v>29.744</v>
      </c>
      <c r="P92">
        <v>29.751999999999999</v>
      </c>
      <c r="Q92">
        <v>29.338999999999999</v>
      </c>
      <c r="R92">
        <v>30.530999999999999</v>
      </c>
      <c r="S92">
        <v>30.36</v>
      </c>
      <c r="T92">
        <v>29.667000000000002</v>
      </c>
      <c r="U92">
        <v>30.635000000000002</v>
      </c>
      <c r="V92">
        <v>29.972000000000001</v>
      </c>
      <c r="W92">
        <v>29.95</v>
      </c>
      <c r="X92">
        <v>30.952999999999999</v>
      </c>
      <c r="Y92">
        <v>28.963000000000001</v>
      </c>
      <c r="Z92">
        <v>29.85</v>
      </c>
    </row>
    <row r="93" spans="1:26" x14ac:dyDescent="0.45">
      <c r="A93" t="s">
        <v>2001</v>
      </c>
      <c r="B93" t="s">
        <v>2376</v>
      </c>
      <c r="C93" s="3" t="s">
        <v>1612</v>
      </c>
      <c r="D93">
        <v>32.396000000000001</v>
      </c>
      <c r="E93">
        <v>30.745000000000001</v>
      </c>
      <c r="F93">
        <v>31.94</v>
      </c>
      <c r="G93">
        <v>33.703000000000003</v>
      </c>
      <c r="H93">
        <v>31.847000000000001</v>
      </c>
      <c r="I93">
        <v>31.966000000000001</v>
      </c>
      <c r="J93">
        <v>30.824000000000002</v>
      </c>
      <c r="K93">
        <v>33.348999999999997</v>
      </c>
      <c r="L93">
        <v>33.445999999999998</v>
      </c>
      <c r="M93">
        <v>33.24</v>
      </c>
      <c r="N93">
        <v>33.970999999999997</v>
      </c>
      <c r="O93">
        <v>33.738</v>
      </c>
      <c r="P93">
        <v>35.576999999999998</v>
      </c>
      <c r="Q93">
        <v>32.534999999999997</v>
      </c>
      <c r="R93">
        <v>33.454999999999998</v>
      </c>
      <c r="S93" t="s">
        <v>1906</v>
      </c>
      <c r="T93">
        <v>33.392000000000003</v>
      </c>
      <c r="U93">
        <v>32.322000000000003</v>
      </c>
      <c r="V93">
        <v>32.718000000000004</v>
      </c>
      <c r="W93">
        <v>32.436999999999998</v>
      </c>
      <c r="X93" t="s">
        <v>1906</v>
      </c>
      <c r="Y93">
        <v>33.552</v>
      </c>
      <c r="Z93">
        <v>33.131999999999998</v>
      </c>
    </row>
    <row r="94" spans="1:26" x14ac:dyDescent="0.45">
      <c r="A94" t="s">
        <v>2002</v>
      </c>
      <c r="B94" t="s">
        <v>2377</v>
      </c>
      <c r="C94" s="3" t="s">
        <v>1613</v>
      </c>
      <c r="D94">
        <v>33.518000000000001</v>
      </c>
      <c r="E94">
        <v>34.158999999999999</v>
      </c>
      <c r="F94">
        <v>34.49</v>
      </c>
      <c r="G94">
        <v>34.880000000000003</v>
      </c>
      <c r="H94">
        <v>33.304000000000002</v>
      </c>
      <c r="I94">
        <v>36.591999999999999</v>
      </c>
      <c r="J94">
        <v>33.588000000000001</v>
      </c>
      <c r="K94">
        <v>33.161999999999999</v>
      </c>
      <c r="L94">
        <v>35.276000000000003</v>
      </c>
      <c r="M94">
        <v>34.64</v>
      </c>
      <c r="N94">
        <v>33.807000000000002</v>
      </c>
      <c r="O94">
        <v>32.465000000000003</v>
      </c>
      <c r="P94">
        <v>34.408999999999999</v>
      </c>
      <c r="Q94">
        <v>33.450000000000003</v>
      </c>
      <c r="R94">
        <v>33.167999999999999</v>
      </c>
      <c r="S94" t="s">
        <v>1906</v>
      </c>
      <c r="T94">
        <v>33.901000000000003</v>
      </c>
      <c r="U94">
        <v>34.246000000000002</v>
      </c>
      <c r="V94">
        <v>33.201999999999998</v>
      </c>
      <c r="W94" t="s">
        <v>1906</v>
      </c>
      <c r="X94" t="s">
        <v>1906</v>
      </c>
      <c r="Y94">
        <v>33.26</v>
      </c>
      <c r="Z94">
        <v>34.298000000000002</v>
      </c>
    </row>
    <row r="95" spans="1:26" x14ac:dyDescent="0.45">
      <c r="A95" t="s">
        <v>2003</v>
      </c>
      <c r="B95" t="s">
        <v>2378</v>
      </c>
      <c r="C95" s="3" t="s">
        <v>1614</v>
      </c>
      <c r="D95">
        <v>25.158999999999999</v>
      </c>
      <c r="E95">
        <v>24.873999999999999</v>
      </c>
      <c r="F95">
        <v>24.972999999999999</v>
      </c>
      <c r="G95">
        <v>26.411000000000001</v>
      </c>
      <c r="H95">
        <v>25.643000000000001</v>
      </c>
      <c r="I95">
        <v>25.323</v>
      </c>
      <c r="J95">
        <v>27.134</v>
      </c>
      <c r="K95">
        <v>25.766999999999999</v>
      </c>
      <c r="L95">
        <v>25.542999999999999</v>
      </c>
      <c r="M95">
        <v>25.532</v>
      </c>
      <c r="N95">
        <v>25.89</v>
      </c>
      <c r="O95">
        <v>25.579000000000001</v>
      </c>
      <c r="P95">
        <v>25.561</v>
      </c>
      <c r="Q95">
        <v>25.785</v>
      </c>
      <c r="R95">
        <v>25.544</v>
      </c>
      <c r="S95">
        <v>26.684000000000001</v>
      </c>
      <c r="T95">
        <v>25.31</v>
      </c>
      <c r="U95">
        <v>25.016999999999999</v>
      </c>
      <c r="V95">
        <v>25.501999999999999</v>
      </c>
      <c r="W95">
        <v>25.561</v>
      </c>
      <c r="X95">
        <v>25.658000000000001</v>
      </c>
      <c r="Y95">
        <v>24.952999999999999</v>
      </c>
      <c r="Z95">
        <v>24.776</v>
      </c>
    </row>
    <row r="96" spans="1:26" x14ac:dyDescent="0.45">
      <c r="A96" t="s">
        <v>2004</v>
      </c>
      <c r="B96" t="s">
        <v>2379</v>
      </c>
      <c r="C96" s="3" t="s">
        <v>1615</v>
      </c>
      <c r="D96">
        <v>30.09</v>
      </c>
      <c r="E96">
        <v>30.59</v>
      </c>
      <c r="F96">
        <v>29.91</v>
      </c>
      <c r="G96">
        <v>31.436</v>
      </c>
      <c r="H96">
        <v>30.545999999999999</v>
      </c>
      <c r="I96">
        <v>31.216999999999999</v>
      </c>
      <c r="J96">
        <v>32.19</v>
      </c>
      <c r="K96">
        <v>30.946000000000002</v>
      </c>
      <c r="L96">
        <v>30.74</v>
      </c>
      <c r="M96">
        <v>30.849</v>
      </c>
      <c r="N96">
        <v>31.940999999999999</v>
      </c>
      <c r="O96">
        <v>31.437999999999999</v>
      </c>
      <c r="P96">
        <v>30.88</v>
      </c>
      <c r="Q96">
        <v>30.527000000000001</v>
      </c>
      <c r="R96">
        <v>31.501999999999999</v>
      </c>
      <c r="S96">
        <v>32.951000000000001</v>
      </c>
      <c r="T96">
        <v>30.821000000000002</v>
      </c>
      <c r="U96">
        <v>30.356000000000002</v>
      </c>
      <c r="V96">
        <v>31.608000000000001</v>
      </c>
      <c r="W96">
        <v>29.734999999999999</v>
      </c>
      <c r="X96">
        <v>31.268000000000001</v>
      </c>
      <c r="Y96">
        <v>30.850999999999999</v>
      </c>
      <c r="Z96">
        <v>30.341000000000001</v>
      </c>
    </row>
    <row r="97" spans="1:26" x14ac:dyDescent="0.45">
      <c r="A97" t="s">
        <v>2005</v>
      </c>
      <c r="B97" t="s">
        <v>2380</v>
      </c>
      <c r="C97" s="3" t="s">
        <v>1616</v>
      </c>
      <c r="D97">
        <v>30.585000000000001</v>
      </c>
      <c r="E97">
        <v>29.37</v>
      </c>
      <c r="F97">
        <v>28.605</v>
      </c>
      <c r="G97">
        <v>30.405000000000001</v>
      </c>
      <c r="H97">
        <v>29.722000000000001</v>
      </c>
      <c r="I97">
        <v>29.312999999999999</v>
      </c>
      <c r="J97">
        <v>29.327000000000002</v>
      </c>
      <c r="K97">
        <v>30.481000000000002</v>
      </c>
      <c r="L97">
        <v>29.984000000000002</v>
      </c>
      <c r="M97">
        <v>29.646999999999998</v>
      </c>
      <c r="N97">
        <v>30.88</v>
      </c>
      <c r="O97">
        <v>31.216000000000001</v>
      </c>
      <c r="P97">
        <v>31.539000000000001</v>
      </c>
      <c r="Q97">
        <v>30.587</v>
      </c>
      <c r="R97">
        <v>31.344000000000001</v>
      </c>
      <c r="S97">
        <v>32.512</v>
      </c>
      <c r="T97">
        <v>29.800999999999998</v>
      </c>
      <c r="U97">
        <v>29.638000000000002</v>
      </c>
      <c r="V97">
        <v>30.510999999999999</v>
      </c>
      <c r="W97">
        <v>30.178000000000001</v>
      </c>
      <c r="X97">
        <v>29.890999999999998</v>
      </c>
      <c r="Y97">
        <v>29.783000000000001</v>
      </c>
      <c r="Z97">
        <v>30.620999999999999</v>
      </c>
    </row>
    <row r="98" spans="1:26" x14ac:dyDescent="0.45">
      <c r="A98" t="s">
        <v>2006</v>
      </c>
      <c r="B98" t="s">
        <v>2381</v>
      </c>
      <c r="C98" s="3" t="s">
        <v>1617</v>
      </c>
      <c r="D98">
        <v>25.161999999999999</v>
      </c>
      <c r="E98">
        <v>26.510999999999999</v>
      </c>
      <c r="F98">
        <v>24.390999999999998</v>
      </c>
      <c r="G98">
        <v>26.244</v>
      </c>
      <c r="H98">
        <v>25.172000000000001</v>
      </c>
      <c r="I98">
        <v>24.518999999999998</v>
      </c>
      <c r="J98">
        <v>24.844000000000001</v>
      </c>
      <c r="K98">
        <v>25.766999999999999</v>
      </c>
      <c r="L98">
        <v>25.091000000000001</v>
      </c>
      <c r="M98">
        <v>25.271000000000001</v>
      </c>
      <c r="N98">
        <v>25.21</v>
      </c>
      <c r="O98">
        <v>26.135999999999999</v>
      </c>
      <c r="P98">
        <v>25.408999999999999</v>
      </c>
      <c r="Q98">
        <v>25.190999999999999</v>
      </c>
      <c r="R98">
        <v>25.19</v>
      </c>
      <c r="S98">
        <v>25.949000000000002</v>
      </c>
      <c r="T98">
        <v>25.09</v>
      </c>
      <c r="U98">
        <v>25.173999999999999</v>
      </c>
      <c r="V98">
        <v>24.916</v>
      </c>
      <c r="W98">
        <v>25.643999999999998</v>
      </c>
      <c r="X98">
        <v>25.53</v>
      </c>
      <c r="Y98">
        <v>25.16</v>
      </c>
      <c r="Z98">
        <v>25.125</v>
      </c>
    </row>
    <row r="99" spans="1:26" x14ac:dyDescent="0.45">
      <c r="A99" t="s">
        <v>2007</v>
      </c>
      <c r="B99" t="s">
        <v>2382</v>
      </c>
      <c r="C99" s="3" t="s">
        <v>1618</v>
      </c>
      <c r="D99">
        <v>28.504999999999999</v>
      </c>
      <c r="E99">
        <v>28.425999999999998</v>
      </c>
      <c r="F99">
        <v>27.417999999999999</v>
      </c>
      <c r="G99">
        <v>29.202000000000002</v>
      </c>
      <c r="H99">
        <v>28.135999999999999</v>
      </c>
      <c r="I99">
        <v>27.795000000000002</v>
      </c>
      <c r="J99">
        <v>27.885000000000002</v>
      </c>
      <c r="K99">
        <v>28.859000000000002</v>
      </c>
      <c r="L99">
        <v>28.77</v>
      </c>
      <c r="M99">
        <v>28.451000000000001</v>
      </c>
      <c r="N99">
        <v>26.782</v>
      </c>
      <c r="O99">
        <v>29.681000000000001</v>
      </c>
      <c r="P99">
        <v>28.613</v>
      </c>
      <c r="Q99">
        <v>28.917000000000002</v>
      </c>
      <c r="R99">
        <v>28.975000000000001</v>
      </c>
      <c r="S99">
        <v>29.143999999999998</v>
      </c>
      <c r="T99">
        <v>29.14</v>
      </c>
      <c r="U99">
        <v>28.27</v>
      </c>
      <c r="V99">
        <v>27.510999999999999</v>
      </c>
      <c r="W99">
        <v>28.33</v>
      </c>
      <c r="X99">
        <v>28.771999999999998</v>
      </c>
      <c r="Y99">
        <v>28.234000000000002</v>
      </c>
      <c r="Z99">
        <v>28.736999999999998</v>
      </c>
    </row>
    <row r="100" spans="1:26" x14ac:dyDescent="0.45">
      <c r="A100" t="s">
        <v>2008</v>
      </c>
      <c r="B100" t="s">
        <v>2383</v>
      </c>
      <c r="C100" s="3" t="s">
        <v>1619</v>
      </c>
      <c r="D100">
        <v>28.96</v>
      </c>
      <c r="E100">
        <v>29.533999999999999</v>
      </c>
      <c r="F100">
        <v>29.109000000000002</v>
      </c>
      <c r="G100">
        <v>30.434999999999999</v>
      </c>
      <c r="H100">
        <v>29.164999999999999</v>
      </c>
      <c r="I100">
        <v>28.742000000000001</v>
      </c>
      <c r="J100">
        <v>29.38</v>
      </c>
      <c r="K100">
        <v>29.699000000000002</v>
      </c>
      <c r="L100">
        <v>29.140999999999998</v>
      </c>
      <c r="M100">
        <v>30.850999999999999</v>
      </c>
      <c r="N100">
        <v>30.195</v>
      </c>
      <c r="O100">
        <v>30.468</v>
      </c>
      <c r="P100">
        <v>30.707000000000001</v>
      </c>
      <c r="Q100">
        <v>30.364999999999998</v>
      </c>
      <c r="R100">
        <v>29.733000000000001</v>
      </c>
      <c r="S100">
        <v>29.434999999999999</v>
      </c>
      <c r="T100">
        <v>29.137</v>
      </c>
      <c r="U100">
        <v>29.582000000000001</v>
      </c>
      <c r="V100">
        <v>28.696999999999999</v>
      </c>
      <c r="W100">
        <v>29.164999999999999</v>
      </c>
      <c r="X100">
        <v>30.231000000000002</v>
      </c>
      <c r="Y100">
        <v>29.289000000000001</v>
      </c>
      <c r="Z100">
        <v>29.335999999999999</v>
      </c>
    </row>
    <row r="101" spans="1:26" x14ac:dyDescent="0.45">
      <c r="A101" t="s">
        <v>2009</v>
      </c>
      <c r="B101" t="s">
        <v>2384</v>
      </c>
      <c r="C101" s="3" t="s">
        <v>1620</v>
      </c>
      <c r="D101">
        <v>27.850999999999999</v>
      </c>
      <c r="E101">
        <v>27.914999999999999</v>
      </c>
      <c r="F101">
        <v>27.209</v>
      </c>
      <c r="G101">
        <v>29.073</v>
      </c>
      <c r="H101">
        <v>27.757000000000001</v>
      </c>
      <c r="I101">
        <v>28.437999999999999</v>
      </c>
      <c r="J101">
        <v>28.195</v>
      </c>
      <c r="K101">
        <v>29.091000000000001</v>
      </c>
      <c r="L101">
        <v>28.271999999999998</v>
      </c>
      <c r="M101">
        <v>27.655999999999999</v>
      </c>
      <c r="N101">
        <v>28.945</v>
      </c>
      <c r="O101">
        <v>28.75</v>
      </c>
      <c r="P101">
        <v>27.917999999999999</v>
      </c>
      <c r="Q101">
        <v>28.315000000000001</v>
      </c>
      <c r="R101">
        <v>27.446999999999999</v>
      </c>
      <c r="S101">
        <v>28.904</v>
      </c>
      <c r="T101">
        <v>27.832000000000001</v>
      </c>
      <c r="U101">
        <v>28.239000000000001</v>
      </c>
      <c r="V101">
        <v>28.102</v>
      </c>
      <c r="W101">
        <v>27.864000000000001</v>
      </c>
      <c r="X101">
        <v>28.812000000000001</v>
      </c>
      <c r="Y101">
        <v>28.393000000000001</v>
      </c>
      <c r="Z101">
        <v>27.82</v>
      </c>
    </row>
    <row r="102" spans="1:26" x14ac:dyDescent="0.45">
      <c r="A102" t="s">
        <v>2010</v>
      </c>
      <c r="B102" t="s">
        <v>2385</v>
      </c>
      <c r="C102" s="3" t="s">
        <v>1621</v>
      </c>
      <c r="D102">
        <v>32.180999999999997</v>
      </c>
      <c r="E102">
        <v>39.061</v>
      </c>
      <c r="F102">
        <v>32.726999999999997</v>
      </c>
      <c r="G102">
        <v>34.786999999999999</v>
      </c>
      <c r="H102">
        <v>35.808</v>
      </c>
      <c r="I102">
        <v>32.545999999999999</v>
      </c>
      <c r="J102">
        <v>33.177999999999997</v>
      </c>
      <c r="K102">
        <v>32.374000000000002</v>
      </c>
      <c r="L102">
        <v>33.450000000000003</v>
      </c>
      <c r="M102">
        <v>36.587000000000003</v>
      </c>
      <c r="N102">
        <v>36.642000000000003</v>
      </c>
      <c r="O102">
        <v>33.936999999999998</v>
      </c>
      <c r="P102">
        <v>34.47</v>
      </c>
      <c r="Q102">
        <v>36.762999999999998</v>
      </c>
      <c r="R102">
        <v>36.505000000000003</v>
      </c>
      <c r="S102">
        <v>32.444000000000003</v>
      </c>
      <c r="T102">
        <v>34.802</v>
      </c>
      <c r="U102">
        <v>33.204000000000001</v>
      </c>
      <c r="V102">
        <v>32.954999999999998</v>
      </c>
      <c r="W102">
        <v>34.914999999999999</v>
      </c>
      <c r="X102">
        <v>35.81</v>
      </c>
      <c r="Y102">
        <v>34.472000000000001</v>
      </c>
      <c r="Z102">
        <v>32.499000000000002</v>
      </c>
    </row>
    <row r="103" spans="1:26" x14ac:dyDescent="0.45">
      <c r="A103" t="s">
        <v>2011</v>
      </c>
      <c r="B103" t="s">
        <v>2386</v>
      </c>
      <c r="C103" s="3" t="s">
        <v>1622</v>
      </c>
      <c r="D103">
        <v>26.850999999999999</v>
      </c>
      <c r="E103">
        <v>26.555</v>
      </c>
      <c r="F103">
        <v>26.27</v>
      </c>
      <c r="G103">
        <v>27.562000000000001</v>
      </c>
      <c r="H103">
        <v>26.271999999999998</v>
      </c>
      <c r="I103">
        <v>25.969000000000001</v>
      </c>
      <c r="J103">
        <v>26.573</v>
      </c>
      <c r="K103">
        <v>27.495999999999999</v>
      </c>
      <c r="L103">
        <v>26.725999999999999</v>
      </c>
      <c r="M103">
        <v>26.741</v>
      </c>
      <c r="N103">
        <v>26.638000000000002</v>
      </c>
      <c r="O103">
        <v>27.16</v>
      </c>
      <c r="P103">
        <v>26.7</v>
      </c>
      <c r="Q103">
        <v>26.733000000000001</v>
      </c>
      <c r="R103">
        <v>26.997</v>
      </c>
      <c r="S103">
        <v>27.363</v>
      </c>
      <c r="T103">
        <v>26.504999999999999</v>
      </c>
      <c r="U103">
        <v>26.771999999999998</v>
      </c>
      <c r="V103">
        <v>26.602</v>
      </c>
      <c r="W103">
        <v>26.710999999999999</v>
      </c>
      <c r="X103">
        <v>27.71</v>
      </c>
      <c r="Y103">
        <v>26.452999999999999</v>
      </c>
      <c r="Z103">
        <v>26.536000000000001</v>
      </c>
    </row>
    <row r="104" spans="1:26" x14ac:dyDescent="0.45">
      <c r="A104" t="s">
        <v>2012</v>
      </c>
      <c r="B104" t="s">
        <v>2387</v>
      </c>
      <c r="C104" s="3" t="s">
        <v>1623</v>
      </c>
      <c r="D104">
        <v>26.619</v>
      </c>
      <c r="E104">
        <v>27.416</v>
      </c>
      <c r="F104">
        <v>28.204000000000001</v>
      </c>
      <c r="G104">
        <v>28.919</v>
      </c>
      <c r="H104">
        <v>27.48</v>
      </c>
      <c r="I104">
        <v>28.527000000000001</v>
      </c>
      <c r="J104">
        <v>29.172000000000001</v>
      </c>
      <c r="K104">
        <v>28.956</v>
      </c>
      <c r="L104">
        <v>29.34</v>
      </c>
      <c r="M104">
        <v>29.292000000000002</v>
      </c>
      <c r="N104">
        <v>28.92</v>
      </c>
      <c r="O104">
        <v>28.390999999999998</v>
      </c>
      <c r="P104">
        <v>28.326000000000001</v>
      </c>
      <c r="Q104">
        <v>27.797999999999998</v>
      </c>
      <c r="R104">
        <v>26.9</v>
      </c>
      <c r="S104">
        <v>29.22</v>
      </c>
      <c r="T104">
        <v>27.451000000000001</v>
      </c>
      <c r="U104">
        <v>28.939</v>
      </c>
      <c r="V104">
        <v>27.141999999999999</v>
      </c>
      <c r="W104">
        <v>29.312999999999999</v>
      </c>
      <c r="X104">
        <v>29.757999999999999</v>
      </c>
      <c r="Y104">
        <v>28.986000000000001</v>
      </c>
      <c r="Z104">
        <v>27.707000000000001</v>
      </c>
    </row>
    <row r="105" spans="1:26" x14ac:dyDescent="0.45">
      <c r="A105" t="s">
        <v>2013</v>
      </c>
      <c r="B105" t="s">
        <v>2388</v>
      </c>
      <c r="C105" s="3" t="s">
        <v>1624</v>
      </c>
      <c r="D105">
        <v>27.581</v>
      </c>
      <c r="E105">
        <v>27.356000000000002</v>
      </c>
      <c r="F105">
        <v>26.91</v>
      </c>
      <c r="G105">
        <v>28.196999999999999</v>
      </c>
      <c r="H105">
        <v>27.256</v>
      </c>
      <c r="I105">
        <v>27.154</v>
      </c>
      <c r="J105">
        <v>27.556999999999999</v>
      </c>
      <c r="K105">
        <v>27.933</v>
      </c>
      <c r="L105">
        <v>27.292999999999999</v>
      </c>
      <c r="M105">
        <v>27.8</v>
      </c>
      <c r="N105">
        <v>27.387</v>
      </c>
      <c r="O105">
        <v>27.704000000000001</v>
      </c>
      <c r="P105">
        <v>27.69</v>
      </c>
      <c r="Q105">
        <v>27.434999999999999</v>
      </c>
      <c r="R105">
        <v>27.858000000000001</v>
      </c>
      <c r="S105">
        <v>27.603000000000002</v>
      </c>
      <c r="T105">
        <v>27.384</v>
      </c>
      <c r="U105">
        <v>27.826000000000001</v>
      </c>
      <c r="V105">
        <v>27.215</v>
      </c>
      <c r="W105">
        <v>27.463999999999999</v>
      </c>
      <c r="X105">
        <v>28.196999999999999</v>
      </c>
      <c r="Y105">
        <v>27.619</v>
      </c>
      <c r="Z105">
        <v>27.553000000000001</v>
      </c>
    </row>
    <row r="106" spans="1:26" x14ac:dyDescent="0.45">
      <c r="A106" t="s">
        <v>2014</v>
      </c>
      <c r="B106" t="s">
        <v>2389</v>
      </c>
      <c r="C106" s="3" t="s">
        <v>1625</v>
      </c>
      <c r="D106">
        <v>26.651</v>
      </c>
      <c r="E106">
        <v>26.274999999999999</v>
      </c>
      <c r="F106">
        <v>26.012</v>
      </c>
      <c r="G106">
        <v>27.731000000000002</v>
      </c>
      <c r="H106">
        <v>26.902999999999999</v>
      </c>
      <c r="I106">
        <v>26.158999999999999</v>
      </c>
      <c r="J106">
        <v>26.535</v>
      </c>
      <c r="K106">
        <v>26.805</v>
      </c>
      <c r="L106">
        <v>27.300999999999998</v>
      </c>
      <c r="M106">
        <v>27.568999999999999</v>
      </c>
      <c r="N106">
        <v>27.209</v>
      </c>
      <c r="O106">
        <v>27.138999999999999</v>
      </c>
      <c r="P106">
        <v>26.632999999999999</v>
      </c>
      <c r="Q106">
        <v>26.757000000000001</v>
      </c>
      <c r="R106">
        <v>27.186</v>
      </c>
      <c r="S106">
        <v>28.460999999999999</v>
      </c>
      <c r="T106">
        <v>27.210999999999999</v>
      </c>
      <c r="U106">
        <v>27.158999999999999</v>
      </c>
      <c r="V106">
        <v>26.72</v>
      </c>
      <c r="W106">
        <v>27.100999999999999</v>
      </c>
      <c r="X106">
        <v>27.56</v>
      </c>
      <c r="Y106">
        <v>27.481999999999999</v>
      </c>
      <c r="Z106">
        <v>26.602</v>
      </c>
    </row>
    <row r="107" spans="1:26" x14ac:dyDescent="0.45">
      <c r="A107" t="s">
        <v>2015</v>
      </c>
      <c r="B107" t="s">
        <v>2390</v>
      </c>
      <c r="C107" s="3" t="s">
        <v>1626</v>
      </c>
      <c r="D107">
        <v>29.337</v>
      </c>
      <c r="E107">
        <v>30.577000000000002</v>
      </c>
      <c r="F107">
        <v>29.824999999999999</v>
      </c>
      <c r="G107">
        <v>30.791</v>
      </c>
      <c r="H107">
        <v>29.509</v>
      </c>
      <c r="I107">
        <v>29.550999999999998</v>
      </c>
      <c r="J107">
        <v>29.742999999999999</v>
      </c>
      <c r="K107">
        <v>30.388000000000002</v>
      </c>
      <c r="L107">
        <v>30.984999999999999</v>
      </c>
      <c r="M107">
        <v>31.111999999999998</v>
      </c>
      <c r="N107">
        <v>30.414999999999999</v>
      </c>
      <c r="O107">
        <v>30.405000000000001</v>
      </c>
      <c r="P107">
        <v>29.777999999999999</v>
      </c>
      <c r="Q107">
        <v>30.126000000000001</v>
      </c>
      <c r="R107">
        <v>29.978000000000002</v>
      </c>
      <c r="S107">
        <v>29.667999999999999</v>
      </c>
      <c r="T107">
        <v>30.204000000000001</v>
      </c>
      <c r="U107">
        <v>30.710999999999999</v>
      </c>
      <c r="V107">
        <v>29.622</v>
      </c>
      <c r="W107">
        <v>29.911999999999999</v>
      </c>
      <c r="X107">
        <v>31.003</v>
      </c>
      <c r="Y107">
        <v>29.957999999999998</v>
      </c>
      <c r="Z107">
        <v>29.623999999999999</v>
      </c>
    </row>
    <row r="108" spans="1:26" x14ac:dyDescent="0.45">
      <c r="A108" t="s">
        <v>2016</v>
      </c>
      <c r="B108" t="s">
        <v>2391</v>
      </c>
      <c r="C108" s="3" t="s">
        <v>1627</v>
      </c>
      <c r="D108">
        <v>27.847000000000001</v>
      </c>
      <c r="E108">
        <v>31.085999999999999</v>
      </c>
      <c r="F108">
        <v>28.898</v>
      </c>
      <c r="G108">
        <v>30.308</v>
      </c>
      <c r="H108">
        <v>28.535</v>
      </c>
      <c r="I108">
        <v>28.193999999999999</v>
      </c>
      <c r="J108">
        <v>28.187999999999999</v>
      </c>
      <c r="K108">
        <v>29.911999999999999</v>
      </c>
      <c r="L108">
        <v>29.257000000000001</v>
      </c>
      <c r="M108">
        <v>29.698</v>
      </c>
      <c r="N108">
        <v>29.478999999999999</v>
      </c>
      <c r="O108">
        <v>29.242000000000001</v>
      </c>
      <c r="P108">
        <v>28.876999999999999</v>
      </c>
      <c r="Q108">
        <v>29.253</v>
      </c>
      <c r="R108">
        <v>29.57</v>
      </c>
      <c r="S108">
        <v>28.315000000000001</v>
      </c>
      <c r="T108">
        <v>29.497</v>
      </c>
      <c r="U108">
        <v>30.074000000000002</v>
      </c>
      <c r="V108">
        <v>28.718</v>
      </c>
      <c r="W108">
        <v>28.425999999999998</v>
      </c>
      <c r="X108">
        <v>30.468</v>
      </c>
      <c r="Y108">
        <v>29.265999999999998</v>
      </c>
      <c r="Z108">
        <v>28.393000000000001</v>
      </c>
    </row>
    <row r="109" spans="1:26" x14ac:dyDescent="0.45">
      <c r="A109" t="s">
        <v>2017</v>
      </c>
      <c r="B109" t="s">
        <v>2392</v>
      </c>
      <c r="C109" s="3" t="s">
        <v>1628</v>
      </c>
      <c r="D109">
        <v>25.5</v>
      </c>
      <c r="E109">
        <v>25.943999999999999</v>
      </c>
      <c r="F109">
        <v>24.617000000000001</v>
      </c>
      <c r="G109">
        <v>25.597999999999999</v>
      </c>
      <c r="H109">
        <v>25.632999999999999</v>
      </c>
      <c r="I109">
        <v>24.853000000000002</v>
      </c>
      <c r="J109">
        <v>25.4</v>
      </c>
      <c r="K109">
        <v>26.305</v>
      </c>
      <c r="L109">
        <v>25.145</v>
      </c>
      <c r="M109">
        <v>26.001000000000001</v>
      </c>
      <c r="N109">
        <v>25.809000000000001</v>
      </c>
      <c r="O109">
        <v>25.788</v>
      </c>
      <c r="P109">
        <v>25.329000000000001</v>
      </c>
      <c r="Q109">
        <v>25.494</v>
      </c>
      <c r="R109">
        <v>26.577000000000002</v>
      </c>
      <c r="S109">
        <v>25.927</v>
      </c>
      <c r="T109">
        <v>25.138999999999999</v>
      </c>
      <c r="U109">
        <v>25.367999999999999</v>
      </c>
      <c r="V109">
        <v>24.768999999999998</v>
      </c>
      <c r="W109">
        <v>25.588000000000001</v>
      </c>
      <c r="X109">
        <v>26.925000000000001</v>
      </c>
      <c r="Y109">
        <v>25.515000000000001</v>
      </c>
      <c r="Z109">
        <v>25.791</v>
      </c>
    </row>
    <row r="110" spans="1:26" x14ac:dyDescent="0.45">
      <c r="A110" t="s">
        <v>2018</v>
      </c>
      <c r="B110" t="s">
        <v>2393</v>
      </c>
      <c r="C110" s="3" t="s">
        <v>1629</v>
      </c>
      <c r="D110">
        <v>28.341999999999999</v>
      </c>
      <c r="E110">
        <v>28.606000000000002</v>
      </c>
      <c r="F110">
        <v>27.706</v>
      </c>
      <c r="G110">
        <v>29.123999999999999</v>
      </c>
      <c r="H110">
        <v>28.588999999999999</v>
      </c>
      <c r="I110">
        <v>27.414999999999999</v>
      </c>
      <c r="J110">
        <v>28.417000000000002</v>
      </c>
      <c r="K110">
        <v>29.189</v>
      </c>
      <c r="L110">
        <v>27.757999999999999</v>
      </c>
      <c r="M110">
        <v>28.335999999999999</v>
      </c>
      <c r="N110">
        <v>29.25</v>
      </c>
      <c r="O110">
        <v>29.294</v>
      </c>
      <c r="P110">
        <v>27.838000000000001</v>
      </c>
      <c r="Q110">
        <v>28.492999999999999</v>
      </c>
      <c r="R110">
        <v>28.988</v>
      </c>
      <c r="S110">
        <v>28.542000000000002</v>
      </c>
      <c r="T110">
        <v>28.167000000000002</v>
      </c>
      <c r="U110">
        <v>28.244</v>
      </c>
      <c r="V110">
        <v>27.646999999999998</v>
      </c>
      <c r="W110">
        <v>28.76</v>
      </c>
      <c r="X110">
        <v>29.437999999999999</v>
      </c>
      <c r="Y110">
        <v>27.998999999999999</v>
      </c>
      <c r="Z110">
        <v>28.353000000000002</v>
      </c>
    </row>
    <row r="111" spans="1:26" x14ac:dyDescent="0.45">
      <c r="A111" t="s">
        <v>2019</v>
      </c>
      <c r="B111" t="s">
        <v>2394</v>
      </c>
      <c r="C111" s="3" t="s">
        <v>1630</v>
      </c>
      <c r="D111">
        <v>27.56</v>
      </c>
      <c r="E111">
        <v>26.689</v>
      </c>
      <c r="F111">
        <v>26.648</v>
      </c>
      <c r="G111">
        <v>27.872</v>
      </c>
      <c r="H111">
        <v>26.866</v>
      </c>
      <c r="I111">
        <v>26.93</v>
      </c>
      <c r="J111">
        <v>26.49</v>
      </c>
      <c r="K111">
        <v>27.491</v>
      </c>
      <c r="L111">
        <v>26.896999999999998</v>
      </c>
      <c r="M111">
        <v>28.358000000000001</v>
      </c>
      <c r="N111">
        <v>27.106000000000002</v>
      </c>
      <c r="O111">
        <v>27.54</v>
      </c>
      <c r="P111">
        <v>26.838000000000001</v>
      </c>
      <c r="Q111">
        <v>27.187000000000001</v>
      </c>
      <c r="R111">
        <v>27.315999999999999</v>
      </c>
      <c r="S111">
        <v>27.367000000000001</v>
      </c>
      <c r="T111">
        <v>26.585999999999999</v>
      </c>
      <c r="U111">
        <v>27.902000000000001</v>
      </c>
      <c r="V111">
        <v>26.902999999999999</v>
      </c>
      <c r="W111">
        <v>27.954999999999998</v>
      </c>
      <c r="X111">
        <v>27.899000000000001</v>
      </c>
      <c r="Y111">
        <v>26.605</v>
      </c>
      <c r="Z111">
        <v>26.754000000000001</v>
      </c>
    </row>
    <row r="112" spans="1:26" x14ac:dyDescent="0.45">
      <c r="A112" t="s">
        <v>2020</v>
      </c>
      <c r="B112" t="s">
        <v>2395</v>
      </c>
      <c r="C112" s="3" t="s">
        <v>1631</v>
      </c>
      <c r="D112">
        <v>29.99</v>
      </c>
      <c r="E112">
        <v>29.106999999999999</v>
      </c>
      <c r="F112">
        <v>27.995000000000001</v>
      </c>
      <c r="G112">
        <v>29.855</v>
      </c>
      <c r="H112">
        <v>28.571999999999999</v>
      </c>
      <c r="I112">
        <v>28.768000000000001</v>
      </c>
      <c r="J112">
        <v>28.670999999999999</v>
      </c>
      <c r="K112">
        <v>28.844000000000001</v>
      </c>
      <c r="L112">
        <v>28.253</v>
      </c>
      <c r="M112">
        <v>30.829000000000001</v>
      </c>
      <c r="N112">
        <v>28.106999999999999</v>
      </c>
      <c r="O112">
        <v>29.151</v>
      </c>
      <c r="P112">
        <v>28.736000000000001</v>
      </c>
      <c r="Q112">
        <v>28.652000000000001</v>
      </c>
      <c r="R112">
        <v>28.812000000000001</v>
      </c>
      <c r="S112">
        <v>29.09</v>
      </c>
      <c r="T112">
        <v>28.120999999999999</v>
      </c>
      <c r="U112">
        <v>30.696999999999999</v>
      </c>
      <c r="V112">
        <v>28.698</v>
      </c>
      <c r="W112">
        <v>28.291</v>
      </c>
      <c r="X112">
        <v>30.457999999999998</v>
      </c>
      <c r="Y112">
        <v>28.19</v>
      </c>
      <c r="Z112">
        <v>28.689</v>
      </c>
    </row>
    <row r="113" spans="1:26" x14ac:dyDescent="0.45">
      <c r="A113" t="s">
        <v>2021</v>
      </c>
      <c r="B113" t="s">
        <v>2396</v>
      </c>
      <c r="C113" s="3" t="s">
        <v>1632</v>
      </c>
      <c r="D113">
        <v>22.045999999999999</v>
      </c>
      <c r="E113">
        <v>20.439</v>
      </c>
      <c r="F113">
        <v>20.27</v>
      </c>
      <c r="G113">
        <v>20.725000000000001</v>
      </c>
      <c r="H113">
        <v>19.568000000000001</v>
      </c>
      <c r="I113">
        <v>21.606000000000002</v>
      </c>
      <c r="J113">
        <v>20.82</v>
      </c>
      <c r="K113">
        <v>20.257000000000001</v>
      </c>
      <c r="L113">
        <v>19.992000000000001</v>
      </c>
      <c r="M113">
        <v>21.105</v>
      </c>
      <c r="N113">
        <v>21.457000000000001</v>
      </c>
      <c r="O113">
        <v>22.768999999999998</v>
      </c>
      <c r="P113">
        <v>20.431000000000001</v>
      </c>
      <c r="Q113">
        <v>20.824000000000002</v>
      </c>
      <c r="R113">
        <v>21.416</v>
      </c>
      <c r="S113">
        <v>20.157</v>
      </c>
      <c r="T113">
        <v>21.734000000000002</v>
      </c>
      <c r="U113">
        <v>20.748000000000001</v>
      </c>
      <c r="V113">
        <v>20.9</v>
      </c>
      <c r="W113">
        <v>19.879000000000001</v>
      </c>
      <c r="X113">
        <v>19.545000000000002</v>
      </c>
      <c r="Y113">
        <v>19.878</v>
      </c>
      <c r="Z113">
        <v>19.994</v>
      </c>
    </row>
    <row r="114" spans="1:26" x14ac:dyDescent="0.45">
      <c r="A114" t="s">
        <v>2022</v>
      </c>
      <c r="B114" t="s">
        <v>2397</v>
      </c>
      <c r="C114" s="3" t="s">
        <v>1633</v>
      </c>
      <c r="D114">
        <v>27.943999999999999</v>
      </c>
      <c r="E114">
        <v>26.366</v>
      </c>
      <c r="F114">
        <v>25.797999999999998</v>
      </c>
      <c r="G114">
        <v>26.87</v>
      </c>
      <c r="H114">
        <v>25.981999999999999</v>
      </c>
      <c r="I114">
        <v>27.303000000000001</v>
      </c>
      <c r="J114">
        <v>26.417000000000002</v>
      </c>
      <c r="K114">
        <v>26.477</v>
      </c>
      <c r="L114">
        <v>26.236999999999998</v>
      </c>
      <c r="M114">
        <v>26.795999999999999</v>
      </c>
      <c r="N114">
        <v>27.716999999999999</v>
      </c>
      <c r="O114">
        <v>28.783000000000001</v>
      </c>
      <c r="P114">
        <v>26.14</v>
      </c>
      <c r="Q114">
        <v>26.681000000000001</v>
      </c>
      <c r="R114">
        <v>27.184000000000001</v>
      </c>
      <c r="S114">
        <v>26.632000000000001</v>
      </c>
      <c r="T114">
        <v>28.873999999999999</v>
      </c>
      <c r="U114">
        <v>26.751000000000001</v>
      </c>
      <c r="V114">
        <v>26.44</v>
      </c>
      <c r="W114">
        <v>26.396999999999998</v>
      </c>
      <c r="X114">
        <v>26.338000000000001</v>
      </c>
      <c r="Y114">
        <v>25.977</v>
      </c>
      <c r="Z114">
        <v>25.986000000000001</v>
      </c>
    </row>
    <row r="115" spans="1:26" x14ac:dyDescent="0.45">
      <c r="A115" t="s">
        <v>2023</v>
      </c>
      <c r="B115" t="s">
        <v>2398</v>
      </c>
      <c r="C115" s="3" t="s">
        <v>1634</v>
      </c>
      <c r="D115">
        <v>32.914000000000001</v>
      </c>
      <c r="E115">
        <v>31.75</v>
      </c>
      <c r="F115">
        <v>33.469000000000001</v>
      </c>
      <c r="G115">
        <v>33.082999999999998</v>
      </c>
      <c r="H115">
        <v>33.316000000000003</v>
      </c>
      <c r="I115">
        <v>32.664999999999999</v>
      </c>
      <c r="J115">
        <v>31.561</v>
      </c>
      <c r="K115">
        <v>33.292999999999999</v>
      </c>
      <c r="L115">
        <v>32.405000000000001</v>
      </c>
      <c r="M115">
        <v>31.376000000000001</v>
      </c>
      <c r="N115">
        <v>32.564</v>
      </c>
      <c r="O115">
        <v>30.581</v>
      </c>
      <c r="P115">
        <v>32.405000000000001</v>
      </c>
      <c r="Q115">
        <v>32.131999999999998</v>
      </c>
      <c r="R115">
        <v>31.861999999999998</v>
      </c>
      <c r="S115">
        <v>32.274999999999999</v>
      </c>
      <c r="T115">
        <v>32.777000000000001</v>
      </c>
      <c r="U115">
        <v>32.932000000000002</v>
      </c>
      <c r="V115">
        <v>32.273000000000003</v>
      </c>
      <c r="W115">
        <v>33.256999999999998</v>
      </c>
      <c r="X115">
        <v>32.6</v>
      </c>
      <c r="Y115">
        <v>33.436</v>
      </c>
      <c r="Z115">
        <v>32.646000000000001</v>
      </c>
    </row>
    <row r="116" spans="1:26" x14ac:dyDescent="0.45">
      <c r="A116" t="s">
        <v>2024</v>
      </c>
      <c r="B116" t="s">
        <v>2399</v>
      </c>
      <c r="C116" s="3" t="s">
        <v>1635</v>
      </c>
      <c r="D116">
        <v>25.875</v>
      </c>
      <c r="E116">
        <v>23.809000000000001</v>
      </c>
      <c r="F116">
        <v>25.236000000000001</v>
      </c>
      <c r="G116">
        <v>25.547000000000001</v>
      </c>
      <c r="H116">
        <v>25.870999999999999</v>
      </c>
      <c r="I116">
        <v>27.686</v>
      </c>
      <c r="J116">
        <v>23.327000000000002</v>
      </c>
      <c r="K116">
        <v>27.646999999999998</v>
      </c>
      <c r="L116">
        <v>24.306999999999999</v>
      </c>
      <c r="M116">
        <v>23.672999999999998</v>
      </c>
      <c r="N116">
        <v>25.841999999999999</v>
      </c>
      <c r="O116">
        <v>24.876000000000001</v>
      </c>
      <c r="P116">
        <v>23.972000000000001</v>
      </c>
      <c r="Q116">
        <v>23.88</v>
      </c>
      <c r="R116">
        <v>23.896999999999998</v>
      </c>
      <c r="S116">
        <v>24.879000000000001</v>
      </c>
      <c r="T116">
        <v>24.896000000000001</v>
      </c>
      <c r="U116">
        <v>24.486000000000001</v>
      </c>
      <c r="V116">
        <v>22.792999999999999</v>
      </c>
      <c r="W116">
        <v>25.510999999999999</v>
      </c>
      <c r="X116">
        <v>24.518000000000001</v>
      </c>
      <c r="Y116">
        <v>27.853000000000002</v>
      </c>
      <c r="Z116">
        <v>24.808</v>
      </c>
    </row>
    <row r="117" spans="1:26" x14ac:dyDescent="0.45">
      <c r="A117" t="s">
        <v>2025</v>
      </c>
      <c r="B117" t="s">
        <v>2400</v>
      </c>
      <c r="C117" s="3" t="s">
        <v>1636</v>
      </c>
      <c r="D117">
        <v>25.596</v>
      </c>
      <c r="E117">
        <v>25.395</v>
      </c>
      <c r="F117">
        <v>24.661000000000001</v>
      </c>
      <c r="G117">
        <v>26.305</v>
      </c>
      <c r="H117">
        <v>25.742000000000001</v>
      </c>
      <c r="I117">
        <v>25.172000000000001</v>
      </c>
      <c r="J117">
        <v>25.016999999999999</v>
      </c>
      <c r="K117">
        <v>26.314</v>
      </c>
      <c r="L117">
        <v>25.306999999999999</v>
      </c>
      <c r="M117">
        <v>25.440999999999999</v>
      </c>
      <c r="N117">
        <v>24.399000000000001</v>
      </c>
      <c r="O117">
        <v>26.384</v>
      </c>
      <c r="P117">
        <v>25.721</v>
      </c>
      <c r="Q117">
        <v>25.138000000000002</v>
      </c>
      <c r="R117">
        <v>26.882999999999999</v>
      </c>
      <c r="S117">
        <v>26.247</v>
      </c>
      <c r="T117">
        <v>25.663</v>
      </c>
      <c r="U117">
        <v>25.332000000000001</v>
      </c>
      <c r="V117">
        <v>25.143000000000001</v>
      </c>
      <c r="W117">
        <v>26.693999999999999</v>
      </c>
      <c r="X117">
        <v>27.561</v>
      </c>
      <c r="Y117">
        <v>25.736000000000001</v>
      </c>
      <c r="Z117">
        <v>26.113</v>
      </c>
    </row>
    <row r="118" spans="1:26" x14ac:dyDescent="0.45">
      <c r="A118" t="s">
        <v>2026</v>
      </c>
      <c r="B118" t="s">
        <v>2401</v>
      </c>
      <c r="C118" s="3" t="s">
        <v>1637</v>
      </c>
      <c r="D118">
        <v>26.318999999999999</v>
      </c>
      <c r="E118">
        <v>25.901</v>
      </c>
      <c r="F118">
        <v>25.274000000000001</v>
      </c>
      <c r="G118">
        <v>27.134</v>
      </c>
      <c r="H118">
        <v>26.437000000000001</v>
      </c>
      <c r="I118">
        <v>25.76</v>
      </c>
      <c r="J118">
        <v>25.983000000000001</v>
      </c>
      <c r="K118">
        <v>26.925999999999998</v>
      </c>
      <c r="L118">
        <v>26.097999999999999</v>
      </c>
      <c r="M118">
        <v>26.23</v>
      </c>
      <c r="N118">
        <v>25.896999999999998</v>
      </c>
      <c r="O118">
        <v>27.295999999999999</v>
      </c>
      <c r="P118">
        <v>26.387</v>
      </c>
      <c r="Q118">
        <v>25.861000000000001</v>
      </c>
      <c r="R118">
        <v>28.091999999999999</v>
      </c>
      <c r="S118">
        <v>26.782</v>
      </c>
      <c r="T118">
        <v>26.527000000000001</v>
      </c>
      <c r="U118">
        <v>25.704999999999998</v>
      </c>
      <c r="V118">
        <v>25.814</v>
      </c>
      <c r="W118">
        <v>27.233000000000001</v>
      </c>
      <c r="X118">
        <v>28.349</v>
      </c>
      <c r="Y118">
        <v>26.646999999999998</v>
      </c>
      <c r="Z118">
        <v>26.507999999999999</v>
      </c>
    </row>
    <row r="119" spans="1:26" x14ac:dyDescent="0.45">
      <c r="A119" t="s">
        <v>2027</v>
      </c>
      <c r="B119" t="s">
        <v>2402</v>
      </c>
      <c r="C119" s="3" t="s">
        <v>1638</v>
      </c>
      <c r="D119">
        <v>29.199000000000002</v>
      </c>
      <c r="E119">
        <v>30.27</v>
      </c>
      <c r="F119">
        <v>28.488</v>
      </c>
      <c r="G119">
        <v>29.902999999999999</v>
      </c>
      <c r="H119">
        <v>30.631</v>
      </c>
      <c r="I119">
        <v>29.542000000000002</v>
      </c>
      <c r="J119">
        <v>29.382000000000001</v>
      </c>
      <c r="K119">
        <v>31.529</v>
      </c>
      <c r="L119">
        <v>29.936</v>
      </c>
      <c r="M119">
        <v>29.756</v>
      </c>
      <c r="N119">
        <v>29.666</v>
      </c>
      <c r="O119">
        <v>30.422000000000001</v>
      </c>
      <c r="P119">
        <v>30.279</v>
      </c>
      <c r="Q119">
        <v>29.518000000000001</v>
      </c>
      <c r="R119">
        <v>30.222999999999999</v>
      </c>
      <c r="S119">
        <v>31.346</v>
      </c>
      <c r="T119">
        <v>29.651</v>
      </c>
      <c r="U119">
        <v>29.771999999999998</v>
      </c>
      <c r="V119">
        <v>30.276</v>
      </c>
      <c r="W119">
        <v>30.117000000000001</v>
      </c>
      <c r="X119">
        <v>30.181999999999999</v>
      </c>
      <c r="Y119">
        <v>29.173999999999999</v>
      </c>
      <c r="Z119">
        <v>30.036999999999999</v>
      </c>
    </row>
    <row r="120" spans="1:26" x14ac:dyDescent="0.45">
      <c r="A120" t="s">
        <v>2028</v>
      </c>
      <c r="B120" t="s">
        <v>2403</v>
      </c>
      <c r="C120" s="3" t="s">
        <v>1639</v>
      </c>
      <c r="D120">
        <v>30.786999999999999</v>
      </c>
      <c r="E120">
        <v>29.779</v>
      </c>
      <c r="F120">
        <v>29.366</v>
      </c>
      <c r="G120">
        <v>30.369</v>
      </c>
      <c r="H120">
        <v>28.768999999999998</v>
      </c>
      <c r="I120">
        <v>30.265000000000001</v>
      </c>
      <c r="J120">
        <v>29.707999999999998</v>
      </c>
      <c r="K120">
        <v>29.42</v>
      </c>
      <c r="L120">
        <v>29.422999999999998</v>
      </c>
      <c r="M120">
        <v>29.99</v>
      </c>
      <c r="N120">
        <v>29.923999999999999</v>
      </c>
      <c r="O120">
        <v>30.853999999999999</v>
      </c>
      <c r="P120">
        <v>29.126999999999999</v>
      </c>
      <c r="Q120">
        <v>31.143000000000001</v>
      </c>
      <c r="R120">
        <v>29.832999999999998</v>
      </c>
      <c r="S120">
        <v>29.158999999999999</v>
      </c>
      <c r="T120">
        <v>30.664000000000001</v>
      </c>
      <c r="U120">
        <v>29.782</v>
      </c>
      <c r="V120">
        <v>28.974</v>
      </c>
      <c r="W120">
        <v>29.276</v>
      </c>
      <c r="X120">
        <v>30.78</v>
      </c>
      <c r="Y120">
        <v>30.245999999999999</v>
      </c>
      <c r="Z120">
        <v>30.251999999999999</v>
      </c>
    </row>
    <row r="121" spans="1:26" x14ac:dyDescent="0.45">
      <c r="A121" t="s">
        <v>2029</v>
      </c>
      <c r="B121" t="s">
        <v>2404</v>
      </c>
      <c r="C121" s="3" t="s">
        <v>1640</v>
      </c>
      <c r="D121">
        <v>25.765000000000001</v>
      </c>
      <c r="E121">
        <v>25.376000000000001</v>
      </c>
      <c r="F121">
        <v>24.623999999999999</v>
      </c>
      <c r="G121">
        <v>26.138999999999999</v>
      </c>
      <c r="H121">
        <v>25.535</v>
      </c>
      <c r="I121">
        <v>24.856999999999999</v>
      </c>
      <c r="J121">
        <v>25.21</v>
      </c>
      <c r="K121">
        <v>26.209</v>
      </c>
      <c r="L121">
        <v>25.468</v>
      </c>
      <c r="M121">
        <v>25.588999999999999</v>
      </c>
      <c r="N121">
        <v>25.244</v>
      </c>
      <c r="O121">
        <v>26.739000000000001</v>
      </c>
      <c r="P121">
        <v>25.754999999999999</v>
      </c>
      <c r="Q121">
        <v>25.213000000000001</v>
      </c>
      <c r="R121">
        <v>25.704999999999998</v>
      </c>
      <c r="S121">
        <v>26.402999999999999</v>
      </c>
      <c r="T121">
        <v>25.475000000000001</v>
      </c>
      <c r="U121">
        <v>25.353000000000002</v>
      </c>
      <c r="V121">
        <v>25.082999999999998</v>
      </c>
      <c r="W121">
        <v>26.725000000000001</v>
      </c>
      <c r="X121">
        <v>25.867000000000001</v>
      </c>
      <c r="Y121">
        <v>25.545000000000002</v>
      </c>
      <c r="Z121">
        <v>27.981000000000002</v>
      </c>
    </row>
    <row r="122" spans="1:26" x14ac:dyDescent="0.45">
      <c r="A122" t="s">
        <v>2030</v>
      </c>
      <c r="B122" t="s">
        <v>2405</v>
      </c>
      <c r="C122" s="3" t="s">
        <v>1641</v>
      </c>
      <c r="D122">
        <v>24.847000000000001</v>
      </c>
      <c r="E122">
        <v>24.972999999999999</v>
      </c>
      <c r="F122">
        <v>24.530999999999999</v>
      </c>
      <c r="G122">
        <v>25.654</v>
      </c>
      <c r="H122">
        <v>24.952000000000002</v>
      </c>
      <c r="I122">
        <v>25.151</v>
      </c>
      <c r="J122">
        <v>24.866</v>
      </c>
      <c r="K122">
        <v>25.541</v>
      </c>
      <c r="L122">
        <v>25.141999999999999</v>
      </c>
      <c r="M122">
        <v>25.306000000000001</v>
      </c>
      <c r="N122">
        <v>24.613</v>
      </c>
      <c r="O122">
        <v>25.568999999999999</v>
      </c>
      <c r="P122">
        <v>25.678999999999998</v>
      </c>
      <c r="Q122">
        <v>24.693999999999999</v>
      </c>
      <c r="R122">
        <v>25.390999999999998</v>
      </c>
      <c r="S122">
        <v>25.327000000000002</v>
      </c>
      <c r="T122">
        <v>24.905999999999999</v>
      </c>
      <c r="U122">
        <v>24.992999999999999</v>
      </c>
      <c r="V122">
        <v>24.722000000000001</v>
      </c>
      <c r="W122">
        <v>25.885000000000002</v>
      </c>
      <c r="X122">
        <v>25.302</v>
      </c>
      <c r="Y122">
        <v>24.838000000000001</v>
      </c>
      <c r="Z122">
        <v>26.864999999999998</v>
      </c>
    </row>
    <row r="123" spans="1:26" x14ac:dyDescent="0.45">
      <c r="A123" t="s">
        <v>2031</v>
      </c>
      <c r="B123" t="s">
        <v>2406</v>
      </c>
      <c r="C123" s="3" t="s">
        <v>1642</v>
      </c>
      <c r="D123">
        <v>32.877000000000002</v>
      </c>
      <c r="E123" t="s">
        <v>1906</v>
      </c>
      <c r="F123">
        <v>39.752000000000002</v>
      </c>
      <c r="G123" t="s">
        <v>1906</v>
      </c>
      <c r="H123">
        <v>32.470999999999997</v>
      </c>
      <c r="I123">
        <v>32.959000000000003</v>
      </c>
      <c r="J123" t="s">
        <v>1906</v>
      </c>
      <c r="K123">
        <v>38.572000000000003</v>
      </c>
      <c r="L123" t="s">
        <v>1906</v>
      </c>
      <c r="M123" t="s">
        <v>1906</v>
      </c>
      <c r="N123" t="s">
        <v>1906</v>
      </c>
      <c r="O123">
        <v>37.469000000000001</v>
      </c>
      <c r="P123">
        <v>34.89</v>
      </c>
      <c r="Q123" t="s">
        <v>1906</v>
      </c>
      <c r="R123">
        <v>34.543999999999997</v>
      </c>
      <c r="S123">
        <v>32.933999999999997</v>
      </c>
      <c r="T123">
        <v>33.226999999999997</v>
      </c>
      <c r="U123">
        <v>34.127000000000002</v>
      </c>
      <c r="V123">
        <v>33.085000000000001</v>
      </c>
      <c r="W123">
        <v>34.332000000000001</v>
      </c>
      <c r="X123">
        <v>37.287999999999997</v>
      </c>
      <c r="Y123">
        <v>35.167000000000002</v>
      </c>
      <c r="Z123">
        <v>35.689</v>
      </c>
    </row>
    <row r="124" spans="1:26" x14ac:dyDescent="0.45">
      <c r="A124" t="s">
        <v>2032</v>
      </c>
      <c r="B124" t="s">
        <v>2407</v>
      </c>
      <c r="C124" s="3" t="s">
        <v>1643</v>
      </c>
      <c r="D124">
        <v>26.719000000000001</v>
      </c>
      <c r="E124">
        <v>26.791</v>
      </c>
      <c r="F124">
        <v>26.431999999999999</v>
      </c>
      <c r="G124">
        <v>27.869</v>
      </c>
      <c r="H124">
        <v>26.806999999999999</v>
      </c>
      <c r="I124">
        <v>26.675000000000001</v>
      </c>
      <c r="J124">
        <v>26.847000000000001</v>
      </c>
      <c r="K124">
        <v>27.140999999999998</v>
      </c>
      <c r="L124">
        <v>26.771000000000001</v>
      </c>
      <c r="M124">
        <v>27.401</v>
      </c>
      <c r="N124">
        <v>27.111000000000001</v>
      </c>
      <c r="O124">
        <v>27.32</v>
      </c>
      <c r="P124">
        <v>27.114999999999998</v>
      </c>
      <c r="Q124">
        <v>27.268000000000001</v>
      </c>
      <c r="R124">
        <v>27.363</v>
      </c>
      <c r="S124">
        <v>27.23</v>
      </c>
      <c r="T124">
        <v>27.187000000000001</v>
      </c>
      <c r="U124">
        <v>26.803999999999998</v>
      </c>
      <c r="V124">
        <v>26.7</v>
      </c>
      <c r="W124">
        <v>27.141999999999999</v>
      </c>
      <c r="X124">
        <v>27.715</v>
      </c>
      <c r="Y124">
        <v>26.853000000000002</v>
      </c>
      <c r="Z124">
        <v>26.777000000000001</v>
      </c>
    </row>
    <row r="125" spans="1:26" x14ac:dyDescent="0.45">
      <c r="A125" t="s">
        <v>2033</v>
      </c>
      <c r="B125" t="s">
        <v>2408</v>
      </c>
      <c r="C125" s="3" t="s">
        <v>1644</v>
      </c>
      <c r="D125">
        <v>25.256</v>
      </c>
      <c r="E125">
        <v>25.65</v>
      </c>
      <c r="F125">
        <v>24.42</v>
      </c>
      <c r="G125">
        <v>26.434999999999999</v>
      </c>
      <c r="H125">
        <v>25.527999999999999</v>
      </c>
      <c r="I125">
        <v>24.466999999999999</v>
      </c>
      <c r="J125">
        <v>24.984999999999999</v>
      </c>
      <c r="K125">
        <v>25.87</v>
      </c>
      <c r="L125">
        <v>25.664999999999999</v>
      </c>
      <c r="M125">
        <v>25.509</v>
      </c>
      <c r="N125">
        <v>25.920999999999999</v>
      </c>
      <c r="O125">
        <v>26.181999999999999</v>
      </c>
      <c r="P125">
        <v>25.734000000000002</v>
      </c>
      <c r="Q125">
        <v>25.98</v>
      </c>
      <c r="R125">
        <v>25.75</v>
      </c>
      <c r="S125">
        <v>25.620999999999999</v>
      </c>
      <c r="T125">
        <v>25.327000000000002</v>
      </c>
      <c r="U125">
        <v>25.221</v>
      </c>
      <c r="V125">
        <v>25.155999999999999</v>
      </c>
      <c r="W125">
        <v>25.565999999999999</v>
      </c>
      <c r="X125">
        <v>26.324999999999999</v>
      </c>
      <c r="Y125">
        <v>25.183</v>
      </c>
      <c r="Z125">
        <v>25.010999999999999</v>
      </c>
    </row>
    <row r="126" spans="1:26" x14ac:dyDescent="0.45">
      <c r="A126" t="s">
        <v>2034</v>
      </c>
      <c r="B126" t="s">
        <v>2409</v>
      </c>
      <c r="C126" s="3" t="s">
        <v>1645</v>
      </c>
      <c r="D126">
        <v>24.643000000000001</v>
      </c>
      <c r="E126">
        <v>24.667999999999999</v>
      </c>
      <c r="F126">
        <v>23.515999999999998</v>
      </c>
      <c r="G126">
        <v>25.082000000000001</v>
      </c>
      <c r="H126">
        <v>24.536999999999999</v>
      </c>
      <c r="I126">
        <v>23.823</v>
      </c>
      <c r="J126">
        <v>23.981999999999999</v>
      </c>
      <c r="K126">
        <v>24.536000000000001</v>
      </c>
      <c r="L126">
        <v>24.329000000000001</v>
      </c>
      <c r="M126">
        <v>24.498999999999999</v>
      </c>
      <c r="N126">
        <v>23.811</v>
      </c>
      <c r="O126">
        <v>24.542999999999999</v>
      </c>
      <c r="P126">
        <v>24.584</v>
      </c>
      <c r="Q126">
        <v>24.72</v>
      </c>
      <c r="R126">
        <v>25.143000000000001</v>
      </c>
      <c r="S126">
        <v>24.559000000000001</v>
      </c>
      <c r="T126">
        <v>24.722000000000001</v>
      </c>
      <c r="U126">
        <v>24.456</v>
      </c>
      <c r="V126">
        <v>23.837</v>
      </c>
      <c r="W126">
        <v>24.515999999999998</v>
      </c>
      <c r="X126">
        <v>25.117999999999999</v>
      </c>
      <c r="Y126">
        <v>24.42</v>
      </c>
      <c r="Z126">
        <v>24.640999999999998</v>
      </c>
    </row>
    <row r="127" spans="1:26" x14ac:dyDescent="0.45">
      <c r="A127" t="s">
        <v>2035</v>
      </c>
      <c r="B127" t="s">
        <v>2410</v>
      </c>
      <c r="C127" s="3" t="s">
        <v>1646</v>
      </c>
      <c r="D127">
        <v>35.093000000000004</v>
      </c>
      <c r="E127">
        <v>32.369999999999997</v>
      </c>
      <c r="F127">
        <v>33.314999999999998</v>
      </c>
      <c r="G127">
        <v>32.399000000000001</v>
      </c>
      <c r="H127">
        <v>33.408999999999999</v>
      </c>
      <c r="I127">
        <v>32.658999999999999</v>
      </c>
      <c r="J127">
        <v>33.082999999999998</v>
      </c>
      <c r="K127">
        <v>33.491</v>
      </c>
      <c r="L127" t="s">
        <v>1906</v>
      </c>
      <c r="M127">
        <v>34.494</v>
      </c>
      <c r="N127" t="s">
        <v>1906</v>
      </c>
      <c r="O127">
        <v>35.612000000000002</v>
      </c>
      <c r="P127">
        <v>33.466999999999999</v>
      </c>
      <c r="Q127">
        <v>38.777999999999999</v>
      </c>
      <c r="R127" t="s">
        <v>1906</v>
      </c>
      <c r="S127">
        <v>32.776000000000003</v>
      </c>
      <c r="T127">
        <v>33.857999999999997</v>
      </c>
      <c r="U127">
        <v>33.484000000000002</v>
      </c>
      <c r="V127">
        <v>33.478000000000002</v>
      </c>
      <c r="W127">
        <v>33.488</v>
      </c>
      <c r="X127">
        <v>34.134</v>
      </c>
      <c r="Y127">
        <v>32.176000000000002</v>
      </c>
      <c r="Z127">
        <v>31.92</v>
      </c>
    </row>
    <row r="128" spans="1:26" x14ac:dyDescent="0.45">
      <c r="A128" t="s">
        <v>2036</v>
      </c>
      <c r="B128" t="s">
        <v>2411</v>
      </c>
      <c r="C128" s="3" t="s">
        <v>1647</v>
      </c>
      <c r="D128">
        <v>30.356999999999999</v>
      </c>
      <c r="E128">
        <v>31.581</v>
      </c>
      <c r="F128">
        <v>31.564</v>
      </c>
      <c r="G128">
        <v>33.905000000000001</v>
      </c>
      <c r="H128">
        <v>31.195</v>
      </c>
      <c r="I128">
        <v>31.177</v>
      </c>
      <c r="J128">
        <v>31.193000000000001</v>
      </c>
      <c r="K128">
        <v>31.620999999999999</v>
      </c>
      <c r="L128">
        <v>32.500999999999998</v>
      </c>
      <c r="M128">
        <v>31.707999999999998</v>
      </c>
      <c r="N128">
        <v>32.331000000000003</v>
      </c>
      <c r="O128">
        <v>33.569000000000003</v>
      </c>
      <c r="P128">
        <v>31.263000000000002</v>
      </c>
      <c r="Q128">
        <v>31.193000000000001</v>
      </c>
      <c r="R128">
        <v>32.128999999999998</v>
      </c>
      <c r="S128">
        <v>31.323</v>
      </c>
      <c r="T128">
        <v>31.74</v>
      </c>
      <c r="U128">
        <v>32.284999999999997</v>
      </c>
      <c r="V128">
        <v>31.221</v>
      </c>
      <c r="W128">
        <v>32.46</v>
      </c>
      <c r="X128">
        <v>31.780999999999999</v>
      </c>
      <c r="Y128">
        <v>31.195</v>
      </c>
      <c r="Z128">
        <v>30.791</v>
      </c>
    </row>
    <row r="129" spans="1:26" x14ac:dyDescent="0.45">
      <c r="A129" t="s">
        <v>2037</v>
      </c>
      <c r="B129" t="s">
        <v>2412</v>
      </c>
      <c r="C129" s="3" t="s">
        <v>1648</v>
      </c>
      <c r="D129">
        <v>30.54</v>
      </c>
      <c r="E129">
        <v>29.536999999999999</v>
      </c>
      <c r="F129">
        <v>30.152000000000001</v>
      </c>
      <c r="G129">
        <v>30.913</v>
      </c>
      <c r="H129">
        <v>29.965</v>
      </c>
      <c r="I129">
        <v>29.405000000000001</v>
      </c>
      <c r="J129">
        <v>30.303000000000001</v>
      </c>
      <c r="K129">
        <v>29.922999999999998</v>
      </c>
      <c r="L129">
        <v>29.44</v>
      </c>
      <c r="M129">
        <v>30.606000000000002</v>
      </c>
      <c r="N129">
        <v>30.440999999999999</v>
      </c>
      <c r="O129">
        <v>29.853999999999999</v>
      </c>
      <c r="P129">
        <v>30.812999999999999</v>
      </c>
      <c r="Q129">
        <v>29.315999999999999</v>
      </c>
      <c r="R129">
        <v>30.561</v>
      </c>
      <c r="S129">
        <v>30.866</v>
      </c>
      <c r="T129">
        <v>29.719000000000001</v>
      </c>
      <c r="U129">
        <v>30.850999999999999</v>
      </c>
      <c r="V129">
        <v>29.609000000000002</v>
      </c>
      <c r="W129">
        <v>30.245000000000001</v>
      </c>
      <c r="X129">
        <v>30.922000000000001</v>
      </c>
      <c r="Y129">
        <v>30.68</v>
      </c>
      <c r="Z129">
        <v>29.547000000000001</v>
      </c>
    </row>
    <row r="130" spans="1:26" x14ac:dyDescent="0.45">
      <c r="A130" t="s">
        <v>2038</v>
      </c>
      <c r="B130" t="s">
        <v>2413</v>
      </c>
      <c r="C130" s="3" t="s">
        <v>1649</v>
      </c>
      <c r="D130">
        <v>25.777000000000001</v>
      </c>
      <c r="E130">
        <v>24.742000000000001</v>
      </c>
      <c r="F130">
        <v>24.707999999999998</v>
      </c>
      <c r="G130">
        <v>26.689</v>
      </c>
      <c r="H130">
        <v>25.754999999999999</v>
      </c>
      <c r="I130">
        <v>24.587</v>
      </c>
      <c r="J130">
        <v>25.422000000000001</v>
      </c>
      <c r="K130">
        <v>26.094000000000001</v>
      </c>
      <c r="L130">
        <v>26.137</v>
      </c>
      <c r="M130">
        <v>25.843</v>
      </c>
      <c r="N130">
        <v>25.489000000000001</v>
      </c>
      <c r="O130">
        <v>25.695</v>
      </c>
      <c r="P130">
        <v>25.18</v>
      </c>
      <c r="Q130">
        <v>25.29</v>
      </c>
      <c r="R130">
        <v>25.699000000000002</v>
      </c>
      <c r="S130">
        <v>26.443000000000001</v>
      </c>
      <c r="T130">
        <v>25.821000000000002</v>
      </c>
      <c r="U130">
        <v>25.959</v>
      </c>
      <c r="V130">
        <v>25.123999999999999</v>
      </c>
      <c r="W130">
        <v>25.695</v>
      </c>
      <c r="X130">
        <v>25.920999999999999</v>
      </c>
      <c r="Y130">
        <v>25.279</v>
      </c>
      <c r="Z130">
        <v>25.15</v>
      </c>
    </row>
    <row r="131" spans="1:26" x14ac:dyDescent="0.45">
      <c r="A131" t="s">
        <v>2039</v>
      </c>
      <c r="B131" t="s">
        <v>2414</v>
      </c>
      <c r="C131" s="3" t="s">
        <v>1650</v>
      </c>
      <c r="D131">
        <v>23.405999999999999</v>
      </c>
      <c r="E131">
        <v>24.047000000000001</v>
      </c>
      <c r="F131">
        <v>23.722999999999999</v>
      </c>
      <c r="G131">
        <v>26.62</v>
      </c>
      <c r="H131">
        <v>24.521000000000001</v>
      </c>
      <c r="I131">
        <v>23.42</v>
      </c>
      <c r="J131">
        <v>22.745000000000001</v>
      </c>
      <c r="K131">
        <v>25.32</v>
      </c>
      <c r="L131">
        <v>24.443000000000001</v>
      </c>
      <c r="M131">
        <v>24.390999999999998</v>
      </c>
      <c r="N131">
        <v>25.448</v>
      </c>
      <c r="O131">
        <v>24.616</v>
      </c>
      <c r="P131">
        <v>24.388999999999999</v>
      </c>
      <c r="Q131">
        <v>24.518999999999998</v>
      </c>
      <c r="R131">
        <v>24.913</v>
      </c>
      <c r="S131">
        <v>25.207000000000001</v>
      </c>
      <c r="T131">
        <v>25.204999999999998</v>
      </c>
      <c r="U131">
        <v>24.242999999999999</v>
      </c>
      <c r="V131">
        <v>24.771999999999998</v>
      </c>
      <c r="W131">
        <v>24.661999999999999</v>
      </c>
      <c r="X131">
        <v>24.81</v>
      </c>
      <c r="Y131">
        <v>24.446999999999999</v>
      </c>
      <c r="Z131">
        <v>23.466000000000001</v>
      </c>
    </row>
    <row r="132" spans="1:26" x14ac:dyDescent="0.45">
      <c r="A132" t="s">
        <v>2040</v>
      </c>
      <c r="B132" t="s">
        <v>2415</v>
      </c>
      <c r="C132" s="3" t="s">
        <v>1651</v>
      </c>
      <c r="D132">
        <v>24.245000000000001</v>
      </c>
      <c r="E132">
        <v>27.265999999999998</v>
      </c>
      <c r="F132">
        <v>25.170999999999999</v>
      </c>
      <c r="G132">
        <v>26.951000000000001</v>
      </c>
      <c r="H132">
        <v>25.462</v>
      </c>
      <c r="I132">
        <v>23.992999999999999</v>
      </c>
      <c r="J132">
        <v>24.134</v>
      </c>
      <c r="K132">
        <v>26.824000000000002</v>
      </c>
      <c r="L132">
        <v>26.513000000000002</v>
      </c>
      <c r="M132">
        <v>25.699000000000002</v>
      </c>
      <c r="N132">
        <v>27.007999999999999</v>
      </c>
      <c r="O132">
        <v>25.292000000000002</v>
      </c>
      <c r="P132">
        <v>24.408999999999999</v>
      </c>
      <c r="Q132">
        <v>26.187999999999999</v>
      </c>
      <c r="R132">
        <v>25.742999999999999</v>
      </c>
      <c r="S132">
        <v>24.582999999999998</v>
      </c>
      <c r="T132">
        <v>26.622</v>
      </c>
      <c r="U132">
        <v>26.34</v>
      </c>
      <c r="V132">
        <v>25.099</v>
      </c>
      <c r="W132">
        <v>25.614000000000001</v>
      </c>
      <c r="X132">
        <v>27.324000000000002</v>
      </c>
      <c r="Y132">
        <v>25.864000000000001</v>
      </c>
      <c r="Z132">
        <v>24.481999999999999</v>
      </c>
    </row>
    <row r="133" spans="1:26" x14ac:dyDescent="0.45">
      <c r="A133" t="s">
        <v>2041</v>
      </c>
      <c r="B133" t="s">
        <v>2416</v>
      </c>
      <c r="C133" s="3" t="s">
        <v>1652</v>
      </c>
      <c r="D133">
        <v>33.634999999999998</v>
      </c>
      <c r="E133" t="s">
        <v>1906</v>
      </c>
      <c r="F133">
        <v>35.24</v>
      </c>
      <c r="G133">
        <v>35.585000000000001</v>
      </c>
      <c r="H133" t="s">
        <v>1906</v>
      </c>
      <c r="I133">
        <v>34.664999999999999</v>
      </c>
      <c r="J133" t="s">
        <v>1906</v>
      </c>
      <c r="K133" t="s">
        <v>1906</v>
      </c>
      <c r="L133">
        <v>36.094000000000001</v>
      </c>
      <c r="M133" t="s">
        <v>1906</v>
      </c>
      <c r="N133">
        <v>35.540999999999997</v>
      </c>
      <c r="O133" t="s">
        <v>1906</v>
      </c>
      <c r="P133">
        <v>33.15</v>
      </c>
      <c r="Q133">
        <v>35.548999999999999</v>
      </c>
      <c r="R133" t="s">
        <v>1906</v>
      </c>
      <c r="S133">
        <v>34.115000000000002</v>
      </c>
      <c r="T133">
        <v>34.155000000000001</v>
      </c>
      <c r="U133">
        <v>34.704999999999998</v>
      </c>
      <c r="V133">
        <v>34.496000000000002</v>
      </c>
      <c r="W133">
        <v>36.353000000000002</v>
      </c>
      <c r="X133">
        <v>34.848999999999997</v>
      </c>
      <c r="Y133">
        <v>33.707999999999998</v>
      </c>
      <c r="Z133">
        <v>34.481000000000002</v>
      </c>
    </row>
    <row r="134" spans="1:26" x14ac:dyDescent="0.45">
      <c r="A134" t="s">
        <v>2042</v>
      </c>
      <c r="B134" t="s">
        <v>2417</v>
      </c>
      <c r="C134" s="3" t="s">
        <v>1653</v>
      </c>
      <c r="D134">
        <v>30.902000000000001</v>
      </c>
      <c r="E134">
        <v>33.898000000000003</v>
      </c>
      <c r="F134">
        <v>31.446999999999999</v>
      </c>
      <c r="G134">
        <v>32.843000000000004</v>
      </c>
      <c r="H134">
        <v>31.707999999999998</v>
      </c>
      <c r="I134">
        <v>29.673999999999999</v>
      </c>
      <c r="J134">
        <v>30.821000000000002</v>
      </c>
      <c r="K134">
        <v>31.734999999999999</v>
      </c>
      <c r="L134">
        <v>31.292000000000002</v>
      </c>
      <c r="M134">
        <v>31.533000000000001</v>
      </c>
      <c r="N134">
        <v>32.340000000000003</v>
      </c>
      <c r="O134">
        <v>32.003999999999998</v>
      </c>
      <c r="P134">
        <v>30.495999999999999</v>
      </c>
      <c r="Q134">
        <v>32.234000000000002</v>
      </c>
      <c r="R134">
        <v>31.657</v>
      </c>
      <c r="S134">
        <v>30.678999999999998</v>
      </c>
      <c r="T134">
        <v>31.651</v>
      </c>
      <c r="U134">
        <v>31.684999999999999</v>
      </c>
      <c r="V134">
        <v>30.459</v>
      </c>
      <c r="W134">
        <v>30.952000000000002</v>
      </c>
      <c r="X134">
        <v>32.665999999999997</v>
      </c>
      <c r="Y134">
        <v>30.867999999999999</v>
      </c>
      <c r="Z134">
        <v>31.526</v>
      </c>
    </row>
    <row r="135" spans="1:26" x14ac:dyDescent="0.45">
      <c r="A135" t="s">
        <v>2043</v>
      </c>
      <c r="B135" t="s">
        <v>2418</v>
      </c>
      <c r="C135" s="3" t="s">
        <v>1654</v>
      </c>
      <c r="D135">
        <v>26.227</v>
      </c>
      <c r="E135">
        <v>24.806999999999999</v>
      </c>
      <c r="F135">
        <v>24.824000000000002</v>
      </c>
      <c r="G135">
        <v>26.189</v>
      </c>
      <c r="H135">
        <v>25.251000000000001</v>
      </c>
      <c r="I135">
        <v>25.439</v>
      </c>
      <c r="J135">
        <v>24.962</v>
      </c>
      <c r="K135">
        <v>25.481000000000002</v>
      </c>
      <c r="L135">
        <v>24.777999999999999</v>
      </c>
      <c r="M135">
        <v>26.792999999999999</v>
      </c>
      <c r="N135">
        <v>24.544</v>
      </c>
      <c r="O135">
        <v>26.204999999999998</v>
      </c>
      <c r="P135">
        <v>24.783999999999999</v>
      </c>
      <c r="Q135">
        <v>25.106000000000002</v>
      </c>
      <c r="R135">
        <v>25.731999999999999</v>
      </c>
      <c r="S135">
        <v>25.741</v>
      </c>
      <c r="T135">
        <v>25.187999999999999</v>
      </c>
      <c r="U135">
        <v>26.568999999999999</v>
      </c>
      <c r="V135">
        <v>25.149000000000001</v>
      </c>
      <c r="W135">
        <v>25.154</v>
      </c>
      <c r="X135">
        <v>27.131</v>
      </c>
      <c r="Y135">
        <v>25.01</v>
      </c>
      <c r="Z135">
        <v>25.611000000000001</v>
      </c>
    </row>
    <row r="136" spans="1:26" x14ac:dyDescent="0.45">
      <c r="A136" t="s">
        <v>2044</v>
      </c>
      <c r="B136" t="s">
        <v>2419</v>
      </c>
      <c r="C136" s="3" t="s">
        <v>1655</v>
      </c>
      <c r="D136">
        <v>23.491</v>
      </c>
      <c r="E136">
        <v>21.439</v>
      </c>
      <c r="F136">
        <v>21.338000000000001</v>
      </c>
      <c r="G136">
        <v>22.972999999999999</v>
      </c>
      <c r="H136">
        <v>21.616</v>
      </c>
      <c r="I136">
        <v>21.974</v>
      </c>
      <c r="J136">
        <v>21.384</v>
      </c>
      <c r="K136">
        <v>22.542000000000002</v>
      </c>
      <c r="L136">
        <v>21.745000000000001</v>
      </c>
      <c r="M136">
        <v>23.001999999999999</v>
      </c>
      <c r="N136">
        <v>20.99</v>
      </c>
      <c r="O136">
        <v>23.013999999999999</v>
      </c>
      <c r="P136">
        <v>21.440999999999999</v>
      </c>
      <c r="Q136">
        <v>21.725000000000001</v>
      </c>
      <c r="R136">
        <v>22.331</v>
      </c>
      <c r="S136">
        <v>23.552</v>
      </c>
      <c r="T136">
        <v>21.895</v>
      </c>
      <c r="U136">
        <v>23.125</v>
      </c>
      <c r="V136">
        <v>21.786999999999999</v>
      </c>
      <c r="W136">
        <v>22.311</v>
      </c>
      <c r="X136">
        <v>23.925999999999998</v>
      </c>
      <c r="Y136">
        <v>21.861000000000001</v>
      </c>
      <c r="Z136">
        <v>22.63</v>
      </c>
    </row>
    <row r="137" spans="1:26" x14ac:dyDescent="0.45">
      <c r="A137" t="s">
        <v>2045</v>
      </c>
      <c r="B137" t="s">
        <v>2420</v>
      </c>
      <c r="C137" s="3" t="s">
        <v>1656</v>
      </c>
      <c r="D137">
        <v>27.85</v>
      </c>
      <c r="E137">
        <v>25.884</v>
      </c>
      <c r="F137">
        <v>25.663</v>
      </c>
      <c r="G137">
        <v>26.375</v>
      </c>
      <c r="H137">
        <v>25.731999999999999</v>
      </c>
      <c r="I137">
        <v>26.786000000000001</v>
      </c>
      <c r="J137">
        <v>26.187000000000001</v>
      </c>
      <c r="K137">
        <v>26.42</v>
      </c>
      <c r="L137">
        <v>25.75</v>
      </c>
      <c r="M137">
        <v>26.343</v>
      </c>
      <c r="N137">
        <v>26.469000000000001</v>
      </c>
      <c r="O137">
        <v>27.962</v>
      </c>
      <c r="P137">
        <v>25.504999999999999</v>
      </c>
      <c r="Q137">
        <v>26.263999999999999</v>
      </c>
      <c r="R137">
        <v>27.391999999999999</v>
      </c>
      <c r="S137">
        <v>26.547999999999998</v>
      </c>
      <c r="T137">
        <v>27.713000000000001</v>
      </c>
      <c r="U137">
        <v>26.454999999999998</v>
      </c>
      <c r="V137">
        <v>26.709</v>
      </c>
      <c r="W137">
        <v>25.916</v>
      </c>
      <c r="X137">
        <v>26.164999999999999</v>
      </c>
      <c r="Y137">
        <v>26.373000000000001</v>
      </c>
      <c r="Z137">
        <v>26.536999999999999</v>
      </c>
    </row>
    <row r="138" spans="1:26" x14ac:dyDescent="0.45">
      <c r="A138" t="s">
        <v>2046</v>
      </c>
      <c r="B138" t="s">
        <v>2421</v>
      </c>
      <c r="C138" s="3" t="s">
        <v>1657</v>
      </c>
      <c r="D138" t="s">
        <v>1906</v>
      </c>
      <c r="E138">
        <v>38.146000000000001</v>
      </c>
      <c r="F138">
        <v>32.999000000000002</v>
      </c>
      <c r="G138">
        <v>31.445</v>
      </c>
      <c r="H138">
        <v>31.664000000000001</v>
      </c>
      <c r="I138" t="s">
        <v>1906</v>
      </c>
      <c r="J138">
        <v>36.119999999999997</v>
      </c>
      <c r="K138">
        <v>32.121000000000002</v>
      </c>
      <c r="L138">
        <v>32.929000000000002</v>
      </c>
      <c r="M138">
        <v>33.439</v>
      </c>
      <c r="N138">
        <v>34.884</v>
      </c>
      <c r="O138" t="s">
        <v>1906</v>
      </c>
      <c r="P138">
        <v>32.755000000000003</v>
      </c>
      <c r="Q138">
        <v>32.793999999999997</v>
      </c>
      <c r="R138" t="s">
        <v>1906</v>
      </c>
      <c r="S138">
        <v>31.198</v>
      </c>
      <c r="T138" t="s">
        <v>1906</v>
      </c>
      <c r="U138">
        <v>33.076000000000001</v>
      </c>
      <c r="V138">
        <v>32.817</v>
      </c>
      <c r="W138">
        <v>37.627000000000002</v>
      </c>
      <c r="X138">
        <v>34.569000000000003</v>
      </c>
      <c r="Y138">
        <v>33.180999999999997</v>
      </c>
      <c r="Z138">
        <v>31.440999999999999</v>
      </c>
    </row>
    <row r="139" spans="1:26" x14ac:dyDescent="0.45">
      <c r="A139" t="s">
        <v>2047</v>
      </c>
      <c r="B139" t="s">
        <v>2422</v>
      </c>
      <c r="C139" s="3" t="s">
        <v>1658</v>
      </c>
      <c r="D139">
        <v>29.997</v>
      </c>
      <c r="E139">
        <v>28.224</v>
      </c>
      <c r="F139">
        <v>30.361999999999998</v>
      </c>
      <c r="G139">
        <v>31.087</v>
      </c>
      <c r="H139">
        <v>30.114999999999998</v>
      </c>
      <c r="I139">
        <v>32.999000000000002</v>
      </c>
      <c r="J139">
        <v>28.608000000000001</v>
      </c>
      <c r="K139">
        <v>32.612000000000002</v>
      </c>
      <c r="L139">
        <v>28.766999999999999</v>
      </c>
      <c r="M139">
        <v>28.896999999999998</v>
      </c>
      <c r="N139">
        <v>31.335000000000001</v>
      </c>
      <c r="O139">
        <v>29.638000000000002</v>
      </c>
      <c r="P139">
        <v>29.343</v>
      </c>
      <c r="Q139">
        <v>29.167999999999999</v>
      </c>
      <c r="R139">
        <v>29.477</v>
      </c>
      <c r="S139">
        <v>30.186</v>
      </c>
      <c r="T139">
        <v>29.315000000000001</v>
      </c>
      <c r="U139">
        <v>29.437999999999999</v>
      </c>
      <c r="V139">
        <v>28.933</v>
      </c>
      <c r="W139">
        <v>30.324000000000002</v>
      </c>
      <c r="X139">
        <v>29.334</v>
      </c>
      <c r="Y139">
        <v>33.1</v>
      </c>
      <c r="Z139">
        <v>29.178000000000001</v>
      </c>
    </row>
    <row r="140" spans="1:26" x14ac:dyDescent="0.45">
      <c r="A140" t="s">
        <v>2048</v>
      </c>
      <c r="B140" t="s">
        <v>2423</v>
      </c>
      <c r="C140" s="3" t="s">
        <v>1659</v>
      </c>
      <c r="D140">
        <v>25.288</v>
      </c>
      <c r="E140">
        <v>23.855</v>
      </c>
      <c r="F140">
        <v>26.056000000000001</v>
      </c>
      <c r="G140">
        <v>25.038</v>
      </c>
      <c r="H140">
        <v>26.495999999999999</v>
      </c>
      <c r="I140">
        <v>31.184000000000001</v>
      </c>
      <c r="J140">
        <v>23.641999999999999</v>
      </c>
      <c r="K140">
        <v>29.516999999999999</v>
      </c>
      <c r="L140">
        <v>24.271000000000001</v>
      </c>
      <c r="M140">
        <v>23.812000000000001</v>
      </c>
      <c r="N140">
        <v>26.591999999999999</v>
      </c>
      <c r="O140">
        <v>23.8</v>
      </c>
      <c r="P140">
        <v>23.919</v>
      </c>
      <c r="Q140">
        <v>23.558</v>
      </c>
      <c r="R140">
        <v>23.859000000000002</v>
      </c>
      <c r="S140">
        <v>25.071999999999999</v>
      </c>
      <c r="T140">
        <v>24.716999999999999</v>
      </c>
      <c r="U140">
        <v>24.096</v>
      </c>
      <c r="V140">
        <v>23.093</v>
      </c>
      <c r="W140">
        <v>25.699000000000002</v>
      </c>
      <c r="X140">
        <v>24.265999999999998</v>
      </c>
      <c r="Y140">
        <v>30.931000000000001</v>
      </c>
      <c r="Z140">
        <v>24.812000000000001</v>
      </c>
    </row>
    <row r="141" spans="1:26" x14ac:dyDescent="0.45">
      <c r="A141" t="s">
        <v>2049</v>
      </c>
      <c r="B141" t="s">
        <v>2424</v>
      </c>
      <c r="C141" s="3" t="s">
        <v>1660</v>
      </c>
      <c r="D141">
        <v>24.225999999999999</v>
      </c>
      <c r="E141">
        <v>24.14</v>
      </c>
      <c r="F141">
        <v>23.588000000000001</v>
      </c>
      <c r="G141">
        <v>24.995000000000001</v>
      </c>
      <c r="H141">
        <v>24.456</v>
      </c>
      <c r="I141">
        <v>24.113</v>
      </c>
      <c r="J141">
        <v>23.870999999999999</v>
      </c>
      <c r="K141">
        <v>24.718</v>
      </c>
      <c r="L141">
        <v>23.959</v>
      </c>
      <c r="M141">
        <v>24.303999999999998</v>
      </c>
      <c r="N141">
        <v>23.914999999999999</v>
      </c>
      <c r="O141">
        <v>25.209</v>
      </c>
      <c r="P141">
        <v>24.46</v>
      </c>
      <c r="Q141">
        <v>23.98</v>
      </c>
      <c r="R141">
        <v>25.706</v>
      </c>
      <c r="S141">
        <v>24.46</v>
      </c>
      <c r="T141">
        <v>24.460999999999999</v>
      </c>
      <c r="U141">
        <v>24.173999999999999</v>
      </c>
      <c r="V141">
        <v>23.863</v>
      </c>
      <c r="W141">
        <v>25.218</v>
      </c>
      <c r="X141">
        <v>26.236999999999998</v>
      </c>
      <c r="Y141">
        <v>24.611000000000001</v>
      </c>
      <c r="Z141">
        <v>24.89</v>
      </c>
    </row>
    <row r="142" spans="1:26" x14ac:dyDescent="0.45">
      <c r="A142" t="s">
        <v>2050</v>
      </c>
      <c r="B142" t="s">
        <v>2425</v>
      </c>
      <c r="C142" s="3" t="s">
        <v>1661</v>
      </c>
      <c r="D142">
        <v>27.466999999999999</v>
      </c>
      <c r="E142">
        <v>27.504999999999999</v>
      </c>
      <c r="F142">
        <v>26.306999999999999</v>
      </c>
      <c r="G142">
        <v>27.745000000000001</v>
      </c>
      <c r="H142">
        <v>26.574999999999999</v>
      </c>
      <c r="I142">
        <v>26.152999999999999</v>
      </c>
      <c r="J142">
        <v>28.768999999999998</v>
      </c>
      <c r="K142">
        <v>27.521000000000001</v>
      </c>
      <c r="L142">
        <v>27.177</v>
      </c>
      <c r="M142">
        <v>27.280999999999999</v>
      </c>
      <c r="N142">
        <v>29.355</v>
      </c>
      <c r="O142">
        <v>27.172000000000001</v>
      </c>
      <c r="P142">
        <v>26.411999999999999</v>
      </c>
      <c r="Q142">
        <v>29.821000000000002</v>
      </c>
      <c r="R142">
        <v>26.695</v>
      </c>
      <c r="S142">
        <v>26.667999999999999</v>
      </c>
      <c r="T142">
        <v>26.995999999999999</v>
      </c>
      <c r="U142">
        <v>27.474</v>
      </c>
      <c r="V142">
        <v>27.989000000000001</v>
      </c>
      <c r="W142">
        <v>26.553000000000001</v>
      </c>
      <c r="X142">
        <v>27.774000000000001</v>
      </c>
      <c r="Y142">
        <v>26.925999999999998</v>
      </c>
      <c r="Z142">
        <v>26.425000000000001</v>
      </c>
    </row>
    <row r="143" spans="1:26" x14ac:dyDescent="0.45">
      <c r="A143" t="s">
        <v>2051</v>
      </c>
      <c r="B143" t="s">
        <v>2426</v>
      </c>
      <c r="C143" s="3" t="s">
        <v>1662</v>
      </c>
      <c r="D143">
        <v>28.902999999999999</v>
      </c>
      <c r="E143">
        <v>28.91</v>
      </c>
      <c r="F143">
        <v>31.989000000000001</v>
      </c>
      <c r="G143">
        <v>32.862000000000002</v>
      </c>
      <c r="H143">
        <v>33.996000000000002</v>
      </c>
      <c r="I143">
        <v>31.266999999999999</v>
      </c>
      <c r="J143">
        <v>28.890999999999998</v>
      </c>
      <c r="K143">
        <v>33.835999999999999</v>
      </c>
      <c r="L143">
        <v>29.119</v>
      </c>
      <c r="M143">
        <v>28.943999999999999</v>
      </c>
      <c r="N143">
        <v>28.99</v>
      </c>
      <c r="O143">
        <v>28.971</v>
      </c>
      <c r="P143">
        <v>30.501000000000001</v>
      </c>
      <c r="Q143">
        <v>28.984999999999999</v>
      </c>
      <c r="R143">
        <v>29.413</v>
      </c>
      <c r="S143">
        <v>32.485999999999997</v>
      </c>
      <c r="T143">
        <v>29.925000000000001</v>
      </c>
      <c r="U143">
        <v>28.623999999999999</v>
      </c>
      <c r="V143">
        <v>29.484000000000002</v>
      </c>
      <c r="W143">
        <v>32.652999999999999</v>
      </c>
      <c r="X143">
        <v>29.655000000000001</v>
      </c>
      <c r="Y143">
        <v>28.997</v>
      </c>
      <c r="Z143">
        <v>29.437000000000001</v>
      </c>
    </row>
    <row r="144" spans="1:26" x14ac:dyDescent="0.45">
      <c r="A144" t="s">
        <v>2052</v>
      </c>
      <c r="B144" t="s">
        <v>2427</v>
      </c>
      <c r="C144" s="3" t="s">
        <v>1663</v>
      </c>
      <c r="D144">
        <v>22.094000000000001</v>
      </c>
      <c r="E144">
        <v>24.547000000000001</v>
      </c>
      <c r="F144">
        <v>21.901</v>
      </c>
      <c r="G144">
        <v>23.25</v>
      </c>
      <c r="H144">
        <v>22.367999999999999</v>
      </c>
      <c r="I144">
        <v>22.195</v>
      </c>
      <c r="J144">
        <v>22.359000000000002</v>
      </c>
      <c r="K144">
        <v>23.074999999999999</v>
      </c>
      <c r="L144">
        <v>22.172000000000001</v>
      </c>
      <c r="M144">
        <v>22.780999999999999</v>
      </c>
      <c r="N144">
        <v>22.077000000000002</v>
      </c>
      <c r="O144">
        <v>23.030999999999999</v>
      </c>
      <c r="P144">
        <v>22.827000000000002</v>
      </c>
      <c r="Q144">
        <v>22.552</v>
      </c>
      <c r="R144">
        <v>22.965</v>
      </c>
      <c r="S144">
        <v>22.600999999999999</v>
      </c>
      <c r="T144">
        <v>22.442</v>
      </c>
      <c r="U144">
        <v>22.303000000000001</v>
      </c>
      <c r="V144">
        <v>22.056999999999999</v>
      </c>
      <c r="W144">
        <v>22.190999999999999</v>
      </c>
      <c r="X144">
        <v>22.417999999999999</v>
      </c>
      <c r="Y144">
        <v>22.042000000000002</v>
      </c>
      <c r="Z144">
        <v>22.172999999999998</v>
      </c>
    </row>
    <row r="145" spans="1:26" x14ac:dyDescent="0.45">
      <c r="A145" t="s">
        <v>2053</v>
      </c>
      <c r="B145" t="s">
        <v>2428</v>
      </c>
      <c r="C145" s="3" t="s">
        <v>1664</v>
      </c>
      <c r="D145">
        <v>21.753</v>
      </c>
      <c r="E145">
        <v>21.462</v>
      </c>
      <c r="F145">
        <v>21.239000000000001</v>
      </c>
      <c r="G145">
        <v>22.292000000000002</v>
      </c>
      <c r="H145">
        <v>21.59</v>
      </c>
      <c r="I145">
        <v>21.510999999999999</v>
      </c>
      <c r="J145">
        <v>21.637</v>
      </c>
      <c r="K145">
        <v>21.664000000000001</v>
      </c>
      <c r="L145">
        <v>21.620999999999999</v>
      </c>
      <c r="M145">
        <v>21.98</v>
      </c>
      <c r="N145">
        <v>21.542999999999999</v>
      </c>
      <c r="O145">
        <v>22.173999999999999</v>
      </c>
      <c r="P145">
        <v>22.218</v>
      </c>
      <c r="Q145">
        <v>21.907</v>
      </c>
      <c r="R145">
        <v>21.893999999999998</v>
      </c>
      <c r="S145">
        <v>21.943000000000001</v>
      </c>
      <c r="T145">
        <v>21.756</v>
      </c>
      <c r="U145">
        <v>21.556999999999999</v>
      </c>
      <c r="V145">
        <v>21.376999999999999</v>
      </c>
      <c r="W145">
        <v>22.334</v>
      </c>
      <c r="X145">
        <v>21.939</v>
      </c>
      <c r="Y145">
        <v>21.495999999999999</v>
      </c>
      <c r="Z145">
        <v>23.442</v>
      </c>
    </row>
    <row r="146" spans="1:26" x14ac:dyDescent="0.45">
      <c r="A146" t="s">
        <v>2054</v>
      </c>
      <c r="B146" t="s">
        <v>2429</v>
      </c>
      <c r="C146" s="3" t="s">
        <v>1665</v>
      </c>
      <c r="D146">
        <v>25.184999999999999</v>
      </c>
      <c r="E146">
        <v>24.489000000000001</v>
      </c>
      <c r="F146">
        <v>23.911999999999999</v>
      </c>
      <c r="G146">
        <v>25.661000000000001</v>
      </c>
      <c r="H146">
        <v>24.614000000000001</v>
      </c>
      <c r="I146">
        <v>24.376999999999999</v>
      </c>
      <c r="J146">
        <v>24.568000000000001</v>
      </c>
      <c r="K146">
        <v>24.995000000000001</v>
      </c>
      <c r="L146">
        <v>24.658000000000001</v>
      </c>
      <c r="M146">
        <v>24.809000000000001</v>
      </c>
      <c r="N146">
        <v>23.646000000000001</v>
      </c>
      <c r="O146">
        <v>25.93</v>
      </c>
      <c r="P146">
        <v>24.992999999999999</v>
      </c>
      <c r="Q146">
        <v>24.414999999999999</v>
      </c>
      <c r="R146">
        <v>24.972999999999999</v>
      </c>
      <c r="S146">
        <v>25.681999999999999</v>
      </c>
      <c r="T146">
        <v>24.823</v>
      </c>
      <c r="U146">
        <v>24.337</v>
      </c>
      <c r="V146">
        <v>24.003</v>
      </c>
      <c r="W146">
        <v>25.391999999999999</v>
      </c>
      <c r="X146">
        <v>25.417999999999999</v>
      </c>
      <c r="Y146">
        <v>24.475999999999999</v>
      </c>
      <c r="Z146">
        <v>25.835999999999999</v>
      </c>
    </row>
    <row r="147" spans="1:26" x14ac:dyDescent="0.45">
      <c r="A147" t="s">
        <v>2055</v>
      </c>
      <c r="B147" t="s">
        <v>2430</v>
      </c>
      <c r="C147" s="3" t="s">
        <v>1666</v>
      </c>
      <c r="D147">
        <v>22.858000000000001</v>
      </c>
      <c r="E147">
        <v>22.888000000000002</v>
      </c>
      <c r="F147">
        <v>22.672000000000001</v>
      </c>
      <c r="G147">
        <v>24.434000000000001</v>
      </c>
      <c r="H147">
        <v>23.350999999999999</v>
      </c>
      <c r="I147">
        <v>22.481999999999999</v>
      </c>
      <c r="J147">
        <v>23.366</v>
      </c>
      <c r="K147">
        <v>23.776</v>
      </c>
      <c r="L147">
        <v>23.651</v>
      </c>
      <c r="M147">
        <v>23.332000000000001</v>
      </c>
      <c r="N147">
        <v>23.817</v>
      </c>
      <c r="O147">
        <v>23.706</v>
      </c>
      <c r="P147">
        <v>23.564</v>
      </c>
      <c r="Q147">
        <v>23.571999999999999</v>
      </c>
      <c r="R147">
        <v>23.096</v>
      </c>
      <c r="S147">
        <v>23.646999999999998</v>
      </c>
      <c r="T147">
        <v>23.175000000000001</v>
      </c>
      <c r="U147">
        <v>23.529</v>
      </c>
      <c r="V147">
        <v>23.187000000000001</v>
      </c>
      <c r="W147">
        <v>23.791</v>
      </c>
      <c r="X147">
        <v>24.15</v>
      </c>
      <c r="Y147">
        <v>23.382000000000001</v>
      </c>
      <c r="Z147">
        <v>22.954999999999998</v>
      </c>
    </row>
    <row r="148" spans="1:26" x14ac:dyDescent="0.45">
      <c r="A148" t="s">
        <v>2056</v>
      </c>
      <c r="B148" t="s">
        <v>2431</v>
      </c>
      <c r="C148" s="3" t="s">
        <v>1667</v>
      </c>
      <c r="D148">
        <v>22.876000000000001</v>
      </c>
      <c r="E148">
        <v>24.233000000000001</v>
      </c>
      <c r="F148">
        <v>23.556999999999999</v>
      </c>
      <c r="G148">
        <v>23.928000000000001</v>
      </c>
      <c r="H148">
        <v>22.596</v>
      </c>
      <c r="I148">
        <v>23.315999999999999</v>
      </c>
      <c r="J148">
        <v>24.125</v>
      </c>
      <c r="K148">
        <v>23.361999999999998</v>
      </c>
      <c r="L148">
        <v>23.492000000000001</v>
      </c>
      <c r="M148">
        <v>24.163</v>
      </c>
      <c r="N148">
        <v>23.896999999999998</v>
      </c>
      <c r="O148">
        <v>23.57</v>
      </c>
      <c r="P148">
        <v>23.885999999999999</v>
      </c>
      <c r="Q148">
        <v>23.571999999999999</v>
      </c>
      <c r="R148">
        <v>23.971</v>
      </c>
      <c r="S148">
        <v>23.111000000000001</v>
      </c>
      <c r="T148">
        <v>23.484000000000002</v>
      </c>
      <c r="U148">
        <v>23.675999999999998</v>
      </c>
      <c r="V148">
        <v>23.113</v>
      </c>
      <c r="W148">
        <v>23.015000000000001</v>
      </c>
      <c r="X148">
        <v>23.847999999999999</v>
      </c>
      <c r="Y148">
        <v>23.28</v>
      </c>
      <c r="Z148">
        <v>23.338000000000001</v>
      </c>
    </row>
    <row r="149" spans="1:26" x14ac:dyDescent="0.45">
      <c r="A149" t="s">
        <v>2057</v>
      </c>
      <c r="B149" t="s">
        <v>2432</v>
      </c>
      <c r="C149" s="3" t="s">
        <v>1668</v>
      </c>
      <c r="D149">
        <v>20.946999999999999</v>
      </c>
      <c r="E149">
        <v>20.905999999999999</v>
      </c>
      <c r="F149">
        <v>20.783999999999999</v>
      </c>
      <c r="G149">
        <v>22.33</v>
      </c>
      <c r="H149">
        <v>21.175999999999998</v>
      </c>
      <c r="I149">
        <v>20.318000000000001</v>
      </c>
      <c r="J149">
        <v>21.132000000000001</v>
      </c>
      <c r="K149">
        <v>21.306000000000001</v>
      </c>
      <c r="L149">
        <v>21.564</v>
      </c>
      <c r="M149">
        <v>21.274000000000001</v>
      </c>
      <c r="N149">
        <v>21.731999999999999</v>
      </c>
      <c r="O149">
        <v>21.744</v>
      </c>
      <c r="P149">
        <v>21.472999999999999</v>
      </c>
      <c r="Q149">
        <v>21.74</v>
      </c>
      <c r="R149">
        <v>21.234000000000002</v>
      </c>
      <c r="S149">
        <v>21.765999999999998</v>
      </c>
      <c r="T149">
        <v>21.51</v>
      </c>
      <c r="U149">
        <v>21.128</v>
      </c>
      <c r="V149">
        <v>21.332999999999998</v>
      </c>
      <c r="W149">
        <v>21.68</v>
      </c>
      <c r="X149">
        <v>21.902000000000001</v>
      </c>
      <c r="Y149">
        <v>21.295000000000002</v>
      </c>
      <c r="Z149">
        <v>21.128</v>
      </c>
    </row>
    <row r="150" spans="1:26" x14ac:dyDescent="0.45">
      <c r="A150" t="s">
        <v>2058</v>
      </c>
      <c r="B150" t="s">
        <v>2433</v>
      </c>
      <c r="C150" s="3" t="s">
        <v>1669</v>
      </c>
      <c r="D150">
        <v>28.164999999999999</v>
      </c>
      <c r="E150">
        <v>28.539000000000001</v>
      </c>
      <c r="F150">
        <v>27.946999999999999</v>
      </c>
      <c r="G150">
        <v>30.233000000000001</v>
      </c>
      <c r="H150">
        <v>27.934000000000001</v>
      </c>
      <c r="I150">
        <v>27.992999999999999</v>
      </c>
      <c r="J150">
        <v>28.388999999999999</v>
      </c>
      <c r="K150">
        <v>29.515999999999998</v>
      </c>
      <c r="L150">
        <v>28.442</v>
      </c>
      <c r="M150">
        <v>28.553000000000001</v>
      </c>
      <c r="N150">
        <v>28.484000000000002</v>
      </c>
      <c r="O150">
        <v>28.588000000000001</v>
      </c>
      <c r="P150">
        <v>28.626999999999999</v>
      </c>
      <c r="Q150">
        <v>29.245000000000001</v>
      </c>
      <c r="R150">
        <v>28.571000000000002</v>
      </c>
      <c r="S150">
        <v>28.061</v>
      </c>
      <c r="T150">
        <v>28.928999999999998</v>
      </c>
      <c r="U150">
        <v>27.986000000000001</v>
      </c>
      <c r="V150">
        <v>28.114000000000001</v>
      </c>
      <c r="W150">
        <v>28.315000000000001</v>
      </c>
      <c r="X150">
        <v>29.331</v>
      </c>
      <c r="Y150">
        <v>27.934999999999999</v>
      </c>
      <c r="Z150">
        <v>27.920999999999999</v>
      </c>
    </row>
    <row r="151" spans="1:26" x14ac:dyDescent="0.45">
      <c r="A151" t="s">
        <v>2059</v>
      </c>
      <c r="B151" t="s">
        <v>2434</v>
      </c>
      <c r="C151" s="3" t="s">
        <v>1670</v>
      </c>
      <c r="D151">
        <v>31.51</v>
      </c>
      <c r="E151">
        <v>31.585000000000001</v>
      </c>
      <c r="F151">
        <v>30.898</v>
      </c>
      <c r="G151">
        <v>32.594000000000001</v>
      </c>
      <c r="H151">
        <v>31.574999999999999</v>
      </c>
      <c r="I151">
        <v>32.299999999999997</v>
      </c>
      <c r="J151">
        <v>31.122</v>
      </c>
      <c r="K151">
        <v>32.225000000000001</v>
      </c>
      <c r="L151">
        <v>31.587</v>
      </c>
      <c r="M151">
        <v>31.667000000000002</v>
      </c>
      <c r="N151">
        <v>32.238</v>
      </c>
      <c r="O151">
        <v>32.64</v>
      </c>
      <c r="P151">
        <v>32.621000000000002</v>
      </c>
      <c r="Q151">
        <v>31.346</v>
      </c>
      <c r="R151">
        <v>32.009</v>
      </c>
      <c r="S151">
        <v>32.191000000000003</v>
      </c>
      <c r="T151">
        <v>31.288</v>
      </c>
      <c r="U151">
        <v>31.495000000000001</v>
      </c>
      <c r="V151">
        <v>31.605</v>
      </c>
      <c r="W151">
        <v>32.344999999999999</v>
      </c>
      <c r="X151">
        <v>32.283999999999999</v>
      </c>
      <c r="Y151">
        <v>31.859000000000002</v>
      </c>
      <c r="Z151">
        <v>31.09</v>
      </c>
    </row>
    <row r="152" spans="1:26" x14ac:dyDescent="0.45">
      <c r="A152" t="s">
        <v>2060</v>
      </c>
      <c r="B152" t="s">
        <v>2435</v>
      </c>
      <c r="C152" s="3" t="s">
        <v>1671</v>
      </c>
      <c r="D152">
        <v>26.498999999999999</v>
      </c>
      <c r="E152">
        <v>26.253</v>
      </c>
      <c r="F152">
        <v>25.943999999999999</v>
      </c>
      <c r="G152">
        <v>28.004999999999999</v>
      </c>
      <c r="H152">
        <v>26.933</v>
      </c>
      <c r="I152">
        <v>25.629000000000001</v>
      </c>
      <c r="J152">
        <v>26.436</v>
      </c>
      <c r="K152">
        <v>27.925000000000001</v>
      </c>
      <c r="L152">
        <v>27.12</v>
      </c>
      <c r="M152">
        <v>27.315000000000001</v>
      </c>
      <c r="N152">
        <v>26.687000000000001</v>
      </c>
      <c r="O152">
        <v>28.140999999999998</v>
      </c>
      <c r="P152">
        <v>27.178000000000001</v>
      </c>
      <c r="Q152">
        <v>26.841999999999999</v>
      </c>
      <c r="R152">
        <v>26.587</v>
      </c>
      <c r="S152">
        <v>26.988</v>
      </c>
      <c r="T152">
        <v>26.873000000000001</v>
      </c>
      <c r="U152">
        <v>26.838000000000001</v>
      </c>
      <c r="V152">
        <v>26.524000000000001</v>
      </c>
      <c r="W152">
        <v>27.088999999999999</v>
      </c>
      <c r="X152">
        <v>27.327999999999999</v>
      </c>
      <c r="Y152">
        <v>26.67</v>
      </c>
      <c r="Z152">
        <v>26.390999999999998</v>
      </c>
    </row>
    <row r="153" spans="1:26" x14ac:dyDescent="0.45">
      <c r="A153" t="s">
        <v>2061</v>
      </c>
      <c r="B153" t="s">
        <v>2436</v>
      </c>
      <c r="C153" s="3" t="s">
        <v>1672</v>
      </c>
      <c r="D153">
        <v>27.79</v>
      </c>
      <c r="E153">
        <v>27.898</v>
      </c>
      <c r="F153">
        <v>27.102</v>
      </c>
      <c r="G153">
        <v>28.687000000000001</v>
      </c>
      <c r="H153">
        <v>28.146999999999998</v>
      </c>
      <c r="I153">
        <v>27.109000000000002</v>
      </c>
      <c r="J153">
        <v>27.818999999999999</v>
      </c>
      <c r="K153">
        <v>28.341000000000001</v>
      </c>
      <c r="L153">
        <v>27.81</v>
      </c>
      <c r="M153">
        <v>28.201000000000001</v>
      </c>
      <c r="N153">
        <v>27.59</v>
      </c>
      <c r="O153">
        <v>28.655999999999999</v>
      </c>
      <c r="P153">
        <v>27.786000000000001</v>
      </c>
      <c r="Q153">
        <v>27.885000000000002</v>
      </c>
      <c r="R153">
        <v>28.481999999999999</v>
      </c>
      <c r="S153">
        <v>28.472999999999999</v>
      </c>
      <c r="T153">
        <v>28.47</v>
      </c>
      <c r="U153">
        <v>27.917999999999999</v>
      </c>
      <c r="V153">
        <v>27.873000000000001</v>
      </c>
      <c r="W153">
        <v>28.305</v>
      </c>
      <c r="X153">
        <v>28.219000000000001</v>
      </c>
      <c r="Y153">
        <v>27.856999999999999</v>
      </c>
      <c r="Z153">
        <v>28.004000000000001</v>
      </c>
    </row>
    <row r="154" spans="1:26" x14ac:dyDescent="0.45">
      <c r="A154" t="s">
        <v>2062</v>
      </c>
      <c r="B154" t="s">
        <v>2437</v>
      </c>
      <c r="C154" s="3" t="s">
        <v>1673</v>
      </c>
      <c r="D154">
        <v>27.754999999999999</v>
      </c>
      <c r="E154">
        <v>28.449000000000002</v>
      </c>
      <c r="F154">
        <v>27.655999999999999</v>
      </c>
      <c r="G154">
        <v>28.707999999999998</v>
      </c>
      <c r="H154">
        <v>27.5</v>
      </c>
      <c r="I154">
        <v>26.975000000000001</v>
      </c>
      <c r="J154">
        <v>28.484999999999999</v>
      </c>
      <c r="K154">
        <v>27.792999999999999</v>
      </c>
      <c r="L154">
        <v>28.227</v>
      </c>
      <c r="M154">
        <v>28.652999999999999</v>
      </c>
      <c r="N154">
        <v>28.12</v>
      </c>
      <c r="O154">
        <v>27.949000000000002</v>
      </c>
      <c r="P154">
        <v>27.763000000000002</v>
      </c>
      <c r="Q154">
        <v>28.271999999999998</v>
      </c>
      <c r="R154">
        <v>28.141999999999999</v>
      </c>
      <c r="S154">
        <v>28.166</v>
      </c>
      <c r="T154">
        <v>28.664000000000001</v>
      </c>
      <c r="U154">
        <v>28.12</v>
      </c>
      <c r="V154">
        <v>27.87</v>
      </c>
      <c r="W154">
        <v>27.824000000000002</v>
      </c>
      <c r="X154">
        <v>27.55</v>
      </c>
      <c r="Y154">
        <v>27.763999999999999</v>
      </c>
      <c r="Z154">
        <v>27.605</v>
      </c>
    </row>
    <row r="155" spans="1:26" x14ac:dyDescent="0.45">
      <c r="A155" t="s">
        <v>2063</v>
      </c>
      <c r="B155" t="s">
        <v>2438</v>
      </c>
      <c r="C155" s="3" t="s">
        <v>1674</v>
      </c>
      <c r="D155">
        <v>25.605</v>
      </c>
      <c r="E155">
        <v>25.773</v>
      </c>
      <c r="F155">
        <v>25.47</v>
      </c>
      <c r="G155">
        <v>26.779</v>
      </c>
      <c r="H155">
        <v>26.186</v>
      </c>
      <c r="I155">
        <v>25.417000000000002</v>
      </c>
      <c r="J155">
        <v>25.643999999999998</v>
      </c>
      <c r="K155">
        <v>26.635999999999999</v>
      </c>
      <c r="L155">
        <v>26.533000000000001</v>
      </c>
      <c r="M155">
        <v>26.329000000000001</v>
      </c>
      <c r="N155">
        <v>26.5</v>
      </c>
      <c r="O155">
        <v>26.003</v>
      </c>
      <c r="P155">
        <v>25.914000000000001</v>
      </c>
      <c r="Q155">
        <v>26.481000000000002</v>
      </c>
      <c r="R155">
        <v>26.433</v>
      </c>
      <c r="S155">
        <v>25.82</v>
      </c>
      <c r="T155">
        <v>27.372</v>
      </c>
      <c r="U155">
        <v>26.596</v>
      </c>
      <c r="V155">
        <v>25.818999999999999</v>
      </c>
      <c r="W155">
        <v>25.975999999999999</v>
      </c>
      <c r="X155">
        <v>26.882999999999999</v>
      </c>
      <c r="Y155">
        <v>25.571999999999999</v>
      </c>
      <c r="Z155">
        <v>26.108000000000001</v>
      </c>
    </row>
    <row r="156" spans="1:26" x14ac:dyDescent="0.45">
      <c r="A156" t="s">
        <v>2064</v>
      </c>
      <c r="B156" t="s">
        <v>2439</v>
      </c>
      <c r="C156" s="3" t="s">
        <v>1675</v>
      </c>
      <c r="D156">
        <v>22.533999999999999</v>
      </c>
      <c r="E156">
        <v>23.370999999999999</v>
      </c>
      <c r="F156">
        <v>22.956</v>
      </c>
      <c r="G156">
        <v>24.568000000000001</v>
      </c>
      <c r="H156">
        <v>23.588999999999999</v>
      </c>
      <c r="I156">
        <v>23.109000000000002</v>
      </c>
      <c r="J156">
        <v>22.87</v>
      </c>
      <c r="K156">
        <v>24.135999999999999</v>
      </c>
      <c r="L156">
        <v>23.914999999999999</v>
      </c>
      <c r="M156">
        <v>23.844999999999999</v>
      </c>
      <c r="N156">
        <v>24.22</v>
      </c>
      <c r="O156">
        <v>23.547000000000001</v>
      </c>
      <c r="P156">
        <v>23.132999999999999</v>
      </c>
      <c r="Q156">
        <v>23.992999999999999</v>
      </c>
      <c r="R156">
        <v>23.783000000000001</v>
      </c>
      <c r="S156">
        <v>23.238</v>
      </c>
      <c r="T156">
        <v>24.844000000000001</v>
      </c>
      <c r="U156">
        <v>24.181999999999999</v>
      </c>
      <c r="V156">
        <v>23.581</v>
      </c>
      <c r="W156">
        <v>23.431999999999999</v>
      </c>
      <c r="X156">
        <v>24.329000000000001</v>
      </c>
      <c r="Y156">
        <v>23</v>
      </c>
      <c r="Z156">
        <v>23.234000000000002</v>
      </c>
    </row>
    <row r="157" spans="1:26" x14ac:dyDescent="0.45">
      <c r="A157" t="s">
        <v>2065</v>
      </c>
      <c r="B157" t="s">
        <v>2440</v>
      </c>
      <c r="C157" s="3" t="s">
        <v>1676</v>
      </c>
      <c r="D157">
        <v>29.989000000000001</v>
      </c>
      <c r="E157">
        <v>30.959</v>
      </c>
      <c r="F157">
        <v>29.42</v>
      </c>
      <c r="G157">
        <v>30.710999999999999</v>
      </c>
      <c r="H157">
        <v>30.341000000000001</v>
      </c>
      <c r="I157">
        <v>30.407</v>
      </c>
      <c r="J157">
        <v>29.138999999999999</v>
      </c>
      <c r="K157">
        <v>30.669</v>
      </c>
      <c r="L157">
        <v>29.745999999999999</v>
      </c>
      <c r="M157">
        <v>29.702000000000002</v>
      </c>
      <c r="N157">
        <v>29.664000000000001</v>
      </c>
      <c r="O157">
        <v>30.268999999999998</v>
      </c>
      <c r="P157">
        <v>29.385999999999999</v>
      </c>
      <c r="Q157">
        <v>30.643999999999998</v>
      </c>
      <c r="R157">
        <v>30.2</v>
      </c>
      <c r="S157">
        <v>30.619</v>
      </c>
      <c r="T157">
        <v>31.802</v>
      </c>
      <c r="U157">
        <v>29.818000000000001</v>
      </c>
      <c r="V157">
        <v>28.649000000000001</v>
      </c>
      <c r="W157">
        <v>30.623000000000001</v>
      </c>
      <c r="X157">
        <v>30.684000000000001</v>
      </c>
      <c r="Y157">
        <v>30.404</v>
      </c>
      <c r="Z157">
        <v>28.652999999999999</v>
      </c>
    </row>
    <row r="158" spans="1:26" x14ac:dyDescent="0.45">
      <c r="A158" t="s">
        <v>2066</v>
      </c>
      <c r="B158" t="s">
        <v>2441</v>
      </c>
      <c r="C158" s="3" t="s">
        <v>1677</v>
      </c>
      <c r="D158">
        <v>27.786000000000001</v>
      </c>
      <c r="E158">
        <v>28.888000000000002</v>
      </c>
      <c r="F158">
        <v>27.736000000000001</v>
      </c>
      <c r="G158">
        <v>28.721</v>
      </c>
      <c r="H158">
        <v>28.728999999999999</v>
      </c>
      <c r="I158">
        <v>28.388000000000002</v>
      </c>
      <c r="J158">
        <v>27.376999999999999</v>
      </c>
      <c r="K158">
        <v>29</v>
      </c>
      <c r="L158">
        <v>27.401</v>
      </c>
      <c r="M158">
        <v>28.09</v>
      </c>
      <c r="N158">
        <v>27.626999999999999</v>
      </c>
      <c r="O158">
        <v>29.17</v>
      </c>
      <c r="P158">
        <v>27.504000000000001</v>
      </c>
      <c r="Q158">
        <v>28.577000000000002</v>
      </c>
      <c r="R158">
        <v>27.867000000000001</v>
      </c>
      <c r="S158">
        <v>28.821999999999999</v>
      </c>
      <c r="T158">
        <v>29.129000000000001</v>
      </c>
      <c r="U158">
        <v>27.821999999999999</v>
      </c>
      <c r="V158">
        <v>27.419</v>
      </c>
      <c r="W158">
        <v>28.379000000000001</v>
      </c>
      <c r="X158">
        <v>28.731999999999999</v>
      </c>
      <c r="Y158">
        <v>28.157</v>
      </c>
      <c r="Z158">
        <v>27.391999999999999</v>
      </c>
    </row>
    <row r="159" spans="1:26" x14ac:dyDescent="0.45">
      <c r="A159" t="s">
        <v>2067</v>
      </c>
      <c r="B159" t="s">
        <v>2442</v>
      </c>
      <c r="C159" s="3" t="s">
        <v>1678</v>
      </c>
      <c r="D159">
        <v>23.363</v>
      </c>
      <c r="E159">
        <v>23.163</v>
      </c>
      <c r="F159">
        <v>23.187000000000001</v>
      </c>
      <c r="G159">
        <v>23.95</v>
      </c>
      <c r="H159">
        <v>23.245999999999999</v>
      </c>
      <c r="I159">
        <v>24.222999999999999</v>
      </c>
      <c r="J159">
        <v>23.626000000000001</v>
      </c>
      <c r="K159">
        <v>23.927</v>
      </c>
      <c r="L159">
        <v>23.850999999999999</v>
      </c>
      <c r="M159">
        <v>23.338000000000001</v>
      </c>
      <c r="N159">
        <v>22.832000000000001</v>
      </c>
      <c r="O159">
        <v>24.797000000000001</v>
      </c>
      <c r="P159">
        <v>22.788</v>
      </c>
      <c r="Q159">
        <v>22.635999999999999</v>
      </c>
      <c r="R159">
        <v>22.945</v>
      </c>
      <c r="S159">
        <v>23.885000000000002</v>
      </c>
      <c r="T159">
        <v>22.821000000000002</v>
      </c>
      <c r="U159">
        <v>23.129000000000001</v>
      </c>
      <c r="V159">
        <v>22.74</v>
      </c>
      <c r="W159">
        <v>23.2</v>
      </c>
      <c r="X159">
        <v>23.527000000000001</v>
      </c>
      <c r="Y159">
        <v>22.919</v>
      </c>
      <c r="Z159">
        <v>23.946000000000002</v>
      </c>
    </row>
    <row r="160" spans="1:26" x14ac:dyDescent="0.45">
      <c r="A160" t="s">
        <v>2068</v>
      </c>
      <c r="B160" t="s">
        <v>2443</v>
      </c>
      <c r="C160" s="3" t="s">
        <v>1679</v>
      </c>
      <c r="D160">
        <v>31.472999999999999</v>
      </c>
      <c r="E160">
        <v>31.678000000000001</v>
      </c>
      <c r="F160">
        <v>31.131</v>
      </c>
      <c r="G160">
        <v>31.427</v>
      </c>
      <c r="H160">
        <v>31.725000000000001</v>
      </c>
      <c r="I160">
        <v>32.706000000000003</v>
      </c>
      <c r="J160">
        <v>30.881</v>
      </c>
      <c r="K160">
        <v>31.145</v>
      </c>
      <c r="L160">
        <v>31.279</v>
      </c>
      <c r="M160">
        <v>30.789000000000001</v>
      </c>
      <c r="N160">
        <v>29.986999999999998</v>
      </c>
      <c r="O160">
        <v>32.478000000000002</v>
      </c>
      <c r="P160">
        <v>29.704999999999998</v>
      </c>
      <c r="Q160">
        <v>30.48</v>
      </c>
      <c r="R160">
        <v>29.646000000000001</v>
      </c>
      <c r="S160">
        <v>31.882000000000001</v>
      </c>
      <c r="T160">
        <v>29.594999999999999</v>
      </c>
      <c r="U160">
        <v>31.533999999999999</v>
      </c>
      <c r="V160">
        <v>30.548999999999999</v>
      </c>
      <c r="W160">
        <v>30.17</v>
      </c>
      <c r="X160">
        <v>29.797000000000001</v>
      </c>
      <c r="Y160">
        <v>30.396000000000001</v>
      </c>
      <c r="Z160">
        <v>31.515000000000001</v>
      </c>
    </row>
    <row r="161" spans="1:26" x14ac:dyDescent="0.45">
      <c r="A161" t="s">
        <v>2069</v>
      </c>
      <c r="B161" t="s">
        <v>2444</v>
      </c>
      <c r="C161" s="3" t="s">
        <v>1680</v>
      </c>
      <c r="D161">
        <v>27.998999999999999</v>
      </c>
      <c r="E161">
        <v>26.541</v>
      </c>
      <c r="F161">
        <v>27.207999999999998</v>
      </c>
      <c r="G161">
        <v>27.11</v>
      </c>
      <c r="H161">
        <v>25.706</v>
      </c>
      <c r="I161">
        <v>26.623000000000001</v>
      </c>
      <c r="J161">
        <v>25.673999999999999</v>
      </c>
      <c r="K161">
        <v>28.68</v>
      </c>
      <c r="L161">
        <v>25.824000000000002</v>
      </c>
      <c r="M161">
        <v>27.084</v>
      </c>
      <c r="N161">
        <v>26.009</v>
      </c>
      <c r="O161">
        <v>27.469000000000001</v>
      </c>
      <c r="P161">
        <v>26.282</v>
      </c>
      <c r="Q161">
        <v>26.012</v>
      </c>
      <c r="R161">
        <v>26.271999999999998</v>
      </c>
      <c r="S161">
        <v>27.349</v>
      </c>
      <c r="T161">
        <v>27.521999999999998</v>
      </c>
      <c r="U161">
        <v>25.611999999999998</v>
      </c>
      <c r="V161">
        <v>25.832000000000001</v>
      </c>
      <c r="W161">
        <v>25.983000000000001</v>
      </c>
      <c r="X161">
        <v>26.997</v>
      </c>
      <c r="Y161">
        <v>26.433</v>
      </c>
      <c r="Z161">
        <v>26.341999999999999</v>
      </c>
    </row>
    <row r="162" spans="1:26" x14ac:dyDescent="0.45">
      <c r="A162" t="s">
        <v>2070</v>
      </c>
      <c r="B162" t="s">
        <v>2445</v>
      </c>
      <c r="C162" s="3" t="s">
        <v>1681</v>
      </c>
      <c r="D162">
        <v>28.678000000000001</v>
      </c>
      <c r="E162">
        <v>26.887</v>
      </c>
      <c r="F162">
        <v>26.928000000000001</v>
      </c>
      <c r="G162">
        <v>27.443999999999999</v>
      </c>
      <c r="H162">
        <v>26.699000000000002</v>
      </c>
      <c r="I162">
        <v>26.783000000000001</v>
      </c>
      <c r="J162">
        <v>27.113</v>
      </c>
      <c r="K162">
        <v>28.56</v>
      </c>
      <c r="L162">
        <v>26.849</v>
      </c>
      <c r="M162">
        <v>27.437999999999999</v>
      </c>
      <c r="N162">
        <v>26.768999999999998</v>
      </c>
      <c r="O162">
        <v>27.875</v>
      </c>
      <c r="P162">
        <v>26.738</v>
      </c>
      <c r="Q162">
        <v>26.797000000000001</v>
      </c>
      <c r="R162">
        <v>27.28</v>
      </c>
      <c r="S162">
        <v>27.472000000000001</v>
      </c>
      <c r="T162">
        <v>28.562000000000001</v>
      </c>
      <c r="U162">
        <v>26.826000000000001</v>
      </c>
      <c r="V162">
        <v>26.512</v>
      </c>
      <c r="W162">
        <v>26.878</v>
      </c>
      <c r="X162">
        <v>27.954999999999998</v>
      </c>
      <c r="Y162">
        <v>27.244</v>
      </c>
      <c r="Z162">
        <v>27.018999999999998</v>
      </c>
    </row>
    <row r="163" spans="1:26" x14ac:dyDescent="0.45">
      <c r="A163" t="s">
        <v>2071</v>
      </c>
      <c r="B163" t="s">
        <v>2446</v>
      </c>
      <c r="C163" s="3" t="s">
        <v>1682</v>
      </c>
      <c r="D163">
        <v>29.585999999999999</v>
      </c>
      <c r="E163">
        <v>28.007000000000001</v>
      </c>
      <c r="F163">
        <v>27.632999999999999</v>
      </c>
      <c r="G163">
        <v>29.931000000000001</v>
      </c>
      <c r="H163">
        <v>27.99</v>
      </c>
      <c r="I163">
        <v>27.716999999999999</v>
      </c>
      <c r="J163">
        <v>27.754999999999999</v>
      </c>
      <c r="K163">
        <v>27.893000000000001</v>
      </c>
      <c r="L163">
        <v>28.305</v>
      </c>
      <c r="M163">
        <v>28.661999999999999</v>
      </c>
      <c r="N163">
        <v>31.379000000000001</v>
      </c>
      <c r="O163">
        <v>28.332000000000001</v>
      </c>
      <c r="P163">
        <v>28.68</v>
      </c>
      <c r="Q163">
        <v>28.105</v>
      </c>
      <c r="R163">
        <v>28.423999999999999</v>
      </c>
      <c r="S163">
        <v>28.908999999999999</v>
      </c>
      <c r="T163">
        <v>27.991</v>
      </c>
      <c r="U163">
        <v>28.145</v>
      </c>
      <c r="V163">
        <v>28.347000000000001</v>
      </c>
      <c r="W163">
        <v>28.425000000000001</v>
      </c>
      <c r="X163">
        <v>28.257999999999999</v>
      </c>
      <c r="Y163">
        <v>29.113</v>
      </c>
      <c r="Z163">
        <v>29.337</v>
      </c>
    </row>
    <row r="164" spans="1:26" x14ac:dyDescent="0.45">
      <c r="A164" t="s">
        <v>2072</v>
      </c>
      <c r="B164" t="s">
        <v>2447</v>
      </c>
      <c r="C164" s="3" t="s">
        <v>1683</v>
      </c>
      <c r="D164">
        <v>29.271000000000001</v>
      </c>
      <c r="E164">
        <v>27.706</v>
      </c>
      <c r="F164">
        <v>27.157</v>
      </c>
      <c r="G164">
        <v>28.943999999999999</v>
      </c>
      <c r="H164">
        <v>28.602</v>
      </c>
      <c r="I164">
        <v>27.548999999999999</v>
      </c>
      <c r="J164">
        <v>27.565999999999999</v>
      </c>
      <c r="K164">
        <v>28.282</v>
      </c>
      <c r="L164">
        <v>28.001000000000001</v>
      </c>
      <c r="M164">
        <v>27.827000000000002</v>
      </c>
      <c r="N164">
        <v>30.568000000000001</v>
      </c>
      <c r="O164">
        <v>28.085999999999999</v>
      </c>
      <c r="P164">
        <v>27.882999999999999</v>
      </c>
      <c r="Q164">
        <v>27.693999999999999</v>
      </c>
      <c r="R164">
        <v>27.96</v>
      </c>
      <c r="S164">
        <v>28.463000000000001</v>
      </c>
      <c r="T164">
        <v>28.102</v>
      </c>
      <c r="U164">
        <v>27.809000000000001</v>
      </c>
      <c r="V164">
        <v>27.863</v>
      </c>
      <c r="W164">
        <v>28.559000000000001</v>
      </c>
      <c r="X164">
        <v>28.605</v>
      </c>
      <c r="Y164">
        <v>28.96</v>
      </c>
      <c r="Z164">
        <v>28.402000000000001</v>
      </c>
    </row>
    <row r="165" spans="1:26" x14ac:dyDescent="0.45">
      <c r="A165" t="s">
        <v>2073</v>
      </c>
      <c r="B165" t="s">
        <v>2448</v>
      </c>
      <c r="C165" s="3" t="s">
        <v>1684</v>
      </c>
      <c r="D165">
        <v>30.704000000000001</v>
      </c>
      <c r="E165">
        <v>32.703000000000003</v>
      </c>
      <c r="F165">
        <v>31.184999999999999</v>
      </c>
      <c r="G165">
        <v>31.398</v>
      </c>
      <c r="H165">
        <v>30.143000000000001</v>
      </c>
      <c r="I165">
        <v>31.829000000000001</v>
      </c>
      <c r="J165">
        <v>30.385999999999999</v>
      </c>
      <c r="K165">
        <v>31.559000000000001</v>
      </c>
      <c r="L165">
        <v>30.606000000000002</v>
      </c>
      <c r="M165">
        <v>31.855</v>
      </c>
      <c r="N165">
        <v>31.117999999999999</v>
      </c>
      <c r="O165">
        <v>32.247</v>
      </c>
      <c r="P165">
        <v>31.006</v>
      </c>
      <c r="Q165">
        <v>30.494</v>
      </c>
      <c r="R165">
        <v>30.747</v>
      </c>
      <c r="S165">
        <v>32.386000000000003</v>
      </c>
      <c r="T165">
        <v>30.773</v>
      </c>
      <c r="U165">
        <v>30.439</v>
      </c>
      <c r="V165">
        <v>30.638999999999999</v>
      </c>
      <c r="W165">
        <v>30.728999999999999</v>
      </c>
      <c r="X165">
        <v>30.308</v>
      </c>
      <c r="Y165">
        <v>30.713999999999999</v>
      </c>
      <c r="Z165">
        <v>32.762999999999998</v>
      </c>
    </row>
    <row r="166" spans="1:26" x14ac:dyDescent="0.45">
      <c r="A166" t="s">
        <v>2074</v>
      </c>
      <c r="B166" t="s">
        <v>2449</v>
      </c>
      <c r="C166" s="3" t="s">
        <v>1685</v>
      </c>
      <c r="D166">
        <v>32.793999999999997</v>
      </c>
      <c r="E166">
        <v>34.121000000000002</v>
      </c>
      <c r="F166">
        <v>34.040999999999997</v>
      </c>
      <c r="G166">
        <v>33.776000000000003</v>
      </c>
      <c r="H166">
        <v>32.895000000000003</v>
      </c>
      <c r="I166" t="s">
        <v>1906</v>
      </c>
      <c r="J166">
        <v>33.201999999999998</v>
      </c>
      <c r="K166">
        <v>33.722999999999999</v>
      </c>
      <c r="L166">
        <v>32.618000000000002</v>
      </c>
      <c r="M166">
        <v>33.637</v>
      </c>
      <c r="N166">
        <v>32.107999999999997</v>
      </c>
      <c r="O166" t="s">
        <v>1906</v>
      </c>
      <c r="P166">
        <v>32.604999999999997</v>
      </c>
      <c r="Q166">
        <v>32.433</v>
      </c>
      <c r="R166">
        <v>33.847999999999999</v>
      </c>
      <c r="S166">
        <v>35.183999999999997</v>
      </c>
      <c r="T166">
        <v>33.664000000000001</v>
      </c>
      <c r="U166">
        <v>33.661000000000001</v>
      </c>
      <c r="V166">
        <v>33.707000000000001</v>
      </c>
      <c r="W166">
        <v>33.268000000000001</v>
      </c>
      <c r="X166">
        <v>32.805999999999997</v>
      </c>
      <c r="Y166">
        <v>32.802999999999997</v>
      </c>
      <c r="Z166">
        <v>32.412999999999997</v>
      </c>
    </row>
    <row r="167" spans="1:26" x14ac:dyDescent="0.45">
      <c r="A167" t="s">
        <v>2075</v>
      </c>
      <c r="B167" t="s">
        <v>2450</v>
      </c>
      <c r="C167" s="3" t="s">
        <v>1686</v>
      </c>
      <c r="D167">
        <v>25.609000000000002</v>
      </c>
      <c r="E167">
        <v>25.4</v>
      </c>
      <c r="F167">
        <v>24.907</v>
      </c>
      <c r="G167">
        <v>26.241</v>
      </c>
      <c r="H167">
        <v>25.568999999999999</v>
      </c>
      <c r="I167">
        <v>25.376999999999999</v>
      </c>
      <c r="J167">
        <v>25.331</v>
      </c>
      <c r="K167">
        <v>25.96</v>
      </c>
      <c r="L167">
        <v>25.847999999999999</v>
      </c>
      <c r="M167">
        <v>25.818000000000001</v>
      </c>
      <c r="N167">
        <v>25.460999999999999</v>
      </c>
      <c r="O167">
        <v>26.402999999999999</v>
      </c>
      <c r="P167">
        <v>25.835999999999999</v>
      </c>
      <c r="Q167">
        <v>25.565999999999999</v>
      </c>
      <c r="R167">
        <v>25.928999999999998</v>
      </c>
      <c r="S167">
        <v>25.984000000000002</v>
      </c>
      <c r="T167">
        <v>26.114999999999998</v>
      </c>
      <c r="U167">
        <v>25.48</v>
      </c>
      <c r="V167">
        <v>25.471</v>
      </c>
      <c r="W167">
        <v>26.353999999999999</v>
      </c>
      <c r="X167">
        <v>26.111000000000001</v>
      </c>
      <c r="Y167">
        <v>25.96</v>
      </c>
      <c r="Z167">
        <v>25.93</v>
      </c>
    </row>
    <row r="168" spans="1:26" x14ac:dyDescent="0.45">
      <c r="A168" t="s">
        <v>2076</v>
      </c>
      <c r="B168" t="s">
        <v>2451</v>
      </c>
      <c r="C168" s="3" t="s">
        <v>1687</v>
      </c>
      <c r="D168">
        <v>30.245000000000001</v>
      </c>
      <c r="E168">
        <v>29.452000000000002</v>
      </c>
      <c r="F168">
        <v>29.106000000000002</v>
      </c>
      <c r="G168">
        <v>30.838000000000001</v>
      </c>
      <c r="H168">
        <v>29.800999999999998</v>
      </c>
      <c r="I168">
        <v>29.158999999999999</v>
      </c>
      <c r="J168">
        <v>29.158000000000001</v>
      </c>
      <c r="K168">
        <v>29.934000000000001</v>
      </c>
      <c r="L168">
        <v>30.015000000000001</v>
      </c>
      <c r="M168">
        <v>30.24</v>
      </c>
      <c r="N168">
        <v>29.433</v>
      </c>
      <c r="O168">
        <v>31.449000000000002</v>
      </c>
      <c r="P168">
        <v>30.149000000000001</v>
      </c>
      <c r="Q168">
        <v>29.356000000000002</v>
      </c>
      <c r="R168">
        <v>29.888999999999999</v>
      </c>
      <c r="S168">
        <v>29.733000000000001</v>
      </c>
      <c r="T168">
        <v>30.981000000000002</v>
      </c>
      <c r="U168">
        <v>29.555</v>
      </c>
      <c r="V168">
        <v>29.193000000000001</v>
      </c>
      <c r="W168">
        <v>30.285</v>
      </c>
      <c r="X168">
        <v>29.725999999999999</v>
      </c>
      <c r="Y168">
        <v>30.81</v>
      </c>
      <c r="Z168">
        <v>30.387</v>
      </c>
    </row>
    <row r="169" spans="1:26" x14ac:dyDescent="0.45">
      <c r="A169" t="s">
        <v>2077</v>
      </c>
      <c r="B169" t="s">
        <v>2452</v>
      </c>
      <c r="C169" s="3" t="s">
        <v>1688</v>
      </c>
      <c r="D169">
        <v>26.957999999999998</v>
      </c>
      <c r="E169">
        <v>26.206</v>
      </c>
      <c r="F169">
        <v>25.748000000000001</v>
      </c>
      <c r="G169">
        <v>27.137</v>
      </c>
      <c r="H169">
        <v>26.388999999999999</v>
      </c>
      <c r="I169">
        <v>26.635000000000002</v>
      </c>
      <c r="J169">
        <v>25.927</v>
      </c>
      <c r="K169">
        <v>26.713999999999999</v>
      </c>
      <c r="L169">
        <v>26.355</v>
      </c>
      <c r="M169">
        <v>26.3</v>
      </c>
      <c r="N169">
        <v>26.184000000000001</v>
      </c>
      <c r="O169">
        <v>26.937999999999999</v>
      </c>
      <c r="P169">
        <v>26.846</v>
      </c>
      <c r="Q169">
        <v>25.841999999999999</v>
      </c>
      <c r="R169">
        <v>26.385000000000002</v>
      </c>
      <c r="S169">
        <v>26.724</v>
      </c>
      <c r="T169">
        <v>25.965</v>
      </c>
      <c r="U169">
        <v>26.324999999999999</v>
      </c>
      <c r="V169">
        <v>26.24</v>
      </c>
      <c r="W169">
        <v>26.8</v>
      </c>
      <c r="X169">
        <v>26.521999999999998</v>
      </c>
      <c r="Y169">
        <v>25.898</v>
      </c>
      <c r="Z169">
        <v>26.658999999999999</v>
      </c>
    </row>
    <row r="170" spans="1:26" x14ac:dyDescent="0.45">
      <c r="A170" t="s">
        <v>2078</v>
      </c>
      <c r="B170" t="s">
        <v>2453</v>
      </c>
      <c r="C170" s="3" t="s">
        <v>1689</v>
      </c>
      <c r="D170">
        <v>26.922000000000001</v>
      </c>
      <c r="E170">
        <v>27.324000000000002</v>
      </c>
      <c r="F170">
        <v>26.74</v>
      </c>
      <c r="G170">
        <v>27.725999999999999</v>
      </c>
      <c r="H170">
        <v>26.734000000000002</v>
      </c>
      <c r="I170">
        <v>27.265999999999998</v>
      </c>
      <c r="J170">
        <v>26.67</v>
      </c>
      <c r="K170">
        <v>27.077000000000002</v>
      </c>
      <c r="L170">
        <v>26.585000000000001</v>
      </c>
      <c r="M170">
        <v>27.204000000000001</v>
      </c>
      <c r="N170">
        <v>26.402000000000001</v>
      </c>
      <c r="O170">
        <v>30.161000000000001</v>
      </c>
      <c r="P170">
        <v>27.332999999999998</v>
      </c>
      <c r="Q170">
        <v>26.981999999999999</v>
      </c>
      <c r="R170">
        <v>26.936</v>
      </c>
      <c r="S170">
        <v>27.154</v>
      </c>
      <c r="T170">
        <v>27.123999999999999</v>
      </c>
      <c r="U170">
        <v>26.864999999999998</v>
      </c>
      <c r="V170">
        <v>26.42</v>
      </c>
      <c r="W170">
        <v>26.806000000000001</v>
      </c>
      <c r="X170">
        <v>27.152000000000001</v>
      </c>
      <c r="Y170">
        <v>26.771000000000001</v>
      </c>
      <c r="Z170">
        <v>27.260999999999999</v>
      </c>
    </row>
    <row r="171" spans="1:26" x14ac:dyDescent="0.45">
      <c r="A171" t="s">
        <v>2079</v>
      </c>
      <c r="B171" t="s">
        <v>2454</v>
      </c>
      <c r="C171" s="3" t="s">
        <v>1690</v>
      </c>
      <c r="D171">
        <v>26.876999999999999</v>
      </c>
      <c r="E171">
        <v>27.376000000000001</v>
      </c>
      <c r="F171">
        <v>26.244</v>
      </c>
      <c r="G171">
        <v>28.125</v>
      </c>
      <c r="H171">
        <v>26.798999999999999</v>
      </c>
      <c r="I171">
        <v>26.187000000000001</v>
      </c>
      <c r="J171">
        <v>26.867999999999999</v>
      </c>
      <c r="K171">
        <v>27.422999999999998</v>
      </c>
      <c r="L171">
        <v>27.106999999999999</v>
      </c>
      <c r="M171">
        <v>27.231999999999999</v>
      </c>
      <c r="N171">
        <v>27.844999999999999</v>
      </c>
      <c r="O171">
        <v>27.619</v>
      </c>
      <c r="P171">
        <v>27.007999999999999</v>
      </c>
      <c r="Q171">
        <v>27.001999999999999</v>
      </c>
      <c r="R171">
        <v>27.262</v>
      </c>
      <c r="S171">
        <v>27.792000000000002</v>
      </c>
      <c r="T171">
        <v>27.425000000000001</v>
      </c>
      <c r="U171">
        <v>27.13</v>
      </c>
      <c r="V171">
        <v>26.710999999999999</v>
      </c>
      <c r="W171">
        <v>27.259</v>
      </c>
      <c r="X171">
        <v>27.85</v>
      </c>
      <c r="Y171">
        <v>26.728000000000002</v>
      </c>
      <c r="Z171">
        <v>26.71</v>
      </c>
    </row>
    <row r="172" spans="1:26" x14ac:dyDescent="0.45">
      <c r="A172" t="s">
        <v>2080</v>
      </c>
      <c r="B172" t="s">
        <v>2455</v>
      </c>
      <c r="C172" s="3" t="s">
        <v>1691</v>
      </c>
      <c r="D172">
        <v>26.535</v>
      </c>
      <c r="E172">
        <v>26.756</v>
      </c>
      <c r="F172">
        <v>26.079000000000001</v>
      </c>
      <c r="G172">
        <v>28.071999999999999</v>
      </c>
      <c r="H172">
        <v>26.6</v>
      </c>
      <c r="I172">
        <v>26.638000000000002</v>
      </c>
      <c r="J172">
        <v>26.684000000000001</v>
      </c>
      <c r="K172">
        <v>27.422999999999998</v>
      </c>
      <c r="L172">
        <v>27.323</v>
      </c>
      <c r="M172">
        <v>27.326000000000001</v>
      </c>
      <c r="N172">
        <v>26.553000000000001</v>
      </c>
      <c r="O172">
        <v>27.143999999999998</v>
      </c>
      <c r="P172">
        <v>27.559000000000001</v>
      </c>
      <c r="Q172">
        <v>27.408999999999999</v>
      </c>
      <c r="R172">
        <v>27.361999999999998</v>
      </c>
      <c r="S172">
        <v>27.712</v>
      </c>
      <c r="T172">
        <v>27.559000000000001</v>
      </c>
      <c r="U172">
        <v>27.146999999999998</v>
      </c>
      <c r="V172">
        <v>26.068999999999999</v>
      </c>
      <c r="W172">
        <v>27.26</v>
      </c>
      <c r="X172">
        <v>27.664000000000001</v>
      </c>
      <c r="Y172">
        <v>26.779</v>
      </c>
      <c r="Z172">
        <v>26.96</v>
      </c>
    </row>
    <row r="173" spans="1:26" x14ac:dyDescent="0.45">
      <c r="A173" t="s">
        <v>2081</v>
      </c>
      <c r="B173" t="s">
        <v>2456</v>
      </c>
      <c r="C173" s="3" t="s">
        <v>1692</v>
      </c>
      <c r="D173">
        <v>25.89</v>
      </c>
      <c r="E173">
        <v>25.853000000000002</v>
      </c>
      <c r="F173">
        <v>25.556999999999999</v>
      </c>
      <c r="G173">
        <v>26.710999999999999</v>
      </c>
      <c r="H173">
        <v>26.11</v>
      </c>
      <c r="I173">
        <v>25.564</v>
      </c>
      <c r="J173">
        <v>25.57</v>
      </c>
      <c r="K173">
        <v>26.216999999999999</v>
      </c>
      <c r="L173">
        <v>26.300999999999998</v>
      </c>
      <c r="M173">
        <v>26.003</v>
      </c>
      <c r="N173">
        <v>25.562999999999999</v>
      </c>
      <c r="O173">
        <v>26.5</v>
      </c>
      <c r="P173">
        <v>25.785</v>
      </c>
      <c r="Q173">
        <v>25.61</v>
      </c>
      <c r="R173">
        <v>25.957000000000001</v>
      </c>
      <c r="S173">
        <v>26.425999999999998</v>
      </c>
      <c r="T173">
        <v>25.859000000000002</v>
      </c>
      <c r="U173">
        <v>25.448</v>
      </c>
      <c r="V173">
        <v>25.853999999999999</v>
      </c>
      <c r="W173">
        <v>26.36</v>
      </c>
      <c r="X173">
        <v>26.631</v>
      </c>
      <c r="Y173">
        <v>26.018000000000001</v>
      </c>
      <c r="Z173">
        <v>25.786999999999999</v>
      </c>
    </row>
    <row r="174" spans="1:26" x14ac:dyDescent="0.45">
      <c r="A174" t="s">
        <v>2082</v>
      </c>
      <c r="B174" t="s">
        <v>2457</v>
      </c>
      <c r="C174" s="3" t="s">
        <v>1693</v>
      </c>
      <c r="D174">
        <v>26.292999999999999</v>
      </c>
      <c r="E174">
        <v>26.146999999999998</v>
      </c>
      <c r="F174">
        <v>25.888000000000002</v>
      </c>
      <c r="G174">
        <v>27.515999999999998</v>
      </c>
      <c r="H174">
        <v>25.997</v>
      </c>
      <c r="I174">
        <v>25.574999999999999</v>
      </c>
      <c r="J174">
        <v>26.216000000000001</v>
      </c>
      <c r="K174">
        <v>26.623999999999999</v>
      </c>
      <c r="L174">
        <v>26.571999999999999</v>
      </c>
      <c r="M174">
        <v>26.59</v>
      </c>
      <c r="N174">
        <v>26.888999999999999</v>
      </c>
      <c r="O174">
        <v>26.66</v>
      </c>
      <c r="P174">
        <v>26.143000000000001</v>
      </c>
      <c r="Q174">
        <v>26.832999999999998</v>
      </c>
      <c r="R174">
        <v>26.292999999999999</v>
      </c>
      <c r="S174">
        <v>26.673999999999999</v>
      </c>
      <c r="T174">
        <v>26.529</v>
      </c>
      <c r="U174">
        <v>26.207000000000001</v>
      </c>
      <c r="V174">
        <v>26.562999999999999</v>
      </c>
      <c r="W174">
        <v>26.649000000000001</v>
      </c>
      <c r="X174">
        <v>26.885000000000002</v>
      </c>
      <c r="Y174">
        <v>26.573</v>
      </c>
      <c r="Z174">
        <v>26.402999999999999</v>
      </c>
    </row>
    <row r="175" spans="1:26" x14ac:dyDescent="0.45">
      <c r="A175" t="s">
        <v>2083</v>
      </c>
      <c r="B175" t="s">
        <v>2458</v>
      </c>
      <c r="C175" s="3" t="s">
        <v>1694</v>
      </c>
      <c r="D175">
        <v>29.326000000000001</v>
      </c>
      <c r="E175">
        <v>28.891999999999999</v>
      </c>
      <c r="F175">
        <v>28.594999999999999</v>
      </c>
      <c r="G175">
        <v>30.402999999999999</v>
      </c>
      <c r="H175">
        <v>29.210999999999999</v>
      </c>
      <c r="I175">
        <v>28.568999999999999</v>
      </c>
      <c r="J175">
        <v>29.34</v>
      </c>
      <c r="K175">
        <v>29.783000000000001</v>
      </c>
      <c r="L175">
        <v>29.497</v>
      </c>
      <c r="M175">
        <v>29.571999999999999</v>
      </c>
      <c r="N175">
        <v>30.181999999999999</v>
      </c>
      <c r="O175">
        <v>29.914000000000001</v>
      </c>
      <c r="P175">
        <v>29.231000000000002</v>
      </c>
      <c r="Q175">
        <v>29.388999999999999</v>
      </c>
      <c r="R175">
        <v>29.14</v>
      </c>
      <c r="S175">
        <v>29.370999999999999</v>
      </c>
      <c r="T175">
        <v>29.468</v>
      </c>
      <c r="U175">
        <v>28.853000000000002</v>
      </c>
      <c r="V175">
        <v>29.291</v>
      </c>
      <c r="W175">
        <v>29.41</v>
      </c>
      <c r="X175">
        <v>29.927</v>
      </c>
      <c r="Y175">
        <v>29.260999999999999</v>
      </c>
      <c r="Z175">
        <v>29.268000000000001</v>
      </c>
    </row>
    <row r="176" spans="1:26" x14ac:dyDescent="0.45">
      <c r="A176" t="s">
        <v>2084</v>
      </c>
      <c r="B176" t="s">
        <v>2459</v>
      </c>
      <c r="C176" s="3" t="s">
        <v>1695</v>
      </c>
      <c r="D176">
        <v>23.891999999999999</v>
      </c>
      <c r="E176">
        <v>23.814</v>
      </c>
      <c r="F176">
        <v>23.327000000000002</v>
      </c>
      <c r="G176">
        <v>25.062000000000001</v>
      </c>
      <c r="H176">
        <v>23.992999999999999</v>
      </c>
      <c r="I176">
        <v>22.891999999999999</v>
      </c>
      <c r="J176">
        <v>23.974</v>
      </c>
      <c r="K176">
        <v>24.731999999999999</v>
      </c>
      <c r="L176">
        <v>24.352</v>
      </c>
      <c r="M176">
        <v>24.231000000000002</v>
      </c>
      <c r="N176">
        <v>23.925999999999998</v>
      </c>
      <c r="O176">
        <v>24.59</v>
      </c>
      <c r="P176">
        <v>24.199000000000002</v>
      </c>
      <c r="Q176">
        <v>24.251000000000001</v>
      </c>
      <c r="R176">
        <v>24.193999999999999</v>
      </c>
      <c r="S176">
        <v>24.02</v>
      </c>
      <c r="T176">
        <v>24.274999999999999</v>
      </c>
      <c r="U176">
        <v>24.244</v>
      </c>
      <c r="V176">
        <v>23.885999999999999</v>
      </c>
      <c r="W176">
        <v>24.23</v>
      </c>
      <c r="X176">
        <v>24.861000000000001</v>
      </c>
      <c r="Y176">
        <v>24.199000000000002</v>
      </c>
      <c r="Z176">
        <v>24.146999999999998</v>
      </c>
    </row>
    <row r="177" spans="1:26" x14ac:dyDescent="0.45">
      <c r="A177" t="s">
        <v>2085</v>
      </c>
      <c r="B177" t="s">
        <v>2460</v>
      </c>
      <c r="C177" s="3" t="s">
        <v>1696</v>
      </c>
      <c r="D177">
        <v>25.994</v>
      </c>
      <c r="E177">
        <v>25.981999999999999</v>
      </c>
      <c r="F177">
        <v>25.004000000000001</v>
      </c>
      <c r="G177">
        <v>26.632000000000001</v>
      </c>
      <c r="H177">
        <v>26.140999999999998</v>
      </c>
      <c r="I177">
        <v>24.959</v>
      </c>
      <c r="J177">
        <v>25.940999999999999</v>
      </c>
      <c r="K177">
        <v>26.402999999999999</v>
      </c>
      <c r="L177">
        <v>26.007999999999999</v>
      </c>
      <c r="M177">
        <v>25.957000000000001</v>
      </c>
      <c r="N177">
        <v>25.783000000000001</v>
      </c>
      <c r="O177">
        <v>26.73</v>
      </c>
      <c r="P177">
        <v>25.715</v>
      </c>
      <c r="Q177">
        <v>25.858000000000001</v>
      </c>
      <c r="R177">
        <v>26.295000000000002</v>
      </c>
      <c r="S177">
        <v>26.434999999999999</v>
      </c>
      <c r="T177">
        <v>26.581</v>
      </c>
      <c r="U177">
        <v>26.145</v>
      </c>
      <c r="V177">
        <v>25.83</v>
      </c>
      <c r="W177">
        <v>26.295000000000002</v>
      </c>
      <c r="X177">
        <v>26.221</v>
      </c>
      <c r="Y177">
        <v>25.965</v>
      </c>
      <c r="Z177">
        <v>25.722000000000001</v>
      </c>
    </row>
    <row r="178" spans="1:26" x14ac:dyDescent="0.45">
      <c r="A178" t="s">
        <v>2086</v>
      </c>
      <c r="B178" t="s">
        <v>2461</v>
      </c>
      <c r="C178" s="3" t="s">
        <v>1697</v>
      </c>
      <c r="D178">
        <v>26.977</v>
      </c>
      <c r="E178">
        <v>26.771000000000001</v>
      </c>
      <c r="F178">
        <v>26.216999999999999</v>
      </c>
      <c r="G178">
        <v>27.530999999999999</v>
      </c>
      <c r="H178">
        <v>26.861999999999998</v>
      </c>
      <c r="I178">
        <v>26.111000000000001</v>
      </c>
      <c r="J178">
        <v>26.736999999999998</v>
      </c>
      <c r="K178">
        <v>27.385000000000002</v>
      </c>
      <c r="L178">
        <v>27.234000000000002</v>
      </c>
      <c r="M178">
        <v>27.3</v>
      </c>
      <c r="N178">
        <v>26.963999999999999</v>
      </c>
      <c r="O178">
        <v>27.143000000000001</v>
      </c>
      <c r="P178">
        <v>26.629000000000001</v>
      </c>
      <c r="Q178">
        <v>27.213000000000001</v>
      </c>
      <c r="R178">
        <v>27.074000000000002</v>
      </c>
      <c r="S178">
        <v>27.68</v>
      </c>
      <c r="T178">
        <v>27.783000000000001</v>
      </c>
      <c r="U178">
        <v>27.268999999999998</v>
      </c>
      <c r="V178">
        <v>26.93</v>
      </c>
      <c r="W178">
        <v>27.055</v>
      </c>
      <c r="X178">
        <v>27.213999999999999</v>
      </c>
      <c r="Y178">
        <v>27.373000000000001</v>
      </c>
      <c r="Z178">
        <v>27.123999999999999</v>
      </c>
    </row>
    <row r="179" spans="1:26" x14ac:dyDescent="0.45">
      <c r="A179" t="s">
        <v>2087</v>
      </c>
      <c r="B179" t="s">
        <v>2462</v>
      </c>
      <c r="C179" s="3" t="s">
        <v>1698</v>
      </c>
      <c r="D179">
        <v>25.202999999999999</v>
      </c>
      <c r="E179">
        <v>25.611000000000001</v>
      </c>
      <c r="F179">
        <v>25.61</v>
      </c>
      <c r="G179">
        <v>27.388000000000002</v>
      </c>
      <c r="H179">
        <v>26.323</v>
      </c>
      <c r="I179">
        <v>25.259</v>
      </c>
      <c r="J179">
        <v>25.111999999999998</v>
      </c>
      <c r="K179">
        <v>26.923999999999999</v>
      </c>
      <c r="L179">
        <v>26.739000000000001</v>
      </c>
      <c r="M179">
        <v>26.504000000000001</v>
      </c>
      <c r="N179">
        <v>27.186</v>
      </c>
      <c r="O179">
        <v>26.265000000000001</v>
      </c>
      <c r="P179">
        <v>25.492000000000001</v>
      </c>
      <c r="Q179">
        <v>26.837</v>
      </c>
      <c r="R179">
        <v>26.449000000000002</v>
      </c>
      <c r="S179">
        <v>25.742000000000001</v>
      </c>
      <c r="T179">
        <v>27.794</v>
      </c>
      <c r="U179">
        <v>26.939</v>
      </c>
      <c r="V179">
        <v>26.132000000000001</v>
      </c>
      <c r="W179">
        <v>25.962</v>
      </c>
      <c r="X179">
        <v>26.988</v>
      </c>
      <c r="Y179">
        <v>25.786000000000001</v>
      </c>
      <c r="Z179">
        <v>25.696000000000002</v>
      </c>
    </row>
    <row r="180" spans="1:26" x14ac:dyDescent="0.45">
      <c r="A180" t="s">
        <v>2088</v>
      </c>
      <c r="B180" t="s">
        <v>2463</v>
      </c>
      <c r="C180" s="3" t="s">
        <v>1699</v>
      </c>
      <c r="D180">
        <v>29.635999999999999</v>
      </c>
      <c r="E180">
        <v>30.765000000000001</v>
      </c>
      <c r="F180">
        <v>30.59</v>
      </c>
      <c r="G180">
        <v>32.454000000000001</v>
      </c>
      <c r="H180">
        <v>30.882000000000001</v>
      </c>
      <c r="I180">
        <v>30.437000000000001</v>
      </c>
      <c r="J180">
        <v>30.24</v>
      </c>
      <c r="K180">
        <v>32.704999999999998</v>
      </c>
      <c r="L180">
        <v>31.288</v>
      </c>
      <c r="M180">
        <v>32.326000000000001</v>
      </c>
      <c r="N180">
        <v>32.207999999999998</v>
      </c>
      <c r="O180">
        <v>32.206000000000003</v>
      </c>
      <c r="P180">
        <v>31.995999999999999</v>
      </c>
      <c r="Q180">
        <v>34.741999999999997</v>
      </c>
      <c r="R180">
        <v>32.850999999999999</v>
      </c>
      <c r="S180">
        <v>32.194000000000003</v>
      </c>
      <c r="T180">
        <v>34.015000000000001</v>
      </c>
      <c r="U180">
        <v>31.83</v>
      </c>
      <c r="V180">
        <v>29.957999999999998</v>
      </c>
      <c r="W180">
        <v>31.076000000000001</v>
      </c>
      <c r="X180">
        <v>33.804000000000002</v>
      </c>
      <c r="Y180">
        <v>30.422999999999998</v>
      </c>
      <c r="Z180">
        <v>30.452000000000002</v>
      </c>
    </row>
    <row r="181" spans="1:26" x14ac:dyDescent="0.45">
      <c r="A181" t="s">
        <v>2089</v>
      </c>
      <c r="B181" t="s">
        <v>2464</v>
      </c>
      <c r="C181" s="3" t="s">
        <v>1700</v>
      </c>
      <c r="D181">
        <v>25.716000000000001</v>
      </c>
      <c r="E181">
        <v>26.341000000000001</v>
      </c>
      <c r="F181">
        <v>24.759</v>
      </c>
      <c r="G181">
        <v>25.702000000000002</v>
      </c>
      <c r="H181">
        <v>25.244</v>
      </c>
      <c r="I181">
        <v>25.376000000000001</v>
      </c>
      <c r="J181">
        <v>24.675999999999998</v>
      </c>
      <c r="K181">
        <v>26.199000000000002</v>
      </c>
      <c r="L181">
        <v>24.957000000000001</v>
      </c>
      <c r="M181">
        <v>26.248999999999999</v>
      </c>
      <c r="N181">
        <v>23.189</v>
      </c>
      <c r="O181">
        <v>26.422999999999998</v>
      </c>
      <c r="P181">
        <v>25.378</v>
      </c>
      <c r="Q181">
        <v>26.087</v>
      </c>
      <c r="R181">
        <v>26.128</v>
      </c>
      <c r="S181">
        <v>26.925999999999998</v>
      </c>
      <c r="T181">
        <v>26.696999999999999</v>
      </c>
      <c r="U181">
        <v>24.542000000000002</v>
      </c>
      <c r="V181">
        <v>24.242000000000001</v>
      </c>
      <c r="W181">
        <v>25.088000000000001</v>
      </c>
      <c r="X181">
        <v>26.890999999999998</v>
      </c>
      <c r="Y181">
        <v>26.66</v>
      </c>
      <c r="Z181">
        <v>25.815000000000001</v>
      </c>
    </row>
    <row r="182" spans="1:26" x14ac:dyDescent="0.45">
      <c r="A182" t="s">
        <v>2090</v>
      </c>
      <c r="B182" t="s">
        <v>2465</v>
      </c>
      <c r="C182" s="3" t="s">
        <v>1701</v>
      </c>
      <c r="D182">
        <v>25.675999999999998</v>
      </c>
      <c r="E182">
        <v>26.434999999999999</v>
      </c>
      <c r="F182">
        <v>25.172999999999998</v>
      </c>
      <c r="G182">
        <v>26.245999999999999</v>
      </c>
      <c r="H182">
        <v>25.548999999999999</v>
      </c>
      <c r="I182">
        <v>24.931000000000001</v>
      </c>
      <c r="J182">
        <v>24.843</v>
      </c>
      <c r="K182">
        <v>26.501000000000001</v>
      </c>
      <c r="L182">
        <v>24.98</v>
      </c>
      <c r="M182">
        <v>25.378</v>
      </c>
      <c r="N182">
        <v>24.376000000000001</v>
      </c>
      <c r="O182">
        <v>26.356000000000002</v>
      </c>
      <c r="P182">
        <v>24.648</v>
      </c>
      <c r="Q182">
        <v>26.123999999999999</v>
      </c>
      <c r="R182">
        <v>25.686</v>
      </c>
      <c r="S182">
        <v>26.225999999999999</v>
      </c>
      <c r="T182">
        <v>26.478999999999999</v>
      </c>
      <c r="U182">
        <v>25.309000000000001</v>
      </c>
      <c r="V182">
        <v>24.864999999999998</v>
      </c>
      <c r="W182">
        <v>24.690999999999999</v>
      </c>
      <c r="X182">
        <v>26.245000000000001</v>
      </c>
      <c r="Y182">
        <v>26.245000000000001</v>
      </c>
      <c r="Z182">
        <v>25.402000000000001</v>
      </c>
    </row>
    <row r="183" spans="1:26" x14ac:dyDescent="0.45">
      <c r="A183" t="s">
        <v>2091</v>
      </c>
      <c r="B183" t="s">
        <v>2466</v>
      </c>
      <c r="C183" s="3" t="s">
        <v>1702</v>
      </c>
      <c r="D183">
        <v>24.45</v>
      </c>
      <c r="E183">
        <v>24.536999999999999</v>
      </c>
      <c r="F183">
        <v>24.283999999999999</v>
      </c>
      <c r="G183">
        <v>24.9</v>
      </c>
      <c r="H183">
        <v>24.265999999999998</v>
      </c>
      <c r="I183">
        <v>25.606000000000002</v>
      </c>
      <c r="J183">
        <v>24.61</v>
      </c>
      <c r="K183">
        <v>25.294</v>
      </c>
      <c r="L183">
        <v>24.972999999999999</v>
      </c>
      <c r="M183">
        <v>24.477</v>
      </c>
      <c r="N183">
        <v>24.178999999999998</v>
      </c>
      <c r="O183">
        <v>25.254000000000001</v>
      </c>
      <c r="P183">
        <v>24.329000000000001</v>
      </c>
      <c r="Q183">
        <v>24.367000000000001</v>
      </c>
      <c r="R183">
        <v>24.143000000000001</v>
      </c>
      <c r="S183">
        <v>25.584</v>
      </c>
      <c r="T183">
        <v>24.338999999999999</v>
      </c>
      <c r="U183">
        <v>24.417000000000002</v>
      </c>
      <c r="V183">
        <v>24.475000000000001</v>
      </c>
      <c r="W183">
        <v>24.632999999999999</v>
      </c>
      <c r="X183">
        <v>24.992000000000001</v>
      </c>
      <c r="Y183">
        <v>24.417999999999999</v>
      </c>
      <c r="Z183">
        <v>25.187000000000001</v>
      </c>
    </row>
    <row r="184" spans="1:26" x14ac:dyDescent="0.45">
      <c r="A184" t="s">
        <v>2092</v>
      </c>
      <c r="B184" t="s">
        <v>2467</v>
      </c>
      <c r="C184" s="3" t="s">
        <v>1703</v>
      </c>
      <c r="D184">
        <v>23.376999999999999</v>
      </c>
      <c r="E184">
        <v>23.495999999999999</v>
      </c>
      <c r="F184">
        <v>23.876999999999999</v>
      </c>
      <c r="G184">
        <v>24.452000000000002</v>
      </c>
      <c r="H184">
        <v>23.867000000000001</v>
      </c>
      <c r="I184">
        <v>24.561</v>
      </c>
      <c r="J184">
        <v>23.704000000000001</v>
      </c>
      <c r="K184">
        <v>24.471</v>
      </c>
      <c r="L184">
        <v>24.300999999999998</v>
      </c>
      <c r="M184">
        <v>23.837</v>
      </c>
      <c r="N184">
        <v>23.37</v>
      </c>
      <c r="O184">
        <v>24.782</v>
      </c>
      <c r="P184">
        <v>23.51</v>
      </c>
      <c r="Q184">
        <v>23.361999999999998</v>
      </c>
      <c r="R184">
        <v>23.486999999999998</v>
      </c>
      <c r="S184">
        <v>24.5</v>
      </c>
      <c r="T184">
        <v>22.891999999999999</v>
      </c>
      <c r="U184">
        <v>23.78</v>
      </c>
      <c r="V184">
        <v>23.594999999999999</v>
      </c>
      <c r="W184">
        <v>23.588999999999999</v>
      </c>
      <c r="X184">
        <v>24.265000000000001</v>
      </c>
      <c r="Y184">
        <v>23.242999999999999</v>
      </c>
      <c r="Z184">
        <v>24.491</v>
      </c>
    </row>
    <row r="185" spans="1:26" x14ac:dyDescent="0.45">
      <c r="A185" t="s">
        <v>2093</v>
      </c>
      <c r="B185" t="s">
        <v>2468</v>
      </c>
      <c r="C185" s="3" t="s">
        <v>1704</v>
      </c>
      <c r="D185">
        <v>26.834</v>
      </c>
      <c r="E185">
        <v>25.271000000000001</v>
      </c>
      <c r="F185">
        <v>25.832000000000001</v>
      </c>
      <c r="G185">
        <v>26.478000000000002</v>
      </c>
      <c r="H185">
        <v>25.186</v>
      </c>
      <c r="I185">
        <v>25.632999999999999</v>
      </c>
      <c r="J185">
        <v>24.94</v>
      </c>
      <c r="K185">
        <v>27.661000000000001</v>
      </c>
      <c r="L185">
        <v>25.201000000000001</v>
      </c>
      <c r="M185">
        <v>26.248000000000001</v>
      </c>
      <c r="N185">
        <v>25.263999999999999</v>
      </c>
      <c r="O185">
        <v>26.648</v>
      </c>
      <c r="P185">
        <v>25.437999999999999</v>
      </c>
      <c r="Q185">
        <v>25.2</v>
      </c>
      <c r="R185">
        <v>25.920999999999999</v>
      </c>
      <c r="S185">
        <v>26.469000000000001</v>
      </c>
      <c r="T185">
        <v>26.678000000000001</v>
      </c>
      <c r="U185">
        <v>25.498000000000001</v>
      </c>
      <c r="V185">
        <v>25.347999999999999</v>
      </c>
      <c r="W185">
        <v>25.591999999999999</v>
      </c>
      <c r="X185">
        <v>26.120999999999999</v>
      </c>
      <c r="Y185">
        <v>25.696999999999999</v>
      </c>
      <c r="Z185">
        <v>25.523</v>
      </c>
    </row>
    <row r="186" spans="1:26" x14ac:dyDescent="0.45">
      <c r="A186" t="s">
        <v>2094</v>
      </c>
      <c r="B186" t="s">
        <v>2469</v>
      </c>
      <c r="C186" s="3" t="s">
        <v>1705</v>
      </c>
      <c r="D186">
        <v>31.808</v>
      </c>
      <c r="E186">
        <v>30.341000000000001</v>
      </c>
      <c r="F186">
        <v>32.302999999999997</v>
      </c>
      <c r="G186">
        <v>31.974</v>
      </c>
      <c r="H186">
        <v>30.131</v>
      </c>
      <c r="I186">
        <v>31.215</v>
      </c>
      <c r="J186">
        <v>31.321999999999999</v>
      </c>
      <c r="K186">
        <v>33.813000000000002</v>
      </c>
      <c r="L186">
        <v>28.922999999999998</v>
      </c>
      <c r="M186">
        <v>31.864000000000001</v>
      </c>
      <c r="N186">
        <v>29.709</v>
      </c>
      <c r="O186">
        <v>32.398000000000003</v>
      </c>
      <c r="P186">
        <v>30.277000000000001</v>
      </c>
      <c r="Q186">
        <v>31.143000000000001</v>
      </c>
      <c r="R186">
        <v>31.236000000000001</v>
      </c>
      <c r="S186">
        <v>31.463000000000001</v>
      </c>
      <c r="T186">
        <v>30.891999999999999</v>
      </c>
      <c r="U186">
        <v>31.568999999999999</v>
      </c>
      <c r="V186">
        <v>30.187000000000001</v>
      </c>
      <c r="W186">
        <v>29.824000000000002</v>
      </c>
      <c r="X186">
        <v>31.460999999999999</v>
      </c>
      <c r="Y186">
        <v>31.475999999999999</v>
      </c>
      <c r="Z186">
        <v>31.309000000000001</v>
      </c>
    </row>
    <row r="187" spans="1:26" x14ac:dyDescent="0.45">
      <c r="A187" t="s">
        <v>2095</v>
      </c>
      <c r="B187" t="s">
        <v>2470</v>
      </c>
      <c r="C187" s="3" t="s">
        <v>1706</v>
      </c>
      <c r="D187">
        <v>31.009</v>
      </c>
      <c r="E187">
        <v>29.84</v>
      </c>
      <c r="F187">
        <v>29.126000000000001</v>
      </c>
      <c r="G187">
        <v>31.35</v>
      </c>
      <c r="H187">
        <v>29.773</v>
      </c>
      <c r="I187">
        <v>30.623999999999999</v>
      </c>
      <c r="J187">
        <v>29.327000000000002</v>
      </c>
      <c r="K187">
        <v>30.946999999999999</v>
      </c>
      <c r="L187">
        <v>30.605</v>
      </c>
      <c r="M187">
        <v>30.228999999999999</v>
      </c>
      <c r="N187">
        <v>31.765000000000001</v>
      </c>
      <c r="O187">
        <v>30.882999999999999</v>
      </c>
      <c r="P187">
        <v>30.379000000000001</v>
      </c>
      <c r="Q187">
        <v>29.51</v>
      </c>
      <c r="R187">
        <v>30.670999999999999</v>
      </c>
      <c r="S187">
        <v>31.097999999999999</v>
      </c>
      <c r="T187">
        <v>29.204000000000001</v>
      </c>
      <c r="U187">
        <v>29.513000000000002</v>
      </c>
      <c r="V187">
        <v>29.303000000000001</v>
      </c>
      <c r="W187">
        <v>30.489000000000001</v>
      </c>
      <c r="X187">
        <v>31.167999999999999</v>
      </c>
      <c r="Y187">
        <v>31.244</v>
      </c>
      <c r="Z187">
        <v>30.632000000000001</v>
      </c>
    </row>
    <row r="188" spans="1:26" x14ac:dyDescent="0.45">
      <c r="A188" t="s">
        <v>2096</v>
      </c>
      <c r="B188" t="s">
        <v>2471</v>
      </c>
      <c r="C188" s="3" t="s">
        <v>1707</v>
      </c>
      <c r="D188">
        <v>28.231000000000002</v>
      </c>
      <c r="E188">
        <v>27.652999999999999</v>
      </c>
      <c r="F188">
        <v>26.43</v>
      </c>
      <c r="G188">
        <v>28.978000000000002</v>
      </c>
      <c r="H188">
        <v>27.588999999999999</v>
      </c>
      <c r="I188">
        <v>26.902000000000001</v>
      </c>
      <c r="J188">
        <v>27.399000000000001</v>
      </c>
      <c r="K188">
        <v>27.937999999999999</v>
      </c>
      <c r="L188">
        <v>27.856000000000002</v>
      </c>
      <c r="M188">
        <v>27.844000000000001</v>
      </c>
      <c r="N188">
        <v>28.721</v>
      </c>
      <c r="O188">
        <v>28.571000000000002</v>
      </c>
      <c r="P188">
        <v>27.870999999999999</v>
      </c>
      <c r="Q188">
        <v>27.856999999999999</v>
      </c>
      <c r="R188">
        <v>27.908999999999999</v>
      </c>
      <c r="S188">
        <v>28.637</v>
      </c>
      <c r="T188">
        <v>27.603999999999999</v>
      </c>
      <c r="U188">
        <v>28.113</v>
      </c>
      <c r="V188">
        <v>27.346</v>
      </c>
      <c r="W188">
        <v>28.481000000000002</v>
      </c>
      <c r="X188">
        <v>27.928000000000001</v>
      </c>
      <c r="Y188">
        <v>28.738</v>
      </c>
      <c r="Z188">
        <v>28.818999999999999</v>
      </c>
    </row>
    <row r="189" spans="1:26" x14ac:dyDescent="0.45">
      <c r="A189" t="s">
        <v>2097</v>
      </c>
      <c r="B189" t="s">
        <v>2472</v>
      </c>
      <c r="C189" s="3" t="s">
        <v>1708</v>
      </c>
      <c r="D189">
        <v>27.37</v>
      </c>
      <c r="E189">
        <v>28.254000000000001</v>
      </c>
      <c r="F189">
        <v>27.603999999999999</v>
      </c>
      <c r="G189">
        <v>27.44</v>
      </c>
      <c r="H189">
        <v>26.638000000000002</v>
      </c>
      <c r="I189">
        <v>27.454000000000001</v>
      </c>
      <c r="J189">
        <v>27.018999999999998</v>
      </c>
      <c r="K189">
        <v>27.266999999999999</v>
      </c>
      <c r="L189">
        <v>26.93</v>
      </c>
      <c r="M189">
        <v>26.934999999999999</v>
      </c>
      <c r="N189">
        <v>27.172000000000001</v>
      </c>
      <c r="O189">
        <v>27.937000000000001</v>
      </c>
      <c r="P189">
        <v>27.137</v>
      </c>
      <c r="Q189">
        <v>27.231000000000002</v>
      </c>
      <c r="R189">
        <v>27.666</v>
      </c>
      <c r="S189">
        <v>28.603999999999999</v>
      </c>
      <c r="T189">
        <v>26.736000000000001</v>
      </c>
      <c r="U189">
        <v>26.960999999999999</v>
      </c>
      <c r="V189">
        <v>27.021999999999998</v>
      </c>
      <c r="W189">
        <v>27.460999999999999</v>
      </c>
      <c r="X189">
        <v>27.402000000000001</v>
      </c>
      <c r="Y189">
        <v>27.155000000000001</v>
      </c>
      <c r="Z189">
        <v>28.007000000000001</v>
      </c>
    </row>
    <row r="190" spans="1:26" x14ac:dyDescent="0.45">
      <c r="A190" t="s">
        <v>2098</v>
      </c>
      <c r="B190" t="s">
        <v>2473</v>
      </c>
      <c r="C190" s="3" t="s">
        <v>1709</v>
      </c>
      <c r="D190">
        <v>31.611999999999998</v>
      </c>
      <c r="E190">
        <v>33.401000000000003</v>
      </c>
      <c r="F190">
        <v>30.641999999999999</v>
      </c>
      <c r="G190">
        <v>32.552999999999997</v>
      </c>
      <c r="H190">
        <v>29.52</v>
      </c>
      <c r="I190">
        <v>30.303999999999998</v>
      </c>
      <c r="J190">
        <v>29.856999999999999</v>
      </c>
      <c r="K190">
        <v>29.257999999999999</v>
      </c>
      <c r="L190">
        <v>29.829000000000001</v>
      </c>
      <c r="M190">
        <v>30.466999999999999</v>
      </c>
      <c r="N190">
        <v>29.984999999999999</v>
      </c>
      <c r="O190">
        <v>30.276</v>
      </c>
      <c r="P190">
        <v>29.303999999999998</v>
      </c>
      <c r="Q190">
        <v>30.779</v>
      </c>
      <c r="R190">
        <v>31.419</v>
      </c>
      <c r="S190">
        <v>31.431999999999999</v>
      </c>
      <c r="T190">
        <v>31.295999999999999</v>
      </c>
      <c r="U190">
        <v>29.738</v>
      </c>
      <c r="V190">
        <v>29.303999999999998</v>
      </c>
      <c r="W190">
        <v>30.657</v>
      </c>
      <c r="X190">
        <v>29.78</v>
      </c>
      <c r="Y190">
        <v>30.370999999999999</v>
      </c>
      <c r="Z190">
        <v>31.271999999999998</v>
      </c>
    </row>
    <row r="191" spans="1:26" x14ac:dyDescent="0.45">
      <c r="A191" t="s">
        <v>2099</v>
      </c>
      <c r="B191" t="s">
        <v>2474</v>
      </c>
      <c r="C191" s="3" t="s">
        <v>1710</v>
      </c>
      <c r="D191">
        <v>29.434000000000001</v>
      </c>
      <c r="E191">
        <v>29.149000000000001</v>
      </c>
      <c r="F191">
        <v>28.274999999999999</v>
      </c>
      <c r="G191">
        <v>30.731000000000002</v>
      </c>
      <c r="H191">
        <v>28.561</v>
      </c>
      <c r="I191">
        <v>28.831</v>
      </c>
      <c r="J191">
        <v>28.577999999999999</v>
      </c>
      <c r="K191">
        <v>29.350999999999999</v>
      </c>
      <c r="L191">
        <v>29.687000000000001</v>
      </c>
      <c r="M191">
        <v>29.481000000000002</v>
      </c>
      <c r="N191">
        <v>27.965</v>
      </c>
      <c r="O191">
        <v>30.898</v>
      </c>
      <c r="P191">
        <v>28.995999999999999</v>
      </c>
      <c r="Q191">
        <v>29.390999999999998</v>
      </c>
      <c r="R191">
        <v>29.125</v>
      </c>
      <c r="S191">
        <v>29.963999999999999</v>
      </c>
      <c r="T191">
        <v>29.542000000000002</v>
      </c>
      <c r="U191">
        <v>29.259</v>
      </c>
      <c r="V191">
        <v>28.335000000000001</v>
      </c>
      <c r="W191">
        <v>29.786000000000001</v>
      </c>
      <c r="X191">
        <v>29.98</v>
      </c>
      <c r="Y191">
        <v>28.553000000000001</v>
      </c>
      <c r="Z191">
        <v>29.216999999999999</v>
      </c>
    </row>
    <row r="192" spans="1:26" x14ac:dyDescent="0.45">
      <c r="A192" t="s">
        <v>2100</v>
      </c>
      <c r="B192" t="s">
        <v>2475</v>
      </c>
      <c r="C192" s="3" t="s">
        <v>1711</v>
      </c>
      <c r="D192">
        <v>27.696000000000002</v>
      </c>
      <c r="E192">
        <v>28.353000000000002</v>
      </c>
      <c r="F192">
        <v>26.263000000000002</v>
      </c>
      <c r="G192">
        <v>28.228999999999999</v>
      </c>
      <c r="H192">
        <v>28.78</v>
      </c>
      <c r="I192">
        <v>28.553000000000001</v>
      </c>
      <c r="J192">
        <v>26.956</v>
      </c>
      <c r="K192">
        <v>26.946999999999999</v>
      </c>
      <c r="L192">
        <v>27.895</v>
      </c>
      <c r="M192">
        <v>28.532</v>
      </c>
      <c r="N192">
        <v>28.526</v>
      </c>
      <c r="O192">
        <v>28.571999999999999</v>
      </c>
      <c r="P192">
        <v>28.55</v>
      </c>
      <c r="Q192">
        <v>28.731999999999999</v>
      </c>
      <c r="R192">
        <v>28.472000000000001</v>
      </c>
      <c r="S192">
        <v>28.837</v>
      </c>
      <c r="T192">
        <v>29.192</v>
      </c>
      <c r="U192">
        <v>28.641999999999999</v>
      </c>
      <c r="V192">
        <v>28.218</v>
      </c>
      <c r="W192">
        <v>29.931000000000001</v>
      </c>
      <c r="X192">
        <v>28.948</v>
      </c>
      <c r="Y192">
        <v>29.678000000000001</v>
      </c>
      <c r="Z192">
        <v>29.244</v>
      </c>
    </row>
    <row r="193" spans="1:26" x14ac:dyDescent="0.45">
      <c r="A193" t="s">
        <v>2101</v>
      </c>
      <c r="B193" t="s">
        <v>2476</v>
      </c>
      <c r="C193" s="3" t="s">
        <v>1712</v>
      </c>
      <c r="D193">
        <v>25.483000000000001</v>
      </c>
      <c r="E193">
        <v>24.831</v>
      </c>
      <c r="F193">
        <v>24.376000000000001</v>
      </c>
      <c r="G193">
        <v>25.925000000000001</v>
      </c>
      <c r="H193">
        <v>25.003</v>
      </c>
      <c r="I193">
        <v>25.286000000000001</v>
      </c>
      <c r="J193">
        <v>24.762</v>
      </c>
      <c r="K193">
        <v>25.600999999999999</v>
      </c>
      <c r="L193">
        <v>24.986000000000001</v>
      </c>
      <c r="M193">
        <v>25.367999999999999</v>
      </c>
      <c r="N193">
        <v>24.745999999999999</v>
      </c>
      <c r="O193">
        <v>25.818999999999999</v>
      </c>
      <c r="P193">
        <v>25.471</v>
      </c>
      <c r="Q193">
        <v>25.074000000000002</v>
      </c>
      <c r="R193">
        <v>25.295999999999999</v>
      </c>
      <c r="S193">
        <v>25.75</v>
      </c>
      <c r="T193">
        <v>24.905999999999999</v>
      </c>
      <c r="U193">
        <v>24.965</v>
      </c>
      <c r="V193">
        <v>25.302</v>
      </c>
      <c r="W193">
        <v>25.677</v>
      </c>
      <c r="X193">
        <v>25.681000000000001</v>
      </c>
      <c r="Y193">
        <v>24.888999999999999</v>
      </c>
      <c r="Z193">
        <v>25.66</v>
      </c>
    </row>
    <row r="194" spans="1:26" x14ac:dyDescent="0.45">
      <c r="A194" t="s">
        <v>2102</v>
      </c>
      <c r="B194" t="s">
        <v>2477</v>
      </c>
      <c r="C194" s="3" t="s">
        <v>1713</v>
      </c>
      <c r="D194">
        <v>26.564</v>
      </c>
      <c r="E194">
        <v>25.97</v>
      </c>
      <c r="F194">
        <v>25.696999999999999</v>
      </c>
      <c r="G194">
        <v>27.234000000000002</v>
      </c>
      <c r="H194">
        <v>26.332000000000001</v>
      </c>
      <c r="I194">
        <v>26.443000000000001</v>
      </c>
      <c r="J194">
        <v>25.917000000000002</v>
      </c>
      <c r="K194">
        <v>26.701000000000001</v>
      </c>
      <c r="L194">
        <v>26.221</v>
      </c>
      <c r="M194">
        <v>25.920999999999999</v>
      </c>
      <c r="N194">
        <v>25.504999999999999</v>
      </c>
      <c r="O194">
        <v>27.504999999999999</v>
      </c>
      <c r="P194">
        <v>26.562000000000001</v>
      </c>
      <c r="Q194">
        <v>25.984000000000002</v>
      </c>
      <c r="R194">
        <v>26.504999999999999</v>
      </c>
      <c r="S194">
        <v>27.14</v>
      </c>
      <c r="T194">
        <v>26.463000000000001</v>
      </c>
      <c r="U194">
        <v>26.303999999999998</v>
      </c>
      <c r="V194">
        <v>26.276</v>
      </c>
      <c r="W194">
        <v>26.539000000000001</v>
      </c>
      <c r="X194">
        <v>26.663</v>
      </c>
      <c r="Y194">
        <v>26.234000000000002</v>
      </c>
      <c r="Z194">
        <v>26.623999999999999</v>
      </c>
    </row>
    <row r="195" spans="1:26" x14ac:dyDescent="0.45">
      <c r="A195" t="s">
        <v>2103</v>
      </c>
      <c r="B195" t="s">
        <v>2478</v>
      </c>
      <c r="C195" s="3" t="s">
        <v>1714</v>
      </c>
      <c r="D195">
        <v>27.062000000000001</v>
      </c>
      <c r="E195">
        <v>27.706</v>
      </c>
      <c r="F195">
        <v>26.837</v>
      </c>
      <c r="G195">
        <v>27.754999999999999</v>
      </c>
      <c r="H195">
        <v>26.748000000000001</v>
      </c>
      <c r="I195">
        <v>27.39</v>
      </c>
      <c r="J195">
        <v>27.481999999999999</v>
      </c>
      <c r="K195">
        <v>28.323</v>
      </c>
      <c r="L195">
        <v>27.138999999999999</v>
      </c>
      <c r="M195">
        <v>27.172000000000001</v>
      </c>
      <c r="N195">
        <v>28.291</v>
      </c>
      <c r="O195">
        <v>27.635999999999999</v>
      </c>
      <c r="P195">
        <v>27.669</v>
      </c>
      <c r="Q195">
        <v>27.850999999999999</v>
      </c>
      <c r="R195">
        <v>27.884</v>
      </c>
      <c r="S195">
        <v>27.689</v>
      </c>
      <c r="T195">
        <v>27.21</v>
      </c>
      <c r="U195">
        <v>27.288</v>
      </c>
      <c r="V195">
        <v>26.707000000000001</v>
      </c>
      <c r="W195">
        <v>27.64</v>
      </c>
      <c r="X195">
        <v>29.097999999999999</v>
      </c>
      <c r="Y195">
        <v>27.375</v>
      </c>
      <c r="Z195">
        <v>27.161000000000001</v>
      </c>
    </row>
    <row r="196" spans="1:26" x14ac:dyDescent="0.45">
      <c r="A196" t="s">
        <v>2104</v>
      </c>
      <c r="B196" t="s">
        <v>2479</v>
      </c>
      <c r="C196" s="3" t="s">
        <v>1715</v>
      </c>
      <c r="D196">
        <v>23.96</v>
      </c>
      <c r="E196">
        <v>23.867000000000001</v>
      </c>
      <c r="F196">
        <v>23.391999999999999</v>
      </c>
      <c r="G196">
        <v>24.626000000000001</v>
      </c>
      <c r="H196">
        <v>23.712</v>
      </c>
      <c r="I196">
        <v>23.521000000000001</v>
      </c>
      <c r="J196">
        <v>23.606999999999999</v>
      </c>
      <c r="K196">
        <v>24.337</v>
      </c>
      <c r="L196">
        <v>23.937999999999999</v>
      </c>
      <c r="M196">
        <v>24.172999999999998</v>
      </c>
      <c r="N196">
        <v>23.73</v>
      </c>
      <c r="O196">
        <v>24.364999999999998</v>
      </c>
      <c r="P196">
        <v>24.257999999999999</v>
      </c>
      <c r="Q196">
        <v>24.16</v>
      </c>
      <c r="R196">
        <v>24.295999999999999</v>
      </c>
      <c r="S196">
        <v>24.306999999999999</v>
      </c>
      <c r="T196">
        <v>24.234000000000002</v>
      </c>
      <c r="U196">
        <v>23.701000000000001</v>
      </c>
      <c r="V196">
        <v>23.177</v>
      </c>
      <c r="W196">
        <v>24.298999999999999</v>
      </c>
      <c r="X196">
        <v>24.783000000000001</v>
      </c>
      <c r="Y196">
        <v>23.588000000000001</v>
      </c>
      <c r="Z196">
        <v>23.905999999999999</v>
      </c>
    </row>
    <row r="197" spans="1:26" x14ac:dyDescent="0.45">
      <c r="A197" t="s">
        <v>2105</v>
      </c>
      <c r="B197" t="s">
        <v>2480</v>
      </c>
      <c r="C197" s="3" t="s">
        <v>1716</v>
      </c>
      <c r="D197">
        <v>34.875999999999998</v>
      </c>
      <c r="E197" t="s">
        <v>1906</v>
      </c>
      <c r="F197" t="s">
        <v>1906</v>
      </c>
      <c r="G197">
        <v>33.798000000000002</v>
      </c>
      <c r="H197">
        <v>34.176000000000002</v>
      </c>
      <c r="I197">
        <v>36.819000000000003</v>
      </c>
      <c r="J197">
        <v>37.793999999999997</v>
      </c>
      <c r="K197">
        <v>34.631</v>
      </c>
      <c r="L197">
        <v>32.826000000000001</v>
      </c>
      <c r="M197" t="s">
        <v>1906</v>
      </c>
      <c r="N197">
        <v>32.548000000000002</v>
      </c>
      <c r="O197">
        <v>34.546999999999997</v>
      </c>
      <c r="P197" t="s">
        <v>1906</v>
      </c>
      <c r="Q197">
        <v>34.253</v>
      </c>
      <c r="R197">
        <v>34.728999999999999</v>
      </c>
      <c r="S197">
        <v>35.104999999999997</v>
      </c>
      <c r="T197" t="s">
        <v>1906</v>
      </c>
      <c r="U197">
        <v>35.159999999999997</v>
      </c>
      <c r="V197">
        <v>32.44</v>
      </c>
      <c r="W197" t="s">
        <v>1906</v>
      </c>
      <c r="X197" t="s">
        <v>1906</v>
      </c>
      <c r="Y197">
        <v>31.952999999999999</v>
      </c>
      <c r="Z197">
        <v>35.244999999999997</v>
      </c>
    </row>
    <row r="198" spans="1:26" x14ac:dyDescent="0.45">
      <c r="A198" t="s">
        <v>2106</v>
      </c>
      <c r="B198" t="s">
        <v>2481</v>
      </c>
      <c r="C198" s="3" t="s">
        <v>1717</v>
      </c>
      <c r="D198">
        <v>27.231999999999999</v>
      </c>
      <c r="E198">
        <v>27.385000000000002</v>
      </c>
      <c r="F198">
        <v>26.901</v>
      </c>
      <c r="G198">
        <v>28.193999999999999</v>
      </c>
      <c r="H198">
        <v>26.962</v>
      </c>
      <c r="I198">
        <v>27.524999999999999</v>
      </c>
      <c r="J198">
        <v>27.376999999999999</v>
      </c>
      <c r="K198">
        <v>27.414999999999999</v>
      </c>
      <c r="L198">
        <v>27.207000000000001</v>
      </c>
      <c r="M198">
        <v>27.594000000000001</v>
      </c>
      <c r="N198">
        <v>27.312999999999999</v>
      </c>
      <c r="O198">
        <v>27.928999999999998</v>
      </c>
      <c r="P198">
        <v>27.122</v>
      </c>
      <c r="Q198">
        <v>27.364000000000001</v>
      </c>
      <c r="R198">
        <v>27.995999999999999</v>
      </c>
      <c r="S198">
        <v>26.972000000000001</v>
      </c>
      <c r="T198">
        <v>27.596</v>
      </c>
      <c r="U198">
        <v>27.331</v>
      </c>
      <c r="V198">
        <v>26.849</v>
      </c>
      <c r="W198">
        <v>27.254999999999999</v>
      </c>
      <c r="X198">
        <v>27.713999999999999</v>
      </c>
      <c r="Y198">
        <v>26.998999999999999</v>
      </c>
      <c r="Z198">
        <v>27.457999999999998</v>
      </c>
    </row>
    <row r="199" spans="1:26" x14ac:dyDescent="0.45">
      <c r="A199" t="s">
        <v>2107</v>
      </c>
      <c r="B199" t="s">
        <v>2482</v>
      </c>
      <c r="C199" s="3" t="s">
        <v>1718</v>
      </c>
      <c r="D199">
        <v>25.245999999999999</v>
      </c>
      <c r="E199">
        <v>25.762</v>
      </c>
      <c r="F199">
        <v>24.917999999999999</v>
      </c>
      <c r="G199">
        <v>26.687000000000001</v>
      </c>
      <c r="H199">
        <v>25.215</v>
      </c>
      <c r="I199">
        <v>25.574000000000002</v>
      </c>
      <c r="J199">
        <v>25.524999999999999</v>
      </c>
      <c r="K199">
        <v>26.09</v>
      </c>
      <c r="L199">
        <v>25.904</v>
      </c>
      <c r="M199">
        <v>25.908999999999999</v>
      </c>
      <c r="N199">
        <v>25.724</v>
      </c>
      <c r="O199">
        <v>26.184000000000001</v>
      </c>
      <c r="P199">
        <v>25.523</v>
      </c>
      <c r="Q199">
        <v>25.414999999999999</v>
      </c>
      <c r="R199">
        <v>25.911999999999999</v>
      </c>
      <c r="S199">
        <v>25.709</v>
      </c>
      <c r="T199">
        <v>25.213999999999999</v>
      </c>
      <c r="U199">
        <v>25.96</v>
      </c>
      <c r="V199">
        <v>25.27</v>
      </c>
      <c r="W199">
        <v>24.731000000000002</v>
      </c>
      <c r="X199">
        <v>25.405999999999999</v>
      </c>
      <c r="Y199">
        <v>24.942</v>
      </c>
      <c r="Z199">
        <v>24.975999999999999</v>
      </c>
    </row>
    <row r="200" spans="1:26" x14ac:dyDescent="0.45">
      <c r="A200" t="s">
        <v>2108</v>
      </c>
      <c r="B200" t="s">
        <v>2483</v>
      </c>
      <c r="C200" s="3" t="s">
        <v>1719</v>
      </c>
      <c r="D200">
        <v>28.318000000000001</v>
      </c>
      <c r="E200">
        <v>28.722999999999999</v>
      </c>
      <c r="F200">
        <v>27.943000000000001</v>
      </c>
      <c r="G200">
        <v>31.527000000000001</v>
      </c>
      <c r="H200">
        <v>29.869</v>
      </c>
      <c r="I200">
        <v>28.887</v>
      </c>
      <c r="J200">
        <v>29.544</v>
      </c>
      <c r="K200">
        <v>29.824999999999999</v>
      </c>
      <c r="L200">
        <v>30.619</v>
      </c>
      <c r="M200">
        <v>29.997</v>
      </c>
      <c r="N200">
        <v>31.544</v>
      </c>
      <c r="O200">
        <v>29.780999999999999</v>
      </c>
      <c r="P200">
        <v>28.75</v>
      </c>
      <c r="Q200">
        <v>31.27</v>
      </c>
      <c r="R200">
        <v>26.895</v>
      </c>
      <c r="S200">
        <v>30.513000000000002</v>
      </c>
      <c r="T200">
        <v>30.727</v>
      </c>
      <c r="U200">
        <v>28.126000000000001</v>
      </c>
      <c r="V200">
        <v>29.481000000000002</v>
      </c>
      <c r="W200">
        <v>27.738</v>
      </c>
      <c r="X200">
        <v>28.968</v>
      </c>
      <c r="Y200">
        <v>27.738</v>
      </c>
      <c r="Z200">
        <v>27.992999999999999</v>
      </c>
    </row>
    <row r="201" spans="1:26" x14ac:dyDescent="0.45">
      <c r="A201" t="s">
        <v>2109</v>
      </c>
      <c r="B201" t="s">
        <v>2484</v>
      </c>
      <c r="C201" s="3" t="s">
        <v>1720</v>
      </c>
      <c r="D201">
        <v>24.67</v>
      </c>
      <c r="E201">
        <v>25.175999999999998</v>
      </c>
      <c r="F201">
        <v>24.619</v>
      </c>
      <c r="G201">
        <v>25.643999999999998</v>
      </c>
      <c r="H201">
        <v>24.975999999999999</v>
      </c>
      <c r="I201">
        <v>23.87</v>
      </c>
      <c r="J201">
        <v>24.954000000000001</v>
      </c>
      <c r="K201">
        <v>25.734999999999999</v>
      </c>
      <c r="L201">
        <v>25.007999999999999</v>
      </c>
      <c r="M201">
        <v>25.655999999999999</v>
      </c>
      <c r="N201">
        <v>25.548999999999999</v>
      </c>
      <c r="O201">
        <v>25.664999999999999</v>
      </c>
      <c r="P201">
        <v>24.890999999999998</v>
      </c>
      <c r="Q201">
        <v>25.12</v>
      </c>
      <c r="R201">
        <v>25.501999999999999</v>
      </c>
      <c r="S201">
        <v>25.004000000000001</v>
      </c>
      <c r="T201">
        <v>25.132000000000001</v>
      </c>
      <c r="U201">
        <v>25.614000000000001</v>
      </c>
      <c r="V201">
        <v>24.93</v>
      </c>
      <c r="W201">
        <v>24.7</v>
      </c>
      <c r="X201">
        <v>25.349</v>
      </c>
      <c r="Y201">
        <v>25.172000000000001</v>
      </c>
      <c r="Z201">
        <v>24.882000000000001</v>
      </c>
    </row>
    <row r="202" spans="1:26" x14ac:dyDescent="0.45">
      <c r="A202" t="s">
        <v>2110</v>
      </c>
      <c r="B202" t="s">
        <v>2485</v>
      </c>
      <c r="C202" s="3" t="s">
        <v>1721</v>
      </c>
      <c r="D202">
        <v>23.864999999999998</v>
      </c>
      <c r="E202">
        <v>24.748999999999999</v>
      </c>
      <c r="F202">
        <v>23.803000000000001</v>
      </c>
      <c r="G202">
        <v>24.814</v>
      </c>
      <c r="H202">
        <v>23.898</v>
      </c>
      <c r="I202">
        <v>23.216000000000001</v>
      </c>
      <c r="J202">
        <v>24.196000000000002</v>
      </c>
      <c r="K202">
        <v>24.866</v>
      </c>
      <c r="L202">
        <v>24.257999999999999</v>
      </c>
      <c r="M202">
        <v>24.613</v>
      </c>
      <c r="N202">
        <v>24.588000000000001</v>
      </c>
      <c r="O202">
        <v>24.294</v>
      </c>
      <c r="P202">
        <v>23.914000000000001</v>
      </c>
      <c r="Q202">
        <v>23.957000000000001</v>
      </c>
      <c r="R202">
        <v>24.382999999999999</v>
      </c>
      <c r="S202">
        <v>24.1</v>
      </c>
      <c r="T202">
        <v>24.234999999999999</v>
      </c>
      <c r="U202">
        <v>24.652999999999999</v>
      </c>
      <c r="V202">
        <v>23.821999999999999</v>
      </c>
      <c r="W202">
        <v>23.399000000000001</v>
      </c>
      <c r="X202">
        <v>24.381</v>
      </c>
      <c r="Y202">
        <v>23.99</v>
      </c>
      <c r="Z202">
        <v>23.800999999999998</v>
      </c>
    </row>
    <row r="203" spans="1:26" x14ac:dyDescent="0.45">
      <c r="A203" t="s">
        <v>2111</v>
      </c>
      <c r="B203" t="s">
        <v>2486</v>
      </c>
      <c r="C203" s="3" t="s">
        <v>1722</v>
      </c>
      <c r="D203">
        <v>25.446000000000002</v>
      </c>
      <c r="E203">
        <v>24.885999999999999</v>
      </c>
      <c r="F203">
        <v>24.271000000000001</v>
      </c>
      <c r="G203">
        <v>26.707000000000001</v>
      </c>
      <c r="H203">
        <v>25.433</v>
      </c>
      <c r="I203">
        <v>24.35</v>
      </c>
      <c r="J203">
        <v>24.451000000000001</v>
      </c>
      <c r="K203">
        <v>25.838000000000001</v>
      </c>
      <c r="L203">
        <v>25.233000000000001</v>
      </c>
      <c r="M203">
        <v>25.699000000000002</v>
      </c>
      <c r="N203">
        <v>24.992999999999999</v>
      </c>
      <c r="O203">
        <v>25.655000000000001</v>
      </c>
      <c r="P203">
        <v>24.931000000000001</v>
      </c>
      <c r="Q203">
        <v>25.378</v>
      </c>
      <c r="R203">
        <v>25.274000000000001</v>
      </c>
      <c r="S203">
        <v>25.12</v>
      </c>
      <c r="T203">
        <v>26.210999999999999</v>
      </c>
      <c r="U203">
        <v>25.907</v>
      </c>
      <c r="V203">
        <v>25.04</v>
      </c>
      <c r="W203">
        <v>25.056999999999999</v>
      </c>
      <c r="X203">
        <v>26.163</v>
      </c>
      <c r="Y203">
        <v>25.202000000000002</v>
      </c>
      <c r="Z203">
        <v>24.949000000000002</v>
      </c>
    </row>
    <row r="204" spans="1:26" x14ac:dyDescent="0.45">
      <c r="A204" t="s">
        <v>2112</v>
      </c>
      <c r="B204" t="s">
        <v>2487</v>
      </c>
      <c r="C204" s="3" t="s">
        <v>1723</v>
      </c>
      <c r="D204">
        <v>22.68</v>
      </c>
      <c r="E204">
        <v>22.01</v>
      </c>
      <c r="F204">
        <v>21.484000000000002</v>
      </c>
      <c r="G204">
        <v>23.539000000000001</v>
      </c>
      <c r="H204">
        <v>22.66</v>
      </c>
      <c r="I204">
        <v>21.773</v>
      </c>
      <c r="J204">
        <v>21.661000000000001</v>
      </c>
      <c r="K204">
        <v>22.643000000000001</v>
      </c>
      <c r="L204">
        <v>22.516999999999999</v>
      </c>
      <c r="M204">
        <v>22.864000000000001</v>
      </c>
      <c r="N204">
        <v>22.548999999999999</v>
      </c>
      <c r="O204">
        <v>22.76</v>
      </c>
      <c r="P204">
        <v>22.177</v>
      </c>
      <c r="Q204">
        <v>22.696000000000002</v>
      </c>
      <c r="R204">
        <v>22.7</v>
      </c>
      <c r="S204">
        <v>22.675000000000001</v>
      </c>
      <c r="T204">
        <v>23.492000000000001</v>
      </c>
      <c r="U204">
        <v>23.326000000000001</v>
      </c>
      <c r="V204">
        <v>22.483000000000001</v>
      </c>
      <c r="W204">
        <v>22.459</v>
      </c>
      <c r="X204">
        <v>23.373000000000001</v>
      </c>
      <c r="Y204">
        <v>22.422999999999998</v>
      </c>
      <c r="Z204">
        <v>22.117000000000001</v>
      </c>
    </row>
    <row r="205" spans="1:26" x14ac:dyDescent="0.45">
      <c r="A205" t="s">
        <v>2113</v>
      </c>
      <c r="B205" t="s">
        <v>2488</v>
      </c>
      <c r="C205" s="3" t="s">
        <v>1724</v>
      </c>
      <c r="D205">
        <v>30.725000000000001</v>
      </c>
      <c r="E205">
        <v>30.937999999999999</v>
      </c>
      <c r="F205">
        <v>30.379000000000001</v>
      </c>
      <c r="G205">
        <v>32.988999999999997</v>
      </c>
      <c r="H205">
        <v>30.663</v>
      </c>
      <c r="I205">
        <v>31.809000000000001</v>
      </c>
      <c r="J205">
        <v>30.158999999999999</v>
      </c>
      <c r="K205">
        <v>31.437999999999999</v>
      </c>
      <c r="L205">
        <v>30.704000000000001</v>
      </c>
      <c r="M205">
        <v>32.155000000000001</v>
      </c>
      <c r="N205">
        <v>30.763999999999999</v>
      </c>
      <c r="O205">
        <v>32.74</v>
      </c>
      <c r="P205">
        <v>30.52</v>
      </c>
      <c r="Q205">
        <v>30.824999999999999</v>
      </c>
      <c r="R205">
        <v>30.56</v>
      </c>
      <c r="S205">
        <v>31.582999999999998</v>
      </c>
      <c r="T205">
        <v>31.673999999999999</v>
      </c>
      <c r="U205">
        <v>33.088999999999999</v>
      </c>
      <c r="V205">
        <v>30.562999999999999</v>
      </c>
      <c r="W205">
        <v>31.204000000000001</v>
      </c>
      <c r="X205">
        <v>31.376999999999999</v>
      </c>
      <c r="Y205">
        <v>32.097999999999999</v>
      </c>
      <c r="Z205">
        <v>30.506</v>
      </c>
    </row>
    <row r="206" spans="1:26" x14ac:dyDescent="0.45">
      <c r="A206" t="s">
        <v>2114</v>
      </c>
      <c r="B206" t="s">
        <v>2489</v>
      </c>
      <c r="C206" s="3" t="s">
        <v>1725</v>
      </c>
      <c r="D206">
        <v>24.786999999999999</v>
      </c>
      <c r="E206">
        <v>24.838000000000001</v>
      </c>
      <c r="F206">
        <v>24.664000000000001</v>
      </c>
      <c r="G206">
        <v>26.010999999999999</v>
      </c>
      <c r="H206">
        <v>24.957999999999998</v>
      </c>
      <c r="I206">
        <v>25.686</v>
      </c>
      <c r="J206">
        <v>24.227</v>
      </c>
      <c r="K206">
        <v>25.785</v>
      </c>
      <c r="L206">
        <v>24.62</v>
      </c>
      <c r="M206">
        <v>25.565999999999999</v>
      </c>
      <c r="N206">
        <v>24.957999999999998</v>
      </c>
      <c r="O206">
        <v>25.817</v>
      </c>
      <c r="P206">
        <v>24.683</v>
      </c>
      <c r="Q206">
        <v>24.774000000000001</v>
      </c>
      <c r="R206">
        <v>25.241</v>
      </c>
      <c r="S206">
        <v>25.24</v>
      </c>
      <c r="T206">
        <v>25.274999999999999</v>
      </c>
      <c r="U206">
        <v>26.234999999999999</v>
      </c>
      <c r="V206">
        <v>24.669</v>
      </c>
      <c r="W206">
        <v>25.286000000000001</v>
      </c>
      <c r="X206">
        <v>25.588000000000001</v>
      </c>
      <c r="Y206">
        <v>25.721</v>
      </c>
      <c r="Z206">
        <v>24.806000000000001</v>
      </c>
    </row>
    <row r="207" spans="1:26" x14ac:dyDescent="0.45">
      <c r="A207" t="s">
        <v>2115</v>
      </c>
      <c r="B207" t="s">
        <v>2490</v>
      </c>
      <c r="C207" s="3" t="s">
        <v>1726</v>
      </c>
      <c r="D207">
        <v>26.19</v>
      </c>
      <c r="E207">
        <v>25.58</v>
      </c>
      <c r="F207">
        <v>24.670999999999999</v>
      </c>
      <c r="G207">
        <v>26.337</v>
      </c>
      <c r="H207">
        <v>25.335000000000001</v>
      </c>
      <c r="I207">
        <v>28.327999999999999</v>
      </c>
      <c r="J207">
        <v>26.509</v>
      </c>
      <c r="K207">
        <v>25.771999999999998</v>
      </c>
      <c r="L207">
        <v>24.949000000000002</v>
      </c>
      <c r="M207">
        <v>25.245000000000001</v>
      </c>
      <c r="N207">
        <v>24.888000000000002</v>
      </c>
      <c r="O207">
        <v>26.724</v>
      </c>
      <c r="P207">
        <v>25.363</v>
      </c>
      <c r="Q207">
        <v>25.748000000000001</v>
      </c>
      <c r="R207">
        <v>25.821999999999999</v>
      </c>
      <c r="S207">
        <v>25.823</v>
      </c>
      <c r="T207">
        <v>24.925000000000001</v>
      </c>
      <c r="U207">
        <v>24.981000000000002</v>
      </c>
      <c r="V207">
        <v>24.776</v>
      </c>
      <c r="W207">
        <v>24.960999999999999</v>
      </c>
      <c r="X207">
        <v>25.908999999999999</v>
      </c>
      <c r="Y207">
        <v>25.454000000000001</v>
      </c>
      <c r="Z207">
        <v>26.428999999999998</v>
      </c>
    </row>
    <row r="208" spans="1:26" x14ac:dyDescent="0.45">
      <c r="A208" t="s">
        <v>2116</v>
      </c>
      <c r="B208" t="s">
        <v>2491</v>
      </c>
      <c r="C208" s="3" t="s">
        <v>1727</v>
      </c>
      <c r="D208">
        <v>24.268999999999998</v>
      </c>
      <c r="E208">
        <v>24.437999999999999</v>
      </c>
      <c r="F208">
        <v>23.594999999999999</v>
      </c>
      <c r="G208">
        <v>24.893999999999998</v>
      </c>
      <c r="H208">
        <v>23.417000000000002</v>
      </c>
      <c r="I208">
        <v>31.536000000000001</v>
      </c>
      <c r="J208">
        <v>25.135000000000002</v>
      </c>
      <c r="K208">
        <v>23.873999999999999</v>
      </c>
      <c r="L208">
        <v>23.363</v>
      </c>
      <c r="M208">
        <v>24.346</v>
      </c>
      <c r="N208">
        <v>23.498000000000001</v>
      </c>
      <c r="O208">
        <v>24.841999999999999</v>
      </c>
      <c r="P208">
        <v>23.661999999999999</v>
      </c>
      <c r="Q208">
        <v>24.363</v>
      </c>
      <c r="R208">
        <v>24.687000000000001</v>
      </c>
      <c r="S208">
        <v>23.919</v>
      </c>
      <c r="T208">
        <v>23.146000000000001</v>
      </c>
      <c r="U208">
        <v>23.641999999999999</v>
      </c>
      <c r="V208">
        <v>23.265000000000001</v>
      </c>
      <c r="W208">
        <v>23.213000000000001</v>
      </c>
      <c r="X208">
        <v>24.207999999999998</v>
      </c>
      <c r="Y208">
        <v>23.701000000000001</v>
      </c>
      <c r="Z208">
        <v>24.879000000000001</v>
      </c>
    </row>
    <row r="209" spans="1:26" x14ac:dyDescent="0.45">
      <c r="A209" t="s">
        <v>2117</v>
      </c>
      <c r="B209" t="s">
        <v>2492</v>
      </c>
      <c r="C209" s="3" t="s">
        <v>1728</v>
      </c>
      <c r="D209">
        <v>28.311</v>
      </c>
      <c r="E209">
        <v>22.763999999999999</v>
      </c>
      <c r="F209">
        <v>23.448</v>
      </c>
      <c r="G209">
        <v>23.652999999999999</v>
      </c>
      <c r="H209">
        <v>23.167999999999999</v>
      </c>
      <c r="I209">
        <v>22.888000000000002</v>
      </c>
      <c r="J209">
        <v>22.838999999999999</v>
      </c>
      <c r="K209">
        <v>23.690999999999999</v>
      </c>
      <c r="L209">
        <v>24.273</v>
      </c>
      <c r="M209">
        <v>23.382000000000001</v>
      </c>
      <c r="N209">
        <v>23.077000000000002</v>
      </c>
      <c r="O209">
        <v>23.413</v>
      </c>
      <c r="P209">
        <v>22.940999999999999</v>
      </c>
      <c r="Q209">
        <v>23.791</v>
      </c>
      <c r="R209">
        <v>22.824000000000002</v>
      </c>
      <c r="S209">
        <v>23.739000000000001</v>
      </c>
      <c r="T209">
        <v>22.939</v>
      </c>
      <c r="U209">
        <v>23</v>
      </c>
      <c r="V209">
        <v>23.42</v>
      </c>
      <c r="W209">
        <v>23.997</v>
      </c>
      <c r="X209">
        <v>23.722000000000001</v>
      </c>
      <c r="Y209">
        <v>26.419</v>
      </c>
      <c r="Z209">
        <v>22.712</v>
      </c>
    </row>
    <row r="210" spans="1:26" x14ac:dyDescent="0.45">
      <c r="A210" t="s">
        <v>2118</v>
      </c>
      <c r="B210" t="s">
        <v>2493</v>
      </c>
      <c r="C210" s="3" t="s">
        <v>1729</v>
      </c>
      <c r="D210">
        <v>34.311999999999998</v>
      </c>
      <c r="E210">
        <v>29.437999999999999</v>
      </c>
      <c r="F210">
        <v>30.568000000000001</v>
      </c>
      <c r="G210">
        <v>29.768000000000001</v>
      </c>
      <c r="H210">
        <v>29.847999999999999</v>
      </c>
      <c r="I210">
        <v>29.169</v>
      </c>
      <c r="J210">
        <v>28.599</v>
      </c>
      <c r="K210">
        <v>30.856000000000002</v>
      </c>
      <c r="L210">
        <v>30.456</v>
      </c>
      <c r="M210">
        <v>30.414999999999999</v>
      </c>
      <c r="N210">
        <v>29.606000000000002</v>
      </c>
      <c r="O210">
        <v>30.259</v>
      </c>
      <c r="P210">
        <v>28.667000000000002</v>
      </c>
      <c r="Q210">
        <v>30.876999999999999</v>
      </c>
      <c r="R210">
        <v>29.8</v>
      </c>
      <c r="S210">
        <v>29.51</v>
      </c>
      <c r="T210">
        <v>29.209</v>
      </c>
      <c r="U210">
        <v>29.613</v>
      </c>
      <c r="V210">
        <v>29.14</v>
      </c>
      <c r="W210">
        <v>30.544</v>
      </c>
      <c r="X210">
        <v>29.792000000000002</v>
      </c>
      <c r="Y210">
        <v>33.277000000000001</v>
      </c>
      <c r="Z210">
        <v>28.725000000000001</v>
      </c>
    </row>
    <row r="211" spans="1:26" x14ac:dyDescent="0.45">
      <c r="A211" t="s">
        <v>2119</v>
      </c>
      <c r="B211" t="s">
        <v>2494</v>
      </c>
      <c r="C211" s="3" t="s">
        <v>1730</v>
      </c>
      <c r="D211">
        <v>29.533000000000001</v>
      </c>
      <c r="E211">
        <v>28.587</v>
      </c>
      <c r="F211">
        <v>27.885000000000002</v>
      </c>
      <c r="G211">
        <v>28.745000000000001</v>
      </c>
      <c r="H211">
        <v>28.463999999999999</v>
      </c>
      <c r="I211">
        <v>28.541</v>
      </c>
      <c r="J211">
        <v>28.635999999999999</v>
      </c>
      <c r="K211">
        <v>27.98</v>
      </c>
      <c r="L211">
        <v>27.818999999999999</v>
      </c>
      <c r="M211">
        <v>28.53</v>
      </c>
      <c r="N211">
        <v>29.379000000000001</v>
      </c>
      <c r="O211">
        <v>28.312999999999999</v>
      </c>
      <c r="P211">
        <v>28.484999999999999</v>
      </c>
      <c r="Q211">
        <v>29.367999999999999</v>
      </c>
      <c r="R211">
        <v>28.507999999999999</v>
      </c>
      <c r="S211">
        <v>27.954000000000001</v>
      </c>
      <c r="T211">
        <v>27.67</v>
      </c>
      <c r="U211">
        <v>28.565999999999999</v>
      </c>
      <c r="V211">
        <v>27.984000000000002</v>
      </c>
      <c r="W211">
        <v>28.881</v>
      </c>
      <c r="X211">
        <v>29.951000000000001</v>
      </c>
      <c r="Y211">
        <v>28.152999999999999</v>
      </c>
      <c r="Z211">
        <v>27.754000000000001</v>
      </c>
    </row>
    <row r="212" spans="1:26" x14ac:dyDescent="0.45">
      <c r="A212" t="s">
        <v>2120</v>
      </c>
      <c r="B212" t="s">
        <v>2495</v>
      </c>
      <c r="C212" s="3" t="s">
        <v>1731</v>
      </c>
      <c r="D212">
        <v>31.824000000000002</v>
      </c>
      <c r="E212">
        <v>31.661000000000001</v>
      </c>
      <c r="F212">
        <v>31.869</v>
      </c>
      <c r="G212">
        <v>32.716999999999999</v>
      </c>
      <c r="H212">
        <v>32.823999999999998</v>
      </c>
      <c r="I212">
        <v>30.728000000000002</v>
      </c>
      <c r="J212">
        <v>32.786000000000001</v>
      </c>
      <c r="K212">
        <v>31.474</v>
      </c>
      <c r="L212">
        <v>32.520000000000003</v>
      </c>
      <c r="M212">
        <v>32.003999999999998</v>
      </c>
      <c r="N212">
        <v>31.466000000000001</v>
      </c>
      <c r="O212">
        <v>31.274999999999999</v>
      </c>
      <c r="P212">
        <v>30.844000000000001</v>
      </c>
      <c r="Q212">
        <v>31.434000000000001</v>
      </c>
      <c r="R212">
        <v>32.267000000000003</v>
      </c>
      <c r="S212">
        <v>32.247</v>
      </c>
      <c r="T212">
        <v>30.574999999999999</v>
      </c>
      <c r="U212">
        <v>32.484999999999999</v>
      </c>
      <c r="V212">
        <v>32.000999999999998</v>
      </c>
      <c r="W212">
        <v>31.904</v>
      </c>
      <c r="X212">
        <v>31.797999999999998</v>
      </c>
      <c r="Y212">
        <v>31.376999999999999</v>
      </c>
      <c r="Z212">
        <v>30.239000000000001</v>
      </c>
    </row>
    <row r="213" spans="1:26" x14ac:dyDescent="0.45">
      <c r="A213" t="s">
        <v>2121</v>
      </c>
      <c r="B213" t="s">
        <v>2496</v>
      </c>
      <c r="C213" s="3" t="s">
        <v>1732</v>
      </c>
      <c r="D213">
        <v>31.001999999999999</v>
      </c>
      <c r="E213">
        <v>36.582000000000001</v>
      </c>
      <c r="F213">
        <v>29.844000000000001</v>
      </c>
      <c r="G213">
        <v>33.889000000000003</v>
      </c>
      <c r="H213">
        <v>31.521000000000001</v>
      </c>
      <c r="I213">
        <v>31.145</v>
      </c>
      <c r="J213">
        <v>29.835999999999999</v>
      </c>
      <c r="K213">
        <v>30.939</v>
      </c>
      <c r="L213">
        <v>31.649000000000001</v>
      </c>
      <c r="M213">
        <v>29.795999999999999</v>
      </c>
      <c r="N213">
        <v>31.163</v>
      </c>
      <c r="O213">
        <v>31.745000000000001</v>
      </c>
      <c r="P213">
        <v>31.989000000000001</v>
      </c>
      <c r="Q213">
        <v>30.08</v>
      </c>
      <c r="R213">
        <v>30.85</v>
      </c>
      <c r="S213">
        <v>31.225999999999999</v>
      </c>
      <c r="T213">
        <v>32.399000000000001</v>
      </c>
      <c r="U213">
        <v>30.155999999999999</v>
      </c>
      <c r="V213">
        <v>29.93</v>
      </c>
      <c r="W213">
        <v>30.917999999999999</v>
      </c>
      <c r="X213">
        <v>32.371000000000002</v>
      </c>
      <c r="Y213">
        <v>31.579000000000001</v>
      </c>
      <c r="Z213">
        <v>33.566000000000003</v>
      </c>
    </row>
    <row r="214" spans="1:26" x14ac:dyDescent="0.45">
      <c r="A214" t="s">
        <v>2122</v>
      </c>
      <c r="B214" t="s">
        <v>2497</v>
      </c>
      <c r="C214" s="3" t="s">
        <v>1733</v>
      </c>
      <c r="D214">
        <v>24.867999999999999</v>
      </c>
      <c r="E214">
        <v>32.485999999999997</v>
      </c>
      <c r="F214">
        <v>24.603999999999999</v>
      </c>
      <c r="G214">
        <v>25.855</v>
      </c>
      <c r="H214">
        <v>25</v>
      </c>
      <c r="I214">
        <v>25.417000000000002</v>
      </c>
      <c r="J214">
        <v>24.454000000000001</v>
      </c>
      <c r="K214">
        <v>25.164000000000001</v>
      </c>
      <c r="L214">
        <v>25.170999999999999</v>
      </c>
      <c r="M214">
        <v>25.295000000000002</v>
      </c>
      <c r="N214">
        <v>25.390999999999998</v>
      </c>
      <c r="O214">
        <v>25.760999999999999</v>
      </c>
      <c r="P214">
        <v>25.135999999999999</v>
      </c>
      <c r="Q214">
        <v>26.068999999999999</v>
      </c>
      <c r="R214">
        <v>25.574000000000002</v>
      </c>
      <c r="S214">
        <v>27.942</v>
      </c>
      <c r="T214">
        <v>27.713000000000001</v>
      </c>
      <c r="U214">
        <v>25.436</v>
      </c>
      <c r="V214">
        <v>24.981999999999999</v>
      </c>
      <c r="W214">
        <v>26.504999999999999</v>
      </c>
      <c r="X214">
        <v>25.501000000000001</v>
      </c>
      <c r="Y214">
        <v>24.850999999999999</v>
      </c>
      <c r="Z214">
        <v>30.079000000000001</v>
      </c>
    </row>
    <row r="215" spans="1:26" x14ac:dyDescent="0.45">
      <c r="A215" t="s">
        <v>2123</v>
      </c>
      <c r="B215" t="s">
        <v>2498</v>
      </c>
      <c r="C215" s="3" t="s">
        <v>1734</v>
      </c>
      <c r="D215">
        <v>28.885999999999999</v>
      </c>
      <c r="E215">
        <v>29.954999999999998</v>
      </c>
      <c r="F215">
        <v>28.507999999999999</v>
      </c>
      <c r="G215">
        <v>29.934999999999999</v>
      </c>
      <c r="H215">
        <v>28.95</v>
      </c>
      <c r="I215">
        <v>28.901</v>
      </c>
      <c r="J215">
        <v>30.265999999999998</v>
      </c>
      <c r="K215">
        <v>33.072000000000003</v>
      </c>
      <c r="L215">
        <v>29.344000000000001</v>
      </c>
      <c r="M215">
        <v>30.318000000000001</v>
      </c>
      <c r="N215">
        <v>29.888999999999999</v>
      </c>
      <c r="O215">
        <v>29.41</v>
      </c>
      <c r="P215">
        <v>29.92</v>
      </c>
      <c r="Q215">
        <v>30.492000000000001</v>
      </c>
      <c r="R215">
        <v>29.960999999999999</v>
      </c>
      <c r="S215">
        <v>29.698</v>
      </c>
      <c r="T215">
        <v>29.524000000000001</v>
      </c>
      <c r="U215">
        <v>28.827000000000002</v>
      </c>
      <c r="V215">
        <v>29.193999999999999</v>
      </c>
      <c r="W215">
        <v>29.92</v>
      </c>
      <c r="X215">
        <v>30.995000000000001</v>
      </c>
      <c r="Y215">
        <v>29.198</v>
      </c>
      <c r="Z215">
        <v>29.446000000000002</v>
      </c>
    </row>
    <row r="216" spans="1:26" x14ac:dyDescent="0.45">
      <c r="A216" t="s">
        <v>2124</v>
      </c>
      <c r="B216" t="s">
        <v>2499</v>
      </c>
      <c r="C216" s="3" t="s">
        <v>1735</v>
      </c>
      <c r="D216">
        <v>28.928000000000001</v>
      </c>
      <c r="E216">
        <v>30.405999999999999</v>
      </c>
      <c r="F216">
        <v>29.302</v>
      </c>
      <c r="G216">
        <v>29.613</v>
      </c>
      <c r="H216">
        <v>29.113</v>
      </c>
      <c r="I216">
        <v>28.908999999999999</v>
      </c>
      <c r="J216">
        <v>29.341999999999999</v>
      </c>
      <c r="K216">
        <v>32.366</v>
      </c>
      <c r="L216">
        <v>29.576000000000001</v>
      </c>
      <c r="M216">
        <v>29.879000000000001</v>
      </c>
      <c r="N216">
        <v>29.643000000000001</v>
      </c>
      <c r="O216">
        <v>28.795000000000002</v>
      </c>
      <c r="P216">
        <v>29.9</v>
      </c>
      <c r="Q216">
        <v>30.495000000000001</v>
      </c>
      <c r="R216">
        <v>30.215</v>
      </c>
      <c r="S216">
        <v>29.167000000000002</v>
      </c>
      <c r="T216">
        <v>29.43</v>
      </c>
      <c r="U216">
        <v>29.434000000000001</v>
      </c>
      <c r="V216">
        <v>29.779</v>
      </c>
      <c r="W216">
        <v>30.776</v>
      </c>
      <c r="X216">
        <v>29.277000000000001</v>
      </c>
      <c r="Y216">
        <v>28.686</v>
      </c>
      <c r="Z216">
        <v>28.64</v>
      </c>
    </row>
    <row r="217" spans="1:26" x14ac:dyDescent="0.45">
      <c r="A217" t="s">
        <v>2125</v>
      </c>
      <c r="B217" t="s">
        <v>2500</v>
      </c>
      <c r="C217" s="3" t="s">
        <v>1736</v>
      </c>
      <c r="D217">
        <v>27.431999999999999</v>
      </c>
      <c r="E217">
        <v>26.875</v>
      </c>
      <c r="F217">
        <v>26.196000000000002</v>
      </c>
      <c r="G217">
        <v>27.774999999999999</v>
      </c>
      <c r="H217">
        <v>27.103999999999999</v>
      </c>
      <c r="I217">
        <v>26.535</v>
      </c>
      <c r="J217">
        <v>26.888000000000002</v>
      </c>
      <c r="K217">
        <v>27.611000000000001</v>
      </c>
      <c r="L217">
        <v>27.140999999999998</v>
      </c>
      <c r="M217">
        <v>26.98</v>
      </c>
      <c r="N217">
        <v>26.809000000000001</v>
      </c>
      <c r="O217">
        <v>27.920999999999999</v>
      </c>
      <c r="P217">
        <v>27.587</v>
      </c>
      <c r="Q217">
        <v>26.792999999999999</v>
      </c>
      <c r="R217">
        <v>26.992999999999999</v>
      </c>
      <c r="S217">
        <v>27.783000000000001</v>
      </c>
      <c r="T217">
        <v>26.76</v>
      </c>
      <c r="U217">
        <v>26.928999999999998</v>
      </c>
      <c r="V217">
        <v>26.962</v>
      </c>
      <c r="W217">
        <v>27.513000000000002</v>
      </c>
      <c r="X217">
        <v>27.321000000000002</v>
      </c>
      <c r="Y217">
        <v>26.567</v>
      </c>
      <c r="Z217">
        <v>27.007999999999999</v>
      </c>
    </row>
    <row r="218" spans="1:26" x14ac:dyDescent="0.45">
      <c r="A218" t="s">
        <v>2126</v>
      </c>
      <c r="B218" t="s">
        <v>2501</v>
      </c>
      <c r="C218" s="3" t="s">
        <v>1737</v>
      </c>
      <c r="D218">
        <v>29.638000000000002</v>
      </c>
      <c r="E218">
        <v>29.789000000000001</v>
      </c>
      <c r="F218">
        <v>28.579000000000001</v>
      </c>
      <c r="G218">
        <v>30.824000000000002</v>
      </c>
      <c r="H218">
        <v>29.823</v>
      </c>
      <c r="I218">
        <v>28.378</v>
      </c>
      <c r="J218">
        <v>28.593</v>
      </c>
      <c r="K218">
        <v>30.274000000000001</v>
      </c>
      <c r="L218">
        <v>29.707999999999998</v>
      </c>
      <c r="M218">
        <v>29.134</v>
      </c>
      <c r="N218">
        <v>28.933</v>
      </c>
      <c r="O218">
        <v>30.273</v>
      </c>
      <c r="P218">
        <v>29.436</v>
      </c>
      <c r="Q218">
        <v>29.792999999999999</v>
      </c>
      <c r="R218">
        <v>29.536999999999999</v>
      </c>
      <c r="S218">
        <v>29.890999999999998</v>
      </c>
      <c r="T218">
        <v>29.795000000000002</v>
      </c>
      <c r="U218">
        <v>29.157</v>
      </c>
      <c r="V218">
        <v>29.501000000000001</v>
      </c>
      <c r="W218">
        <v>29.295000000000002</v>
      </c>
      <c r="X218">
        <v>30.311</v>
      </c>
      <c r="Y218">
        <v>29.555</v>
      </c>
      <c r="Z218">
        <v>29.529</v>
      </c>
    </row>
    <row r="219" spans="1:26" x14ac:dyDescent="0.45">
      <c r="A219" t="s">
        <v>2127</v>
      </c>
      <c r="B219" t="s">
        <v>2502</v>
      </c>
      <c r="C219" s="3" t="s">
        <v>1738</v>
      </c>
      <c r="D219">
        <v>24.218</v>
      </c>
      <c r="E219">
        <v>24.302</v>
      </c>
      <c r="F219">
        <v>23.835000000000001</v>
      </c>
      <c r="G219">
        <v>25.186</v>
      </c>
      <c r="H219">
        <v>24.358000000000001</v>
      </c>
      <c r="I219">
        <v>23.611000000000001</v>
      </c>
      <c r="J219">
        <v>24.206</v>
      </c>
      <c r="K219">
        <v>24.645</v>
      </c>
      <c r="L219">
        <v>25.259</v>
      </c>
      <c r="M219">
        <v>24.683</v>
      </c>
      <c r="N219">
        <v>24.463000000000001</v>
      </c>
      <c r="O219">
        <v>24.611999999999998</v>
      </c>
      <c r="P219">
        <v>24.643999999999998</v>
      </c>
      <c r="Q219">
        <v>24.649000000000001</v>
      </c>
      <c r="R219">
        <v>24.785</v>
      </c>
      <c r="S219">
        <v>24.625</v>
      </c>
      <c r="T219">
        <v>24.664000000000001</v>
      </c>
      <c r="U219">
        <v>24.236999999999998</v>
      </c>
      <c r="V219">
        <v>23.969000000000001</v>
      </c>
      <c r="W219">
        <v>24.655000000000001</v>
      </c>
      <c r="X219">
        <v>24.913</v>
      </c>
      <c r="Y219">
        <v>24.260999999999999</v>
      </c>
      <c r="Z219">
        <v>24.234000000000002</v>
      </c>
    </row>
    <row r="220" spans="1:26" x14ac:dyDescent="0.45">
      <c r="A220" t="s">
        <v>2128</v>
      </c>
      <c r="B220" t="s">
        <v>2503</v>
      </c>
      <c r="C220" s="3" t="s">
        <v>1739</v>
      </c>
      <c r="D220">
        <v>29.83</v>
      </c>
      <c r="E220">
        <v>31.812000000000001</v>
      </c>
      <c r="F220">
        <v>31.468</v>
      </c>
      <c r="G220">
        <v>33.103999999999999</v>
      </c>
      <c r="H220">
        <v>32.313000000000002</v>
      </c>
      <c r="I220">
        <v>30.898</v>
      </c>
      <c r="J220">
        <v>31.170999999999999</v>
      </c>
      <c r="K220">
        <v>31.308</v>
      </c>
      <c r="L220">
        <v>31.693000000000001</v>
      </c>
      <c r="M220">
        <v>32.215000000000003</v>
      </c>
      <c r="N220">
        <v>31.616</v>
      </c>
      <c r="O220">
        <v>30.486999999999998</v>
      </c>
      <c r="P220">
        <v>32.026000000000003</v>
      </c>
      <c r="Q220">
        <v>31.802</v>
      </c>
      <c r="R220">
        <v>32.872</v>
      </c>
      <c r="S220">
        <v>30.434999999999999</v>
      </c>
      <c r="T220">
        <v>31.994</v>
      </c>
      <c r="U220">
        <v>31.725999999999999</v>
      </c>
      <c r="V220">
        <v>31.521999999999998</v>
      </c>
      <c r="W220">
        <v>33.72</v>
      </c>
      <c r="X220">
        <v>31.611000000000001</v>
      </c>
      <c r="Y220">
        <v>30.934000000000001</v>
      </c>
      <c r="Z220">
        <v>30.349</v>
      </c>
    </row>
    <row r="221" spans="1:26" x14ac:dyDescent="0.45">
      <c r="A221" t="s">
        <v>2129</v>
      </c>
      <c r="B221" t="s">
        <v>2504</v>
      </c>
      <c r="C221" s="3" t="s">
        <v>1740</v>
      </c>
      <c r="D221">
        <v>25.92</v>
      </c>
      <c r="E221">
        <v>25.986999999999998</v>
      </c>
      <c r="F221">
        <v>25.663</v>
      </c>
      <c r="G221">
        <v>26.893999999999998</v>
      </c>
      <c r="H221">
        <v>25.893999999999998</v>
      </c>
      <c r="I221">
        <v>25.59</v>
      </c>
      <c r="J221">
        <v>25.920999999999999</v>
      </c>
      <c r="K221">
        <v>26.544</v>
      </c>
      <c r="L221">
        <v>26.117000000000001</v>
      </c>
      <c r="M221">
        <v>26.385000000000002</v>
      </c>
      <c r="N221">
        <v>26.295000000000002</v>
      </c>
      <c r="O221">
        <v>26.577000000000002</v>
      </c>
      <c r="P221">
        <v>26.23</v>
      </c>
      <c r="Q221">
        <v>26.402999999999999</v>
      </c>
      <c r="R221">
        <v>26.224</v>
      </c>
      <c r="S221">
        <v>26.233000000000001</v>
      </c>
      <c r="T221">
        <v>26.256</v>
      </c>
      <c r="U221">
        <v>26.241</v>
      </c>
      <c r="V221">
        <v>25.823</v>
      </c>
      <c r="W221">
        <v>26.474</v>
      </c>
      <c r="X221">
        <v>26.706</v>
      </c>
      <c r="Y221">
        <v>25.83</v>
      </c>
      <c r="Z221">
        <v>26.221</v>
      </c>
    </row>
    <row r="222" spans="1:26" x14ac:dyDescent="0.45">
      <c r="A222" t="s">
        <v>2130</v>
      </c>
      <c r="B222" t="s">
        <v>2505</v>
      </c>
      <c r="C222" s="3" t="s">
        <v>1741</v>
      </c>
      <c r="D222">
        <v>27.204999999999998</v>
      </c>
      <c r="E222">
        <v>26.802</v>
      </c>
      <c r="F222">
        <v>26.488</v>
      </c>
      <c r="G222">
        <v>28.152999999999999</v>
      </c>
      <c r="H222">
        <v>27.277000000000001</v>
      </c>
      <c r="I222">
        <v>25.92</v>
      </c>
      <c r="J222">
        <v>27.161999999999999</v>
      </c>
      <c r="K222">
        <v>27.646000000000001</v>
      </c>
      <c r="L222">
        <v>27.103999999999999</v>
      </c>
      <c r="M222">
        <v>27.399000000000001</v>
      </c>
      <c r="N222">
        <v>26.783000000000001</v>
      </c>
      <c r="O222">
        <v>27.870999999999999</v>
      </c>
      <c r="P222">
        <v>27.286999999999999</v>
      </c>
      <c r="Q222">
        <v>27.22</v>
      </c>
      <c r="R222">
        <v>27.382000000000001</v>
      </c>
      <c r="S222">
        <v>27.471</v>
      </c>
      <c r="T222">
        <v>27.199000000000002</v>
      </c>
      <c r="U222">
        <v>26.957000000000001</v>
      </c>
      <c r="V222">
        <v>26.503</v>
      </c>
      <c r="W222">
        <v>27.324000000000002</v>
      </c>
      <c r="X222">
        <v>27.79</v>
      </c>
      <c r="Y222">
        <v>27.004000000000001</v>
      </c>
      <c r="Z222">
        <v>27.26</v>
      </c>
    </row>
    <row r="223" spans="1:26" x14ac:dyDescent="0.45">
      <c r="A223" t="s">
        <v>2131</v>
      </c>
      <c r="B223" t="s">
        <v>2506</v>
      </c>
      <c r="C223" s="3" t="s">
        <v>1742</v>
      </c>
      <c r="D223">
        <v>21.68</v>
      </c>
      <c r="E223">
        <v>21.433</v>
      </c>
      <c r="F223">
        <v>21.187000000000001</v>
      </c>
      <c r="G223">
        <v>23.620999999999999</v>
      </c>
      <c r="H223">
        <v>21.183</v>
      </c>
      <c r="I223">
        <v>20.440000000000001</v>
      </c>
      <c r="J223">
        <v>21.74</v>
      </c>
      <c r="K223">
        <v>22.795999999999999</v>
      </c>
      <c r="L223">
        <v>23.164999999999999</v>
      </c>
      <c r="M223">
        <v>22.373999999999999</v>
      </c>
      <c r="N223">
        <v>21.949000000000002</v>
      </c>
      <c r="O223">
        <v>22.437000000000001</v>
      </c>
      <c r="P223">
        <v>21.74</v>
      </c>
      <c r="Q223">
        <v>22.062000000000001</v>
      </c>
      <c r="R223">
        <v>22.193000000000001</v>
      </c>
      <c r="S223">
        <v>21.231999999999999</v>
      </c>
      <c r="T223">
        <v>21.597999999999999</v>
      </c>
      <c r="U223">
        <v>22.835999999999999</v>
      </c>
      <c r="V223">
        <v>21.355</v>
      </c>
      <c r="W223">
        <v>21.413</v>
      </c>
      <c r="X223">
        <v>21.844000000000001</v>
      </c>
      <c r="Y223">
        <v>20.905999999999999</v>
      </c>
      <c r="Z223">
        <v>20.972999999999999</v>
      </c>
    </row>
    <row r="224" spans="1:26" x14ac:dyDescent="0.45">
      <c r="A224" t="s">
        <v>2132</v>
      </c>
      <c r="B224" t="s">
        <v>2507</v>
      </c>
      <c r="C224" s="3" t="s">
        <v>1743</v>
      </c>
      <c r="D224">
        <v>26.507999999999999</v>
      </c>
      <c r="E224">
        <v>25.898</v>
      </c>
      <c r="F224">
        <v>25.323</v>
      </c>
      <c r="G224">
        <v>27.425000000000001</v>
      </c>
      <c r="H224">
        <v>26.273</v>
      </c>
      <c r="I224">
        <v>25.309000000000001</v>
      </c>
      <c r="J224">
        <v>26.241</v>
      </c>
      <c r="K224">
        <v>27.193000000000001</v>
      </c>
      <c r="L224">
        <v>26.693999999999999</v>
      </c>
      <c r="M224">
        <v>26.355</v>
      </c>
      <c r="N224">
        <v>26.411999999999999</v>
      </c>
      <c r="O224">
        <v>26.667999999999999</v>
      </c>
      <c r="P224">
        <v>26.367999999999999</v>
      </c>
      <c r="Q224">
        <v>26.486999999999998</v>
      </c>
      <c r="R224">
        <v>26.597000000000001</v>
      </c>
      <c r="S224">
        <v>26.667999999999999</v>
      </c>
      <c r="T224">
        <v>26.638000000000002</v>
      </c>
      <c r="U224">
        <v>26.82</v>
      </c>
      <c r="V224">
        <v>25.899000000000001</v>
      </c>
      <c r="W224">
        <v>26.503</v>
      </c>
      <c r="X224">
        <v>26.847999999999999</v>
      </c>
      <c r="Y224">
        <v>25.934000000000001</v>
      </c>
      <c r="Z224">
        <v>26.167000000000002</v>
      </c>
    </row>
    <row r="225" spans="1:26" x14ac:dyDescent="0.45">
      <c r="A225" t="s">
        <v>2133</v>
      </c>
      <c r="B225" t="s">
        <v>2508</v>
      </c>
      <c r="C225" s="3" t="s">
        <v>1744</v>
      </c>
      <c r="D225">
        <v>27.117999999999999</v>
      </c>
      <c r="E225">
        <v>26.846</v>
      </c>
      <c r="F225">
        <v>26.277000000000001</v>
      </c>
      <c r="G225">
        <v>27.663</v>
      </c>
      <c r="H225">
        <v>26.817</v>
      </c>
      <c r="I225">
        <v>27.655999999999999</v>
      </c>
      <c r="J225">
        <v>26.744</v>
      </c>
      <c r="K225">
        <v>27.786999999999999</v>
      </c>
      <c r="L225">
        <v>26.757000000000001</v>
      </c>
      <c r="M225">
        <v>27.187000000000001</v>
      </c>
      <c r="N225">
        <v>27.152999999999999</v>
      </c>
      <c r="O225">
        <v>27.402999999999999</v>
      </c>
      <c r="P225">
        <v>26.928000000000001</v>
      </c>
      <c r="Q225">
        <v>26.847000000000001</v>
      </c>
      <c r="R225">
        <v>27.448</v>
      </c>
      <c r="S225">
        <v>27.248999999999999</v>
      </c>
      <c r="T225">
        <v>26.905000000000001</v>
      </c>
      <c r="U225">
        <v>26.98</v>
      </c>
      <c r="V225">
        <v>26.763000000000002</v>
      </c>
      <c r="W225">
        <v>26.922000000000001</v>
      </c>
      <c r="X225">
        <v>27.584</v>
      </c>
      <c r="Y225">
        <v>26.885000000000002</v>
      </c>
      <c r="Z225">
        <v>27.177</v>
      </c>
    </row>
    <row r="226" spans="1:26" x14ac:dyDescent="0.45">
      <c r="A226" t="s">
        <v>2134</v>
      </c>
      <c r="B226" t="s">
        <v>2509</v>
      </c>
      <c r="C226" s="3" t="s">
        <v>1745</v>
      </c>
      <c r="D226">
        <v>25.837</v>
      </c>
      <c r="E226">
        <v>26.402000000000001</v>
      </c>
      <c r="F226">
        <v>25.545000000000002</v>
      </c>
      <c r="G226">
        <v>26.902000000000001</v>
      </c>
      <c r="H226">
        <v>26.245999999999999</v>
      </c>
      <c r="I226">
        <v>25.158999999999999</v>
      </c>
      <c r="J226">
        <v>25.937000000000001</v>
      </c>
      <c r="K226">
        <v>27.434999999999999</v>
      </c>
      <c r="L226">
        <v>26.504000000000001</v>
      </c>
      <c r="M226">
        <v>26.542999999999999</v>
      </c>
      <c r="N226">
        <v>26.939</v>
      </c>
      <c r="O226">
        <v>26.16</v>
      </c>
      <c r="P226">
        <v>25.84</v>
      </c>
      <c r="Q226">
        <v>26.143999999999998</v>
      </c>
      <c r="R226">
        <v>26.58</v>
      </c>
      <c r="S226">
        <v>26.539000000000001</v>
      </c>
      <c r="T226">
        <v>26.673999999999999</v>
      </c>
      <c r="U226">
        <v>26.754999999999999</v>
      </c>
      <c r="V226">
        <v>26.073</v>
      </c>
      <c r="W226">
        <v>26.213000000000001</v>
      </c>
      <c r="X226">
        <v>26.742000000000001</v>
      </c>
      <c r="Y226">
        <v>26.343</v>
      </c>
      <c r="Z226">
        <v>25.966000000000001</v>
      </c>
    </row>
    <row r="227" spans="1:26" x14ac:dyDescent="0.45">
      <c r="A227" t="s">
        <v>2135</v>
      </c>
      <c r="B227" t="s">
        <v>2510</v>
      </c>
      <c r="C227" s="3" t="s">
        <v>1746</v>
      </c>
      <c r="D227">
        <v>23.829000000000001</v>
      </c>
      <c r="E227">
        <v>23.498999999999999</v>
      </c>
      <c r="F227">
        <v>22.849</v>
      </c>
      <c r="G227">
        <v>25.303999999999998</v>
      </c>
      <c r="H227">
        <v>24.236999999999998</v>
      </c>
      <c r="I227">
        <v>22.715</v>
      </c>
      <c r="J227">
        <v>22.739000000000001</v>
      </c>
      <c r="K227">
        <v>24.158999999999999</v>
      </c>
      <c r="L227">
        <v>23.974</v>
      </c>
      <c r="M227">
        <v>24.120999999999999</v>
      </c>
      <c r="N227">
        <v>23.773</v>
      </c>
      <c r="O227">
        <v>24.555</v>
      </c>
      <c r="P227">
        <v>23.463999999999999</v>
      </c>
      <c r="Q227">
        <v>24.161999999999999</v>
      </c>
      <c r="R227">
        <v>23.943999999999999</v>
      </c>
      <c r="S227">
        <v>23.63</v>
      </c>
      <c r="T227">
        <v>24.870999999999999</v>
      </c>
      <c r="U227">
        <v>24.651</v>
      </c>
      <c r="V227">
        <v>23.847999999999999</v>
      </c>
      <c r="W227">
        <v>23.716999999999999</v>
      </c>
      <c r="X227">
        <v>24.762</v>
      </c>
      <c r="Y227">
        <v>23.972999999999999</v>
      </c>
      <c r="Z227">
        <v>23.54</v>
      </c>
    </row>
    <row r="228" spans="1:26" x14ac:dyDescent="0.45">
      <c r="A228" t="s">
        <v>2136</v>
      </c>
      <c r="B228" t="s">
        <v>2511</v>
      </c>
      <c r="C228" s="3" t="s">
        <v>1747</v>
      </c>
      <c r="D228">
        <v>25.288</v>
      </c>
      <c r="E228">
        <v>25.378</v>
      </c>
      <c r="F228">
        <v>24.733000000000001</v>
      </c>
      <c r="G228">
        <v>26.721</v>
      </c>
      <c r="H228">
        <v>25.556000000000001</v>
      </c>
      <c r="I228">
        <v>24.538</v>
      </c>
      <c r="J228">
        <v>24.443999999999999</v>
      </c>
      <c r="K228">
        <v>25.791</v>
      </c>
      <c r="L228">
        <v>25.388999999999999</v>
      </c>
      <c r="M228">
        <v>25.780999999999999</v>
      </c>
      <c r="N228">
        <v>25.151</v>
      </c>
      <c r="O228">
        <v>25.754999999999999</v>
      </c>
      <c r="P228">
        <v>24.992000000000001</v>
      </c>
      <c r="Q228">
        <v>25.631</v>
      </c>
      <c r="R228">
        <v>25.646999999999998</v>
      </c>
      <c r="S228">
        <v>25.302</v>
      </c>
      <c r="T228">
        <v>26.777000000000001</v>
      </c>
      <c r="U228">
        <v>26.785</v>
      </c>
      <c r="V228">
        <v>25.274999999999999</v>
      </c>
      <c r="W228">
        <v>25.190999999999999</v>
      </c>
      <c r="X228">
        <v>26.38</v>
      </c>
      <c r="Y228">
        <v>25.463000000000001</v>
      </c>
      <c r="Z228">
        <v>25.16</v>
      </c>
    </row>
    <row r="229" spans="1:26" x14ac:dyDescent="0.45">
      <c r="A229" t="s">
        <v>2137</v>
      </c>
      <c r="B229" t="s">
        <v>2512</v>
      </c>
      <c r="C229" s="3" t="s">
        <v>1748</v>
      </c>
      <c r="D229">
        <v>22.768000000000001</v>
      </c>
      <c r="E229">
        <v>22.934000000000001</v>
      </c>
      <c r="F229">
        <v>22.905999999999999</v>
      </c>
      <c r="G229">
        <v>24.439</v>
      </c>
      <c r="H229">
        <v>23.420999999999999</v>
      </c>
      <c r="I229">
        <v>23.949000000000002</v>
      </c>
      <c r="J229">
        <v>22.452000000000002</v>
      </c>
      <c r="K229">
        <v>24.228999999999999</v>
      </c>
      <c r="L229">
        <v>22.806000000000001</v>
      </c>
      <c r="M229">
        <v>24.111999999999998</v>
      </c>
      <c r="N229">
        <v>23.332000000000001</v>
      </c>
      <c r="O229">
        <v>24.276</v>
      </c>
      <c r="P229">
        <v>22.827999999999999</v>
      </c>
      <c r="Q229">
        <v>23.120999999999999</v>
      </c>
      <c r="R229">
        <v>23.408000000000001</v>
      </c>
      <c r="S229">
        <v>23.427</v>
      </c>
      <c r="T229">
        <v>23.622</v>
      </c>
      <c r="U229">
        <v>24.541</v>
      </c>
      <c r="V229">
        <v>22.978999999999999</v>
      </c>
      <c r="W229">
        <v>23.681999999999999</v>
      </c>
      <c r="X229">
        <v>23.704000000000001</v>
      </c>
      <c r="Y229">
        <v>23.984000000000002</v>
      </c>
      <c r="Z229">
        <v>22.821999999999999</v>
      </c>
    </row>
    <row r="230" spans="1:26" x14ac:dyDescent="0.45">
      <c r="A230" t="s">
        <v>2138</v>
      </c>
      <c r="B230" t="s">
        <v>2513</v>
      </c>
      <c r="C230" s="3" t="s">
        <v>1749</v>
      </c>
      <c r="D230">
        <v>30.106999999999999</v>
      </c>
      <c r="E230">
        <v>30.846</v>
      </c>
      <c r="F230">
        <v>30.989000000000001</v>
      </c>
      <c r="G230">
        <v>31.527999999999999</v>
      </c>
      <c r="H230">
        <v>30.331</v>
      </c>
      <c r="I230">
        <v>32.137999999999998</v>
      </c>
      <c r="J230">
        <v>29.798999999999999</v>
      </c>
      <c r="K230">
        <v>32.173999999999999</v>
      </c>
      <c r="L230">
        <v>30.053999999999998</v>
      </c>
      <c r="M230">
        <v>32.838999999999999</v>
      </c>
      <c r="N230">
        <v>30.991</v>
      </c>
      <c r="O230">
        <v>31.957999999999998</v>
      </c>
      <c r="P230">
        <v>29.257999999999999</v>
      </c>
      <c r="Q230">
        <v>30.821999999999999</v>
      </c>
      <c r="R230">
        <v>31.597999999999999</v>
      </c>
      <c r="S230">
        <v>30.568999999999999</v>
      </c>
      <c r="T230">
        <v>31.52</v>
      </c>
      <c r="U230">
        <v>35.207000000000001</v>
      </c>
      <c r="V230">
        <v>30.416</v>
      </c>
      <c r="W230">
        <v>30.716999999999999</v>
      </c>
      <c r="X230">
        <v>31.27</v>
      </c>
      <c r="Y230">
        <v>32.981999999999999</v>
      </c>
      <c r="Z230">
        <v>29.983000000000001</v>
      </c>
    </row>
    <row r="231" spans="1:26" x14ac:dyDescent="0.45">
      <c r="A231" t="s">
        <v>2139</v>
      </c>
      <c r="B231" t="s">
        <v>2514</v>
      </c>
      <c r="C231" s="3" t="s">
        <v>1750</v>
      </c>
      <c r="D231">
        <v>29.199000000000002</v>
      </c>
      <c r="E231">
        <v>28.602</v>
      </c>
      <c r="F231">
        <v>27.849</v>
      </c>
      <c r="G231">
        <v>29.082999999999998</v>
      </c>
      <c r="H231">
        <v>28.597000000000001</v>
      </c>
      <c r="I231">
        <v>31.785</v>
      </c>
      <c r="J231">
        <v>29.425000000000001</v>
      </c>
      <c r="K231">
        <v>28.710999999999999</v>
      </c>
      <c r="L231">
        <v>27.942</v>
      </c>
      <c r="M231">
        <v>28.414000000000001</v>
      </c>
      <c r="N231">
        <v>27.588000000000001</v>
      </c>
      <c r="O231">
        <v>29.507999999999999</v>
      </c>
      <c r="P231">
        <v>28.297000000000001</v>
      </c>
      <c r="Q231">
        <v>28.574999999999999</v>
      </c>
      <c r="R231">
        <v>28.655000000000001</v>
      </c>
      <c r="S231">
        <v>28.986000000000001</v>
      </c>
      <c r="T231">
        <v>28.126999999999999</v>
      </c>
      <c r="U231">
        <v>28.157</v>
      </c>
      <c r="V231">
        <v>27.946000000000002</v>
      </c>
      <c r="W231">
        <v>27.974</v>
      </c>
      <c r="X231">
        <v>28.884</v>
      </c>
      <c r="Y231">
        <v>28.547000000000001</v>
      </c>
      <c r="Z231">
        <v>29.081</v>
      </c>
    </row>
    <row r="232" spans="1:26" x14ac:dyDescent="0.45">
      <c r="A232" t="s">
        <v>2140</v>
      </c>
      <c r="B232" t="s">
        <v>2515</v>
      </c>
      <c r="C232" s="3" t="s">
        <v>1751</v>
      </c>
      <c r="D232">
        <v>29.14</v>
      </c>
      <c r="E232">
        <v>28.236999999999998</v>
      </c>
      <c r="F232">
        <v>27.54</v>
      </c>
      <c r="G232">
        <v>28.67</v>
      </c>
      <c r="H232">
        <v>27.739000000000001</v>
      </c>
      <c r="I232">
        <v>31.818999999999999</v>
      </c>
      <c r="J232">
        <v>28.91</v>
      </c>
      <c r="K232">
        <v>28.190999999999999</v>
      </c>
      <c r="L232">
        <v>28.062999999999999</v>
      </c>
      <c r="M232">
        <v>28.013000000000002</v>
      </c>
      <c r="N232">
        <v>27.757000000000001</v>
      </c>
      <c r="O232">
        <v>28.672999999999998</v>
      </c>
      <c r="P232">
        <v>27.870999999999999</v>
      </c>
      <c r="Q232">
        <v>28.687000000000001</v>
      </c>
      <c r="R232">
        <v>28.513999999999999</v>
      </c>
      <c r="S232">
        <v>28.109000000000002</v>
      </c>
      <c r="T232">
        <v>27.879000000000001</v>
      </c>
      <c r="U232">
        <v>28.13</v>
      </c>
      <c r="V232">
        <v>27.782</v>
      </c>
      <c r="W232">
        <v>28.076000000000001</v>
      </c>
      <c r="X232">
        <v>28.582000000000001</v>
      </c>
      <c r="Y232">
        <v>28.135000000000002</v>
      </c>
      <c r="Z232">
        <v>29.19</v>
      </c>
    </row>
    <row r="233" spans="1:26" x14ac:dyDescent="0.45">
      <c r="A233" t="s">
        <v>2141</v>
      </c>
      <c r="B233" t="s">
        <v>2516</v>
      </c>
      <c r="C233" s="3" t="s">
        <v>1752</v>
      </c>
      <c r="D233">
        <v>27.265000000000001</v>
      </c>
      <c r="E233">
        <v>24.512</v>
      </c>
      <c r="F233">
        <v>24.594999999999999</v>
      </c>
      <c r="G233">
        <v>25.302</v>
      </c>
      <c r="H233">
        <v>24.681999999999999</v>
      </c>
      <c r="I233">
        <v>24.55</v>
      </c>
      <c r="J233">
        <v>24.003</v>
      </c>
      <c r="K233">
        <v>25.539000000000001</v>
      </c>
      <c r="L233">
        <v>25.468</v>
      </c>
      <c r="M233">
        <v>25.224</v>
      </c>
      <c r="N233">
        <v>23.917000000000002</v>
      </c>
      <c r="O233">
        <v>25.562999999999999</v>
      </c>
      <c r="P233">
        <v>24.648</v>
      </c>
      <c r="Q233">
        <v>25.28</v>
      </c>
      <c r="R233">
        <v>24.361999999999998</v>
      </c>
      <c r="S233">
        <v>25.49</v>
      </c>
      <c r="T233">
        <v>24.286000000000001</v>
      </c>
      <c r="U233">
        <v>24.805</v>
      </c>
      <c r="V233">
        <v>24.635000000000002</v>
      </c>
      <c r="W233">
        <v>25.602</v>
      </c>
      <c r="X233">
        <v>24.942</v>
      </c>
      <c r="Y233">
        <v>26.402000000000001</v>
      </c>
      <c r="Z233">
        <v>24.539000000000001</v>
      </c>
    </row>
    <row r="234" spans="1:26" x14ac:dyDescent="0.45">
      <c r="A234" t="s">
        <v>2142</v>
      </c>
      <c r="B234" t="s">
        <v>2517</v>
      </c>
      <c r="C234" s="3" t="s">
        <v>1753</v>
      </c>
      <c r="D234">
        <v>37.061</v>
      </c>
      <c r="E234">
        <v>29.388000000000002</v>
      </c>
      <c r="F234">
        <v>31.706</v>
      </c>
      <c r="G234">
        <v>29.774999999999999</v>
      </c>
      <c r="H234">
        <v>29.951000000000001</v>
      </c>
      <c r="I234">
        <v>30.186</v>
      </c>
      <c r="J234">
        <v>28.721</v>
      </c>
      <c r="K234">
        <v>31.585000000000001</v>
      </c>
      <c r="L234">
        <v>32.987000000000002</v>
      </c>
      <c r="M234">
        <v>30.983000000000001</v>
      </c>
      <c r="N234">
        <v>28.780999999999999</v>
      </c>
      <c r="O234">
        <v>30.434000000000001</v>
      </c>
      <c r="P234">
        <v>29.183</v>
      </c>
      <c r="Q234">
        <v>31.754000000000001</v>
      </c>
      <c r="R234">
        <v>28.885999999999999</v>
      </c>
      <c r="S234">
        <v>30.433</v>
      </c>
      <c r="T234">
        <v>28.364999999999998</v>
      </c>
      <c r="U234">
        <v>30.887</v>
      </c>
      <c r="V234">
        <v>30.17</v>
      </c>
      <c r="W234">
        <v>31.44</v>
      </c>
      <c r="X234">
        <v>29.419</v>
      </c>
      <c r="Y234">
        <v>36.801000000000002</v>
      </c>
      <c r="Z234">
        <v>28.5</v>
      </c>
    </row>
    <row r="235" spans="1:26" x14ac:dyDescent="0.45">
      <c r="A235" t="s">
        <v>2143</v>
      </c>
      <c r="B235" t="s">
        <v>2518</v>
      </c>
      <c r="C235" s="3" t="s">
        <v>1754</v>
      </c>
      <c r="D235">
        <v>25.975999999999999</v>
      </c>
      <c r="E235">
        <v>25.241</v>
      </c>
      <c r="F235">
        <v>24.69</v>
      </c>
      <c r="G235">
        <v>25.850999999999999</v>
      </c>
      <c r="H235">
        <v>25.352</v>
      </c>
      <c r="I235">
        <v>25.745000000000001</v>
      </c>
      <c r="J235">
        <v>25.542000000000002</v>
      </c>
      <c r="K235">
        <v>25.654</v>
      </c>
      <c r="L235">
        <v>25.463999999999999</v>
      </c>
      <c r="M235">
        <v>25.605</v>
      </c>
      <c r="N235">
        <v>25.867000000000001</v>
      </c>
      <c r="O235">
        <v>25.603999999999999</v>
      </c>
      <c r="P235">
        <v>25.552</v>
      </c>
      <c r="Q235">
        <v>25.617000000000001</v>
      </c>
      <c r="R235">
        <v>25.466999999999999</v>
      </c>
      <c r="S235">
        <v>25.638999999999999</v>
      </c>
      <c r="T235">
        <v>25.329000000000001</v>
      </c>
      <c r="U235">
        <v>25.641999999999999</v>
      </c>
      <c r="V235">
        <v>24.869</v>
      </c>
      <c r="W235">
        <v>26.587</v>
      </c>
      <c r="X235">
        <v>26.728000000000002</v>
      </c>
      <c r="Y235">
        <v>25.492000000000001</v>
      </c>
      <c r="Z235">
        <v>25.916</v>
      </c>
    </row>
    <row r="236" spans="1:26" x14ac:dyDescent="0.45">
      <c r="A236" t="s">
        <v>2144</v>
      </c>
      <c r="B236" t="s">
        <v>2519</v>
      </c>
      <c r="C236" s="3" t="s">
        <v>1755</v>
      </c>
      <c r="D236">
        <v>27.277999999999999</v>
      </c>
      <c r="E236">
        <v>26.614999999999998</v>
      </c>
      <c r="F236">
        <v>26.350999999999999</v>
      </c>
      <c r="G236">
        <v>27.51</v>
      </c>
      <c r="H236">
        <v>26.658000000000001</v>
      </c>
      <c r="I236">
        <v>27.27</v>
      </c>
      <c r="J236">
        <v>27.219000000000001</v>
      </c>
      <c r="K236">
        <v>27.308</v>
      </c>
      <c r="L236">
        <v>27.231999999999999</v>
      </c>
      <c r="M236">
        <v>26.895</v>
      </c>
      <c r="N236">
        <v>27.518999999999998</v>
      </c>
      <c r="O236">
        <v>27.591999999999999</v>
      </c>
      <c r="P236">
        <v>27.321999999999999</v>
      </c>
      <c r="Q236">
        <v>26.492999999999999</v>
      </c>
      <c r="R236">
        <v>27.132000000000001</v>
      </c>
      <c r="S236">
        <v>27.297999999999998</v>
      </c>
      <c r="T236">
        <v>26.855</v>
      </c>
      <c r="U236">
        <v>27.178000000000001</v>
      </c>
      <c r="V236">
        <v>26.704000000000001</v>
      </c>
      <c r="W236">
        <v>27.86</v>
      </c>
      <c r="X236">
        <v>27.905999999999999</v>
      </c>
      <c r="Y236">
        <v>26.75</v>
      </c>
      <c r="Z236">
        <v>26.917999999999999</v>
      </c>
    </row>
    <row r="237" spans="1:26" x14ac:dyDescent="0.45">
      <c r="A237" t="s">
        <v>2145</v>
      </c>
      <c r="B237" t="s">
        <v>2520</v>
      </c>
      <c r="C237" s="3" t="s">
        <v>1756</v>
      </c>
      <c r="D237">
        <v>23.98</v>
      </c>
      <c r="E237">
        <v>27.963999999999999</v>
      </c>
      <c r="F237">
        <v>24.338000000000001</v>
      </c>
      <c r="G237">
        <v>25.402000000000001</v>
      </c>
      <c r="H237">
        <v>24.195</v>
      </c>
      <c r="I237">
        <v>24.707000000000001</v>
      </c>
      <c r="J237">
        <v>24.19</v>
      </c>
      <c r="K237">
        <v>24.731999999999999</v>
      </c>
      <c r="L237">
        <v>24.132000000000001</v>
      </c>
      <c r="M237">
        <v>24.544</v>
      </c>
      <c r="N237">
        <v>24.303999999999998</v>
      </c>
      <c r="O237">
        <v>25.489000000000001</v>
      </c>
      <c r="P237">
        <v>24.539000000000001</v>
      </c>
      <c r="Q237">
        <v>24.344000000000001</v>
      </c>
      <c r="R237">
        <v>24.753</v>
      </c>
      <c r="S237">
        <v>26.425999999999998</v>
      </c>
      <c r="T237">
        <v>25.920999999999999</v>
      </c>
      <c r="U237">
        <v>24.907</v>
      </c>
      <c r="V237">
        <v>23.99</v>
      </c>
      <c r="W237">
        <v>25.266999999999999</v>
      </c>
      <c r="X237">
        <v>24.794</v>
      </c>
      <c r="Y237">
        <v>24.114000000000001</v>
      </c>
      <c r="Z237">
        <v>27.414999999999999</v>
      </c>
    </row>
    <row r="238" spans="1:26" x14ac:dyDescent="0.45">
      <c r="A238" t="s">
        <v>2146</v>
      </c>
      <c r="B238" t="s">
        <v>2521</v>
      </c>
      <c r="C238" s="3" t="s">
        <v>1757</v>
      </c>
      <c r="D238">
        <v>30.3</v>
      </c>
      <c r="E238">
        <v>32.872</v>
      </c>
      <c r="F238">
        <v>30.288</v>
      </c>
      <c r="G238">
        <v>30.641999999999999</v>
      </c>
      <c r="H238">
        <v>29.756</v>
      </c>
      <c r="I238">
        <v>30.315999999999999</v>
      </c>
      <c r="J238">
        <v>29.347999999999999</v>
      </c>
      <c r="K238">
        <v>30.024000000000001</v>
      </c>
      <c r="L238">
        <v>29.19</v>
      </c>
      <c r="M238">
        <v>29.992000000000001</v>
      </c>
      <c r="N238">
        <v>28.884</v>
      </c>
      <c r="O238">
        <v>31.79</v>
      </c>
      <c r="P238">
        <v>30.623000000000001</v>
      </c>
      <c r="Q238">
        <v>29.466999999999999</v>
      </c>
      <c r="R238">
        <v>30.143000000000001</v>
      </c>
      <c r="S238">
        <v>33.006</v>
      </c>
      <c r="T238">
        <v>30.785</v>
      </c>
      <c r="U238">
        <v>30</v>
      </c>
      <c r="V238">
        <v>28.724</v>
      </c>
      <c r="W238">
        <v>30.788</v>
      </c>
      <c r="X238">
        <v>30.869</v>
      </c>
      <c r="Y238">
        <v>29.826000000000001</v>
      </c>
      <c r="Z238">
        <v>32.697000000000003</v>
      </c>
    </row>
    <row r="239" spans="1:26" x14ac:dyDescent="0.45">
      <c r="A239" t="s">
        <v>2147</v>
      </c>
      <c r="B239" t="s">
        <v>2522</v>
      </c>
      <c r="C239" s="3" t="s">
        <v>1758</v>
      </c>
      <c r="D239">
        <v>28.446999999999999</v>
      </c>
      <c r="E239">
        <v>28.366</v>
      </c>
      <c r="F239">
        <v>27.611000000000001</v>
      </c>
      <c r="G239">
        <v>29.58</v>
      </c>
      <c r="H239">
        <v>28.550999999999998</v>
      </c>
      <c r="I239">
        <v>27.992000000000001</v>
      </c>
      <c r="J239">
        <v>27.94</v>
      </c>
      <c r="K239">
        <v>30.797999999999998</v>
      </c>
      <c r="L239">
        <v>28.52</v>
      </c>
      <c r="M239">
        <v>28.556000000000001</v>
      </c>
      <c r="N239">
        <v>29.253</v>
      </c>
      <c r="O239">
        <v>28.47</v>
      </c>
      <c r="P239">
        <v>28.524000000000001</v>
      </c>
      <c r="Q239">
        <v>29.545000000000002</v>
      </c>
      <c r="R239">
        <v>28.902000000000001</v>
      </c>
      <c r="S239">
        <v>29.032</v>
      </c>
      <c r="T239">
        <v>28.157</v>
      </c>
      <c r="U239">
        <v>27.922999999999998</v>
      </c>
      <c r="V239">
        <v>28.466000000000001</v>
      </c>
      <c r="W239">
        <v>29.314</v>
      </c>
      <c r="X239">
        <v>28.907</v>
      </c>
      <c r="Y239">
        <v>27.850999999999999</v>
      </c>
      <c r="Z239">
        <v>28.268999999999998</v>
      </c>
    </row>
    <row r="240" spans="1:26" x14ac:dyDescent="0.45">
      <c r="A240" t="s">
        <v>2148</v>
      </c>
      <c r="B240" t="s">
        <v>2523</v>
      </c>
      <c r="C240" s="3" t="s">
        <v>1759</v>
      </c>
      <c r="D240">
        <v>23.803999999999998</v>
      </c>
      <c r="E240">
        <v>23.358000000000001</v>
      </c>
      <c r="F240">
        <v>22.88</v>
      </c>
      <c r="G240">
        <v>24.259</v>
      </c>
      <c r="H240">
        <v>23.538</v>
      </c>
      <c r="I240">
        <v>22.872</v>
      </c>
      <c r="J240">
        <v>22.937000000000001</v>
      </c>
      <c r="K240">
        <v>24.734000000000002</v>
      </c>
      <c r="L240">
        <v>23.117000000000001</v>
      </c>
      <c r="M240">
        <v>23.126000000000001</v>
      </c>
      <c r="N240">
        <v>23.132000000000001</v>
      </c>
      <c r="O240">
        <v>24.183</v>
      </c>
      <c r="P240">
        <v>23.734000000000002</v>
      </c>
      <c r="Q240">
        <v>23.7</v>
      </c>
      <c r="R240">
        <v>23.446999999999999</v>
      </c>
      <c r="S240">
        <v>24.018000000000001</v>
      </c>
      <c r="T240">
        <v>23.622</v>
      </c>
      <c r="U240">
        <v>23.103000000000002</v>
      </c>
      <c r="V240">
        <v>23.382000000000001</v>
      </c>
      <c r="W240">
        <v>24.364000000000001</v>
      </c>
      <c r="X240">
        <v>23.683</v>
      </c>
      <c r="Y240">
        <v>22.981000000000002</v>
      </c>
      <c r="Z240">
        <v>23.28</v>
      </c>
    </row>
    <row r="241" spans="1:26" x14ac:dyDescent="0.45">
      <c r="A241" t="s">
        <v>2149</v>
      </c>
      <c r="B241" t="s">
        <v>2524</v>
      </c>
      <c r="C241" s="3" t="s">
        <v>1760</v>
      </c>
      <c r="D241">
        <v>28.652999999999999</v>
      </c>
      <c r="E241">
        <v>28.161000000000001</v>
      </c>
      <c r="F241">
        <v>27.236999999999998</v>
      </c>
      <c r="G241">
        <v>28.654</v>
      </c>
      <c r="H241">
        <v>27.774000000000001</v>
      </c>
      <c r="I241">
        <v>27.451000000000001</v>
      </c>
      <c r="J241">
        <v>27.282</v>
      </c>
      <c r="K241">
        <v>28.452999999999999</v>
      </c>
      <c r="L241">
        <v>27.875</v>
      </c>
      <c r="M241">
        <v>27.521000000000001</v>
      </c>
      <c r="N241">
        <v>27.858000000000001</v>
      </c>
      <c r="O241">
        <v>28.533999999999999</v>
      </c>
      <c r="P241">
        <v>28.158000000000001</v>
      </c>
      <c r="Q241">
        <v>27.446999999999999</v>
      </c>
      <c r="R241">
        <v>27.655000000000001</v>
      </c>
      <c r="S241">
        <v>28.006</v>
      </c>
      <c r="T241">
        <v>27.26</v>
      </c>
      <c r="U241">
        <v>27.547999999999998</v>
      </c>
      <c r="V241">
        <v>27.260999999999999</v>
      </c>
      <c r="W241">
        <v>27.89</v>
      </c>
      <c r="X241">
        <v>27.920999999999999</v>
      </c>
      <c r="Y241">
        <v>27.751999999999999</v>
      </c>
      <c r="Z241">
        <v>27.603000000000002</v>
      </c>
    </row>
    <row r="242" spans="1:26" x14ac:dyDescent="0.45">
      <c r="A242" t="s">
        <v>2150</v>
      </c>
      <c r="B242" t="s">
        <v>2525</v>
      </c>
      <c r="C242" s="3" t="s">
        <v>1761</v>
      </c>
      <c r="D242">
        <v>24.814</v>
      </c>
      <c r="E242">
        <v>24.158000000000001</v>
      </c>
      <c r="F242">
        <v>23.786000000000001</v>
      </c>
      <c r="G242">
        <v>25.318000000000001</v>
      </c>
      <c r="H242">
        <v>24.567</v>
      </c>
      <c r="I242">
        <v>24.282</v>
      </c>
      <c r="J242">
        <v>24.38</v>
      </c>
      <c r="K242">
        <v>25.100999999999999</v>
      </c>
      <c r="L242">
        <v>24.821000000000002</v>
      </c>
      <c r="M242">
        <v>24.599</v>
      </c>
      <c r="N242">
        <v>24.562000000000001</v>
      </c>
      <c r="O242">
        <v>25.277000000000001</v>
      </c>
      <c r="P242">
        <v>24.898</v>
      </c>
      <c r="Q242">
        <v>24.666</v>
      </c>
      <c r="R242">
        <v>24.815000000000001</v>
      </c>
      <c r="S242">
        <v>25.154</v>
      </c>
      <c r="T242">
        <v>24.693000000000001</v>
      </c>
      <c r="U242">
        <v>24.355</v>
      </c>
      <c r="V242">
        <v>24.568999999999999</v>
      </c>
      <c r="W242">
        <v>24.794</v>
      </c>
      <c r="X242">
        <v>25.222999999999999</v>
      </c>
      <c r="Y242">
        <v>24.56</v>
      </c>
      <c r="Z242">
        <v>24.696000000000002</v>
      </c>
    </row>
    <row r="243" spans="1:26" x14ac:dyDescent="0.45">
      <c r="A243" t="s">
        <v>2151</v>
      </c>
      <c r="B243" t="s">
        <v>2526</v>
      </c>
      <c r="C243" s="3" t="s">
        <v>1762</v>
      </c>
      <c r="D243">
        <v>27.198</v>
      </c>
      <c r="E243">
        <v>27.309000000000001</v>
      </c>
      <c r="F243">
        <v>26.855</v>
      </c>
      <c r="G243">
        <v>28.597999999999999</v>
      </c>
      <c r="H243">
        <v>27.838999999999999</v>
      </c>
      <c r="I243">
        <v>27.361000000000001</v>
      </c>
      <c r="J243">
        <v>27.638999999999999</v>
      </c>
      <c r="K243">
        <v>28.170999999999999</v>
      </c>
      <c r="L243">
        <v>27.599</v>
      </c>
      <c r="M243">
        <v>27.928000000000001</v>
      </c>
      <c r="N243">
        <v>27.632000000000001</v>
      </c>
      <c r="O243">
        <v>28.548999999999999</v>
      </c>
      <c r="P243">
        <v>27.803000000000001</v>
      </c>
      <c r="Q243">
        <v>28.509</v>
      </c>
      <c r="R243">
        <v>27.817</v>
      </c>
      <c r="S243">
        <v>28.155999999999999</v>
      </c>
      <c r="T243">
        <v>27.401</v>
      </c>
      <c r="U243">
        <v>27.731000000000002</v>
      </c>
      <c r="V243">
        <v>27.844999999999999</v>
      </c>
      <c r="W243">
        <v>28.308</v>
      </c>
      <c r="X243">
        <v>28.288</v>
      </c>
      <c r="Y243">
        <v>27.577000000000002</v>
      </c>
      <c r="Z243">
        <v>27.454999999999998</v>
      </c>
    </row>
    <row r="244" spans="1:26" x14ac:dyDescent="0.45">
      <c r="A244" t="s">
        <v>2152</v>
      </c>
      <c r="B244" t="s">
        <v>2527</v>
      </c>
      <c r="C244" s="3" t="s">
        <v>1763</v>
      </c>
      <c r="D244">
        <v>26.148</v>
      </c>
      <c r="E244">
        <v>26.416</v>
      </c>
      <c r="F244">
        <v>25.213999999999999</v>
      </c>
      <c r="G244">
        <v>26.757000000000001</v>
      </c>
      <c r="H244">
        <v>25.887</v>
      </c>
      <c r="I244">
        <v>25.797000000000001</v>
      </c>
      <c r="J244">
        <v>25.87</v>
      </c>
      <c r="K244">
        <v>26.274000000000001</v>
      </c>
      <c r="L244">
        <v>26.594000000000001</v>
      </c>
      <c r="M244">
        <v>26.37</v>
      </c>
      <c r="N244">
        <v>26.448</v>
      </c>
      <c r="O244">
        <v>26.303000000000001</v>
      </c>
      <c r="P244">
        <v>26.596</v>
      </c>
      <c r="Q244">
        <v>26.448</v>
      </c>
      <c r="R244">
        <v>26.634</v>
      </c>
      <c r="S244">
        <v>26.12</v>
      </c>
      <c r="T244">
        <v>26.166</v>
      </c>
      <c r="U244">
        <v>26.222999999999999</v>
      </c>
      <c r="V244">
        <v>25.789000000000001</v>
      </c>
      <c r="W244">
        <v>26.292000000000002</v>
      </c>
      <c r="X244">
        <v>26.966000000000001</v>
      </c>
      <c r="Y244">
        <v>25.681999999999999</v>
      </c>
      <c r="Z244">
        <v>26.140999999999998</v>
      </c>
    </row>
    <row r="245" spans="1:26" x14ac:dyDescent="0.45">
      <c r="A245" t="s">
        <v>2153</v>
      </c>
      <c r="B245" t="s">
        <v>2528</v>
      </c>
      <c r="C245" s="3" t="s">
        <v>1764</v>
      </c>
      <c r="D245">
        <v>23.245000000000001</v>
      </c>
      <c r="E245">
        <v>23.727</v>
      </c>
      <c r="F245">
        <v>22.971</v>
      </c>
      <c r="G245">
        <v>24.202000000000002</v>
      </c>
      <c r="H245">
        <v>22.873000000000001</v>
      </c>
      <c r="I245">
        <v>22.824000000000002</v>
      </c>
      <c r="J245">
        <v>23.521000000000001</v>
      </c>
      <c r="K245">
        <v>23.611999999999998</v>
      </c>
      <c r="L245">
        <v>23.398</v>
      </c>
      <c r="M245">
        <v>23.742000000000001</v>
      </c>
      <c r="N245">
        <v>23.416</v>
      </c>
      <c r="O245">
        <v>23.931999999999999</v>
      </c>
      <c r="P245">
        <v>24.068000000000001</v>
      </c>
      <c r="Q245">
        <v>23.431999999999999</v>
      </c>
      <c r="R245">
        <v>23.760999999999999</v>
      </c>
      <c r="S245">
        <v>23.818999999999999</v>
      </c>
      <c r="T245">
        <v>23.22</v>
      </c>
      <c r="U245">
        <v>23.539000000000001</v>
      </c>
      <c r="V245">
        <v>23.23</v>
      </c>
      <c r="W245">
        <v>23.163</v>
      </c>
      <c r="X245">
        <v>23.646000000000001</v>
      </c>
      <c r="Y245">
        <v>22.939</v>
      </c>
      <c r="Z245">
        <v>23.38</v>
      </c>
    </row>
    <row r="246" spans="1:26" x14ac:dyDescent="0.45">
      <c r="A246" t="s">
        <v>2154</v>
      </c>
      <c r="B246" t="s">
        <v>2529</v>
      </c>
      <c r="C246" s="3" t="s">
        <v>1765</v>
      </c>
      <c r="D246">
        <v>29.145</v>
      </c>
      <c r="E246">
        <v>29.879000000000001</v>
      </c>
      <c r="F246">
        <v>29.53</v>
      </c>
      <c r="G246">
        <v>29.878</v>
      </c>
      <c r="H246">
        <v>30.457000000000001</v>
      </c>
      <c r="I246">
        <v>28.475000000000001</v>
      </c>
      <c r="J246">
        <v>28.928000000000001</v>
      </c>
      <c r="K246">
        <v>29.462</v>
      </c>
      <c r="L246">
        <v>30.417000000000002</v>
      </c>
      <c r="M246">
        <v>29.443999999999999</v>
      </c>
      <c r="N246">
        <v>29.603000000000002</v>
      </c>
      <c r="O246">
        <v>29.806000000000001</v>
      </c>
      <c r="P246">
        <v>29.738</v>
      </c>
      <c r="Q246">
        <v>29.396000000000001</v>
      </c>
      <c r="R246">
        <v>29.466999999999999</v>
      </c>
      <c r="S246">
        <v>29.376000000000001</v>
      </c>
      <c r="T246">
        <v>28.939</v>
      </c>
      <c r="U246">
        <v>28.888999999999999</v>
      </c>
      <c r="V246">
        <v>29.561</v>
      </c>
      <c r="W246">
        <v>30.306000000000001</v>
      </c>
      <c r="X246">
        <v>29.827999999999999</v>
      </c>
      <c r="Y246">
        <v>29.888000000000002</v>
      </c>
      <c r="Z246">
        <v>29.507000000000001</v>
      </c>
    </row>
    <row r="247" spans="1:26" x14ac:dyDescent="0.45">
      <c r="A247" t="s">
        <v>2155</v>
      </c>
      <c r="B247" t="s">
        <v>2530</v>
      </c>
      <c r="C247" s="3" t="s">
        <v>1766</v>
      </c>
      <c r="D247">
        <v>24.332000000000001</v>
      </c>
      <c r="E247">
        <v>24.236000000000001</v>
      </c>
      <c r="F247">
        <v>23.689</v>
      </c>
      <c r="G247">
        <v>25.635000000000002</v>
      </c>
      <c r="H247">
        <v>24.34</v>
      </c>
      <c r="I247">
        <v>23.831</v>
      </c>
      <c r="J247">
        <v>24.181999999999999</v>
      </c>
      <c r="K247">
        <v>25.216000000000001</v>
      </c>
      <c r="L247">
        <v>24.236000000000001</v>
      </c>
      <c r="M247">
        <v>24.808</v>
      </c>
      <c r="N247">
        <v>24.594999999999999</v>
      </c>
      <c r="O247">
        <v>25.242000000000001</v>
      </c>
      <c r="P247">
        <v>24.315000000000001</v>
      </c>
      <c r="Q247">
        <v>24.366</v>
      </c>
      <c r="R247">
        <v>24.742999999999999</v>
      </c>
      <c r="S247">
        <v>24.72</v>
      </c>
      <c r="T247">
        <v>24.535</v>
      </c>
      <c r="U247">
        <v>24.759</v>
      </c>
      <c r="V247">
        <v>24.37</v>
      </c>
      <c r="W247">
        <v>24.39</v>
      </c>
      <c r="X247">
        <v>25.178999999999998</v>
      </c>
      <c r="Y247">
        <v>24.276</v>
      </c>
      <c r="Z247">
        <v>24.395</v>
      </c>
    </row>
    <row r="248" spans="1:26" x14ac:dyDescent="0.45">
      <c r="A248" t="s">
        <v>2156</v>
      </c>
      <c r="B248" t="s">
        <v>2531</v>
      </c>
      <c r="C248" s="3" t="s">
        <v>1767</v>
      </c>
      <c r="D248">
        <v>24.524999999999999</v>
      </c>
      <c r="E248">
        <v>24.471</v>
      </c>
      <c r="F248">
        <v>23.882999999999999</v>
      </c>
      <c r="G248">
        <v>26.094000000000001</v>
      </c>
      <c r="H248">
        <v>24.463000000000001</v>
      </c>
      <c r="I248">
        <v>23.786000000000001</v>
      </c>
      <c r="J248">
        <v>24.277999999999999</v>
      </c>
      <c r="K248">
        <v>25.227</v>
      </c>
      <c r="L248">
        <v>24.669</v>
      </c>
      <c r="M248">
        <v>24.978999999999999</v>
      </c>
      <c r="N248">
        <v>24.920999999999999</v>
      </c>
      <c r="O248">
        <v>24.931999999999999</v>
      </c>
      <c r="P248">
        <v>24.457000000000001</v>
      </c>
      <c r="Q248">
        <v>24.702000000000002</v>
      </c>
      <c r="R248">
        <v>25.001000000000001</v>
      </c>
      <c r="S248">
        <v>24.847999999999999</v>
      </c>
      <c r="T248">
        <v>24.850999999999999</v>
      </c>
      <c r="U248">
        <v>25.256</v>
      </c>
      <c r="V248">
        <v>24.385000000000002</v>
      </c>
      <c r="W248">
        <v>24.724</v>
      </c>
      <c r="X248">
        <v>25.428999999999998</v>
      </c>
      <c r="Y248">
        <v>24.527000000000001</v>
      </c>
      <c r="Z248">
        <v>24.466000000000001</v>
      </c>
    </row>
    <row r="249" spans="1:26" x14ac:dyDescent="0.45">
      <c r="A249" t="s">
        <v>2157</v>
      </c>
      <c r="B249" t="s">
        <v>2531</v>
      </c>
      <c r="C249" s="3" t="s">
        <v>1768</v>
      </c>
      <c r="D249">
        <v>22.408000000000001</v>
      </c>
      <c r="E249">
        <v>24.170999999999999</v>
      </c>
      <c r="F249">
        <v>23.126999999999999</v>
      </c>
      <c r="G249">
        <v>26.148</v>
      </c>
      <c r="H249">
        <v>22.902999999999999</v>
      </c>
      <c r="I249">
        <v>22.178999999999998</v>
      </c>
      <c r="J249">
        <v>22.97</v>
      </c>
      <c r="K249">
        <v>23.763000000000002</v>
      </c>
      <c r="L249">
        <v>23.562000000000001</v>
      </c>
      <c r="M249">
        <v>23.617000000000001</v>
      </c>
      <c r="N249">
        <v>23.457000000000001</v>
      </c>
      <c r="O249">
        <v>23.553999999999998</v>
      </c>
      <c r="P249">
        <v>23.154</v>
      </c>
      <c r="Q249">
        <v>23.774000000000001</v>
      </c>
      <c r="R249">
        <v>23.904</v>
      </c>
      <c r="S249">
        <v>22.795000000000002</v>
      </c>
      <c r="T249">
        <v>22.841999999999999</v>
      </c>
      <c r="U249">
        <v>23.175999999999998</v>
      </c>
      <c r="V249">
        <v>22.8</v>
      </c>
      <c r="W249">
        <v>22.59</v>
      </c>
      <c r="X249">
        <v>23.786999999999999</v>
      </c>
      <c r="Y249">
        <v>23.135000000000002</v>
      </c>
      <c r="Z249">
        <v>22.706</v>
      </c>
    </row>
    <row r="250" spans="1:26" x14ac:dyDescent="0.45">
      <c r="A250" t="s">
        <v>2158</v>
      </c>
      <c r="B250" t="s">
        <v>2532</v>
      </c>
      <c r="C250" s="3" t="s">
        <v>1769</v>
      </c>
      <c r="D250">
        <v>27.802</v>
      </c>
      <c r="E250">
        <v>28.960999999999999</v>
      </c>
      <c r="F250">
        <v>27.588999999999999</v>
      </c>
      <c r="G250">
        <v>29.837</v>
      </c>
      <c r="H250">
        <v>28.222999999999999</v>
      </c>
      <c r="I250">
        <v>28.599</v>
      </c>
      <c r="J250">
        <v>27.201000000000001</v>
      </c>
      <c r="K250">
        <v>28.692</v>
      </c>
      <c r="L250">
        <v>28.826000000000001</v>
      </c>
      <c r="M250">
        <v>27.75</v>
      </c>
      <c r="N250">
        <v>27.11</v>
      </c>
      <c r="O250">
        <v>28.553999999999998</v>
      </c>
      <c r="P250">
        <v>27.414999999999999</v>
      </c>
      <c r="Q250">
        <v>28.698</v>
      </c>
      <c r="R250">
        <v>28.564</v>
      </c>
      <c r="S250">
        <v>29.337</v>
      </c>
      <c r="T250">
        <v>28.077000000000002</v>
      </c>
      <c r="U250">
        <v>27.731999999999999</v>
      </c>
      <c r="V250">
        <v>26.617000000000001</v>
      </c>
      <c r="W250">
        <v>27.536000000000001</v>
      </c>
      <c r="X250">
        <v>28.690999999999999</v>
      </c>
      <c r="Y250">
        <v>27.782</v>
      </c>
      <c r="Z250">
        <v>27.509</v>
      </c>
    </row>
    <row r="251" spans="1:26" x14ac:dyDescent="0.45">
      <c r="A251" t="s">
        <v>2159</v>
      </c>
      <c r="B251" t="s">
        <v>2533</v>
      </c>
      <c r="C251" s="3" t="s">
        <v>1770</v>
      </c>
      <c r="D251">
        <v>27.664000000000001</v>
      </c>
      <c r="E251">
        <v>28.178999999999998</v>
      </c>
      <c r="F251">
        <v>27.206</v>
      </c>
      <c r="G251">
        <v>29.073</v>
      </c>
      <c r="H251">
        <v>27.773</v>
      </c>
      <c r="I251">
        <v>27.364999999999998</v>
      </c>
      <c r="J251">
        <v>27.311</v>
      </c>
      <c r="K251">
        <v>28.498999999999999</v>
      </c>
      <c r="L251">
        <v>27.675000000000001</v>
      </c>
      <c r="M251">
        <v>27.687000000000001</v>
      </c>
      <c r="N251">
        <v>26.768000000000001</v>
      </c>
      <c r="O251">
        <v>28.439</v>
      </c>
      <c r="P251">
        <v>27.52</v>
      </c>
      <c r="Q251">
        <v>27.602</v>
      </c>
      <c r="R251">
        <v>27.92</v>
      </c>
      <c r="S251">
        <v>27.568999999999999</v>
      </c>
      <c r="T251">
        <v>27.966999999999999</v>
      </c>
      <c r="U251">
        <v>27.734000000000002</v>
      </c>
      <c r="V251">
        <v>26.731999999999999</v>
      </c>
      <c r="W251">
        <v>27.353999999999999</v>
      </c>
      <c r="X251">
        <v>29.114999999999998</v>
      </c>
      <c r="Y251">
        <v>28.292000000000002</v>
      </c>
      <c r="Z251">
        <v>27.771999999999998</v>
      </c>
    </row>
    <row r="252" spans="1:26" x14ac:dyDescent="0.45">
      <c r="A252" t="s">
        <v>2160</v>
      </c>
      <c r="B252" t="s">
        <v>2534</v>
      </c>
      <c r="C252" s="3" t="s">
        <v>1771</v>
      </c>
      <c r="D252">
        <v>30.11</v>
      </c>
      <c r="E252">
        <v>30.66</v>
      </c>
      <c r="F252">
        <v>30.969000000000001</v>
      </c>
      <c r="G252">
        <v>32.011000000000003</v>
      </c>
      <c r="H252">
        <v>31.463000000000001</v>
      </c>
      <c r="I252">
        <v>29.472000000000001</v>
      </c>
      <c r="J252">
        <v>30.803000000000001</v>
      </c>
      <c r="K252">
        <v>30.698</v>
      </c>
      <c r="L252">
        <v>31.472999999999999</v>
      </c>
      <c r="M252">
        <v>30.632999999999999</v>
      </c>
      <c r="N252">
        <v>30.315999999999999</v>
      </c>
      <c r="O252">
        <v>31.670999999999999</v>
      </c>
      <c r="P252">
        <v>30.428999999999998</v>
      </c>
      <c r="Q252">
        <v>30.111000000000001</v>
      </c>
      <c r="R252">
        <v>31.379000000000001</v>
      </c>
      <c r="S252">
        <v>29.841999999999999</v>
      </c>
      <c r="T252">
        <v>30.716000000000001</v>
      </c>
      <c r="U252">
        <v>30.678000000000001</v>
      </c>
      <c r="V252">
        <v>29.797999999999998</v>
      </c>
      <c r="W252">
        <v>29.771000000000001</v>
      </c>
      <c r="X252">
        <v>32.494999999999997</v>
      </c>
      <c r="Y252">
        <v>31.396999999999998</v>
      </c>
      <c r="Z252">
        <v>30.5</v>
      </c>
    </row>
    <row r="253" spans="1:26" x14ac:dyDescent="0.45">
      <c r="A253" t="s">
        <v>2161</v>
      </c>
      <c r="B253" t="s">
        <v>2535</v>
      </c>
      <c r="C253" s="3" t="s">
        <v>1772</v>
      </c>
      <c r="D253">
        <v>28.388999999999999</v>
      </c>
      <c r="E253">
        <v>28.821999999999999</v>
      </c>
      <c r="F253">
        <v>27.959</v>
      </c>
      <c r="G253">
        <v>28.346</v>
      </c>
      <c r="H253">
        <v>27.68</v>
      </c>
      <c r="I253">
        <v>27.355</v>
      </c>
      <c r="J253">
        <v>27.102</v>
      </c>
      <c r="K253">
        <v>28.192</v>
      </c>
      <c r="L253">
        <v>27.495999999999999</v>
      </c>
      <c r="M253">
        <v>29.622</v>
      </c>
      <c r="N253">
        <v>27.890999999999998</v>
      </c>
      <c r="O253">
        <v>28.664999999999999</v>
      </c>
      <c r="P253">
        <v>27.718</v>
      </c>
      <c r="Q253">
        <v>28.219000000000001</v>
      </c>
      <c r="R253">
        <v>28.684999999999999</v>
      </c>
      <c r="S253">
        <v>27.731000000000002</v>
      </c>
      <c r="T253">
        <v>28.596</v>
      </c>
      <c r="U253">
        <v>28.257000000000001</v>
      </c>
      <c r="V253">
        <v>28.29</v>
      </c>
      <c r="W253">
        <v>27.728000000000002</v>
      </c>
      <c r="X253">
        <v>27.998000000000001</v>
      </c>
      <c r="Y253">
        <v>29.995999999999999</v>
      </c>
      <c r="Z253">
        <v>27.698</v>
      </c>
    </row>
    <row r="254" spans="1:26" x14ac:dyDescent="0.45">
      <c r="A254" t="s">
        <v>2162</v>
      </c>
      <c r="B254" t="s">
        <v>2536</v>
      </c>
      <c r="C254" s="3" t="s">
        <v>1773</v>
      </c>
      <c r="D254">
        <v>27.663</v>
      </c>
      <c r="E254">
        <v>27.815000000000001</v>
      </c>
      <c r="F254">
        <v>26.890999999999998</v>
      </c>
      <c r="G254">
        <v>27.954000000000001</v>
      </c>
      <c r="H254">
        <v>26.573</v>
      </c>
      <c r="I254">
        <v>26.701000000000001</v>
      </c>
      <c r="J254">
        <v>26.943000000000001</v>
      </c>
      <c r="K254">
        <v>27.69</v>
      </c>
      <c r="L254">
        <v>26.925000000000001</v>
      </c>
      <c r="M254">
        <v>28.166</v>
      </c>
      <c r="N254">
        <v>26.966000000000001</v>
      </c>
      <c r="O254">
        <v>27.864000000000001</v>
      </c>
      <c r="P254">
        <v>26.93</v>
      </c>
      <c r="Q254">
        <v>27.178000000000001</v>
      </c>
      <c r="R254">
        <v>27.885999999999999</v>
      </c>
      <c r="S254">
        <v>27.324999999999999</v>
      </c>
      <c r="T254">
        <v>28.167999999999999</v>
      </c>
      <c r="U254">
        <v>27.646999999999998</v>
      </c>
      <c r="V254">
        <v>26.972999999999999</v>
      </c>
      <c r="W254">
        <v>26.806999999999999</v>
      </c>
      <c r="X254">
        <v>27.376999999999999</v>
      </c>
      <c r="Y254">
        <v>27.934999999999999</v>
      </c>
      <c r="Z254">
        <v>27.233000000000001</v>
      </c>
    </row>
    <row r="255" spans="1:26" x14ac:dyDescent="0.45">
      <c r="A255" t="s">
        <v>2163</v>
      </c>
      <c r="B255" t="s">
        <v>2537</v>
      </c>
      <c r="C255" s="3" t="s">
        <v>1774</v>
      </c>
      <c r="D255">
        <v>26.47</v>
      </c>
      <c r="E255">
        <v>27.521000000000001</v>
      </c>
      <c r="F255">
        <v>26.548999999999999</v>
      </c>
      <c r="G255">
        <v>26.809000000000001</v>
      </c>
      <c r="H255">
        <v>25.902000000000001</v>
      </c>
      <c r="I255">
        <v>27.501999999999999</v>
      </c>
      <c r="J255">
        <v>26.893999999999998</v>
      </c>
      <c r="K255">
        <v>26.552</v>
      </c>
      <c r="L255">
        <v>26.898</v>
      </c>
      <c r="M255">
        <v>27.635999999999999</v>
      </c>
      <c r="N255">
        <v>26.774999999999999</v>
      </c>
      <c r="O255">
        <v>25.638999999999999</v>
      </c>
      <c r="P255">
        <v>26.62</v>
      </c>
      <c r="Q255">
        <v>27.007999999999999</v>
      </c>
      <c r="R255">
        <v>27.225000000000001</v>
      </c>
      <c r="S255">
        <v>25.934000000000001</v>
      </c>
      <c r="T255">
        <v>27.273</v>
      </c>
      <c r="U255">
        <v>26.207000000000001</v>
      </c>
      <c r="V255">
        <v>26.829000000000001</v>
      </c>
      <c r="W255">
        <v>26.327000000000002</v>
      </c>
      <c r="X255">
        <v>28.271000000000001</v>
      </c>
      <c r="Y255">
        <v>28.186</v>
      </c>
      <c r="Z255">
        <v>26.83</v>
      </c>
    </row>
    <row r="256" spans="1:26" x14ac:dyDescent="0.45">
      <c r="A256" t="s">
        <v>2164</v>
      </c>
      <c r="B256" t="s">
        <v>2538</v>
      </c>
      <c r="C256" s="3" t="s">
        <v>1775</v>
      </c>
      <c r="D256">
        <v>25.465</v>
      </c>
      <c r="E256">
        <v>26.440999999999999</v>
      </c>
      <c r="F256">
        <v>24.550999999999998</v>
      </c>
      <c r="G256">
        <v>25.728999999999999</v>
      </c>
      <c r="H256">
        <v>24.812999999999999</v>
      </c>
      <c r="I256">
        <v>26.77</v>
      </c>
      <c r="J256">
        <v>24.992000000000001</v>
      </c>
      <c r="K256">
        <v>25.218</v>
      </c>
      <c r="L256">
        <v>24.97</v>
      </c>
      <c r="M256">
        <v>25.428000000000001</v>
      </c>
      <c r="N256">
        <v>25.483000000000001</v>
      </c>
      <c r="O256">
        <v>25.15</v>
      </c>
      <c r="P256">
        <v>24.878</v>
      </c>
      <c r="Q256">
        <v>26.338999999999999</v>
      </c>
      <c r="R256">
        <v>25.978999999999999</v>
      </c>
      <c r="S256">
        <v>25.332000000000001</v>
      </c>
      <c r="T256">
        <v>27.001000000000001</v>
      </c>
      <c r="U256">
        <v>25.141999999999999</v>
      </c>
      <c r="V256">
        <v>26.015999999999998</v>
      </c>
      <c r="W256">
        <v>25.658000000000001</v>
      </c>
      <c r="X256">
        <v>26.591000000000001</v>
      </c>
      <c r="Y256">
        <v>28.388999999999999</v>
      </c>
      <c r="Z256">
        <v>25.638999999999999</v>
      </c>
    </row>
    <row r="257" spans="1:26" x14ac:dyDescent="0.45">
      <c r="A257" t="s">
        <v>2165</v>
      </c>
      <c r="B257" t="s">
        <v>2539</v>
      </c>
      <c r="C257" s="3" t="s">
        <v>1776</v>
      </c>
      <c r="D257" t="s">
        <v>1906</v>
      </c>
      <c r="E257" t="s">
        <v>1906</v>
      </c>
      <c r="F257" t="s">
        <v>1906</v>
      </c>
      <c r="G257" t="s">
        <v>1906</v>
      </c>
      <c r="H257" t="s">
        <v>1906</v>
      </c>
      <c r="I257" t="s">
        <v>1906</v>
      </c>
      <c r="J257" t="s">
        <v>1906</v>
      </c>
      <c r="K257">
        <v>37.753999999999998</v>
      </c>
      <c r="L257" t="s">
        <v>1906</v>
      </c>
      <c r="M257" t="s">
        <v>1906</v>
      </c>
      <c r="N257" t="s">
        <v>1906</v>
      </c>
      <c r="O257">
        <v>36.956000000000003</v>
      </c>
      <c r="P257" t="s">
        <v>1906</v>
      </c>
      <c r="Q257" t="s">
        <v>1906</v>
      </c>
      <c r="R257">
        <v>38.323</v>
      </c>
      <c r="S257" t="s">
        <v>1906</v>
      </c>
      <c r="T257" t="s">
        <v>1906</v>
      </c>
      <c r="U257" t="s">
        <v>1906</v>
      </c>
      <c r="V257" t="s">
        <v>1906</v>
      </c>
      <c r="W257" t="s">
        <v>1906</v>
      </c>
      <c r="X257" t="s">
        <v>1906</v>
      </c>
      <c r="Y257" t="s">
        <v>1906</v>
      </c>
      <c r="Z257">
        <v>38.700000000000003</v>
      </c>
    </row>
    <row r="258" spans="1:26" x14ac:dyDescent="0.45">
      <c r="A258" t="s">
        <v>2166</v>
      </c>
      <c r="B258" t="s">
        <v>2540</v>
      </c>
      <c r="C258" s="3" t="s">
        <v>1777</v>
      </c>
      <c r="D258">
        <v>30.242000000000001</v>
      </c>
      <c r="E258">
        <v>30.777000000000001</v>
      </c>
      <c r="F258">
        <v>28.442</v>
      </c>
      <c r="G258">
        <v>31.012</v>
      </c>
      <c r="H258">
        <v>29.294</v>
      </c>
      <c r="I258">
        <v>32.933</v>
      </c>
      <c r="J258">
        <v>28.105</v>
      </c>
      <c r="K258">
        <v>28.917000000000002</v>
      </c>
      <c r="L258">
        <v>29.381</v>
      </c>
      <c r="M258">
        <v>29.885000000000002</v>
      </c>
      <c r="N258">
        <v>27.616</v>
      </c>
      <c r="O258">
        <v>29.678000000000001</v>
      </c>
      <c r="P258">
        <v>28.626000000000001</v>
      </c>
      <c r="Q258">
        <v>28.393999999999998</v>
      </c>
      <c r="R258">
        <v>29.683</v>
      </c>
      <c r="S258">
        <v>30.442</v>
      </c>
      <c r="T258">
        <v>29.3</v>
      </c>
      <c r="U258">
        <v>28.366</v>
      </c>
      <c r="V258">
        <v>28.526</v>
      </c>
      <c r="W258">
        <v>30.131</v>
      </c>
      <c r="X258">
        <v>28.954999999999998</v>
      </c>
      <c r="Y258">
        <v>30.356999999999999</v>
      </c>
      <c r="Z258">
        <v>28.483000000000001</v>
      </c>
    </row>
    <row r="259" spans="1:26" x14ac:dyDescent="0.45">
      <c r="A259" t="s">
        <v>2167</v>
      </c>
      <c r="B259" t="s">
        <v>2541</v>
      </c>
      <c r="C259" s="3" t="s">
        <v>1778</v>
      </c>
      <c r="D259">
        <v>25.146000000000001</v>
      </c>
      <c r="E259">
        <v>23.838999999999999</v>
      </c>
      <c r="F259">
        <v>22.97</v>
      </c>
      <c r="G259">
        <v>24.239000000000001</v>
      </c>
      <c r="H259">
        <v>24.43</v>
      </c>
      <c r="I259">
        <v>23.939</v>
      </c>
      <c r="J259">
        <v>23.914999999999999</v>
      </c>
      <c r="K259">
        <v>24.584</v>
      </c>
      <c r="L259">
        <v>23.843</v>
      </c>
      <c r="M259">
        <v>23.695</v>
      </c>
      <c r="N259">
        <v>22.11</v>
      </c>
      <c r="O259">
        <v>24.405999999999999</v>
      </c>
      <c r="P259">
        <v>25.283999999999999</v>
      </c>
      <c r="Q259">
        <v>23.484000000000002</v>
      </c>
      <c r="R259">
        <v>25.224</v>
      </c>
      <c r="S259">
        <v>24.564</v>
      </c>
      <c r="T259">
        <v>23.861000000000001</v>
      </c>
      <c r="U259">
        <v>23.675000000000001</v>
      </c>
      <c r="V259">
        <v>22.661000000000001</v>
      </c>
      <c r="W259">
        <v>24.151</v>
      </c>
      <c r="X259">
        <v>24.873000000000001</v>
      </c>
      <c r="Y259">
        <v>23.905000000000001</v>
      </c>
      <c r="Z259">
        <v>25.346</v>
      </c>
    </row>
    <row r="260" spans="1:26" x14ac:dyDescent="0.45">
      <c r="A260" t="s">
        <v>2168</v>
      </c>
      <c r="B260" t="s">
        <v>2542</v>
      </c>
      <c r="C260" s="3" t="s">
        <v>1779</v>
      </c>
      <c r="D260">
        <v>29.503</v>
      </c>
      <c r="E260">
        <v>28.651</v>
      </c>
      <c r="F260">
        <v>28.19</v>
      </c>
      <c r="G260">
        <v>29.832000000000001</v>
      </c>
      <c r="H260">
        <v>29.196999999999999</v>
      </c>
      <c r="I260">
        <v>28.725999999999999</v>
      </c>
      <c r="J260">
        <v>28.625</v>
      </c>
      <c r="K260">
        <v>29.640999999999998</v>
      </c>
      <c r="L260">
        <v>28.792000000000002</v>
      </c>
      <c r="M260">
        <v>28.969000000000001</v>
      </c>
      <c r="N260">
        <v>29.013999999999999</v>
      </c>
      <c r="O260">
        <v>29.911999999999999</v>
      </c>
      <c r="P260">
        <v>29.905999999999999</v>
      </c>
      <c r="Q260">
        <v>29.332000000000001</v>
      </c>
      <c r="R260">
        <v>29.306000000000001</v>
      </c>
      <c r="S260">
        <v>29.334</v>
      </c>
      <c r="T260">
        <v>29.239000000000001</v>
      </c>
      <c r="U260">
        <v>28.744</v>
      </c>
      <c r="V260">
        <v>29.513999999999999</v>
      </c>
      <c r="W260">
        <v>29.523</v>
      </c>
      <c r="X260">
        <v>29.594999999999999</v>
      </c>
      <c r="Y260">
        <v>28.942</v>
      </c>
      <c r="Z260">
        <v>30.786999999999999</v>
      </c>
    </row>
    <row r="261" spans="1:26" x14ac:dyDescent="0.45">
      <c r="A261" t="s">
        <v>2169</v>
      </c>
      <c r="B261" t="s">
        <v>2543</v>
      </c>
      <c r="C261" s="3" t="s">
        <v>1780</v>
      </c>
      <c r="D261">
        <v>29.683</v>
      </c>
      <c r="E261">
        <v>26.846</v>
      </c>
      <c r="F261">
        <v>26.518000000000001</v>
      </c>
      <c r="G261">
        <v>27.564</v>
      </c>
      <c r="H261">
        <v>26.821999999999999</v>
      </c>
      <c r="I261">
        <v>26.870999999999999</v>
      </c>
      <c r="J261">
        <v>26.756</v>
      </c>
      <c r="K261">
        <v>27.824000000000002</v>
      </c>
      <c r="L261">
        <v>27.207000000000001</v>
      </c>
      <c r="M261">
        <v>27.145</v>
      </c>
      <c r="N261">
        <v>26.917000000000002</v>
      </c>
      <c r="O261">
        <v>27.768000000000001</v>
      </c>
      <c r="P261">
        <v>26.933</v>
      </c>
      <c r="Q261">
        <v>27.209</v>
      </c>
      <c r="R261">
        <v>27.952000000000002</v>
      </c>
      <c r="S261">
        <v>27.719000000000001</v>
      </c>
      <c r="T261">
        <v>26.696000000000002</v>
      </c>
      <c r="U261">
        <v>27.201000000000001</v>
      </c>
      <c r="V261">
        <v>26.584</v>
      </c>
      <c r="W261">
        <v>26.922999999999998</v>
      </c>
      <c r="X261">
        <v>28.41</v>
      </c>
      <c r="Y261">
        <v>26.866</v>
      </c>
      <c r="Z261">
        <v>27.259</v>
      </c>
    </row>
    <row r="262" spans="1:26" x14ac:dyDescent="0.45">
      <c r="A262" t="s">
        <v>2170</v>
      </c>
      <c r="B262" t="s">
        <v>2544</v>
      </c>
      <c r="C262" s="3" t="s">
        <v>1781</v>
      </c>
      <c r="D262">
        <v>30.733000000000001</v>
      </c>
      <c r="E262">
        <v>29.765999999999998</v>
      </c>
      <c r="F262">
        <v>27.978000000000002</v>
      </c>
      <c r="G262">
        <v>29.696999999999999</v>
      </c>
      <c r="H262">
        <v>27.821000000000002</v>
      </c>
      <c r="I262">
        <v>29.184999999999999</v>
      </c>
      <c r="J262">
        <v>28.172999999999998</v>
      </c>
      <c r="K262">
        <v>28.690999999999999</v>
      </c>
      <c r="L262">
        <v>29.331</v>
      </c>
      <c r="M262">
        <v>29.61</v>
      </c>
      <c r="N262">
        <v>28.1</v>
      </c>
      <c r="O262">
        <v>28.933</v>
      </c>
      <c r="P262">
        <v>29.431000000000001</v>
      </c>
      <c r="Q262">
        <v>28.154</v>
      </c>
      <c r="R262">
        <v>29.899000000000001</v>
      </c>
      <c r="S262">
        <v>28.808</v>
      </c>
      <c r="T262">
        <v>28.023</v>
      </c>
      <c r="U262">
        <v>28.372</v>
      </c>
      <c r="V262">
        <v>28.251000000000001</v>
      </c>
      <c r="W262">
        <v>28.259</v>
      </c>
      <c r="X262">
        <v>28.733000000000001</v>
      </c>
      <c r="Y262">
        <v>27.904</v>
      </c>
      <c r="Z262">
        <v>27.882999999999999</v>
      </c>
    </row>
    <row r="263" spans="1:26" x14ac:dyDescent="0.45">
      <c r="A263" t="s">
        <v>2171</v>
      </c>
      <c r="B263" t="s">
        <v>2545</v>
      </c>
      <c r="C263" s="3" t="s">
        <v>1782</v>
      </c>
      <c r="D263">
        <v>25.335000000000001</v>
      </c>
      <c r="E263">
        <v>25.338000000000001</v>
      </c>
      <c r="F263">
        <v>24.506</v>
      </c>
      <c r="G263">
        <v>26.402999999999999</v>
      </c>
      <c r="H263">
        <v>25.536000000000001</v>
      </c>
      <c r="I263">
        <v>24.562000000000001</v>
      </c>
      <c r="J263">
        <v>25.338000000000001</v>
      </c>
      <c r="K263">
        <v>26.521999999999998</v>
      </c>
      <c r="L263">
        <v>25.177</v>
      </c>
      <c r="M263">
        <v>26.736999999999998</v>
      </c>
      <c r="N263">
        <v>28.094000000000001</v>
      </c>
      <c r="O263">
        <v>25.946000000000002</v>
      </c>
      <c r="P263">
        <v>26.344000000000001</v>
      </c>
      <c r="Q263">
        <v>26.292999999999999</v>
      </c>
      <c r="R263">
        <v>26.434999999999999</v>
      </c>
      <c r="S263">
        <v>26.314</v>
      </c>
      <c r="T263">
        <v>25.491</v>
      </c>
      <c r="U263">
        <v>25.783000000000001</v>
      </c>
      <c r="V263">
        <v>24.952000000000002</v>
      </c>
      <c r="W263">
        <v>26.108000000000001</v>
      </c>
      <c r="X263">
        <v>26.49</v>
      </c>
      <c r="Y263">
        <v>25.59</v>
      </c>
      <c r="Z263">
        <v>25.475999999999999</v>
      </c>
    </row>
    <row r="264" spans="1:26" x14ac:dyDescent="0.45">
      <c r="A264" t="s">
        <v>2172</v>
      </c>
      <c r="B264" t="s">
        <v>2546</v>
      </c>
      <c r="C264" s="3" t="s">
        <v>1783</v>
      </c>
      <c r="D264">
        <v>23.725000000000001</v>
      </c>
      <c r="E264">
        <v>24.294</v>
      </c>
      <c r="F264">
        <v>23.675999999999998</v>
      </c>
      <c r="G264">
        <v>24.925999999999998</v>
      </c>
      <c r="H264">
        <v>22.928999999999998</v>
      </c>
      <c r="I264">
        <v>23.745999999999999</v>
      </c>
      <c r="J264">
        <v>23.837</v>
      </c>
      <c r="K264">
        <v>24.323</v>
      </c>
      <c r="L264">
        <v>23.59</v>
      </c>
      <c r="M264">
        <v>25.335000000000001</v>
      </c>
      <c r="N264">
        <v>25.919</v>
      </c>
      <c r="O264">
        <v>24.315000000000001</v>
      </c>
      <c r="P264">
        <v>24.221</v>
      </c>
      <c r="Q264">
        <v>23.893000000000001</v>
      </c>
      <c r="R264">
        <v>25.146000000000001</v>
      </c>
      <c r="S264">
        <v>23.765000000000001</v>
      </c>
      <c r="T264">
        <v>23.446000000000002</v>
      </c>
      <c r="U264">
        <v>23.748000000000001</v>
      </c>
      <c r="V264">
        <v>23.260999999999999</v>
      </c>
      <c r="W264">
        <v>23.417999999999999</v>
      </c>
      <c r="X264">
        <v>23.637</v>
      </c>
      <c r="Y264">
        <v>23.192</v>
      </c>
      <c r="Z264">
        <v>23.53</v>
      </c>
    </row>
    <row r="265" spans="1:26" x14ac:dyDescent="0.45">
      <c r="A265" t="s">
        <v>2173</v>
      </c>
      <c r="B265" t="s">
        <v>2547</v>
      </c>
      <c r="C265" s="3" t="s">
        <v>1784</v>
      </c>
      <c r="D265">
        <v>26.753</v>
      </c>
      <c r="E265">
        <v>26.462</v>
      </c>
      <c r="F265">
        <v>25.710999999999999</v>
      </c>
      <c r="G265">
        <v>27.379000000000001</v>
      </c>
      <c r="H265">
        <v>26.728000000000002</v>
      </c>
      <c r="I265">
        <v>26.411000000000001</v>
      </c>
      <c r="J265">
        <v>26.190999999999999</v>
      </c>
      <c r="K265">
        <v>27.154</v>
      </c>
      <c r="L265">
        <v>26.797000000000001</v>
      </c>
      <c r="M265">
        <v>26.523</v>
      </c>
      <c r="N265">
        <v>26.628</v>
      </c>
      <c r="O265">
        <v>27.55</v>
      </c>
      <c r="P265">
        <v>27.17</v>
      </c>
      <c r="Q265">
        <v>26.594999999999999</v>
      </c>
      <c r="R265">
        <v>27.411999999999999</v>
      </c>
      <c r="S265">
        <v>27.716000000000001</v>
      </c>
      <c r="T265">
        <v>26.602</v>
      </c>
      <c r="U265">
        <v>26.951000000000001</v>
      </c>
      <c r="V265">
        <v>26.658000000000001</v>
      </c>
      <c r="W265">
        <v>26.802</v>
      </c>
      <c r="X265">
        <v>27.11</v>
      </c>
      <c r="Y265">
        <v>26.495000000000001</v>
      </c>
      <c r="Z265">
        <v>26.811</v>
      </c>
    </row>
    <row r="266" spans="1:26" x14ac:dyDescent="0.45">
      <c r="A266" t="s">
        <v>2174</v>
      </c>
      <c r="B266" t="s">
        <v>2548</v>
      </c>
      <c r="C266" s="3" t="s">
        <v>1785</v>
      </c>
      <c r="D266">
        <v>31.963000000000001</v>
      </c>
      <c r="E266">
        <v>32.756</v>
      </c>
      <c r="F266">
        <v>32.404000000000003</v>
      </c>
      <c r="G266">
        <v>34.243000000000002</v>
      </c>
      <c r="H266">
        <v>33.609000000000002</v>
      </c>
      <c r="I266">
        <v>33.247999999999998</v>
      </c>
      <c r="J266">
        <v>32.787999999999997</v>
      </c>
      <c r="K266">
        <v>31.504999999999999</v>
      </c>
      <c r="L266">
        <v>33.654000000000003</v>
      </c>
      <c r="M266">
        <v>33.450000000000003</v>
      </c>
      <c r="N266">
        <v>32.802999999999997</v>
      </c>
      <c r="O266">
        <v>32.573</v>
      </c>
      <c r="P266">
        <v>32.823</v>
      </c>
      <c r="Q266">
        <v>32.399000000000001</v>
      </c>
      <c r="R266">
        <v>32.512999999999998</v>
      </c>
      <c r="S266">
        <v>33.180999999999997</v>
      </c>
      <c r="T266">
        <v>35.406999999999996</v>
      </c>
      <c r="U266">
        <v>32.345999999999997</v>
      </c>
      <c r="V266">
        <v>31.85</v>
      </c>
      <c r="W266">
        <v>34.878</v>
      </c>
      <c r="X266">
        <v>35.466000000000001</v>
      </c>
      <c r="Y266">
        <v>32.767000000000003</v>
      </c>
      <c r="Z266">
        <v>31.744</v>
      </c>
    </row>
    <row r="267" spans="1:26" x14ac:dyDescent="0.45">
      <c r="A267" t="s">
        <v>2175</v>
      </c>
      <c r="B267" t="s">
        <v>2549</v>
      </c>
      <c r="C267" s="3" t="s">
        <v>1786</v>
      </c>
      <c r="D267">
        <v>30.867999999999999</v>
      </c>
      <c r="E267">
        <v>30.896000000000001</v>
      </c>
      <c r="F267">
        <v>29.896000000000001</v>
      </c>
      <c r="G267">
        <v>32.677</v>
      </c>
      <c r="H267">
        <v>30.202999999999999</v>
      </c>
      <c r="I267">
        <v>29.658999999999999</v>
      </c>
      <c r="J267">
        <v>30.687000000000001</v>
      </c>
      <c r="K267">
        <v>32.959000000000003</v>
      </c>
      <c r="L267">
        <v>30.503</v>
      </c>
      <c r="M267">
        <v>30.448</v>
      </c>
      <c r="N267">
        <v>30.326000000000001</v>
      </c>
      <c r="O267">
        <v>31.198</v>
      </c>
      <c r="P267">
        <v>30.998999999999999</v>
      </c>
      <c r="Q267">
        <v>30.597000000000001</v>
      </c>
      <c r="R267">
        <v>32.396999999999998</v>
      </c>
      <c r="S267">
        <v>30.472999999999999</v>
      </c>
      <c r="T267">
        <v>30.79</v>
      </c>
      <c r="U267">
        <v>30.516999999999999</v>
      </c>
      <c r="V267">
        <v>30.591000000000001</v>
      </c>
      <c r="W267">
        <v>31.231999999999999</v>
      </c>
      <c r="X267">
        <v>30.498999999999999</v>
      </c>
      <c r="Y267">
        <v>29.978000000000002</v>
      </c>
      <c r="Z267">
        <v>30.446000000000002</v>
      </c>
    </row>
    <row r="268" spans="1:26" x14ac:dyDescent="0.45">
      <c r="A268" t="s">
        <v>2176</v>
      </c>
      <c r="B268" t="s">
        <v>2550</v>
      </c>
      <c r="C268" s="3" t="s">
        <v>1787</v>
      </c>
      <c r="D268">
        <v>28.902999999999999</v>
      </c>
      <c r="E268">
        <v>31.17</v>
      </c>
      <c r="F268">
        <v>30.495000000000001</v>
      </c>
      <c r="G268">
        <v>33.131999999999998</v>
      </c>
      <c r="H268">
        <v>30.434999999999999</v>
      </c>
      <c r="I268">
        <v>29.164999999999999</v>
      </c>
      <c r="J268">
        <v>30.553999999999998</v>
      </c>
      <c r="K268">
        <v>29.251000000000001</v>
      </c>
      <c r="L268">
        <v>32.21</v>
      </c>
      <c r="M268">
        <v>30.981000000000002</v>
      </c>
      <c r="N268">
        <v>31.997</v>
      </c>
      <c r="O268">
        <v>29.378</v>
      </c>
      <c r="P268">
        <v>30.241</v>
      </c>
      <c r="Q268">
        <v>32.11</v>
      </c>
      <c r="R268">
        <v>33.070999999999998</v>
      </c>
      <c r="S268">
        <v>29.771999999999998</v>
      </c>
      <c r="T268">
        <v>30.478000000000002</v>
      </c>
      <c r="U268">
        <v>31.367000000000001</v>
      </c>
      <c r="V268">
        <v>30.56</v>
      </c>
      <c r="W268">
        <v>31.167000000000002</v>
      </c>
      <c r="X268">
        <v>31.510999999999999</v>
      </c>
      <c r="Y268">
        <v>29.696999999999999</v>
      </c>
      <c r="Z268">
        <v>28.635999999999999</v>
      </c>
    </row>
    <row r="269" spans="1:26" x14ac:dyDescent="0.45">
      <c r="A269" t="s">
        <v>2177</v>
      </c>
      <c r="B269" t="s">
        <v>2551</v>
      </c>
      <c r="C269" s="3" t="s">
        <v>1788</v>
      </c>
      <c r="D269">
        <v>27.995999999999999</v>
      </c>
      <c r="E269">
        <v>28.616</v>
      </c>
      <c r="F269">
        <v>27.727</v>
      </c>
      <c r="G269">
        <v>29.498000000000001</v>
      </c>
      <c r="H269">
        <v>28.344000000000001</v>
      </c>
      <c r="I269">
        <v>27.337</v>
      </c>
      <c r="J269">
        <v>28.233000000000001</v>
      </c>
      <c r="K269">
        <v>29.111999999999998</v>
      </c>
      <c r="L269">
        <v>28.282</v>
      </c>
      <c r="M269">
        <v>28.582000000000001</v>
      </c>
      <c r="N269">
        <v>28.303000000000001</v>
      </c>
      <c r="O269">
        <v>28.675000000000001</v>
      </c>
      <c r="P269">
        <v>28.227</v>
      </c>
      <c r="Q269">
        <v>28.356000000000002</v>
      </c>
      <c r="R269">
        <v>28.751000000000001</v>
      </c>
      <c r="S269">
        <v>28.716000000000001</v>
      </c>
      <c r="T269">
        <v>28.207999999999998</v>
      </c>
      <c r="U269">
        <v>28.202999999999999</v>
      </c>
      <c r="V269">
        <v>28.346</v>
      </c>
      <c r="W269">
        <v>28.35</v>
      </c>
      <c r="X269">
        <v>28.648</v>
      </c>
      <c r="Y269">
        <v>27.771999999999998</v>
      </c>
      <c r="Z269">
        <v>28.474</v>
      </c>
    </row>
    <row r="270" spans="1:26" x14ac:dyDescent="0.45">
      <c r="A270" t="s">
        <v>2178</v>
      </c>
      <c r="B270" t="s">
        <v>2552</v>
      </c>
      <c r="C270" s="3" t="s">
        <v>1789</v>
      </c>
      <c r="D270">
        <v>26.826000000000001</v>
      </c>
      <c r="E270">
        <v>26.965</v>
      </c>
      <c r="F270">
        <v>26.648</v>
      </c>
      <c r="G270">
        <v>27.773</v>
      </c>
      <c r="H270">
        <v>26.888000000000002</v>
      </c>
      <c r="I270">
        <v>26.367000000000001</v>
      </c>
      <c r="J270">
        <v>26.934000000000001</v>
      </c>
      <c r="K270">
        <v>26.933</v>
      </c>
      <c r="L270">
        <v>26.864000000000001</v>
      </c>
      <c r="M270">
        <v>27.123000000000001</v>
      </c>
      <c r="N270">
        <v>27.271000000000001</v>
      </c>
      <c r="O270">
        <v>27.103999999999999</v>
      </c>
      <c r="P270">
        <v>27.234999999999999</v>
      </c>
      <c r="Q270">
        <v>27.25</v>
      </c>
      <c r="R270">
        <v>27.183</v>
      </c>
      <c r="S270">
        <v>27.492000000000001</v>
      </c>
      <c r="T270">
        <v>26.809000000000001</v>
      </c>
      <c r="U270">
        <v>27.172999999999998</v>
      </c>
      <c r="V270">
        <v>27.021999999999998</v>
      </c>
      <c r="W270">
        <v>27.228000000000002</v>
      </c>
      <c r="X270">
        <v>27.291</v>
      </c>
      <c r="Y270">
        <v>26.698</v>
      </c>
      <c r="Z270">
        <v>27.3</v>
      </c>
    </row>
    <row r="271" spans="1:26" x14ac:dyDescent="0.45">
      <c r="A271" t="s">
        <v>2179</v>
      </c>
      <c r="B271" t="s">
        <v>2553</v>
      </c>
      <c r="C271" s="3" t="s">
        <v>1790</v>
      </c>
      <c r="D271">
        <v>25.361999999999998</v>
      </c>
      <c r="E271">
        <v>25.510999999999999</v>
      </c>
      <c r="F271">
        <v>25.004000000000001</v>
      </c>
      <c r="G271">
        <v>26.844000000000001</v>
      </c>
      <c r="H271">
        <v>25.681000000000001</v>
      </c>
      <c r="I271">
        <v>24.995000000000001</v>
      </c>
      <c r="J271">
        <v>25.344000000000001</v>
      </c>
      <c r="K271">
        <v>25.928999999999998</v>
      </c>
      <c r="L271">
        <v>25.456</v>
      </c>
      <c r="M271">
        <v>25.852</v>
      </c>
      <c r="N271">
        <v>25.798999999999999</v>
      </c>
      <c r="O271">
        <v>26.216999999999999</v>
      </c>
      <c r="P271">
        <v>25.263000000000002</v>
      </c>
      <c r="Q271">
        <v>25.7</v>
      </c>
      <c r="R271">
        <v>26.003</v>
      </c>
      <c r="S271">
        <v>25.696000000000002</v>
      </c>
      <c r="T271">
        <v>25.957000000000001</v>
      </c>
      <c r="U271">
        <v>26.495000000000001</v>
      </c>
      <c r="V271">
        <v>25.45</v>
      </c>
      <c r="W271">
        <v>25.625</v>
      </c>
      <c r="X271">
        <v>26.379000000000001</v>
      </c>
      <c r="Y271">
        <v>25.725000000000001</v>
      </c>
      <c r="Z271">
        <v>25.341999999999999</v>
      </c>
    </row>
    <row r="272" spans="1:26" x14ac:dyDescent="0.45">
      <c r="A272" t="s">
        <v>2180</v>
      </c>
      <c r="B272" t="s">
        <v>2554</v>
      </c>
      <c r="C272" s="3" t="s">
        <v>1791</v>
      </c>
      <c r="D272">
        <v>31.093</v>
      </c>
      <c r="E272">
        <v>30.396999999999998</v>
      </c>
      <c r="F272">
        <v>29.491</v>
      </c>
      <c r="G272">
        <v>31.998000000000001</v>
      </c>
      <c r="H272">
        <v>31.242000000000001</v>
      </c>
      <c r="I272">
        <v>31.276</v>
      </c>
      <c r="J272">
        <v>30.576000000000001</v>
      </c>
      <c r="K272">
        <v>30.838000000000001</v>
      </c>
      <c r="L272">
        <v>30.745999999999999</v>
      </c>
      <c r="M272">
        <v>31.228000000000002</v>
      </c>
      <c r="N272">
        <v>30.890999999999998</v>
      </c>
      <c r="O272">
        <v>30.623999999999999</v>
      </c>
      <c r="P272">
        <v>31.202000000000002</v>
      </c>
      <c r="Q272">
        <v>30.812000000000001</v>
      </c>
      <c r="R272">
        <v>31.08</v>
      </c>
      <c r="S272">
        <v>31.47</v>
      </c>
      <c r="T272">
        <v>31.786000000000001</v>
      </c>
      <c r="U272">
        <v>30.963999999999999</v>
      </c>
      <c r="V272">
        <v>30.79</v>
      </c>
      <c r="W272">
        <v>30.143999999999998</v>
      </c>
      <c r="X272">
        <v>31.341999999999999</v>
      </c>
      <c r="Y272">
        <v>30.465</v>
      </c>
      <c r="Z272">
        <v>30.623000000000001</v>
      </c>
    </row>
    <row r="273" spans="1:26" x14ac:dyDescent="0.45">
      <c r="A273" t="s">
        <v>2181</v>
      </c>
      <c r="B273" t="s">
        <v>2555</v>
      </c>
      <c r="C273" s="3" t="s">
        <v>1792</v>
      </c>
      <c r="D273">
        <v>27.004000000000001</v>
      </c>
      <c r="E273">
        <v>28.25</v>
      </c>
      <c r="F273">
        <v>27.234999999999999</v>
      </c>
      <c r="G273">
        <v>28.577000000000002</v>
      </c>
      <c r="H273">
        <v>27.356000000000002</v>
      </c>
      <c r="I273">
        <v>26.925000000000001</v>
      </c>
      <c r="J273">
        <v>27.431999999999999</v>
      </c>
      <c r="K273">
        <v>28.016999999999999</v>
      </c>
      <c r="L273">
        <v>27.645</v>
      </c>
      <c r="M273">
        <v>27.869</v>
      </c>
      <c r="N273">
        <v>27.873999999999999</v>
      </c>
      <c r="O273">
        <v>28.117999999999999</v>
      </c>
      <c r="P273">
        <v>27.396000000000001</v>
      </c>
      <c r="Q273">
        <v>27.902000000000001</v>
      </c>
      <c r="R273">
        <v>28.12</v>
      </c>
      <c r="S273">
        <v>27.547999999999998</v>
      </c>
      <c r="T273">
        <v>27.497</v>
      </c>
      <c r="U273">
        <v>27.744</v>
      </c>
      <c r="V273">
        <v>27.492000000000001</v>
      </c>
      <c r="W273">
        <v>27.102</v>
      </c>
      <c r="X273">
        <v>28.273</v>
      </c>
      <c r="Y273">
        <v>27.445</v>
      </c>
      <c r="Z273">
        <v>27.283000000000001</v>
      </c>
    </row>
    <row r="274" spans="1:26" x14ac:dyDescent="0.45">
      <c r="A274" t="s">
        <v>2182</v>
      </c>
      <c r="B274" t="s">
        <v>2556</v>
      </c>
      <c r="C274" s="3" t="s">
        <v>1793</v>
      </c>
      <c r="D274">
        <v>29.419</v>
      </c>
      <c r="E274">
        <v>29.977</v>
      </c>
      <c r="F274">
        <v>28.117000000000001</v>
      </c>
      <c r="G274">
        <v>30.324999999999999</v>
      </c>
      <c r="H274">
        <v>28.77</v>
      </c>
      <c r="I274">
        <v>27.433</v>
      </c>
      <c r="J274">
        <v>29.466999999999999</v>
      </c>
      <c r="K274">
        <v>29.97</v>
      </c>
      <c r="L274">
        <v>29.658999999999999</v>
      </c>
      <c r="M274">
        <v>28.852</v>
      </c>
      <c r="N274">
        <v>28.126000000000001</v>
      </c>
      <c r="O274">
        <v>29.13</v>
      </c>
      <c r="P274">
        <v>28.981999999999999</v>
      </c>
      <c r="Q274">
        <v>28.651</v>
      </c>
      <c r="R274">
        <v>29.428000000000001</v>
      </c>
      <c r="S274">
        <v>29.071000000000002</v>
      </c>
      <c r="T274">
        <v>29.533000000000001</v>
      </c>
      <c r="U274">
        <v>27.815000000000001</v>
      </c>
      <c r="V274">
        <v>27.545999999999999</v>
      </c>
      <c r="W274">
        <v>28.59</v>
      </c>
      <c r="X274">
        <v>30.212</v>
      </c>
      <c r="Y274">
        <v>28.84</v>
      </c>
      <c r="Z274">
        <v>28.52</v>
      </c>
    </row>
    <row r="275" spans="1:26" x14ac:dyDescent="0.45">
      <c r="A275" t="s">
        <v>2183</v>
      </c>
      <c r="B275" t="s">
        <v>2557</v>
      </c>
      <c r="C275" s="3" t="s">
        <v>1794</v>
      </c>
      <c r="D275">
        <v>26.795000000000002</v>
      </c>
      <c r="E275">
        <v>27.285</v>
      </c>
      <c r="F275">
        <v>26.352</v>
      </c>
      <c r="G275">
        <v>27.972999999999999</v>
      </c>
      <c r="H275">
        <v>27.504000000000001</v>
      </c>
      <c r="I275">
        <v>26.605</v>
      </c>
      <c r="J275">
        <v>26.914000000000001</v>
      </c>
      <c r="K275">
        <v>27.13</v>
      </c>
      <c r="L275">
        <v>27.486999999999998</v>
      </c>
      <c r="M275">
        <v>26.937000000000001</v>
      </c>
      <c r="N275">
        <v>27.228000000000002</v>
      </c>
      <c r="O275">
        <v>27.462</v>
      </c>
      <c r="P275">
        <v>26.727</v>
      </c>
      <c r="Q275">
        <v>27.350999999999999</v>
      </c>
      <c r="R275">
        <v>27.283999999999999</v>
      </c>
      <c r="S275">
        <v>27.19</v>
      </c>
      <c r="T275">
        <v>27.652999999999999</v>
      </c>
      <c r="U275">
        <v>27.007000000000001</v>
      </c>
      <c r="V275">
        <v>26.835000000000001</v>
      </c>
      <c r="W275">
        <v>27.102</v>
      </c>
      <c r="X275">
        <v>28.707999999999998</v>
      </c>
      <c r="Y275">
        <v>27.986000000000001</v>
      </c>
      <c r="Z275">
        <v>27.547999999999998</v>
      </c>
    </row>
    <row r="276" spans="1:26" x14ac:dyDescent="0.45">
      <c r="A276" t="s">
        <v>2184</v>
      </c>
      <c r="B276" t="s">
        <v>2558</v>
      </c>
      <c r="C276" s="3" t="s">
        <v>1795</v>
      </c>
      <c r="D276">
        <v>29.722000000000001</v>
      </c>
      <c r="E276">
        <v>31.713000000000001</v>
      </c>
      <c r="F276">
        <v>29.98</v>
      </c>
      <c r="G276">
        <v>31.509</v>
      </c>
      <c r="H276">
        <v>31.004000000000001</v>
      </c>
      <c r="I276">
        <v>29.39</v>
      </c>
      <c r="J276">
        <v>29.75</v>
      </c>
      <c r="K276">
        <v>29.908000000000001</v>
      </c>
      <c r="L276">
        <v>30.86</v>
      </c>
      <c r="M276">
        <v>30.181999999999999</v>
      </c>
      <c r="N276">
        <v>30.55</v>
      </c>
      <c r="O276">
        <v>31.437000000000001</v>
      </c>
      <c r="P276">
        <v>31.643999999999998</v>
      </c>
      <c r="Q276">
        <v>30.885999999999999</v>
      </c>
      <c r="R276">
        <v>31.745000000000001</v>
      </c>
      <c r="S276">
        <v>29.634</v>
      </c>
      <c r="T276">
        <v>31.292000000000002</v>
      </c>
      <c r="U276">
        <v>30.495000000000001</v>
      </c>
      <c r="V276">
        <v>30.375</v>
      </c>
      <c r="W276">
        <v>30.323</v>
      </c>
      <c r="X276">
        <v>32.545000000000002</v>
      </c>
      <c r="Y276">
        <v>31.329000000000001</v>
      </c>
      <c r="Z276">
        <v>30.382999999999999</v>
      </c>
    </row>
    <row r="277" spans="1:26" x14ac:dyDescent="0.45">
      <c r="A277" t="s">
        <v>2185</v>
      </c>
      <c r="B277" t="s">
        <v>2559</v>
      </c>
      <c r="C277" s="3" t="s">
        <v>1796</v>
      </c>
      <c r="D277">
        <v>29.321000000000002</v>
      </c>
      <c r="E277">
        <v>30.802</v>
      </c>
      <c r="F277">
        <v>28.847999999999999</v>
      </c>
      <c r="G277">
        <v>28.577999999999999</v>
      </c>
      <c r="H277">
        <v>27.792000000000002</v>
      </c>
      <c r="I277">
        <v>26.92</v>
      </c>
      <c r="J277">
        <v>26.291</v>
      </c>
      <c r="K277">
        <v>27.167999999999999</v>
      </c>
      <c r="L277">
        <v>27.579000000000001</v>
      </c>
      <c r="M277">
        <v>31.879000000000001</v>
      </c>
      <c r="N277">
        <v>27.073</v>
      </c>
      <c r="O277">
        <v>29.831</v>
      </c>
      <c r="P277">
        <v>26.454000000000001</v>
      </c>
      <c r="Q277">
        <v>28.445</v>
      </c>
      <c r="R277">
        <v>31.436</v>
      </c>
      <c r="S277">
        <v>28.367999999999999</v>
      </c>
      <c r="T277">
        <v>32.003999999999998</v>
      </c>
      <c r="U277">
        <v>29.007000000000001</v>
      </c>
      <c r="V277">
        <v>28.93</v>
      </c>
      <c r="W277">
        <v>27.446000000000002</v>
      </c>
      <c r="X277">
        <v>27.32</v>
      </c>
      <c r="Y277">
        <v>33.482999999999997</v>
      </c>
      <c r="Z277">
        <v>26.183</v>
      </c>
    </row>
    <row r="278" spans="1:26" x14ac:dyDescent="0.45">
      <c r="A278" t="s">
        <v>2186</v>
      </c>
      <c r="B278" t="s">
        <v>2560</v>
      </c>
      <c r="C278" s="3" t="s">
        <v>1797</v>
      </c>
      <c r="D278">
        <v>31.126999999999999</v>
      </c>
      <c r="E278">
        <v>31.672000000000001</v>
      </c>
      <c r="F278">
        <v>29.702000000000002</v>
      </c>
      <c r="G278">
        <v>31.251000000000001</v>
      </c>
      <c r="H278">
        <v>29.864000000000001</v>
      </c>
      <c r="I278">
        <v>29.702999999999999</v>
      </c>
      <c r="J278">
        <v>30.202999999999999</v>
      </c>
      <c r="K278">
        <v>30.535</v>
      </c>
      <c r="L278">
        <v>29.97</v>
      </c>
      <c r="M278">
        <v>32.503999999999998</v>
      </c>
      <c r="N278">
        <v>30.727</v>
      </c>
      <c r="O278">
        <v>31.161999999999999</v>
      </c>
      <c r="P278">
        <v>30.103000000000002</v>
      </c>
      <c r="Q278">
        <v>31.122</v>
      </c>
      <c r="R278">
        <v>31.931000000000001</v>
      </c>
      <c r="S278">
        <v>30.308</v>
      </c>
      <c r="T278">
        <v>30.63</v>
      </c>
      <c r="U278">
        <v>31.997</v>
      </c>
      <c r="V278">
        <v>31.954000000000001</v>
      </c>
      <c r="W278">
        <v>30.422999999999998</v>
      </c>
      <c r="X278">
        <v>30.565999999999999</v>
      </c>
      <c r="Y278">
        <v>32.107999999999997</v>
      </c>
      <c r="Z278">
        <v>29.952000000000002</v>
      </c>
    </row>
    <row r="279" spans="1:26" x14ac:dyDescent="0.45">
      <c r="A279" t="s">
        <v>2187</v>
      </c>
      <c r="B279" t="s">
        <v>2561</v>
      </c>
      <c r="C279" s="3" t="s">
        <v>1798</v>
      </c>
      <c r="D279">
        <v>24.29</v>
      </c>
      <c r="E279">
        <v>23.641999999999999</v>
      </c>
      <c r="F279">
        <v>22.372</v>
      </c>
      <c r="G279">
        <v>24.396000000000001</v>
      </c>
      <c r="H279">
        <v>23.271999999999998</v>
      </c>
      <c r="I279">
        <v>24.459</v>
      </c>
      <c r="J279">
        <v>22.516999999999999</v>
      </c>
      <c r="K279">
        <v>23.808</v>
      </c>
      <c r="L279">
        <v>22.945</v>
      </c>
      <c r="M279">
        <v>22.991</v>
      </c>
      <c r="N279">
        <v>22.872</v>
      </c>
      <c r="O279">
        <v>23.876999999999999</v>
      </c>
      <c r="P279">
        <v>22.724</v>
      </c>
      <c r="Q279">
        <v>24.279</v>
      </c>
      <c r="R279">
        <v>23.855</v>
      </c>
      <c r="S279">
        <v>24.478999999999999</v>
      </c>
      <c r="T279">
        <v>25.562999999999999</v>
      </c>
      <c r="U279">
        <v>22.873000000000001</v>
      </c>
      <c r="V279">
        <v>24.274000000000001</v>
      </c>
      <c r="W279">
        <v>24.434999999999999</v>
      </c>
      <c r="X279">
        <v>25.241</v>
      </c>
      <c r="Y279">
        <v>27.259</v>
      </c>
      <c r="Z279">
        <v>23.457999999999998</v>
      </c>
    </row>
    <row r="280" spans="1:26" x14ac:dyDescent="0.45">
      <c r="A280" t="s">
        <v>2188</v>
      </c>
      <c r="B280" t="s">
        <v>2562</v>
      </c>
      <c r="C280" s="3" t="s">
        <v>1799</v>
      </c>
      <c r="D280">
        <v>31.613</v>
      </c>
      <c r="E280">
        <v>31.643000000000001</v>
      </c>
      <c r="F280">
        <v>29.384</v>
      </c>
      <c r="G280">
        <v>31.209</v>
      </c>
      <c r="H280">
        <v>30.233000000000001</v>
      </c>
      <c r="I280">
        <v>31.954000000000001</v>
      </c>
      <c r="J280">
        <v>29.518999999999998</v>
      </c>
      <c r="K280">
        <v>30.637</v>
      </c>
      <c r="L280">
        <v>29.811</v>
      </c>
      <c r="M280">
        <v>30.896999999999998</v>
      </c>
      <c r="N280">
        <v>31.213999999999999</v>
      </c>
      <c r="O280">
        <v>30.631</v>
      </c>
      <c r="P280">
        <v>30.276</v>
      </c>
      <c r="Q280">
        <v>31.141999999999999</v>
      </c>
      <c r="R280">
        <v>31.169</v>
      </c>
      <c r="S280">
        <v>31.623000000000001</v>
      </c>
      <c r="T280">
        <v>32.953000000000003</v>
      </c>
      <c r="U280">
        <v>30.152000000000001</v>
      </c>
      <c r="V280">
        <v>31.363</v>
      </c>
      <c r="W280">
        <v>30.89</v>
      </c>
      <c r="X280">
        <v>32.728999999999999</v>
      </c>
      <c r="Y280">
        <v>32.866999999999997</v>
      </c>
      <c r="Z280">
        <v>32.353000000000002</v>
      </c>
    </row>
    <row r="281" spans="1:26" x14ac:dyDescent="0.45">
      <c r="A281" t="s">
        <v>2189</v>
      </c>
      <c r="B281" t="s">
        <v>2563</v>
      </c>
      <c r="C281" s="3" t="s">
        <v>1800</v>
      </c>
      <c r="D281">
        <v>27.913</v>
      </c>
      <c r="E281">
        <v>28.695</v>
      </c>
      <c r="F281">
        <v>25.282</v>
      </c>
      <c r="G281">
        <v>27.257999999999999</v>
      </c>
      <c r="H281">
        <v>25.588000000000001</v>
      </c>
      <c r="I281">
        <v>29.224</v>
      </c>
      <c r="J281">
        <v>25.62</v>
      </c>
      <c r="K281">
        <v>26.375</v>
      </c>
      <c r="L281">
        <v>25.413</v>
      </c>
      <c r="M281">
        <v>25.734000000000002</v>
      </c>
      <c r="N281">
        <v>22</v>
      </c>
      <c r="O281">
        <v>26.49</v>
      </c>
      <c r="P281">
        <v>25.786000000000001</v>
      </c>
      <c r="Q281">
        <v>25.536000000000001</v>
      </c>
      <c r="R281">
        <v>25.988</v>
      </c>
      <c r="S281">
        <v>26.635999999999999</v>
      </c>
      <c r="T281">
        <v>25.643999999999998</v>
      </c>
      <c r="U281">
        <v>25.481000000000002</v>
      </c>
      <c r="V281">
        <v>23.77</v>
      </c>
      <c r="W281">
        <v>26.79</v>
      </c>
      <c r="X281">
        <v>26.81</v>
      </c>
      <c r="Y281">
        <v>28.361000000000001</v>
      </c>
      <c r="Z281">
        <v>25.693999999999999</v>
      </c>
    </row>
    <row r="282" spans="1:26" x14ac:dyDescent="0.45">
      <c r="A282" t="s">
        <v>2190</v>
      </c>
      <c r="B282" t="s">
        <v>2564</v>
      </c>
      <c r="C282" s="3" t="s">
        <v>1801</v>
      </c>
      <c r="D282">
        <v>26.399000000000001</v>
      </c>
      <c r="E282">
        <v>27.425000000000001</v>
      </c>
      <c r="F282">
        <v>25.379000000000001</v>
      </c>
      <c r="G282">
        <v>26.417999999999999</v>
      </c>
      <c r="H282">
        <v>24.725000000000001</v>
      </c>
      <c r="I282">
        <v>28.114999999999998</v>
      </c>
      <c r="J282">
        <v>25.294</v>
      </c>
      <c r="K282">
        <v>25.414999999999999</v>
      </c>
      <c r="L282">
        <v>24.849</v>
      </c>
      <c r="M282">
        <v>25.399000000000001</v>
      </c>
      <c r="N282">
        <v>24.481999999999999</v>
      </c>
      <c r="O282">
        <v>25.526</v>
      </c>
      <c r="P282">
        <v>25.352</v>
      </c>
      <c r="Q282">
        <v>24.864000000000001</v>
      </c>
      <c r="R282">
        <v>25.234000000000002</v>
      </c>
      <c r="S282">
        <v>25.916</v>
      </c>
      <c r="T282">
        <v>24.417000000000002</v>
      </c>
      <c r="U282">
        <v>24.83</v>
      </c>
      <c r="V282">
        <v>25.268999999999998</v>
      </c>
      <c r="W282">
        <v>25.722000000000001</v>
      </c>
      <c r="X282">
        <v>25.645</v>
      </c>
      <c r="Y282">
        <v>27.015000000000001</v>
      </c>
      <c r="Z282">
        <v>25.204999999999998</v>
      </c>
    </row>
    <row r="283" spans="1:26" x14ac:dyDescent="0.45">
      <c r="A283" t="s">
        <v>2191</v>
      </c>
      <c r="B283" t="s">
        <v>2565</v>
      </c>
      <c r="C283" s="3" t="s">
        <v>1802</v>
      </c>
      <c r="D283">
        <v>26.507999999999999</v>
      </c>
      <c r="E283">
        <v>25.797000000000001</v>
      </c>
      <c r="F283">
        <v>25.47</v>
      </c>
      <c r="G283">
        <v>27.013000000000002</v>
      </c>
      <c r="H283">
        <v>26.677</v>
      </c>
      <c r="I283">
        <v>26.2</v>
      </c>
      <c r="J283">
        <v>25.940999999999999</v>
      </c>
      <c r="K283">
        <v>26.748999999999999</v>
      </c>
      <c r="L283">
        <v>26.457000000000001</v>
      </c>
      <c r="M283">
        <v>25.68</v>
      </c>
      <c r="N283">
        <v>26.099</v>
      </c>
      <c r="O283">
        <v>26.645</v>
      </c>
      <c r="P283">
        <v>27.4</v>
      </c>
      <c r="Q283">
        <v>26.001000000000001</v>
      </c>
      <c r="R283">
        <v>26.117000000000001</v>
      </c>
      <c r="S283">
        <v>26.654</v>
      </c>
      <c r="T283">
        <v>26.132000000000001</v>
      </c>
      <c r="U283">
        <v>25.882000000000001</v>
      </c>
      <c r="V283">
        <v>26.77</v>
      </c>
      <c r="W283">
        <v>27.167999999999999</v>
      </c>
      <c r="X283">
        <v>26.704000000000001</v>
      </c>
      <c r="Y283">
        <v>26.475000000000001</v>
      </c>
      <c r="Z283">
        <v>27.666</v>
      </c>
    </row>
    <row r="284" spans="1:26" x14ac:dyDescent="0.45">
      <c r="A284" t="s">
        <v>2192</v>
      </c>
      <c r="B284" t="s">
        <v>2566</v>
      </c>
      <c r="C284" s="3" t="s">
        <v>1803</v>
      </c>
      <c r="D284">
        <v>21.701000000000001</v>
      </c>
      <c r="E284">
        <v>21.831</v>
      </c>
      <c r="F284">
        <v>21.315999999999999</v>
      </c>
      <c r="G284">
        <v>22.692</v>
      </c>
      <c r="H284">
        <v>22.291</v>
      </c>
      <c r="I284">
        <v>21.922999999999998</v>
      </c>
      <c r="J284">
        <v>21.57</v>
      </c>
      <c r="K284">
        <v>21.597000000000001</v>
      </c>
      <c r="L284">
        <v>21.699000000000002</v>
      </c>
      <c r="M284">
        <v>22.151</v>
      </c>
      <c r="N284">
        <v>21.184000000000001</v>
      </c>
      <c r="O284">
        <v>21.66</v>
      </c>
      <c r="P284">
        <v>23.178999999999998</v>
      </c>
      <c r="Q284">
        <v>21.155000000000001</v>
      </c>
      <c r="R284">
        <v>21.968</v>
      </c>
      <c r="S284">
        <v>21.870999999999999</v>
      </c>
      <c r="T284">
        <v>20.931000000000001</v>
      </c>
      <c r="U284">
        <v>21.306999999999999</v>
      </c>
      <c r="V284">
        <v>22.559000000000001</v>
      </c>
      <c r="W284">
        <v>22.172999999999998</v>
      </c>
      <c r="X284">
        <v>21.76</v>
      </c>
      <c r="Y284">
        <v>21.007999999999999</v>
      </c>
      <c r="Z284">
        <v>23.308</v>
      </c>
    </row>
    <row r="285" spans="1:26" x14ac:dyDescent="0.45">
      <c r="A285" t="s">
        <v>2193</v>
      </c>
      <c r="B285" t="s">
        <v>2567</v>
      </c>
      <c r="C285" s="3" t="s">
        <v>1804</v>
      </c>
      <c r="D285">
        <v>30.477</v>
      </c>
      <c r="E285">
        <v>28.667999999999999</v>
      </c>
      <c r="F285">
        <v>28.276</v>
      </c>
      <c r="G285">
        <v>29.456</v>
      </c>
      <c r="H285">
        <v>27.991</v>
      </c>
      <c r="I285">
        <v>28.7</v>
      </c>
      <c r="J285">
        <v>28.158999999999999</v>
      </c>
      <c r="K285">
        <v>28.404</v>
      </c>
      <c r="L285">
        <v>29.228999999999999</v>
      </c>
      <c r="M285">
        <v>29.803999999999998</v>
      </c>
      <c r="N285">
        <v>28.436</v>
      </c>
      <c r="O285">
        <v>30.081</v>
      </c>
      <c r="P285">
        <v>29.312000000000001</v>
      </c>
      <c r="Q285">
        <v>28.876000000000001</v>
      </c>
      <c r="R285">
        <v>29.411000000000001</v>
      </c>
      <c r="S285">
        <v>29.36</v>
      </c>
      <c r="T285">
        <v>28.126999999999999</v>
      </c>
      <c r="U285">
        <v>28.331</v>
      </c>
      <c r="V285">
        <v>28.206</v>
      </c>
      <c r="W285">
        <v>28.335999999999999</v>
      </c>
      <c r="X285">
        <v>28.239000000000001</v>
      </c>
      <c r="Y285">
        <v>27.702999999999999</v>
      </c>
      <c r="Z285">
        <v>28.181999999999999</v>
      </c>
    </row>
    <row r="286" spans="1:26" x14ac:dyDescent="0.45">
      <c r="A286" t="s">
        <v>2194</v>
      </c>
      <c r="B286" t="s">
        <v>2568</v>
      </c>
      <c r="C286" s="3" t="s">
        <v>1805</v>
      </c>
      <c r="D286">
        <v>26.538</v>
      </c>
      <c r="E286">
        <v>24.928999999999998</v>
      </c>
      <c r="F286">
        <v>24.46</v>
      </c>
      <c r="G286">
        <v>25.844000000000001</v>
      </c>
      <c r="H286">
        <v>24.981999999999999</v>
      </c>
      <c r="I286">
        <v>25.137</v>
      </c>
      <c r="J286">
        <v>24.640999999999998</v>
      </c>
      <c r="K286">
        <v>25.728999999999999</v>
      </c>
      <c r="L286">
        <v>25.684000000000001</v>
      </c>
      <c r="M286">
        <v>25.93</v>
      </c>
      <c r="N286">
        <v>24.795999999999999</v>
      </c>
      <c r="O286">
        <v>25.655999999999999</v>
      </c>
      <c r="P286">
        <v>25.611000000000001</v>
      </c>
      <c r="Q286">
        <v>24.902000000000001</v>
      </c>
      <c r="R286">
        <v>26.094999999999999</v>
      </c>
      <c r="S286">
        <v>26.238</v>
      </c>
      <c r="T286">
        <v>24.850999999999999</v>
      </c>
      <c r="U286">
        <v>25.119</v>
      </c>
      <c r="V286">
        <v>25.106000000000002</v>
      </c>
      <c r="W286">
        <v>25.785</v>
      </c>
      <c r="X286">
        <v>25.518000000000001</v>
      </c>
      <c r="Y286">
        <v>24.963999999999999</v>
      </c>
      <c r="Z286">
        <v>25.196999999999999</v>
      </c>
    </row>
    <row r="287" spans="1:26" x14ac:dyDescent="0.45">
      <c r="A287" t="s">
        <v>2195</v>
      </c>
      <c r="B287" t="s">
        <v>2569</v>
      </c>
      <c r="C287" s="3" t="s">
        <v>1806</v>
      </c>
      <c r="D287">
        <v>28.376000000000001</v>
      </c>
      <c r="E287">
        <v>28.094000000000001</v>
      </c>
      <c r="F287">
        <v>27.763000000000002</v>
      </c>
      <c r="G287">
        <v>28.916</v>
      </c>
      <c r="H287">
        <v>27.927</v>
      </c>
      <c r="I287">
        <v>27.972999999999999</v>
      </c>
      <c r="J287">
        <v>28.012</v>
      </c>
      <c r="K287">
        <v>29.218</v>
      </c>
      <c r="L287">
        <v>28.100999999999999</v>
      </c>
      <c r="M287">
        <v>28.42</v>
      </c>
      <c r="N287">
        <v>28.986999999999998</v>
      </c>
      <c r="O287">
        <v>28.725000000000001</v>
      </c>
      <c r="P287">
        <v>28.146000000000001</v>
      </c>
      <c r="Q287">
        <v>28.172000000000001</v>
      </c>
      <c r="R287">
        <v>28.774000000000001</v>
      </c>
      <c r="S287">
        <v>28.024999999999999</v>
      </c>
      <c r="T287">
        <v>28.431000000000001</v>
      </c>
      <c r="U287">
        <v>28.131</v>
      </c>
      <c r="V287">
        <v>27.995999999999999</v>
      </c>
      <c r="W287">
        <v>28.317</v>
      </c>
      <c r="X287">
        <v>28.71</v>
      </c>
      <c r="Y287">
        <v>27.969000000000001</v>
      </c>
      <c r="Z287">
        <v>27.919</v>
      </c>
    </row>
    <row r="288" spans="1:26" x14ac:dyDescent="0.45">
      <c r="A288" t="s">
        <v>2196</v>
      </c>
      <c r="B288" t="s">
        <v>2570</v>
      </c>
      <c r="C288" s="3" t="s">
        <v>1807</v>
      </c>
      <c r="D288">
        <v>27.966000000000001</v>
      </c>
      <c r="E288">
        <v>28.242999999999999</v>
      </c>
      <c r="F288">
        <v>27.641999999999999</v>
      </c>
      <c r="G288">
        <v>29.908999999999999</v>
      </c>
      <c r="H288">
        <v>28.431000000000001</v>
      </c>
      <c r="I288">
        <v>28.143000000000001</v>
      </c>
      <c r="J288">
        <v>28.193000000000001</v>
      </c>
      <c r="K288">
        <v>29.847999999999999</v>
      </c>
      <c r="L288">
        <v>28.172999999999998</v>
      </c>
      <c r="M288">
        <v>29.812000000000001</v>
      </c>
      <c r="N288">
        <v>29.841000000000001</v>
      </c>
      <c r="O288">
        <v>28.989000000000001</v>
      </c>
      <c r="P288">
        <v>28.643000000000001</v>
      </c>
      <c r="Q288">
        <v>28.774000000000001</v>
      </c>
      <c r="R288">
        <v>28.974</v>
      </c>
      <c r="S288">
        <v>28.501000000000001</v>
      </c>
      <c r="T288">
        <v>28.355</v>
      </c>
      <c r="U288">
        <v>28.707000000000001</v>
      </c>
      <c r="V288">
        <v>28.137</v>
      </c>
      <c r="W288">
        <v>28.957999999999998</v>
      </c>
      <c r="X288">
        <v>29.625</v>
      </c>
      <c r="Y288">
        <v>28.766999999999999</v>
      </c>
      <c r="Z288">
        <v>28.420999999999999</v>
      </c>
    </row>
    <row r="289" spans="1:26" x14ac:dyDescent="0.45">
      <c r="A289" t="s">
        <v>2197</v>
      </c>
      <c r="B289" t="s">
        <v>2571</v>
      </c>
      <c r="C289" s="3" t="s">
        <v>1808</v>
      </c>
      <c r="D289">
        <v>26.872</v>
      </c>
      <c r="E289">
        <v>28.068999999999999</v>
      </c>
      <c r="F289">
        <v>27.838999999999999</v>
      </c>
      <c r="G289">
        <v>28.323</v>
      </c>
      <c r="H289">
        <v>27.314</v>
      </c>
      <c r="I289">
        <v>27.42</v>
      </c>
      <c r="J289">
        <v>27.899000000000001</v>
      </c>
      <c r="K289">
        <v>27.917999999999999</v>
      </c>
      <c r="L289">
        <v>27.542000000000002</v>
      </c>
      <c r="M289">
        <v>28.329000000000001</v>
      </c>
      <c r="N289">
        <v>27.641999999999999</v>
      </c>
      <c r="O289">
        <v>27.393999999999998</v>
      </c>
      <c r="P289">
        <v>27.914000000000001</v>
      </c>
      <c r="Q289">
        <v>27.989000000000001</v>
      </c>
      <c r="R289">
        <v>28.172000000000001</v>
      </c>
      <c r="S289">
        <v>28.157</v>
      </c>
      <c r="T289">
        <v>27.602</v>
      </c>
      <c r="U289">
        <v>27.545000000000002</v>
      </c>
      <c r="V289">
        <v>27.213999999999999</v>
      </c>
      <c r="W289">
        <v>27.523</v>
      </c>
      <c r="X289">
        <v>27.311</v>
      </c>
      <c r="Y289">
        <v>26.629000000000001</v>
      </c>
      <c r="Z289">
        <v>26.661999999999999</v>
      </c>
    </row>
    <row r="290" spans="1:26" x14ac:dyDescent="0.45">
      <c r="A290" t="s">
        <v>2198</v>
      </c>
      <c r="B290" t="s">
        <v>2572</v>
      </c>
      <c r="C290" s="3" t="s">
        <v>1809</v>
      </c>
      <c r="D290">
        <v>27.332999999999998</v>
      </c>
      <c r="E290">
        <v>27.268999999999998</v>
      </c>
      <c r="F290">
        <v>26.605</v>
      </c>
      <c r="G290">
        <v>27.849</v>
      </c>
      <c r="H290">
        <v>27.026</v>
      </c>
      <c r="I290">
        <v>26.882000000000001</v>
      </c>
      <c r="J290">
        <v>26.728000000000002</v>
      </c>
      <c r="K290">
        <v>27.568000000000001</v>
      </c>
      <c r="L290">
        <v>27.100999999999999</v>
      </c>
      <c r="M290">
        <v>27.338000000000001</v>
      </c>
      <c r="N290">
        <v>26.824999999999999</v>
      </c>
      <c r="O290">
        <v>28.315999999999999</v>
      </c>
      <c r="P290">
        <v>27.452999999999999</v>
      </c>
      <c r="Q290">
        <v>27.007999999999999</v>
      </c>
      <c r="R290">
        <v>27.405000000000001</v>
      </c>
      <c r="S290">
        <v>28.007000000000001</v>
      </c>
      <c r="T290">
        <v>27.338000000000001</v>
      </c>
      <c r="U290">
        <v>27.045999999999999</v>
      </c>
      <c r="V290">
        <v>26.907</v>
      </c>
      <c r="W290">
        <v>27.645</v>
      </c>
      <c r="X290">
        <v>27.47</v>
      </c>
      <c r="Y290">
        <v>27.167000000000002</v>
      </c>
      <c r="Z290">
        <v>27.442</v>
      </c>
    </row>
    <row r="291" spans="1:26" x14ac:dyDescent="0.45">
      <c r="A291" t="s">
        <v>2199</v>
      </c>
      <c r="B291" t="s">
        <v>2573</v>
      </c>
      <c r="C291" s="3" t="s">
        <v>1810</v>
      </c>
      <c r="D291">
        <v>28.747</v>
      </c>
      <c r="E291">
        <v>28.795000000000002</v>
      </c>
      <c r="F291">
        <v>28.097999999999999</v>
      </c>
      <c r="G291">
        <v>29.707999999999998</v>
      </c>
      <c r="H291">
        <v>29.666</v>
      </c>
      <c r="I291">
        <v>28.678999999999998</v>
      </c>
      <c r="J291">
        <v>28.542999999999999</v>
      </c>
      <c r="K291">
        <v>29.196000000000002</v>
      </c>
      <c r="L291">
        <v>28.69</v>
      </c>
      <c r="M291">
        <v>29.552</v>
      </c>
      <c r="N291">
        <v>28.806000000000001</v>
      </c>
      <c r="O291">
        <v>29.542000000000002</v>
      </c>
      <c r="P291">
        <v>29.312000000000001</v>
      </c>
      <c r="Q291">
        <v>29.436</v>
      </c>
      <c r="R291">
        <v>28.664999999999999</v>
      </c>
      <c r="S291">
        <v>28.844000000000001</v>
      </c>
      <c r="T291">
        <v>29.815000000000001</v>
      </c>
      <c r="U291">
        <v>29.248000000000001</v>
      </c>
      <c r="V291">
        <v>29.163</v>
      </c>
      <c r="W291">
        <v>29.436</v>
      </c>
      <c r="X291">
        <v>29.925000000000001</v>
      </c>
      <c r="Y291">
        <v>29.995999999999999</v>
      </c>
      <c r="Z291">
        <v>29.765999999999998</v>
      </c>
    </row>
    <row r="292" spans="1:26" x14ac:dyDescent="0.45">
      <c r="A292" t="s">
        <v>2200</v>
      </c>
      <c r="B292" t="s">
        <v>2574</v>
      </c>
      <c r="C292" s="3" t="s">
        <v>1811</v>
      </c>
      <c r="D292">
        <v>25.645</v>
      </c>
      <c r="E292">
        <v>25.847000000000001</v>
      </c>
      <c r="F292">
        <v>25.172999999999998</v>
      </c>
      <c r="G292">
        <v>26.992999999999999</v>
      </c>
      <c r="H292">
        <v>25.544</v>
      </c>
      <c r="I292">
        <v>24.969000000000001</v>
      </c>
      <c r="J292">
        <v>25.72</v>
      </c>
      <c r="K292">
        <v>26.14</v>
      </c>
      <c r="L292">
        <v>25.748000000000001</v>
      </c>
      <c r="M292">
        <v>25.928000000000001</v>
      </c>
      <c r="N292">
        <v>25.83</v>
      </c>
      <c r="O292">
        <v>26.427</v>
      </c>
      <c r="P292">
        <v>25.916</v>
      </c>
      <c r="Q292">
        <v>26.003</v>
      </c>
      <c r="R292">
        <v>25.914999999999999</v>
      </c>
      <c r="S292">
        <v>25.803000000000001</v>
      </c>
      <c r="T292">
        <v>25.899000000000001</v>
      </c>
      <c r="U292">
        <v>25.623000000000001</v>
      </c>
      <c r="V292">
        <v>25.399000000000001</v>
      </c>
      <c r="W292">
        <v>26.321000000000002</v>
      </c>
      <c r="X292">
        <v>26.285</v>
      </c>
      <c r="Y292">
        <v>25.724</v>
      </c>
      <c r="Z292">
        <v>25.565999999999999</v>
      </c>
    </row>
    <row r="293" spans="1:26" x14ac:dyDescent="0.45">
      <c r="A293" t="s">
        <v>2201</v>
      </c>
      <c r="B293" t="s">
        <v>2575</v>
      </c>
      <c r="C293" s="3" t="s">
        <v>1812</v>
      </c>
      <c r="D293">
        <v>21.151</v>
      </c>
      <c r="E293">
        <v>21.841000000000001</v>
      </c>
      <c r="F293">
        <v>20.934999999999999</v>
      </c>
      <c r="G293">
        <v>22.712</v>
      </c>
      <c r="H293">
        <v>21.367000000000001</v>
      </c>
      <c r="I293">
        <v>20.870999999999999</v>
      </c>
      <c r="J293">
        <v>21.768000000000001</v>
      </c>
      <c r="K293">
        <v>22.465</v>
      </c>
      <c r="L293">
        <v>21.856000000000002</v>
      </c>
      <c r="M293">
        <v>21.812000000000001</v>
      </c>
      <c r="N293">
        <v>21.722000000000001</v>
      </c>
      <c r="O293">
        <v>22.321999999999999</v>
      </c>
      <c r="P293">
        <v>21.751000000000001</v>
      </c>
      <c r="Q293">
        <v>21.776</v>
      </c>
      <c r="R293">
        <v>21.876000000000001</v>
      </c>
      <c r="S293">
        <v>21.890999999999998</v>
      </c>
      <c r="T293">
        <v>21.547000000000001</v>
      </c>
      <c r="U293">
        <v>21.655999999999999</v>
      </c>
      <c r="V293">
        <v>21.693000000000001</v>
      </c>
      <c r="W293">
        <v>21.585999999999999</v>
      </c>
      <c r="X293">
        <v>22.472999999999999</v>
      </c>
      <c r="Y293">
        <v>21.411000000000001</v>
      </c>
      <c r="Z293">
        <v>21.221</v>
      </c>
    </row>
    <row r="294" spans="1:26" x14ac:dyDescent="0.45">
      <c r="A294" t="s">
        <v>2202</v>
      </c>
      <c r="B294" t="s">
        <v>2576</v>
      </c>
      <c r="C294" s="3" t="s">
        <v>1813</v>
      </c>
      <c r="D294">
        <v>26.568000000000001</v>
      </c>
      <c r="E294">
        <v>26.507000000000001</v>
      </c>
      <c r="F294">
        <v>25.978000000000002</v>
      </c>
      <c r="G294">
        <v>27.771000000000001</v>
      </c>
      <c r="H294">
        <v>26.559000000000001</v>
      </c>
      <c r="I294">
        <v>26.459</v>
      </c>
      <c r="J294">
        <v>26.72</v>
      </c>
      <c r="K294">
        <v>27.283000000000001</v>
      </c>
      <c r="L294">
        <v>27.166</v>
      </c>
      <c r="M294">
        <v>27.093</v>
      </c>
      <c r="N294">
        <v>27.097999999999999</v>
      </c>
      <c r="O294">
        <v>27.556999999999999</v>
      </c>
      <c r="P294">
        <v>26.538</v>
      </c>
      <c r="Q294">
        <v>26.74</v>
      </c>
      <c r="R294">
        <v>26.923999999999999</v>
      </c>
      <c r="S294">
        <v>27.274000000000001</v>
      </c>
      <c r="T294">
        <v>26.931999999999999</v>
      </c>
      <c r="U294">
        <v>26.712</v>
      </c>
      <c r="V294">
        <v>26.614999999999998</v>
      </c>
      <c r="W294">
        <v>26.547000000000001</v>
      </c>
      <c r="X294">
        <v>27.491</v>
      </c>
      <c r="Y294">
        <v>26.77</v>
      </c>
      <c r="Z294">
        <v>26.725000000000001</v>
      </c>
    </row>
    <row r="295" spans="1:26" x14ac:dyDescent="0.45">
      <c r="A295" t="s">
        <v>2203</v>
      </c>
      <c r="B295" t="s">
        <v>2577</v>
      </c>
      <c r="C295" s="3" t="s">
        <v>1814</v>
      </c>
      <c r="D295">
        <v>24.623999999999999</v>
      </c>
      <c r="E295">
        <v>24.405999999999999</v>
      </c>
      <c r="F295">
        <v>23.986000000000001</v>
      </c>
      <c r="G295">
        <v>25.89</v>
      </c>
      <c r="H295">
        <v>24.576000000000001</v>
      </c>
      <c r="I295">
        <v>23.863</v>
      </c>
      <c r="J295">
        <v>24.402999999999999</v>
      </c>
      <c r="K295">
        <v>25.164999999999999</v>
      </c>
      <c r="L295">
        <v>24.821000000000002</v>
      </c>
      <c r="M295">
        <v>24.536999999999999</v>
      </c>
      <c r="N295">
        <v>24.785</v>
      </c>
      <c r="O295">
        <v>24.905999999999999</v>
      </c>
      <c r="P295">
        <v>24.631</v>
      </c>
      <c r="Q295">
        <v>24.704999999999998</v>
      </c>
      <c r="R295">
        <v>24.727</v>
      </c>
      <c r="S295">
        <v>24.841000000000001</v>
      </c>
      <c r="T295">
        <v>24.582999999999998</v>
      </c>
      <c r="U295">
        <v>24.672999999999998</v>
      </c>
      <c r="V295">
        <v>24.565999999999999</v>
      </c>
      <c r="W295">
        <v>24.834</v>
      </c>
      <c r="X295">
        <v>25.614999999999998</v>
      </c>
      <c r="Y295">
        <v>24.753</v>
      </c>
      <c r="Z295">
        <v>24.788</v>
      </c>
    </row>
    <row r="296" spans="1:26" x14ac:dyDescent="0.45">
      <c r="A296" t="s">
        <v>2204</v>
      </c>
      <c r="B296" t="s">
        <v>2578</v>
      </c>
      <c r="C296" s="3" t="s">
        <v>1815</v>
      </c>
      <c r="D296">
        <v>30.555</v>
      </c>
      <c r="E296">
        <v>29.966999999999999</v>
      </c>
      <c r="F296">
        <v>30.446000000000002</v>
      </c>
      <c r="G296">
        <v>32.396999999999998</v>
      </c>
      <c r="H296">
        <v>30.114000000000001</v>
      </c>
      <c r="I296">
        <v>29.58</v>
      </c>
      <c r="J296">
        <v>29.96</v>
      </c>
      <c r="K296">
        <v>30.366</v>
      </c>
      <c r="L296">
        <v>30.81</v>
      </c>
      <c r="M296">
        <v>31.4</v>
      </c>
      <c r="N296">
        <v>31.29</v>
      </c>
      <c r="O296">
        <v>31.132999999999999</v>
      </c>
      <c r="P296">
        <v>30.486999999999998</v>
      </c>
      <c r="Q296">
        <v>31.92</v>
      </c>
      <c r="R296">
        <v>31.587</v>
      </c>
      <c r="S296">
        <v>31.175999999999998</v>
      </c>
      <c r="T296">
        <v>30.600999999999999</v>
      </c>
      <c r="U296">
        <v>30.827999999999999</v>
      </c>
      <c r="V296">
        <v>31.545000000000002</v>
      </c>
      <c r="W296">
        <v>31.280999999999999</v>
      </c>
      <c r="X296">
        <v>32.662999999999997</v>
      </c>
      <c r="Y296">
        <v>31.675000000000001</v>
      </c>
      <c r="Z296">
        <v>30.404</v>
      </c>
    </row>
    <row r="297" spans="1:26" x14ac:dyDescent="0.45">
      <c r="A297" t="s">
        <v>2205</v>
      </c>
      <c r="B297" t="s">
        <v>2579</v>
      </c>
      <c r="C297" s="3" t="s">
        <v>1816</v>
      </c>
      <c r="D297">
        <v>26.244</v>
      </c>
      <c r="E297">
        <v>27.358000000000001</v>
      </c>
      <c r="F297">
        <v>26.521000000000001</v>
      </c>
      <c r="G297">
        <v>28.452999999999999</v>
      </c>
      <c r="H297">
        <v>26.841000000000001</v>
      </c>
      <c r="I297">
        <v>26.446999999999999</v>
      </c>
      <c r="J297">
        <v>27.12</v>
      </c>
      <c r="K297">
        <v>27.576000000000001</v>
      </c>
      <c r="L297">
        <v>26.881</v>
      </c>
      <c r="M297">
        <v>27.001999999999999</v>
      </c>
      <c r="N297">
        <v>27.576000000000001</v>
      </c>
      <c r="O297">
        <v>27.954000000000001</v>
      </c>
      <c r="P297">
        <v>26.963000000000001</v>
      </c>
      <c r="Q297">
        <v>26.771999999999998</v>
      </c>
      <c r="R297">
        <v>27.274999999999999</v>
      </c>
      <c r="S297">
        <v>27.295999999999999</v>
      </c>
      <c r="T297">
        <v>26.568999999999999</v>
      </c>
      <c r="U297">
        <v>26.818999999999999</v>
      </c>
      <c r="V297">
        <v>26.376000000000001</v>
      </c>
      <c r="W297">
        <v>27.135999999999999</v>
      </c>
      <c r="X297">
        <v>27.483000000000001</v>
      </c>
      <c r="Y297">
        <v>26.469000000000001</v>
      </c>
      <c r="Z297">
        <v>26.574000000000002</v>
      </c>
    </row>
    <row r="298" spans="1:26" x14ac:dyDescent="0.45">
      <c r="A298" t="s">
        <v>2206</v>
      </c>
      <c r="B298" t="s">
        <v>2580</v>
      </c>
      <c r="C298" s="3" t="s">
        <v>1817</v>
      </c>
      <c r="D298">
        <v>34.316000000000003</v>
      </c>
      <c r="E298">
        <v>34.819000000000003</v>
      </c>
      <c r="F298">
        <v>37.026000000000003</v>
      </c>
      <c r="G298">
        <v>36.302999999999997</v>
      </c>
      <c r="H298">
        <v>35.198</v>
      </c>
      <c r="I298">
        <v>34.426000000000002</v>
      </c>
      <c r="J298">
        <v>36.536999999999999</v>
      </c>
      <c r="K298">
        <v>35.249000000000002</v>
      </c>
      <c r="L298">
        <v>37.19</v>
      </c>
      <c r="M298">
        <v>36.533000000000001</v>
      </c>
      <c r="N298">
        <v>35.970999999999997</v>
      </c>
      <c r="O298">
        <v>35.201999999999998</v>
      </c>
      <c r="P298">
        <v>35.259</v>
      </c>
      <c r="Q298">
        <v>34.662999999999997</v>
      </c>
      <c r="R298">
        <v>35.905999999999999</v>
      </c>
      <c r="S298">
        <v>36.6</v>
      </c>
      <c r="T298">
        <v>35.347999999999999</v>
      </c>
      <c r="U298">
        <v>36.427</v>
      </c>
      <c r="V298">
        <v>35.904000000000003</v>
      </c>
      <c r="W298">
        <v>34.58</v>
      </c>
      <c r="X298">
        <v>35.192999999999998</v>
      </c>
      <c r="Y298">
        <v>36.197000000000003</v>
      </c>
      <c r="Z298">
        <v>33.878999999999998</v>
      </c>
    </row>
    <row r="299" spans="1:26" x14ac:dyDescent="0.45">
      <c r="A299" t="s">
        <v>2207</v>
      </c>
      <c r="B299" t="s">
        <v>2581</v>
      </c>
      <c r="C299" s="3" t="s">
        <v>1818</v>
      </c>
      <c r="D299">
        <v>27.277000000000001</v>
      </c>
      <c r="E299">
        <v>27.715</v>
      </c>
      <c r="F299">
        <v>26.673999999999999</v>
      </c>
      <c r="G299">
        <v>27.786000000000001</v>
      </c>
      <c r="H299">
        <v>27.984999999999999</v>
      </c>
      <c r="I299">
        <v>26.395</v>
      </c>
      <c r="J299">
        <v>27.321000000000002</v>
      </c>
      <c r="K299">
        <v>28.331</v>
      </c>
      <c r="L299">
        <v>28.707999999999998</v>
      </c>
      <c r="M299">
        <v>27.574000000000002</v>
      </c>
      <c r="N299">
        <v>26.954000000000001</v>
      </c>
      <c r="O299">
        <v>28.542999999999999</v>
      </c>
      <c r="P299">
        <v>26.881</v>
      </c>
      <c r="Q299">
        <v>27.17</v>
      </c>
      <c r="R299">
        <v>27.768999999999998</v>
      </c>
      <c r="S299">
        <v>28.309000000000001</v>
      </c>
      <c r="T299">
        <v>28.030999999999999</v>
      </c>
      <c r="U299">
        <v>28.643999999999998</v>
      </c>
      <c r="V299">
        <v>27.494</v>
      </c>
      <c r="W299">
        <v>27.899000000000001</v>
      </c>
      <c r="X299">
        <v>28.832000000000001</v>
      </c>
      <c r="Y299">
        <v>28.251000000000001</v>
      </c>
      <c r="Z299">
        <v>26.890999999999998</v>
      </c>
    </row>
    <row r="300" spans="1:26" x14ac:dyDescent="0.45">
      <c r="A300" t="s">
        <v>2208</v>
      </c>
      <c r="B300" t="s">
        <v>2582</v>
      </c>
      <c r="C300" s="3" t="s">
        <v>1819</v>
      </c>
      <c r="D300">
        <v>26.547000000000001</v>
      </c>
      <c r="E300">
        <v>26.803999999999998</v>
      </c>
      <c r="F300">
        <v>26.280999999999999</v>
      </c>
      <c r="G300">
        <v>27.51</v>
      </c>
      <c r="H300">
        <v>26.971</v>
      </c>
      <c r="I300">
        <v>26.224</v>
      </c>
      <c r="J300">
        <v>26.683</v>
      </c>
      <c r="K300">
        <v>27.533000000000001</v>
      </c>
      <c r="L300">
        <v>27.545999999999999</v>
      </c>
      <c r="M300">
        <v>26.978000000000002</v>
      </c>
      <c r="N300">
        <v>26.494</v>
      </c>
      <c r="O300">
        <v>27.285</v>
      </c>
      <c r="P300">
        <v>26.655999999999999</v>
      </c>
      <c r="Q300">
        <v>26.713999999999999</v>
      </c>
      <c r="R300">
        <v>27.306000000000001</v>
      </c>
      <c r="S300">
        <v>26.402999999999999</v>
      </c>
      <c r="T300">
        <v>27.213999999999999</v>
      </c>
      <c r="U300">
        <v>27.385999999999999</v>
      </c>
      <c r="V300">
        <v>26.725999999999999</v>
      </c>
      <c r="W300">
        <v>26.954000000000001</v>
      </c>
      <c r="X300">
        <v>27.442</v>
      </c>
      <c r="Y300">
        <v>26.687000000000001</v>
      </c>
      <c r="Z300">
        <v>26.553999999999998</v>
      </c>
    </row>
    <row r="301" spans="1:26" x14ac:dyDescent="0.45">
      <c r="A301" t="s">
        <v>2209</v>
      </c>
      <c r="B301" t="s">
        <v>2583</v>
      </c>
      <c r="C301" s="3" t="s">
        <v>1820</v>
      </c>
      <c r="D301">
        <v>26.591999999999999</v>
      </c>
      <c r="E301">
        <v>26.521000000000001</v>
      </c>
      <c r="F301">
        <v>25.579000000000001</v>
      </c>
      <c r="G301">
        <v>26.757999999999999</v>
      </c>
      <c r="H301">
        <v>25.934000000000001</v>
      </c>
      <c r="I301">
        <v>26.381</v>
      </c>
      <c r="J301">
        <v>25.498999999999999</v>
      </c>
      <c r="K301">
        <v>26.303999999999998</v>
      </c>
      <c r="L301">
        <v>25.73</v>
      </c>
      <c r="M301">
        <v>25.762</v>
      </c>
      <c r="N301">
        <v>25.670999999999999</v>
      </c>
      <c r="O301">
        <v>26.407</v>
      </c>
      <c r="P301">
        <v>25.632999999999999</v>
      </c>
      <c r="Q301">
        <v>25.972000000000001</v>
      </c>
      <c r="R301">
        <v>25.722999999999999</v>
      </c>
      <c r="S301">
        <v>25.538</v>
      </c>
      <c r="T301">
        <v>26.234999999999999</v>
      </c>
      <c r="U301">
        <v>25.756</v>
      </c>
      <c r="V301">
        <v>25.661000000000001</v>
      </c>
      <c r="W301">
        <v>26.370999999999999</v>
      </c>
      <c r="X301">
        <v>26.331</v>
      </c>
      <c r="Y301">
        <v>26.346</v>
      </c>
      <c r="Z301">
        <v>25.692</v>
      </c>
    </row>
    <row r="302" spans="1:26" x14ac:dyDescent="0.45">
      <c r="A302" t="s">
        <v>2210</v>
      </c>
      <c r="B302" t="s">
        <v>2584</v>
      </c>
      <c r="C302" s="3" t="s">
        <v>1821</v>
      </c>
      <c r="D302">
        <v>35.927999999999997</v>
      </c>
      <c r="E302">
        <v>35.073999999999998</v>
      </c>
      <c r="F302">
        <v>34.548999999999999</v>
      </c>
      <c r="G302">
        <v>35.404000000000003</v>
      </c>
      <c r="H302" t="s">
        <v>1906</v>
      </c>
      <c r="I302">
        <v>34.456000000000003</v>
      </c>
      <c r="J302">
        <v>34.375999999999998</v>
      </c>
      <c r="K302">
        <v>34.006999999999998</v>
      </c>
      <c r="L302">
        <v>34.701000000000001</v>
      </c>
      <c r="M302" t="s">
        <v>1906</v>
      </c>
      <c r="N302">
        <v>32.92</v>
      </c>
      <c r="O302">
        <v>34.551000000000002</v>
      </c>
      <c r="P302">
        <v>35.947000000000003</v>
      </c>
      <c r="Q302">
        <v>34.125</v>
      </c>
      <c r="R302" t="s">
        <v>1906</v>
      </c>
      <c r="S302">
        <v>34.213000000000001</v>
      </c>
      <c r="T302">
        <v>34.957000000000001</v>
      </c>
      <c r="U302">
        <v>33.722999999999999</v>
      </c>
      <c r="V302">
        <v>34.587000000000003</v>
      </c>
      <c r="W302">
        <v>37.470999999999997</v>
      </c>
      <c r="X302" t="s">
        <v>1906</v>
      </c>
      <c r="Y302">
        <v>36.627000000000002</v>
      </c>
      <c r="Z302">
        <v>34.262</v>
      </c>
    </row>
    <row r="303" spans="1:26" x14ac:dyDescent="0.45">
      <c r="A303" t="s">
        <v>2211</v>
      </c>
      <c r="B303" t="s">
        <v>2585</v>
      </c>
      <c r="C303" s="3" t="s">
        <v>1822</v>
      </c>
      <c r="D303">
        <v>29.103000000000002</v>
      </c>
      <c r="E303">
        <v>29.306999999999999</v>
      </c>
      <c r="F303">
        <v>28.413</v>
      </c>
      <c r="G303">
        <v>29.991</v>
      </c>
      <c r="H303">
        <v>28.931999999999999</v>
      </c>
      <c r="I303">
        <v>28.846</v>
      </c>
      <c r="J303">
        <v>28.254999999999999</v>
      </c>
      <c r="K303">
        <v>29.747</v>
      </c>
      <c r="L303">
        <v>28.343</v>
      </c>
      <c r="M303">
        <v>28.687000000000001</v>
      </c>
      <c r="N303">
        <v>28.318999999999999</v>
      </c>
      <c r="O303">
        <v>29.622</v>
      </c>
      <c r="P303">
        <v>28.757000000000001</v>
      </c>
      <c r="Q303">
        <v>30.762</v>
      </c>
      <c r="R303">
        <v>29.759</v>
      </c>
      <c r="S303">
        <v>30.260999999999999</v>
      </c>
      <c r="T303">
        <v>28.797000000000001</v>
      </c>
      <c r="U303">
        <v>28.751999999999999</v>
      </c>
      <c r="V303">
        <v>29.007999999999999</v>
      </c>
      <c r="W303">
        <v>29.11</v>
      </c>
      <c r="X303">
        <v>30.125</v>
      </c>
      <c r="Y303">
        <v>30.611000000000001</v>
      </c>
      <c r="Z303">
        <v>29.006</v>
      </c>
    </row>
    <row r="304" spans="1:26" x14ac:dyDescent="0.45">
      <c r="A304" t="s">
        <v>2212</v>
      </c>
      <c r="B304" t="s">
        <v>2586</v>
      </c>
      <c r="C304" s="3" t="s">
        <v>1823</v>
      </c>
      <c r="D304">
        <v>20.986000000000001</v>
      </c>
      <c r="E304">
        <v>20.951000000000001</v>
      </c>
      <c r="F304">
        <v>20.584</v>
      </c>
      <c r="G304">
        <v>21.817</v>
      </c>
      <c r="H304">
        <v>21.148</v>
      </c>
      <c r="I304">
        <v>20.965</v>
      </c>
      <c r="J304">
        <v>20.779</v>
      </c>
      <c r="K304">
        <v>21.65</v>
      </c>
      <c r="L304">
        <v>21.015000000000001</v>
      </c>
      <c r="M304">
        <v>20.98</v>
      </c>
      <c r="N304">
        <v>21.114999999999998</v>
      </c>
      <c r="O304">
        <v>21.457000000000001</v>
      </c>
      <c r="P304">
        <v>21.001999999999999</v>
      </c>
      <c r="Q304">
        <v>22.414000000000001</v>
      </c>
      <c r="R304">
        <v>21.491</v>
      </c>
      <c r="S304">
        <v>21.655000000000001</v>
      </c>
      <c r="T304">
        <v>21.146999999999998</v>
      </c>
      <c r="U304">
        <v>20.837</v>
      </c>
      <c r="V304">
        <v>21.446000000000002</v>
      </c>
      <c r="W304">
        <v>21.411999999999999</v>
      </c>
      <c r="X304">
        <v>21.942</v>
      </c>
      <c r="Y304">
        <v>21.91</v>
      </c>
      <c r="Z304">
        <v>21.146999999999998</v>
      </c>
    </row>
    <row r="305" spans="1:26" x14ac:dyDescent="0.45">
      <c r="A305" t="s">
        <v>2213</v>
      </c>
      <c r="B305" t="s">
        <v>2587</v>
      </c>
      <c r="C305" s="3" t="s">
        <v>1824</v>
      </c>
      <c r="D305">
        <v>21.204999999999998</v>
      </c>
      <c r="E305">
        <v>20.306000000000001</v>
      </c>
      <c r="F305">
        <v>18.908999999999999</v>
      </c>
      <c r="G305">
        <v>20.603000000000002</v>
      </c>
      <c r="H305">
        <v>19.122</v>
      </c>
      <c r="I305">
        <v>21.699000000000002</v>
      </c>
      <c r="J305">
        <v>20.754000000000001</v>
      </c>
      <c r="K305">
        <v>21.31</v>
      </c>
      <c r="L305">
        <v>19.303000000000001</v>
      </c>
      <c r="M305">
        <v>19.209</v>
      </c>
      <c r="N305">
        <v>19.864999999999998</v>
      </c>
      <c r="O305">
        <v>19.876000000000001</v>
      </c>
      <c r="P305">
        <v>19.341000000000001</v>
      </c>
      <c r="Q305">
        <v>19.093</v>
      </c>
      <c r="R305">
        <v>20.149999999999999</v>
      </c>
      <c r="S305">
        <v>20.38</v>
      </c>
      <c r="T305">
        <v>19.617000000000001</v>
      </c>
      <c r="U305">
        <v>19.405999999999999</v>
      </c>
      <c r="V305">
        <v>20.388999999999999</v>
      </c>
      <c r="W305">
        <v>20.146999999999998</v>
      </c>
      <c r="X305">
        <v>19.521999999999998</v>
      </c>
      <c r="Y305">
        <v>19.555</v>
      </c>
      <c r="Z305">
        <v>19.355</v>
      </c>
    </row>
    <row r="306" spans="1:26" x14ac:dyDescent="0.45">
      <c r="A306" t="s">
        <v>2214</v>
      </c>
      <c r="B306" t="s">
        <v>2588</v>
      </c>
      <c r="C306" s="3" t="s">
        <v>1825</v>
      </c>
      <c r="D306">
        <v>34.597000000000001</v>
      </c>
      <c r="E306">
        <v>34.411000000000001</v>
      </c>
      <c r="F306">
        <v>34.472999999999999</v>
      </c>
      <c r="G306">
        <v>34.722000000000001</v>
      </c>
      <c r="H306">
        <v>34.22</v>
      </c>
      <c r="I306">
        <v>37.642000000000003</v>
      </c>
      <c r="J306" t="s">
        <v>1906</v>
      </c>
      <c r="K306">
        <v>35.524000000000001</v>
      </c>
      <c r="L306">
        <v>34.411999999999999</v>
      </c>
      <c r="M306">
        <v>32.491</v>
      </c>
      <c r="N306">
        <v>35.44</v>
      </c>
      <c r="O306">
        <v>38.64</v>
      </c>
      <c r="P306">
        <v>33.488999999999997</v>
      </c>
      <c r="Q306">
        <v>38.887999999999998</v>
      </c>
      <c r="R306">
        <v>34.243000000000002</v>
      </c>
      <c r="S306">
        <v>39.454999999999998</v>
      </c>
      <c r="T306">
        <v>34.545000000000002</v>
      </c>
      <c r="U306" t="s">
        <v>1906</v>
      </c>
      <c r="V306">
        <v>33.857999999999997</v>
      </c>
      <c r="W306">
        <v>33.871000000000002</v>
      </c>
      <c r="X306">
        <v>34.518000000000001</v>
      </c>
      <c r="Y306">
        <v>34.368000000000002</v>
      </c>
      <c r="Z306">
        <v>35.137</v>
      </c>
    </row>
    <row r="307" spans="1:26" x14ac:dyDescent="0.45">
      <c r="A307" t="s">
        <v>2215</v>
      </c>
      <c r="B307" t="s">
        <v>2589</v>
      </c>
      <c r="C307" s="3" t="s">
        <v>1826</v>
      </c>
      <c r="D307">
        <v>31.344999999999999</v>
      </c>
      <c r="E307">
        <v>31.791</v>
      </c>
      <c r="F307">
        <v>31.638999999999999</v>
      </c>
      <c r="G307">
        <v>32.722000000000001</v>
      </c>
      <c r="H307">
        <v>31.704999999999998</v>
      </c>
      <c r="I307">
        <v>32.353000000000002</v>
      </c>
      <c r="J307">
        <v>30.849</v>
      </c>
      <c r="K307">
        <v>32.284999999999997</v>
      </c>
      <c r="L307">
        <v>32.456000000000003</v>
      </c>
      <c r="M307">
        <v>31.966999999999999</v>
      </c>
      <c r="N307">
        <v>30.863</v>
      </c>
      <c r="O307">
        <v>31.672000000000001</v>
      </c>
      <c r="P307">
        <v>31.207999999999998</v>
      </c>
      <c r="Q307">
        <v>32.700000000000003</v>
      </c>
      <c r="R307">
        <v>32.838000000000001</v>
      </c>
      <c r="S307">
        <v>31.821000000000002</v>
      </c>
      <c r="T307">
        <v>32.316000000000003</v>
      </c>
      <c r="U307">
        <v>30.879000000000001</v>
      </c>
      <c r="V307">
        <v>31.35</v>
      </c>
      <c r="W307">
        <v>31.77</v>
      </c>
      <c r="X307">
        <v>32.837000000000003</v>
      </c>
      <c r="Y307">
        <v>33.301000000000002</v>
      </c>
      <c r="Z307">
        <v>31.292000000000002</v>
      </c>
    </row>
    <row r="308" spans="1:26" x14ac:dyDescent="0.45">
      <c r="A308" t="s">
        <v>2216</v>
      </c>
      <c r="B308" t="s">
        <v>2590</v>
      </c>
      <c r="C308" s="3" t="s">
        <v>1827</v>
      </c>
      <c r="D308">
        <v>25.77</v>
      </c>
      <c r="E308">
        <v>25.481999999999999</v>
      </c>
      <c r="F308">
        <v>25.001999999999999</v>
      </c>
      <c r="G308">
        <v>25.731000000000002</v>
      </c>
      <c r="H308">
        <v>25.423999999999999</v>
      </c>
      <c r="I308">
        <v>26.661999999999999</v>
      </c>
      <c r="J308">
        <v>25.491</v>
      </c>
      <c r="K308">
        <v>27.132000000000001</v>
      </c>
      <c r="L308">
        <v>25.347000000000001</v>
      </c>
      <c r="M308">
        <v>25.693999999999999</v>
      </c>
      <c r="N308">
        <v>24.966000000000001</v>
      </c>
      <c r="O308">
        <v>26.315999999999999</v>
      </c>
      <c r="P308">
        <v>25.350999999999999</v>
      </c>
      <c r="Q308">
        <v>25.146000000000001</v>
      </c>
      <c r="R308">
        <v>27.266999999999999</v>
      </c>
      <c r="S308">
        <v>25.853000000000002</v>
      </c>
      <c r="T308">
        <v>25.946999999999999</v>
      </c>
      <c r="U308">
        <v>25.238</v>
      </c>
      <c r="V308">
        <v>25.481000000000002</v>
      </c>
      <c r="W308">
        <v>26.317</v>
      </c>
      <c r="X308">
        <v>25.460999999999999</v>
      </c>
      <c r="Y308">
        <v>27.297999999999998</v>
      </c>
      <c r="Z308">
        <v>25.629000000000001</v>
      </c>
    </row>
    <row r="309" spans="1:26" x14ac:dyDescent="0.45">
      <c r="A309" t="s">
        <v>2217</v>
      </c>
      <c r="B309" t="s">
        <v>2591</v>
      </c>
      <c r="C309" s="3" t="s">
        <v>1828</v>
      </c>
      <c r="D309">
        <v>22.957000000000001</v>
      </c>
      <c r="E309">
        <v>24.606999999999999</v>
      </c>
      <c r="F309">
        <v>21.977</v>
      </c>
      <c r="G309">
        <v>25.199000000000002</v>
      </c>
      <c r="H309">
        <v>23.004000000000001</v>
      </c>
      <c r="I309">
        <v>25.475999999999999</v>
      </c>
      <c r="J309">
        <v>22.600999999999999</v>
      </c>
      <c r="K309">
        <v>24.390999999999998</v>
      </c>
      <c r="L309">
        <v>23.140999999999998</v>
      </c>
      <c r="M309">
        <v>24.213000000000001</v>
      </c>
      <c r="N309">
        <v>22.823</v>
      </c>
      <c r="O309">
        <v>24.616</v>
      </c>
      <c r="P309">
        <v>23.954000000000001</v>
      </c>
      <c r="Q309">
        <v>24.215</v>
      </c>
      <c r="R309">
        <v>24.091000000000001</v>
      </c>
      <c r="S309">
        <v>23.69</v>
      </c>
      <c r="T309">
        <v>23.11</v>
      </c>
      <c r="U309">
        <v>22.920999999999999</v>
      </c>
      <c r="V309">
        <v>22.896000000000001</v>
      </c>
      <c r="W309">
        <v>23.748000000000001</v>
      </c>
      <c r="X309">
        <v>23.731999999999999</v>
      </c>
      <c r="Y309">
        <v>23.863</v>
      </c>
      <c r="Z309">
        <v>22.934999999999999</v>
      </c>
    </row>
    <row r="310" spans="1:26" x14ac:dyDescent="0.45">
      <c r="A310" t="s">
        <v>2218</v>
      </c>
      <c r="B310" t="s">
        <v>2592</v>
      </c>
      <c r="C310" s="3" t="s">
        <v>1829</v>
      </c>
      <c r="D310">
        <v>22.113</v>
      </c>
      <c r="E310">
        <v>23.777999999999999</v>
      </c>
      <c r="F310">
        <v>21.213000000000001</v>
      </c>
      <c r="G310">
        <v>24.024000000000001</v>
      </c>
      <c r="H310">
        <v>21.7</v>
      </c>
      <c r="I310">
        <v>25.013000000000002</v>
      </c>
      <c r="J310">
        <v>21.667999999999999</v>
      </c>
      <c r="K310">
        <v>22.672000000000001</v>
      </c>
      <c r="L310">
        <v>22.042999999999999</v>
      </c>
      <c r="M310">
        <v>23.207000000000001</v>
      </c>
      <c r="N310">
        <v>21.77</v>
      </c>
      <c r="O310">
        <v>23.280999999999999</v>
      </c>
      <c r="P310">
        <v>21.99</v>
      </c>
      <c r="Q310">
        <v>23.172000000000001</v>
      </c>
      <c r="R310">
        <v>23.172999999999998</v>
      </c>
      <c r="S310">
        <v>23.108000000000001</v>
      </c>
      <c r="T310">
        <v>22.259</v>
      </c>
      <c r="U310">
        <v>21.805</v>
      </c>
      <c r="V310">
        <v>21.588000000000001</v>
      </c>
      <c r="W310">
        <v>22.483000000000001</v>
      </c>
      <c r="X310">
        <v>22.71</v>
      </c>
      <c r="Y310">
        <v>22.721</v>
      </c>
      <c r="Z310">
        <v>21.9</v>
      </c>
    </row>
    <row r="311" spans="1:26" x14ac:dyDescent="0.45">
      <c r="A311" t="s">
        <v>2219</v>
      </c>
      <c r="B311" t="s">
        <v>2593</v>
      </c>
      <c r="C311" s="3" t="s">
        <v>1830</v>
      </c>
      <c r="D311">
        <v>24.878</v>
      </c>
      <c r="E311">
        <v>24.745999999999999</v>
      </c>
      <c r="F311">
        <v>24.387</v>
      </c>
      <c r="G311">
        <v>25.315999999999999</v>
      </c>
      <c r="H311">
        <v>24.963999999999999</v>
      </c>
      <c r="I311">
        <v>24.62</v>
      </c>
      <c r="J311">
        <v>24.509</v>
      </c>
      <c r="K311">
        <v>25.318000000000001</v>
      </c>
      <c r="L311">
        <v>24.696999999999999</v>
      </c>
      <c r="M311">
        <v>25.172000000000001</v>
      </c>
      <c r="N311">
        <v>25.451000000000001</v>
      </c>
      <c r="O311">
        <v>25.120999999999999</v>
      </c>
      <c r="P311">
        <v>25.532</v>
      </c>
      <c r="Q311">
        <v>24.571000000000002</v>
      </c>
      <c r="R311">
        <v>25.349</v>
      </c>
      <c r="S311">
        <v>25.189</v>
      </c>
      <c r="T311">
        <v>23.417999999999999</v>
      </c>
      <c r="U311">
        <v>26.823</v>
      </c>
      <c r="V311">
        <v>24.995000000000001</v>
      </c>
      <c r="W311">
        <v>25.219000000000001</v>
      </c>
      <c r="X311">
        <v>25.494</v>
      </c>
      <c r="Y311">
        <v>24.681999999999999</v>
      </c>
      <c r="Z311">
        <v>24.933</v>
      </c>
    </row>
    <row r="312" spans="1:26" x14ac:dyDescent="0.45">
      <c r="A312" t="s">
        <v>2220</v>
      </c>
      <c r="B312" t="s">
        <v>2594</v>
      </c>
      <c r="C312" s="3" t="s">
        <v>1831</v>
      </c>
      <c r="D312">
        <v>26.129000000000001</v>
      </c>
      <c r="E312">
        <v>25.978000000000002</v>
      </c>
      <c r="F312">
        <v>25.617999999999999</v>
      </c>
      <c r="G312">
        <v>27.11</v>
      </c>
      <c r="H312">
        <v>26.797999999999998</v>
      </c>
      <c r="I312">
        <v>25.888999999999999</v>
      </c>
      <c r="J312">
        <v>25.824999999999999</v>
      </c>
      <c r="K312">
        <v>26.898</v>
      </c>
      <c r="L312">
        <v>26.216000000000001</v>
      </c>
      <c r="M312">
        <v>26.457000000000001</v>
      </c>
      <c r="N312">
        <v>26.96</v>
      </c>
      <c r="O312">
        <v>26.709</v>
      </c>
      <c r="P312">
        <v>26.876000000000001</v>
      </c>
      <c r="Q312">
        <v>26.106999999999999</v>
      </c>
      <c r="R312">
        <v>26.466999999999999</v>
      </c>
      <c r="S312">
        <v>27.405999999999999</v>
      </c>
      <c r="T312">
        <v>26.158999999999999</v>
      </c>
      <c r="U312">
        <v>28.393999999999998</v>
      </c>
      <c r="V312">
        <v>26.294</v>
      </c>
      <c r="W312">
        <v>27.125</v>
      </c>
      <c r="X312">
        <v>26.744</v>
      </c>
      <c r="Y312">
        <v>25.936</v>
      </c>
      <c r="Z312">
        <v>26.239000000000001</v>
      </c>
    </row>
    <row r="313" spans="1:26" x14ac:dyDescent="0.45">
      <c r="A313" t="s">
        <v>2221</v>
      </c>
      <c r="B313" t="s">
        <v>2595</v>
      </c>
      <c r="C313" s="3" t="s">
        <v>1832</v>
      </c>
      <c r="D313">
        <v>31.968</v>
      </c>
      <c r="E313">
        <v>32.942999999999998</v>
      </c>
      <c r="F313">
        <v>30.962</v>
      </c>
      <c r="G313">
        <v>35.616999999999997</v>
      </c>
      <c r="H313">
        <v>32.877000000000002</v>
      </c>
      <c r="I313">
        <v>33.225000000000001</v>
      </c>
      <c r="J313">
        <v>32.183</v>
      </c>
      <c r="K313">
        <v>33.325000000000003</v>
      </c>
      <c r="L313">
        <v>32.223999999999997</v>
      </c>
      <c r="M313">
        <v>33.332000000000001</v>
      </c>
      <c r="N313">
        <v>32.747</v>
      </c>
      <c r="O313">
        <v>32.829000000000001</v>
      </c>
      <c r="P313">
        <v>31.541</v>
      </c>
      <c r="Q313">
        <v>32.869999999999997</v>
      </c>
      <c r="R313">
        <v>32.584000000000003</v>
      </c>
      <c r="S313">
        <v>33.615000000000002</v>
      </c>
      <c r="T313">
        <v>32.164000000000001</v>
      </c>
      <c r="U313">
        <v>32.869</v>
      </c>
      <c r="V313">
        <v>32.460999999999999</v>
      </c>
      <c r="W313">
        <v>32.988</v>
      </c>
      <c r="X313">
        <v>34.582000000000001</v>
      </c>
      <c r="Y313">
        <v>29.69</v>
      </c>
      <c r="Z313">
        <v>31.791</v>
      </c>
    </row>
    <row r="314" spans="1:26" x14ac:dyDescent="0.45">
      <c r="A314" t="s">
        <v>2222</v>
      </c>
      <c r="B314" t="s">
        <v>2596</v>
      </c>
      <c r="C314" s="3" t="s">
        <v>1833</v>
      </c>
      <c r="D314">
        <v>25.321000000000002</v>
      </c>
      <c r="E314">
        <v>25.594000000000001</v>
      </c>
      <c r="F314">
        <v>24.821000000000002</v>
      </c>
      <c r="G314">
        <v>26.131</v>
      </c>
      <c r="H314">
        <v>25.338999999999999</v>
      </c>
      <c r="I314">
        <v>24.927</v>
      </c>
      <c r="J314">
        <v>25.096</v>
      </c>
      <c r="K314">
        <v>26.155000000000001</v>
      </c>
      <c r="L314">
        <v>25.466999999999999</v>
      </c>
      <c r="M314">
        <v>25.617999999999999</v>
      </c>
      <c r="N314">
        <v>25.305</v>
      </c>
      <c r="O314">
        <v>26.398</v>
      </c>
      <c r="P314">
        <v>25.757999999999999</v>
      </c>
      <c r="Q314">
        <v>25.369</v>
      </c>
      <c r="R314">
        <v>25.725999999999999</v>
      </c>
      <c r="S314">
        <v>25.815999999999999</v>
      </c>
      <c r="T314">
        <v>25.513999999999999</v>
      </c>
      <c r="U314">
        <v>25.32</v>
      </c>
      <c r="V314">
        <v>25.06</v>
      </c>
      <c r="W314">
        <v>25.756</v>
      </c>
      <c r="X314">
        <v>25.798999999999999</v>
      </c>
      <c r="Y314">
        <v>25.131</v>
      </c>
      <c r="Z314">
        <v>25.321000000000002</v>
      </c>
    </row>
    <row r="315" spans="1:26" x14ac:dyDescent="0.45">
      <c r="A315" t="s">
        <v>2223</v>
      </c>
      <c r="B315" t="s">
        <v>2597</v>
      </c>
      <c r="C315" s="3" t="s">
        <v>1834</v>
      </c>
      <c r="D315">
        <v>27.72</v>
      </c>
      <c r="E315">
        <v>28.157</v>
      </c>
      <c r="F315">
        <v>27.463999999999999</v>
      </c>
      <c r="G315">
        <v>29.376000000000001</v>
      </c>
      <c r="H315">
        <v>27.928999999999998</v>
      </c>
      <c r="I315">
        <v>27.905000000000001</v>
      </c>
      <c r="J315">
        <v>28.379000000000001</v>
      </c>
      <c r="K315">
        <v>28.773</v>
      </c>
      <c r="L315">
        <v>27.888999999999999</v>
      </c>
      <c r="M315">
        <v>28.265999999999998</v>
      </c>
      <c r="N315">
        <v>28.425000000000001</v>
      </c>
      <c r="O315">
        <v>28.614000000000001</v>
      </c>
      <c r="P315">
        <v>28.798999999999999</v>
      </c>
      <c r="Q315">
        <v>28.292999999999999</v>
      </c>
      <c r="R315">
        <v>28.178000000000001</v>
      </c>
      <c r="S315">
        <v>27.870999999999999</v>
      </c>
      <c r="T315">
        <v>28.151</v>
      </c>
      <c r="U315">
        <v>27.978000000000002</v>
      </c>
      <c r="V315">
        <v>27.901</v>
      </c>
      <c r="W315">
        <v>28.306999999999999</v>
      </c>
      <c r="X315">
        <v>28.177</v>
      </c>
      <c r="Y315">
        <v>27.97</v>
      </c>
      <c r="Z315">
        <v>27.577000000000002</v>
      </c>
    </row>
    <row r="316" spans="1:26" x14ac:dyDescent="0.45">
      <c r="A316" t="s">
        <v>2224</v>
      </c>
      <c r="B316" t="s">
        <v>2598</v>
      </c>
      <c r="C316" s="3" t="s">
        <v>1835</v>
      </c>
      <c r="D316">
        <v>31.53</v>
      </c>
      <c r="E316">
        <v>31.443999999999999</v>
      </c>
      <c r="F316">
        <v>29.972999999999999</v>
      </c>
      <c r="G316">
        <v>31.353000000000002</v>
      </c>
      <c r="H316">
        <v>30.962</v>
      </c>
      <c r="I316">
        <v>31.36</v>
      </c>
      <c r="J316">
        <v>30.329000000000001</v>
      </c>
      <c r="K316">
        <v>30.538</v>
      </c>
      <c r="L316">
        <v>31.222000000000001</v>
      </c>
      <c r="M316">
        <v>31.209</v>
      </c>
      <c r="N316">
        <v>29.99</v>
      </c>
      <c r="O316">
        <v>30.63</v>
      </c>
      <c r="P316">
        <v>30.763000000000002</v>
      </c>
      <c r="Q316">
        <v>30.233000000000001</v>
      </c>
      <c r="R316">
        <v>30.751000000000001</v>
      </c>
      <c r="S316">
        <v>31.102</v>
      </c>
      <c r="T316">
        <v>30.827999999999999</v>
      </c>
      <c r="U316">
        <v>30.495999999999999</v>
      </c>
      <c r="V316">
        <v>30.501000000000001</v>
      </c>
      <c r="W316">
        <v>30.611999999999998</v>
      </c>
      <c r="X316">
        <v>30.395</v>
      </c>
      <c r="Y316">
        <v>29.826000000000001</v>
      </c>
      <c r="Z316">
        <v>30.416</v>
      </c>
    </row>
    <row r="317" spans="1:26" x14ac:dyDescent="0.45">
      <c r="A317" t="s">
        <v>2225</v>
      </c>
      <c r="B317" t="s">
        <v>2599</v>
      </c>
      <c r="C317" s="3" t="s">
        <v>1836</v>
      </c>
      <c r="D317">
        <v>29.841999999999999</v>
      </c>
      <c r="E317">
        <v>29.81</v>
      </c>
      <c r="F317">
        <v>29.594999999999999</v>
      </c>
      <c r="G317">
        <v>31.68</v>
      </c>
      <c r="H317">
        <v>30.315000000000001</v>
      </c>
      <c r="I317">
        <v>30.552</v>
      </c>
      <c r="J317">
        <v>29.263000000000002</v>
      </c>
      <c r="K317">
        <v>30.61</v>
      </c>
      <c r="L317">
        <v>30.454000000000001</v>
      </c>
      <c r="M317">
        <v>30.318999999999999</v>
      </c>
      <c r="N317">
        <v>31.186</v>
      </c>
      <c r="O317">
        <v>31.19</v>
      </c>
      <c r="P317">
        <v>29.881</v>
      </c>
      <c r="Q317">
        <v>31.190999999999999</v>
      </c>
      <c r="R317">
        <v>30.718</v>
      </c>
      <c r="S317">
        <v>30.515000000000001</v>
      </c>
      <c r="T317">
        <v>30.303999999999998</v>
      </c>
      <c r="U317">
        <v>30.616</v>
      </c>
      <c r="V317">
        <v>30.736000000000001</v>
      </c>
      <c r="W317">
        <v>30.273</v>
      </c>
      <c r="X317">
        <v>30.652999999999999</v>
      </c>
      <c r="Y317">
        <v>30.276</v>
      </c>
      <c r="Z317">
        <v>30.152999999999999</v>
      </c>
    </row>
    <row r="318" spans="1:26" x14ac:dyDescent="0.45">
      <c r="A318" t="s">
        <v>2226</v>
      </c>
      <c r="B318" t="s">
        <v>2600</v>
      </c>
      <c r="C318" s="3" t="s">
        <v>1837</v>
      </c>
      <c r="D318">
        <v>28.350999999999999</v>
      </c>
      <c r="E318">
        <v>29.82</v>
      </c>
      <c r="F318">
        <v>29.221</v>
      </c>
      <c r="G318">
        <v>29.969000000000001</v>
      </c>
      <c r="H318">
        <v>28.113</v>
      </c>
      <c r="I318">
        <v>28.97</v>
      </c>
      <c r="J318">
        <v>29.763000000000002</v>
      </c>
      <c r="K318">
        <v>30.277999999999999</v>
      </c>
      <c r="L318">
        <v>29.285</v>
      </c>
      <c r="M318">
        <v>29.626000000000001</v>
      </c>
      <c r="N318">
        <v>30.768000000000001</v>
      </c>
      <c r="O318">
        <v>29.664999999999999</v>
      </c>
      <c r="P318">
        <v>30.263000000000002</v>
      </c>
      <c r="Q318">
        <v>29.998000000000001</v>
      </c>
      <c r="R318">
        <v>30.189</v>
      </c>
      <c r="S318">
        <v>28.625</v>
      </c>
      <c r="T318">
        <v>29.681999999999999</v>
      </c>
      <c r="U318">
        <v>29.748000000000001</v>
      </c>
      <c r="V318">
        <v>29.19</v>
      </c>
      <c r="W318">
        <v>28.928999999999998</v>
      </c>
      <c r="X318">
        <v>30.913</v>
      </c>
      <c r="Y318">
        <v>29.745000000000001</v>
      </c>
      <c r="Z318">
        <v>29.544</v>
      </c>
    </row>
    <row r="319" spans="1:26" x14ac:dyDescent="0.45">
      <c r="A319" t="s">
        <v>2227</v>
      </c>
      <c r="B319" t="s">
        <v>2601</v>
      </c>
      <c r="C319" s="3" t="s">
        <v>1838</v>
      </c>
      <c r="D319">
        <v>26.466000000000001</v>
      </c>
      <c r="E319">
        <v>26.265999999999998</v>
      </c>
      <c r="F319">
        <v>25.363</v>
      </c>
      <c r="G319">
        <v>27.693000000000001</v>
      </c>
      <c r="H319">
        <v>26.32</v>
      </c>
      <c r="I319">
        <v>25.54</v>
      </c>
      <c r="J319">
        <v>25.995000000000001</v>
      </c>
      <c r="K319">
        <v>27.48</v>
      </c>
      <c r="L319">
        <v>26.436</v>
      </c>
      <c r="M319">
        <v>26.882999999999999</v>
      </c>
      <c r="N319">
        <v>26.256</v>
      </c>
      <c r="O319">
        <v>27.562999999999999</v>
      </c>
      <c r="P319">
        <v>26.260999999999999</v>
      </c>
      <c r="Q319">
        <v>26.625</v>
      </c>
      <c r="R319">
        <v>26.611999999999998</v>
      </c>
      <c r="S319">
        <v>26.631</v>
      </c>
      <c r="T319">
        <v>26.486999999999998</v>
      </c>
      <c r="U319">
        <v>26.58</v>
      </c>
      <c r="V319">
        <v>26.199000000000002</v>
      </c>
      <c r="W319">
        <v>26.574000000000002</v>
      </c>
      <c r="X319">
        <v>27.361999999999998</v>
      </c>
      <c r="Y319">
        <v>26.408000000000001</v>
      </c>
      <c r="Z319">
        <v>25.95</v>
      </c>
    </row>
    <row r="320" spans="1:26" x14ac:dyDescent="0.45">
      <c r="A320" t="s">
        <v>2228</v>
      </c>
      <c r="B320" t="s">
        <v>2602</v>
      </c>
      <c r="C320" s="3" t="s">
        <v>1839</v>
      </c>
      <c r="D320">
        <v>24.634</v>
      </c>
      <c r="E320">
        <v>24.451000000000001</v>
      </c>
      <c r="F320">
        <v>23.957999999999998</v>
      </c>
      <c r="G320">
        <v>25.285</v>
      </c>
      <c r="H320">
        <v>24.332999999999998</v>
      </c>
      <c r="I320">
        <v>23.87</v>
      </c>
      <c r="J320">
        <v>24.442</v>
      </c>
      <c r="K320">
        <v>25.236000000000001</v>
      </c>
      <c r="L320">
        <v>24.684000000000001</v>
      </c>
      <c r="M320">
        <v>24.736000000000001</v>
      </c>
      <c r="N320">
        <v>24.885000000000002</v>
      </c>
      <c r="O320">
        <v>24.760999999999999</v>
      </c>
      <c r="P320">
        <v>24.535</v>
      </c>
      <c r="Q320">
        <v>24.625</v>
      </c>
      <c r="R320">
        <v>24.975999999999999</v>
      </c>
      <c r="S320">
        <v>24.498000000000001</v>
      </c>
      <c r="T320">
        <v>24.850999999999999</v>
      </c>
      <c r="U320">
        <v>24.763999999999999</v>
      </c>
      <c r="V320">
        <v>24.553999999999998</v>
      </c>
      <c r="W320">
        <v>24.515000000000001</v>
      </c>
      <c r="X320">
        <v>25.706</v>
      </c>
      <c r="Y320">
        <v>24.786000000000001</v>
      </c>
      <c r="Z320">
        <v>24.978999999999999</v>
      </c>
    </row>
    <row r="321" spans="1:26" x14ac:dyDescent="0.45">
      <c r="A321" t="s">
        <v>2229</v>
      </c>
      <c r="B321" t="s">
        <v>2603</v>
      </c>
      <c r="C321" s="3" t="s">
        <v>1840</v>
      </c>
      <c r="D321">
        <v>26.007000000000001</v>
      </c>
      <c r="E321">
        <v>26.484999999999999</v>
      </c>
      <c r="F321">
        <v>25.885000000000002</v>
      </c>
      <c r="G321">
        <v>26.864000000000001</v>
      </c>
      <c r="H321">
        <v>25.861000000000001</v>
      </c>
      <c r="I321">
        <v>26.105</v>
      </c>
      <c r="J321">
        <v>26.401</v>
      </c>
      <c r="K321">
        <v>26.59</v>
      </c>
      <c r="L321">
        <v>26.145</v>
      </c>
      <c r="M321">
        <v>26.524000000000001</v>
      </c>
      <c r="N321">
        <v>26.774000000000001</v>
      </c>
      <c r="O321">
        <v>26.617000000000001</v>
      </c>
      <c r="P321">
        <v>26.187999999999999</v>
      </c>
      <c r="Q321">
        <v>26.355</v>
      </c>
      <c r="R321">
        <v>26.692</v>
      </c>
      <c r="S321">
        <v>26.346</v>
      </c>
      <c r="T321">
        <v>26.202000000000002</v>
      </c>
      <c r="U321">
        <v>26.251000000000001</v>
      </c>
      <c r="V321">
        <v>25.908000000000001</v>
      </c>
      <c r="W321">
        <v>25.672999999999998</v>
      </c>
      <c r="X321">
        <v>26.817</v>
      </c>
      <c r="Y321">
        <v>25.919</v>
      </c>
      <c r="Z321">
        <v>26.199000000000002</v>
      </c>
    </row>
    <row r="322" spans="1:26" x14ac:dyDescent="0.45">
      <c r="A322" t="s">
        <v>2230</v>
      </c>
      <c r="B322" t="s">
        <v>2604</v>
      </c>
      <c r="C322" s="3" t="s">
        <v>1841</v>
      </c>
      <c r="D322">
        <v>27.928999999999998</v>
      </c>
      <c r="E322">
        <v>28.411999999999999</v>
      </c>
      <c r="F322">
        <v>27.802</v>
      </c>
      <c r="G322">
        <v>29.361999999999998</v>
      </c>
      <c r="H322">
        <v>27.835000000000001</v>
      </c>
      <c r="I322">
        <v>28.454000000000001</v>
      </c>
      <c r="J322">
        <v>27.838999999999999</v>
      </c>
      <c r="K322">
        <v>28.545000000000002</v>
      </c>
      <c r="L322">
        <v>28.657</v>
      </c>
      <c r="M322">
        <v>28.335999999999999</v>
      </c>
      <c r="N322">
        <v>28.981999999999999</v>
      </c>
      <c r="O322">
        <v>29.231000000000002</v>
      </c>
      <c r="P322">
        <v>28.300999999999998</v>
      </c>
      <c r="Q322">
        <v>28.323</v>
      </c>
      <c r="R322">
        <v>28.712</v>
      </c>
      <c r="S322">
        <v>28.503</v>
      </c>
      <c r="T322">
        <v>28.236999999999998</v>
      </c>
      <c r="U322">
        <v>27.902000000000001</v>
      </c>
      <c r="V322">
        <v>28.170999999999999</v>
      </c>
      <c r="W322">
        <v>28.253</v>
      </c>
      <c r="X322">
        <v>29.018999999999998</v>
      </c>
      <c r="Y322">
        <v>28.286999999999999</v>
      </c>
      <c r="Z322">
        <v>28.18</v>
      </c>
    </row>
    <row r="323" spans="1:26" x14ac:dyDescent="0.45">
      <c r="A323" t="s">
        <v>2231</v>
      </c>
      <c r="B323" t="s">
        <v>2605</v>
      </c>
      <c r="C323" s="3" t="s">
        <v>1842</v>
      </c>
      <c r="D323">
        <v>25.623999999999999</v>
      </c>
      <c r="E323">
        <v>25.803000000000001</v>
      </c>
      <c r="F323">
        <v>25.396999999999998</v>
      </c>
      <c r="G323">
        <v>26.798999999999999</v>
      </c>
      <c r="H323">
        <v>25.977</v>
      </c>
      <c r="I323">
        <v>25.161000000000001</v>
      </c>
      <c r="J323">
        <v>25.995999999999999</v>
      </c>
      <c r="K323">
        <v>26.172999999999998</v>
      </c>
      <c r="L323">
        <v>26.393999999999998</v>
      </c>
      <c r="M323">
        <v>25.763000000000002</v>
      </c>
      <c r="N323">
        <v>25.425999999999998</v>
      </c>
      <c r="O323">
        <v>26.344000000000001</v>
      </c>
      <c r="P323">
        <v>25.463999999999999</v>
      </c>
      <c r="Q323">
        <v>25.785</v>
      </c>
      <c r="R323">
        <v>26.056999999999999</v>
      </c>
      <c r="S323">
        <v>25.632000000000001</v>
      </c>
      <c r="T323">
        <v>26.35</v>
      </c>
      <c r="U323">
        <v>26.384</v>
      </c>
      <c r="V323">
        <v>25.643999999999998</v>
      </c>
      <c r="W323">
        <v>25.891999999999999</v>
      </c>
      <c r="X323">
        <v>26.638000000000002</v>
      </c>
      <c r="Y323">
        <v>25.722999999999999</v>
      </c>
      <c r="Z323">
        <v>25.797999999999998</v>
      </c>
    </row>
    <row r="324" spans="1:26" x14ac:dyDescent="0.45">
      <c r="A324" t="s">
        <v>2232</v>
      </c>
      <c r="B324" t="s">
        <v>2606</v>
      </c>
      <c r="C324" s="3" t="s">
        <v>1843</v>
      </c>
      <c r="D324">
        <v>24.555</v>
      </c>
      <c r="E324">
        <v>24.992000000000001</v>
      </c>
      <c r="F324">
        <v>24.568999999999999</v>
      </c>
      <c r="G324">
        <v>26.097999999999999</v>
      </c>
      <c r="H324">
        <v>25.131</v>
      </c>
      <c r="I324">
        <v>24.457000000000001</v>
      </c>
      <c r="J324">
        <v>25.01</v>
      </c>
      <c r="K324">
        <v>25.462</v>
      </c>
      <c r="L324">
        <v>25.792999999999999</v>
      </c>
      <c r="M324">
        <v>25.169</v>
      </c>
      <c r="N324">
        <v>24.812000000000001</v>
      </c>
      <c r="O324">
        <v>25.896000000000001</v>
      </c>
      <c r="P324">
        <v>24.88</v>
      </c>
      <c r="Q324">
        <v>24.986999999999998</v>
      </c>
      <c r="R324">
        <v>25.222000000000001</v>
      </c>
      <c r="S324">
        <v>24.574000000000002</v>
      </c>
      <c r="T324">
        <v>25.58</v>
      </c>
      <c r="U324">
        <v>25.861000000000001</v>
      </c>
      <c r="V324">
        <v>25.132000000000001</v>
      </c>
      <c r="W324">
        <v>25.346</v>
      </c>
      <c r="X324">
        <v>25.939</v>
      </c>
      <c r="Y324">
        <v>25.100999999999999</v>
      </c>
      <c r="Z324">
        <v>24.756</v>
      </c>
    </row>
    <row r="325" spans="1:26" x14ac:dyDescent="0.45">
      <c r="A325" t="s">
        <v>2233</v>
      </c>
      <c r="B325" t="s">
        <v>2607</v>
      </c>
      <c r="C325" s="3" t="s">
        <v>1844</v>
      </c>
      <c r="D325">
        <v>27.297000000000001</v>
      </c>
      <c r="E325">
        <v>27.158999999999999</v>
      </c>
      <c r="F325">
        <v>25.832999999999998</v>
      </c>
      <c r="G325">
        <v>27.395</v>
      </c>
      <c r="H325">
        <v>26.286999999999999</v>
      </c>
      <c r="I325">
        <v>27.300999999999998</v>
      </c>
      <c r="J325">
        <v>25.827999999999999</v>
      </c>
      <c r="K325">
        <v>26.454000000000001</v>
      </c>
      <c r="L325">
        <v>26.175999999999998</v>
      </c>
      <c r="M325">
        <v>26.332000000000001</v>
      </c>
      <c r="N325">
        <v>25.623000000000001</v>
      </c>
      <c r="O325">
        <v>26.818000000000001</v>
      </c>
      <c r="P325">
        <v>25.64</v>
      </c>
      <c r="Q325">
        <v>25.97</v>
      </c>
      <c r="R325">
        <v>26.277000000000001</v>
      </c>
      <c r="S325">
        <v>26.245000000000001</v>
      </c>
      <c r="T325">
        <v>26.344999999999999</v>
      </c>
      <c r="U325">
        <v>26.216999999999999</v>
      </c>
      <c r="V325">
        <v>25.943999999999999</v>
      </c>
      <c r="W325">
        <v>25.879000000000001</v>
      </c>
      <c r="X325">
        <v>26.486000000000001</v>
      </c>
      <c r="Y325">
        <v>26.434000000000001</v>
      </c>
      <c r="Z325">
        <v>25.611000000000001</v>
      </c>
    </row>
    <row r="326" spans="1:26" x14ac:dyDescent="0.45">
      <c r="A326" t="s">
        <v>2234</v>
      </c>
      <c r="B326" t="s">
        <v>2608</v>
      </c>
      <c r="C326" s="3" t="s">
        <v>1845</v>
      </c>
      <c r="D326">
        <v>28.271999999999998</v>
      </c>
      <c r="E326">
        <v>27.59</v>
      </c>
      <c r="F326">
        <v>27.187000000000001</v>
      </c>
      <c r="G326">
        <v>28.257000000000001</v>
      </c>
      <c r="H326">
        <v>27.268000000000001</v>
      </c>
      <c r="I326">
        <v>27.832000000000001</v>
      </c>
      <c r="J326">
        <v>26.637</v>
      </c>
      <c r="K326">
        <v>27.376000000000001</v>
      </c>
      <c r="L326">
        <v>27.38</v>
      </c>
      <c r="M326">
        <v>27.436</v>
      </c>
      <c r="N326">
        <v>27.372</v>
      </c>
      <c r="O326">
        <v>28.17</v>
      </c>
      <c r="P326">
        <v>27.173999999999999</v>
      </c>
      <c r="Q326">
        <v>27.100999999999999</v>
      </c>
      <c r="R326">
        <v>27.631</v>
      </c>
      <c r="S326">
        <v>27.346</v>
      </c>
      <c r="T326">
        <v>27.8</v>
      </c>
      <c r="U326">
        <v>27.154</v>
      </c>
      <c r="V326">
        <v>27.224</v>
      </c>
      <c r="W326">
        <v>27.109000000000002</v>
      </c>
      <c r="X326">
        <v>27.625</v>
      </c>
      <c r="Y326">
        <v>27.715</v>
      </c>
      <c r="Z326">
        <v>26.788</v>
      </c>
    </row>
    <row r="327" spans="1:26" x14ac:dyDescent="0.45">
      <c r="A327" t="s">
        <v>2235</v>
      </c>
      <c r="B327" t="s">
        <v>2609</v>
      </c>
      <c r="C327" s="3" t="s">
        <v>1846</v>
      </c>
      <c r="D327">
        <v>24.960999999999999</v>
      </c>
      <c r="E327">
        <v>25.088999999999999</v>
      </c>
      <c r="F327">
        <v>24.745000000000001</v>
      </c>
      <c r="G327">
        <v>25.73</v>
      </c>
      <c r="H327">
        <v>24.809000000000001</v>
      </c>
      <c r="I327">
        <v>24.866</v>
      </c>
      <c r="J327">
        <v>24.443000000000001</v>
      </c>
      <c r="K327">
        <v>25.675999999999998</v>
      </c>
      <c r="L327">
        <v>24.47</v>
      </c>
      <c r="M327">
        <v>25.187000000000001</v>
      </c>
      <c r="N327">
        <v>24.414000000000001</v>
      </c>
      <c r="O327">
        <v>24.815000000000001</v>
      </c>
      <c r="P327">
        <v>24.681000000000001</v>
      </c>
      <c r="Q327">
        <v>26.657</v>
      </c>
      <c r="R327">
        <v>25.975000000000001</v>
      </c>
      <c r="S327">
        <v>25.678999999999998</v>
      </c>
      <c r="T327">
        <v>25.312999999999999</v>
      </c>
      <c r="U327">
        <v>24.373000000000001</v>
      </c>
      <c r="V327">
        <v>25.452999999999999</v>
      </c>
      <c r="W327">
        <v>25.338999999999999</v>
      </c>
      <c r="X327">
        <v>26.611000000000001</v>
      </c>
      <c r="Y327">
        <v>26.251000000000001</v>
      </c>
      <c r="Z327">
        <v>25.285</v>
      </c>
    </row>
    <row r="328" spans="1:26" x14ac:dyDescent="0.45">
      <c r="A328" t="s">
        <v>2236</v>
      </c>
      <c r="B328" t="s">
        <v>2610</v>
      </c>
      <c r="C328" s="3" t="s">
        <v>1847</v>
      </c>
      <c r="D328">
        <v>35.531999999999996</v>
      </c>
      <c r="E328" t="s">
        <v>1906</v>
      </c>
      <c r="F328" t="s">
        <v>1906</v>
      </c>
      <c r="G328" t="s">
        <v>1906</v>
      </c>
      <c r="H328" t="s">
        <v>1906</v>
      </c>
      <c r="I328">
        <v>35.267000000000003</v>
      </c>
      <c r="J328" t="s">
        <v>1906</v>
      </c>
      <c r="K328" t="s">
        <v>1906</v>
      </c>
      <c r="L328" t="s">
        <v>1906</v>
      </c>
      <c r="M328" t="s">
        <v>1906</v>
      </c>
      <c r="N328" t="s">
        <v>1906</v>
      </c>
      <c r="O328" t="s">
        <v>1906</v>
      </c>
      <c r="P328" t="s">
        <v>1906</v>
      </c>
      <c r="Q328" t="s">
        <v>1906</v>
      </c>
      <c r="R328" t="s">
        <v>1906</v>
      </c>
      <c r="S328" t="s">
        <v>1906</v>
      </c>
      <c r="T328" t="s">
        <v>1906</v>
      </c>
      <c r="U328" t="s">
        <v>1906</v>
      </c>
      <c r="V328">
        <v>33.677</v>
      </c>
      <c r="W328" t="s">
        <v>1906</v>
      </c>
      <c r="X328" t="s">
        <v>1906</v>
      </c>
      <c r="Y328" t="s">
        <v>1906</v>
      </c>
      <c r="Z328" t="s">
        <v>1906</v>
      </c>
    </row>
    <row r="329" spans="1:26" x14ac:dyDescent="0.45">
      <c r="A329" t="s">
        <v>2237</v>
      </c>
      <c r="B329" t="s">
        <v>2611</v>
      </c>
      <c r="C329" s="3" t="s">
        <v>1848</v>
      </c>
      <c r="D329">
        <v>27.222999999999999</v>
      </c>
      <c r="E329">
        <v>26.789000000000001</v>
      </c>
      <c r="F329">
        <v>25.471</v>
      </c>
      <c r="G329">
        <v>26.727</v>
      </c>
      <c r="H329">
        <v>25.015999999999998</v>
      </c>
      <c r="I329">
        <v>28.722999999999999</v>
      </c>
      <c r="J329">
        <v>27.399000000000001</v>
      </c>
      <c r="K329">
        <v>27.692</v>
      </c>
      <c r="L329">
        <v>25.399000000000001</v>
      </c>
      <c r="M329">
        <v>25.800999999999998</v>
      </c>
      <c r="N329">
        <v>26.22</v>
      </c>
      <c r="O329">
        <v>26.463999999999999</v>
      </c>
      <c r="P329">
        <v>25.606000000000002</v>
      </c>
      <c r="Q329">
        <v>25.245999999999999</v>
      </c>
      <c r="R329">
        <v>26.986999999999998</v>
      </c>
      <c r="S329">
        <v>26.606000000000002</v>
      </c>
      <c r="T329">
        <v>25.931000000000001</v>
      </c>
      <c r="U329">
        <v>25.696999999999999</v>
      </c>
      <c r="V329">
        <v>26.995000000000001</v>
      </c>
      <c r="W329">
        <v>26.204000000000001</v>
      </c>
      <c r="X329">
        <v>25.606999999999999</v>
      </c>
      <c r="Y329">
        <v>25.614999999999998</v>
      </c>
      <c r="Z329">
        <v>25.768999999999998</v>
      </c>
    </row>
    <row r="330" spans="1:26" x14ac:dyDescent="0.45">
      <c r="A330" t="s">
        <v>2238</v>
      </c>
      <c r="B330" t="s">
        <v>2612</v>
      </c>
      <c r="C330" s="3" t="s">
        <v>1849</v>
      </c>
      <c r="D330">
        <v>26.821000000000002</v>
      </c>
      <c r="E330">
        <v>26.646000000000001</v>
      </c>
      <c r="F330">
        <v>25.239000000000001</v>
      </c>
      <c r="G330">
        <v>26.364000000000001</v>
      </c>
      <c r="H330">
        <v>24.94</v>
      </c>
      <c r="I330">
        <v>27.484000000000002</v>
      </c>
      <c r="J330">
        <v>26.873999999999999</v>
      </c>
      <c r="K330">
        <v>26.943000000000001</v>
      </c>
      <c r="L330">
        <v>25.001000000000001</v>
      </c>
      <c r="M330">
        <v>25.420999999999999</v>
      </c>
      <c r="N330">
        <v>25.975000000000001</v>
      </c>
      <c r="O330">
        <v>25.835999999999999</v>
      </c>
      <c r="P330">
        <v>25.414000000000001</v>
      </c>
      <c r="Q330">
        <v>25.321000000000002</v>
      </c>
      <c r="R330">
        <v>26.547000000000001</v>
      </c>
      <c r="S330">
        <v>26.257000000000001</v>
      </c>
      <c r="T330">
        <v>25.98</v>
      </c>
      <c r="U330">
        <v>25.460999999999999</v>
      </c>
      <c r="V330">
        <v>26.523</v>
      </c>
      <c r="W330">
        <v>25.803000000000001</v>
      </c>
      <c r="X330">
        <v>25.622</v>
      </c>
      <c r="Y330">
        <v>25.773</v>
      </c>
      <c r="Z330">
        <v>25.71</v>
      </c>
    </row>
    <row r="331" spans="1:26" x14ac:dyDescent="0.45">
      <c r="A331" t="s">
        <v>2239</v>
      </c>
      <c r="B331" t="s">
        <v>2613</v>
      </c>
      <c r="C331" s="3" t="s">
        <v>1850</v>
      </c>
      <c r="D331">
        <v>25.65</v>
      </c>
      <c r="E331">
        <v>25.957999999999998</v>
      </c>
      <c r="F331">
        <v>25.61</v>
      </c>
      <c r="G331">
        <v>26.524999999999999</v>
      </c>
      <c r="H331">
        <v>25.672000000000001</v>
      </c>
      <c r="I331">
        <v>26.274999999999999</v>
      </c>
      <c r="J331">
        <v>25.74</v>
      </c>
      <c r="K331">
        <v>26.763999999999999</v>
      </c>
      <c r="L331">
        <v>25.396000000000001</v>
      </c>
      <c r="M331">
        <v>26.154</v>
      </c>
      <c r="N331">
        <v>25.541</v>
      </c>
      <c r="O331">
        <v>26.234999999999999</v>
      </c>
      <c r="P331">
        <v>26.103000000000002</v>
      </c>
      <c r="Q331">
        <v>25.821999999999999</v>
      </c>
      <c r="R331">
        <v>27.148</v>
      </c>
      <c r="S331">
        <v>25.951000000000001</v>
      </c>
      <c r="T331">
        <v>25.983000000000001</v>
      </c>
      <c r="U331">
        <v>25.9</v>
      </c>
      <c r="V331">
        <v>25.632000000000001</v>
      </c>
      <c r="W331">
        <v>26.295000000000002</v>
      </c>
      <c r="X331">
        <v>26.507999999999999</v>
      </c>
      <c r="Y331">
        <v>27.286000000000001</v>
      </c>
      <c r="Z331">
        <v>26.202999999999999</v>
      </c>
    </row>
    <row r="332" spans="1:26" x14ac:dyDescent="0.45">
      <c r="A332" t="s">
        <v>2240</v>
      </c>
      <c r="B332" t="s">
        <v>2614</v>
      </c>
      <c r="C332" s="3" t="s">
        <v>1851</v>
      </c>
      <c r="D332">
        <v>24.135999999999999</v>
      </c>
      <c r="E332">
        <v>23.806000000000001</v>
      </c>
      <c r="F332">
        <v>23.899000000000001</v>
      </c>
      <c r="G332">
        <v>24.491</v>
      </c>
      <c r="H332">
        <v>23.969000000000001</v>
      </c>
      <c r="I332">
        <v>25.114000000000001</v>
      </c>
      <c r="J332">
        <v>23.917000000000002</v>
      </c>
      <c r="K332">
        <v>24.888999999999999</v>
      </c>
      <c r="L332">
        <v>23.765999999999998</v>
      </c>
      <c r="M332">
        <v>24.305</v>
      </c>
      <c r="N332">
        <v>23.515999999999998</v>
      </c>
      <c r="O332">
        <v>24.629000000000001</v>
      </c>
      <c r="P332">
        <v>24.233000000000001</v>
      </c>
      <c r="Q332">
        <v>23.978000000000002</v>
      </c>
      <c r="R332">
        <v>25.484999999999999</v>
      </c>
      <c r="S332">
        <v>24.385000000000002</v>
      </c>
      <c r="T332">
        <v>24.414999999999999</v>
      </c>
      <c r="U332">
        <v>24.218</v>
      </c>
      <c r="V332">
        <v>23.992999999999999</v>
      </c>
      <c r="W332">
        <v>24.704000000000001</v>
      </c>
      <c r="X332">
        <v>24.420999999999999</v>
      </c>
      <c r="Y332">
        <v>25.675999999999998</v>
      </c>
      <c r="Z332">
        <v>24.335000000000001</v>
      </c>
    </row>
    <row r="333" spans="1:26" x14ac:dyDescent="0.45">
      <c r="A333" t="s">
        <v>2241</v>
      </c>
      <c r="B333" t="s">
        <v>2615</v>
      </c>
      <c r="C333" s="3" t="s">
        <v>1852</v>
      </c>
      <c r="D333">
        <v>22.776</v>
      </c>
      <c r="E333">
        <v>23.652999999999999</v>
      </c>
      <c r="F333">
        <v>21.605</v>
      </c>
      <c r="G333">
        <v>24.713999999999999</v>
      </c>
      <c r="H333">
        <v>22.597000000000001</v>
      </c>
      <c r="I333">
        <v>24.372</v>
      </c>
      <c r="J333">
        <v>21.914000000000001</v>
      </c>
      <c r="K333">
        <v>23.37</v>
      </c>
      <c r="L333">
        <v>22.858000000000001</v>
      </c>
      <c r="M333">
        <v>23.616</v>
      </c>
      <c r="N333">
        <v>22.206</v>
      </c>
      <c r="O333">
        <v>23.992000000000001</v>
      </c>
      <c r="P333">
        <v>22.786999999999999</v>
      </c>
      <c r="Q333">
        <v>23.475000000000001</v>
      </c>
      <c r="R333">
        <v>23.648</v>
      </c>
      <c r="S333">
        <v>23.632000000000001</v>
      </c>
      <c r="T333">
        <v>22.481999999999999</v>
      </c>
      <c r="U333">
        <v>22.332999999999998</v>
      </c>
      <c r="V333">
        <v>22.436</v>
      </c>
      <c r="W333">
        <v>23.335999999999999</v>
      </c>
      <c r="X333">
        <v>22.855</v>
      </c>
      <c r="Y333">
        <v>23.414999999999999</v>
      </c>
      <c r="Z333">
        <v>22.419</v>
      </c>
    </row>
    <row r="334" spans="1:26" x14ac:dyDescent="0.45">
      <c r="A334" t="s">
        <v>2242</v>
      </c>
      <c r="B334" t="s">
        <v>2616</v>
      </c>
      <c r="C334" s="3" t="s">
        <v>1853</v>
      </c>
      <c r="D334">
        <v>25.667000000000002</v>
      </c>
      <c r="E334">
        <v>27.978999999999999</v>
      </c>
      <c r="F334">
        <v>25.08</v>
      </c>
      <c r="G334">
        <v>27.997</v>
      </c>
      <c r="H334">
        <v>25.271000000000001</v>
      </c>
      <c r="I334">
        <v>29.361000000000001</v>
      </c>
      <c r="J334">
        <v>25.562000000000001</v>
      </c>
      <c r="K334">
        <v>26.265000000000001</v>
      </c>
      <c r="L334">
        <v>25.657</v>
      </c>
      <c r="M334">
        <v>27.32</v>
      </c>
      <c r="N334">
        <v>25.341000000000001</v>
      </c>
      <c r="O334">
        <v>26.83</v>
      </c>
      <c r="P334">
        <v>25.991</v>
      </c>
      <c r="Q334">
        <v>27.175999999999998</v>
      </c>
      <c r="R334">
        <v>27.166</v>
      </c>
      <c r="S334">
        <v>25.635000000000002</v>
      </c>
      <c r="T334">
        <v>25.486999999999998</v>
      </c>
      <c r="U334">
        <v>25.567</v>
      </c>
      <c r="V334">
        <v>24.99</v>
      </c>
      <c r="W334">
        <v>25.937999999999999</v>
      </c>
      <c r="X334">
        <v>26.143999999999998</v>
      </c>
      <c r="Y334">
        <v>26.611999999999998</v>
      </c>
      <c r="Z334">
        <v>25.815999999999999</v>
      </c>
    </row>
    <row r="335" spans="1:26" x14ac:dyDescent="0.45">
      <c r="A335" t="s">
        <v>2243</v>
      </c>
      <c r="B335" t="s">
        <v>2617</v>
      </c>
      <c r="C335" s="3" t="s">
        <v>1854</v>
      </c>
      <c r="D335">
        <v>31.475000000000001</v>
      </c>
      <c r="E335">
        <v>29.998000000000001</v>
      </c>
      <c r="F335">
        <v>29.952999999999999</v>
      </c>
      <c r="G335">
        <v>34.165999999999997</v>
      </c>
      <c r="H335">
        <v>29.547999999999998</v>
      </c>
      <c r="I335">
        <v>30.385000000000002</v>
      </c>
      <c r="J335">
        <v>29.965</v>
      </c>
      <c r="K335">
        <v>31.667000000000002</v>
      </c>
      <c r="L335">
        <v>29.808</v>
      </c>
      <c r="M335">
        <v>30.617999999999999</v>
      </c>
      <c r="N335">
        <v>30.562999999999999</v>
      </c>
      <c r="O335">
        <v>31.414000000000001</v>
      </c>
      <c r="P335">
        <v>29.811</v>
      </c>
      <c r="Q335">
        <v>29.524000000000001</v>
      </c>
      <c r="R335">
        <v>31.303000000000001</v>
      </c>
      <c r="S335">
        <v>31.513999999999999</v>
      </c>
      <c r="T335">
        <v>28.94</v>
      </c>
      <c r="U335">
        <v>32.777000000000001</v>
      </c>
      <c r="V335">
        <v>31.146000000000001</v>
      </c>
      <c r="W335">
        <v>30.620999999999999</v>
      </c>
      <c r="X335">
        <v>30.635999999999999</v>
      </c>
      <c r="Y335">
        <v>28.916</v>
      </c>
      <c r="Z335">
        <v>31.173999999999999</v>
      </c>
    </row>
    <row r="336" spans="1:26" x14ac:dyDescent="0.45">
      <c r="A336" t="s">
        <v>2244</v>
      </c>
      <c r="B336" t="s">
        <v>2618</v>
      </c>
      <c r="C336" s="3" t="s">
        <v>1855</v>
      </c>
      <c r="D336">
        <v>26.617000000000001</v>
      </c>
      <c r="E336">
        <v>26.536999999999999</v>
      </c>
      <c r="F336">
        <v>26.309000000000001</v>
      </c>
      <c r="G336">
        <v>27.617999999999999</v>
      </c>
      <c r="H336">
        <v>27.134</v>
      </c>
      <c r="I336">
        <v>26.358000000000001</v>
      </c>
      <c r="J336">
        <v>26.472000000000001</v>
      </c>
      <c r="K336">
        <v>27.16</v>
      </c>
      <c r="L336">
        <v>26.637</v>
      </c>
      <c r="M336">
        <v>27.09</v>
      </c>
      <c r="N336">
        <v>27.484999999999999</v>
      </c>
      <c r="O336">
        <v>27.405999999999999</v>
      </c>
      <c r="P336">
        <v>27.183</v>
      </c>
      <c r="Q336">
        <v>26.835999999999999</v>
      </c>
      <c r="R336">
        <v>26.869</v>
      </c>
      <c r="S336">
        <v>27.535</v>
      </c>
      <c r="T336">
        <v>26.675000000000001</v>
      </c>
      <c r="U336">
        <v>27.934999999999999</v>
      </c>
      <c r="V336">
        <v>26.654</v>
      </c>
      <c r="W336">
        <v>27.3</v>
      </c>
      <c r="X336">
        <v>26.984000000000002</v>
      </c>
      <c r="Y336">
        <v>26.73</v>
      </c>
      <c r="Z336">
        <v>26.553000000000001</v>
      </c>
    </row>
    <row r="337" spans="1:26" x14ac:dyDescent="0.45">
      <c r="A337" t="s">
        <v>2245</v>
      </c>
      <c r="B337" t="s">
        <v>2619</v>
      </c>
      <c r="C337" s="3" t="s">
        <v>1856</v>
      </c>
      <c r="D337">
        <v>27.701000000000001</v>
      </c>
      <c r="E337">
        <v>27.805</v>
      </c>
      <c r="F337">
        <v>26.515999999999998</v>
      </c>
      <c r="G337">
        <v>28.463999999999999</v>
      </c>
      <c r="H337">
        <v>27.620999999999999</v>
      </c>
      <c r="I337">
        <v>27.581</v>
      </c>
      <c r="J337">
        <v>27.37</v>
      </c>
      <c r="K337">
        <v>28.111999999999998</v>
      </c>
      <c r="L337">
        <v>27.666</v>
      </c>
      <c r="M337">
        <v>27.831</v>
      </c>
      <c r="N337">
        <v>27.363</v>
      </c>
      <c r="O337">
        <v>27.896999999999998</v>
      </c>
      <c r="P337">
        <v>28.175000000000001</v>
      </c>
      <c r="Q337">
        <v>26.937000000000001</v>
      </c>
      <c r="R337">
        <v>27.39</v>
      </c>
      <c r="S337">
        <v>28.44</v>
      </c>
      <c r="T337">
        <v>27.298999999999999</v>
      </c>
      <c r="U337">
        <v>27.26</v>
      </c>
      <c r="V337">
        <v>26.870999999999999</v>
      </c>
      <c r="W337">
        <v>27.95</v>
      </c>
      <c r="X337">
        <v>28.55</v>
      </c>
      <c r="Y337">
        <v>27.687999999999999</v>
      </c>
      <c r="Z337">
        <v>27.931000000000001</v>
      </c>
    </row>
    <row r="338" spans="1:26" x14ac:dyDescent="0.45">
      <c r="A338" t="s">
        <v>2246</v>
      </c>
      <c r="B338" t="s">
        <v>2620</v>
      </c>
      <c r="C338" s="3" t="s">
        <v>1857</v>
      </c>
      <c r="D338">
        <v>27.221</v>
      </c>
      <c r="E338">
        <v>27.402999999999999</v>
      </c>
      <c r="F338">
        <v>26.532</v>
      </c>
      <c r="G338">
        <v>27.77</v>
      </c>
      <c r="H338">
        <v>26.928000000000001</v>
      </c>
      <c r="I338">
        <v>26.745999999999999</v>
      </c>
      <c r="J338">
        <v>27.093</v>
      </c>
      <c r="K338">
        <v>27.798999999999999</v>
      </c>
      <c r="L338">
        <v>27.119</v>
      </c>
      <c r="M338">
        <v>27.245999999999999</v>
      </c>
      <c r="N338">
        <v>27.497</v>
      </c>
      <c r="O338">
        <v>27.922000000000001</v>
      </c>
      <c r="P338">
        <v>27.622</v>
      </c>
      <c r="Q338">
        <v>27.550999999999998</v>
      </c>
      <c r="R338">
        <v>27.181999999999999</v>
      </c>
      <c r="S338">
        <v>27.646999999999998</v>
      </c>
      <c r="T338">
        <v>27.228000000000002</v>
      </c>
      <c r="U338">
        <v>27.212</v>
      </c>
      <c r="V338">
        <v>27.234000000000002</v>
      </c>
      <c r="W338">
        <v>27.646999999999998</v>
      </c>
      <c r="X338">
        <v>27.663</v>
      </c>
      <c r="Y338">
        <v>27.129000000000001</v>
      </c>
      <c r="Z338">
        <v>27.135999999999999</v>
      </c>
    </row>
    <row r="339" spans="1:26" x14ac:dyDescent="0.45">
      <c r="A339" t="s">
        <v>2247</v>
      </c>
      <c r="B339" t="s">
        <v>2621</v>
      </c>
      <c r="C339" s="3" t="s">
        <v>1858</v>
      </c>
      <c r="D339">
        <v>27.452999999999999</v>
      </c>
      <c r="E339">
        <v>28.32</v>
      </c>
      <c r="F339">
        <v>26.692</v>
      </c>
      <c r="G339">
        <v>28.228999999999999</v>
      </c>
      <c r="H339">
        <v>26.991</v>
      </c>
      <c r="I339">
        <v>27.260999999999999</v>
      </c>
      <c r="J339">
        <v>27.097000000000001</v>
      </c>
      <c r="K339">
        <v>27.347999999999999</v>
      </c>
      <c r="L339">
        <v>27.658000000000001</v>
      </c>
      <c r="M339">
        <v>27.759</v>
      </c>
      <c r="N339">
        <v>27.701000000000001</v>
      </c>
      <c r="O339">
        <v>27.515000000000001</v>
      </c>
      <c r="P339">
        <v>28.001000000000001</v>
      </c>
      <c r="Q339">
        <v>27.72</v>
      </c>
      <c r="R339">
        <v>27.917000000000002</v>
      </c>
      <c r="S339">
        <v>28.193999999999999</v>
      </c>
      <c r="T339">
        <v>27.356000000000002</v>
      </c>
      <c r="U339">
        <v>27.545999999999999</v>
      </c>
      <c r="V339">
        <v>27.271999999999998</v>
      </c>
      <c r="W339">
        <v>27.608000000000001</v>
      </c>
      <c r="X339">
        <v>27.984000000000002</v>
      </c>
      <c r="Y339">
        <v>27.071999999999999</v>
      </c>
      <c r="Z339">
        <v>27.58</v>
      </c>
    </row>
    <row r="340" spans="1:26" x14ac:dyDescent="0.45">
      <c r="A340" t="s">
        <v>2248</v>
      </c>
      <c r="B340" t="s">
        <v>2622</v>
      </c>
      <c r="C340" s="3" t="s">
        <v>1859</v>
      </c>
      <c r="D340">
        <v>28.568000000000001</v>
      </c>
      <c r="E340">
        <v>28.391999999999999</v>
      </c>
      <c r="F340">
        <v>27.538</v>
      </c>
      <c r="G340">
        <v>29.184999999999999</v>
      </c>
      <c r="H340">
        <v>29.405000000000001</v>
      </c>
      <c r="I340">
        <v>29.145</v>
      </c>
      <c r="J340">
        <v>27.812999999999999</v>
      </c>
      <c r="K340">
        <v>28.731999999999999</v>
      </c>
      <c r="L340">
        <v>28.844999999999999</v>
      </c>
      <c r="M340">
        <v>27.661999999999999</v>
      </c>
      <c r="N340">
        <v>28.808</v>
      </c>
      <c r="O340">
        <v>28.742999999999999</v>
      </c>
      <c r="P340">
        <v>27.738</v>
      </c>
      <c r="Q340">
        <v>28.248999999999999</v>
      </c>
      <c r="R340">
        <v>28.626000000000001</v>
      </c>
      <c r="S340">
        <v>28.603999999999999</v>
      </c>
      <c r="T340">
        <v>28.878</v>
      </c>
      <c r="U340">
        <v>28.818000000000001</v>
      </c>
      <c r="V340">
        <v>28.937999999999999</v>
      </c>
      <c r="W340">
        <v>28.198</v>
      </c>
      <c r="X340">
        <v>28.812999999999999</v>
      </c>
      <c r="Y340">
        <v>28.106000000000002</v>
      </c>
      <c r="Z340">
        <v>27.908000000000001</v>
      </c>
    </row>
    <row r="341" spans="1:26" x14ac:dyDescent="0.45">
      <c r="A341" t="s">
        <v>2249</v>
      </c>
      <c r="B341" t="s">
        <v>2623</v>
      </c>
      <c r="C341" s="3" t="s">
        <v>1860</v>
      </c>
      <c r="D341">
        <v>25.803000000000001</v>
      </c>
      <c r="E341">
        <v>26.673999999999999</v>
      </c>
      <c r="F341">
        <v>26.001000000000001</v>
      </c>
      <c r="G341">
        <v>27.486999999999998</v>
      </c>
      <c r="H341">
        <v>26.538</v>
      </c>
      <c r="I341">
        <v>26.161999999999999</v>
      </c>
      <c r="J341">
        <v>26.689</v>
      </c>
      <c r="K341">
        <v>26.466999999999999</v>
      </c>
      <c r="L341">
        <v>27</v>
      </c>
      <c r="M341">
        <v>27.401</v>
      </c>
      <c r="N341">
        <v>26.779</v>
      </c>
      <c r="O341">
        <v>26.981999999999999</v>
      </c>
      <c r="P341">
        <v>26.553000000000001</v>
      </c>
      <c r="Q341">
        <v>27.003</v>
      </c>
      <c r="R341">
        <v>26.873000000000001</v>
      </c>
      <c r="S341">
        <v>26.335999999999999</v>
      </c>
      <c r="T341">
        <v>26.687000000000001</v>
      </c>
      <c r="U341">
        <v>26.712</v>
      </c>
      <c r="V341">
        <v>26.786000000000001</v>
      </c>
      <c r="W341">
        <v>27.076000000000001</v>
      </c>
      <c r="X341">
        <v>27.234000000000002</v>
      </c>
      <c r="Y341">
        <v>27.103999999999999</v>
      </c>
      <c r="Z341">
        <v>26.420999999999999</v>
      </c>
    </row>
    <row r="342" spans="1:26" x14ac:dyDescent="0.45">
      <c r="A342" t="s">
        <v>2250</v>
      </c>
      <c r="B342" t="s">
        <v>2624</v>
      </c>
      <c r="C342" s="3" t="s">
        <v>1861</v>
      </c>
      <c r="D342">
        <v>24.481000000000002</v>
      </c>
      <c r="E342">
        <v>25.242000000000001</v>
      </c>
      <c r="F342">
        <v>24.603999999999999</v>
      </c>
      <c r="G342">
        <v>25.716999999999999</v>
      </c>
      <c r="H342">
        <v>24.768000000000001</v>
      </c>
      <c r="I342">
        <v>24.495000000000001</v>
      </c>
      <c r="J342">
        <v>24.832000000000001</v>
      </c>
      <c r="K342">
        <v>25.358000000000001</v>
      </c>
      <c r="L342">
        <v>25.19</v>
      </c>
      <c r="M342">
        <v>25.49</v>
      </c>
      <c r="N342">
        <v>25.478999999999999</v>
      </c>
      <c r="O342">
        <v>25.495000000000001</v>
      </c>
      <c r="P342">
        <v>25.113</v>
      </c>
      <c r="Q342">
        <v>25.382999999999999</v>
      </c>
      <c r="R342">
        <v>25.286000000000001</v>
      </c>
      <c r="S342">
        <v>25.439</v>
      </c>
      <c r="T342">
        <v>24.992000000000001</v>
      </c>
      <c r="U342">
        <v>25.251999999999999</v>
      </c>
      <c r="V342">
        <v>24.873000000000001</v>
      </c>
      <c r="W342">
        <v>25.254999999999999</v>
      </c>
      <c r="X342">
        <v>25.347999999999999</v>
      </c>
      <c r="Y342">
        <v>25.013000000000002</v>
      </c>
      <c r="Z342">
        <v>24.876000000000001</v>
      </c>
    </row>
    <row r="343" spans="1:26" x14ac:dyDescent="0.45">
      <c r="A343" t="s">
        <v>2251</v>
      </c>
      <c r="B343" t="s">
        <v>2625</v>
      </c>
      <c r="C343" s="3" t="s">
        <v>1862</v>
      </c>
      <c r="D343">
        <v>25.271000000000001</v>
      </c>
      <c r="E343">
        <v>24.597000000000001</v>
      </c>
      <c r="F343">
        <v>24.154</v>
      </c>
      <c r="G343">
        <v>26.007000000000001</v>
      </c>
      <c r="H343">
        <v>24.844000000000001</v>
      </c>
      <c r="I343">
        <v>24.222999999999999</v>
      </c>
      <c r="J343">
        <v>25.012</v>
      </c>
      <c r="K343">
        <v>25.922000000000001</v>
      </c>
      <c r="L343">
        <v>25.122</v>
      </c>
      <c r="M343">
        <v>25.11</v>
      </c>
      <c r="N343">
        <v>25.085999999999999</v>
      </c>
      <c r="O343">
        <v>26.257999999999999</v>
      </c>
      <c r="P343">
        <v>24.847999999999999</v>
      </c>
      <c r="Q343">
        <v>24.901</v>
      </c>
      <c r="R343">
        <v>25.111999999999998</v>
      </c>
      <c r="S343">
        <v>25.428999999999998</v>
      </c>
      <c r="T343">
        <v>25.23</v>
      </c>
      <c r="U343">
        <v>25.312000000000001</v>
      </c>
      <c r="V343">
        <v>24.471</v>
      </c>
      <c r="W343">
        <v>25.358000000000001</v>
      </c>
      <c r="X343">
        <v>25.626999999999999</v>
      </c>
      <c r="Y343">
        <v>25.183</v>
      </c>
      <c r="Z343">
        <v>24.867999999999999</v>
      </c>
    </row>
    <row r="344" spans="1:26" x14ac:dyDescent="0.45">
      <c r="A344" t="s">
        <v>2252</v>
      </c>
      <c r="B344" t="s">
        <v>2626</v>
      </c>
      <c r="C344" s="3" t="s">
        <v>1863</v>
      </c>
      <c r="D344">
        <v>28.398</v>
      </c>
      <c r="E344">
        <v>27.821999999999999</v>
      </c>
      <c r="F344">
        <v>27.835000000000001</v>
      </c>
      <c r="G344">
        <v>29.119</v>
      </c>
      <c r="H344">
        <v>28.797000000000001</v>
      </c>
      <c r="I344">
        <v>27.359000000000002</v>
      </c>
      <c r="J344">
        <v>28.29</v>
      </c>
      <c r="K344">
        <v>29.824999999999999</v>
      </c>
      <c r="L344">
        <v>28.448</v>
      </c>
      <c r="M344">
        <v>29.007999999999999</v>
      </c>
      <c r="N344">
        <v>28.553000000000001</v>
      </c>
      <c r="O344">
        <v>29.501999999999999</v>
      </c>
      <c r="P344">
        <v>28.385000000000002</v>
      </c>
      <c r="Q344">
        <v>28.442</v>
      </c>
      <c r="R344">
        <v>28.457000000000001</v>
      </c>
      <c r="S344">
        <v>29.145</v>
      </c>
      <c r="T344">
        <v>28.888000000000002</v>
      </c>
      <c r="U344">
        <v>28.77</v>
      </c>
      <c r="V344">
        <v>28.327999999999999</v>
      </c>
      <c r="W344">
        <v>28.577000000000002</v>
      </c>
      <c r="X344">
        <v>28.927</v>
      </c>
      <c r="Y344">
        <v>28.495999999999999</v>
      </c>
      <c r="Z344">
        <v>28.565999999999999</v>
      </c>
    </row>
    <row r="345" spans="1:26" x14ac:dyDescent="0.45">
      <c r="A345" t="s">
        <v>2253</v>
      </c>
      <c r="B345" t="s">
        <v>2627</v>
      </c>
      <c r="C345" s="3" t="s">
        <v>1864</v>
      </c>
      <c r="D345">
        <v>27.170999999999999</v>
      </c>
      <c r="E345">
        <v>28.690999999999999</v>
      </c>
      <c r="F345">
        <v>26.907</v>
      </c>
      <c r="G345">
        <v>28.98</v>
      </c>
      <c r="H345">
        <v>27.728999999999999</v>
      </c>
      <c r="I345">
        <v>26.893000000000001</v>
      </c>
      <c r="J345">
        <v>28.356000000000002</v>
      </c>
      <c r="K345">
        <v>28.132000000000001</v>
      </c>
      <c r="L345">
        <v>28.073</v>
      </c>
      <c r="M345">
        <v>27.988</v>
      </c>
      <c r="N345">
        <v>28.388000000000002</v>
      </c>
      <c r="O345">
        <v>28.937000000000001</v>
      </c>
      <c r="P345">
        <v>27.734999999999999</v>
      </c>
      <c r="Q345">
        <v>27.876999999999999</v>
      </c>
      <c r="R345">
        <v>28.353999999999999</v>
      </c>
      <c r="S345">
        <v>28.61</v>
      </c>
      <c r="T345">
        <v>27.753</v>
      </c>
      <c r="U345">
        <v>28.140999999999998</v>
      </c>
      <c r="V345">
        <v>27.448</v>
      </c>
      <c r="W345">
        <v>27.873000000000001</v>
      </c>
      <c r="X345">
        <v>28.876000000000001</v>
      </c>
      <c r="Y345">
        <v>28.32</v>
      </c>
      <c r="Z345">
        <v>27.795999999999999</v>
      </c>
    </row>
    <row r="346" spans="1:26" x14ac:dyDescent="0.45">
      <c r="A346" t="s">
        <v>2254</v>
      </c>
      <c r="B346" t="s">
        <v>2628</v>
      </c>
      <c r="C346" s="3" t="s">
        <v>1865</v>
      </c>
      <c r="D346">
        <v>25.079000000000001</v>
      </c>
      <c r="E346">
        <v>25.625</v>
      </c>
      <c r="F346">
        <v>24.495000000000001</v>
      </c>
      <c r="G346">
        <v>26.251999999999999</v>
      </c>
      <c r="H346">
        <v>25.262</v>
      </c>
      <c r="I346">
        <v>24.704999999999998</v>
      </c>
      <c r="J346">
        <v>25.318000000000001</v>
      </c>
      <c r="K346">
        <v>25.803000000000001</v>
      </c>
      <c r="L346">
        <v>25.606000000000002</v>
      </c>
      <c r="M346">
        <v>25.657</v>
      </c>
      <c r="N346">
        <v>25.699000000000002</v>
      </c>
      <c r="O346">
        <v>26.224</v>
      </c>
      <c r="P346">
        <v>25.39</v>
      </c>
      <c r="Q346">
        <v>25.48</v>
      </c>
      <c r="R346">
        <v>25.821999999999999</v>
      </c>
      <c r="S346">
        <v>25.988</v>
      </c>
      <c r="T346">
        <v>25.565000000000001</v>
      </c>
      <c r="U346">
        <v>25.635000000000002</v>
      </c>
      <c r="V346">
        <v>24.867000000000001</v>
      </c>
      <c r="W346">
        <v>25.314</v>
      </c>
      <c r="X346">
        <v>26.425999999999998</v>
      </c>
      <c r="Y346">
        <v>25.588000000000001</v>
      </c>
      <c r="Z346">
        <v>25.460999999999999</v>
      </c>
    </row>
    <row r="347" spans="1:26" x14ac:dyDescent="0.45">
      <c r="A347" t="s">
        <v>2255</v>
      </c>
      <c r="B347" t="s">
        <v>2629</v>
      </c>
      <c r="C347" s="3" t="s">
        <v>1866</v>
      </c>
      <c r="D347">
        <v>33.225999999999999</v>
      </c>
      <c r="E347">
        <v>34.359000000000002</v>
      </c>
      <c r="F347">
        <v>33.579000000000001</v>
      </c>
      <c r="G347">
        <v>35.377000000000002</v>
      </c>
      <c r="H347">
        <v>33.645000000000003</v>
      </c>
      <c r="I347">
        <v>32.552</v>
      </c>
      <c r="J347">
        <v>33.445999999999998</v>
      </c>
      <c r="K347">
        <v>33.433</v>
      </c>
      <c r="L347">
        <v>32.752000000000002</v>
      </c>
      <c r="M347">
        <v>33.851999999999997</v>
      </c>
      <c r="N347">
        <v>35.616</v>
      </c>
      <c r="O347">
        <v>33.886000000000003</v>
      </c>
      <c r="P347">
        <v>35.235999999999997</v>
      </c>
      <c r="Q347">
        <v>35.613</v>
      </c>
      <c r="R347">
        <v>33.156999999999996</v>
      </c>
      <c r="S347">
        <v>34.021000000000001</v>
      </c>
      <c r="T347">
        <v>32.655999999999999</v>
      </c>
      <c r="U347">
        <v>34.838000000000001</v>
      </c>
      <c r="V347">
        <v>33.945</v>
      </c>
      <c r="W347">
        <v>33.604999999999997</v>
      </c>
      <c r="X347">
        <v>33.936999999999998</v>
      </c>
      <c r="Y347">
        <v>37.415999999999997</v>
      </c>
      <c r="Z347">
        <v>32.631999999999998</v>
      </c>
    </row>
    <row r="348" spans="1:26" x14ac:dyDescent="0.45">
      <c r="A348" t="s">
        <v>2256</v>
      </c>
      <c r="B348" t="s">
        <v>2630</v>
      </c>
      <c r="C348" s="3" t="s">
        <v>1867</v>
      </c>
      <c r="D348">
        <v>27.875</v>
      </c>
      <c r="E348">
        <v>26.881</v>
      </c>
      <c r="F348">
        <v>26.007999999999999</v>
      </c>
      <c r="G348">
        <v>28.213000000000001</v>
      </c>
      <c r="H348">
        <v>26.818000000000001</v>
      </c>
      <c r="I348">
        <v>27.143999999999998</v>
      </c>
      <c r="J348">
        <v>27.135999999999999</v>
      </c>
      <c r="K348">
        <v>27.643999999999998</v>
      </c>
      <c r="L348">
        <v>27.129000000000001</v>
      </c>
      <c r="M348">
        <v>28.276</v>
      </c>
      <c r="N348">
        <v>28.475999999999999</v>
      </c>
      <c r="O348">
        <v>27.76</v>
      </c>
      <c r="P348">
        <v>27.484999999999999</v>
      </c>
      <c r="Q348">
        <v>27.477</v>
      </c>
      <c r="R348">
        <v>27.155000000000001</v>
      </c>
      <c r="S348">
        <v>27.981000000000002</v>
      </c>
      <c r="T348">
        <v>26.972999999999999</v>
      </c>
      <c r="U348">
        <v>27.407</v>
      </c>
      <c r="V348">
        <v>26.875</v>
      </c>
      <c r="W348">
        <v>27.468</v>
      </c>
      <c r="X348">
        <v>28.376000000000001</v>
      </c>
      <c r="Y348">
        <v>28.164999999999999</v>
      </c>
      <c r="Z348">
        <v>26.992999999999999</v>
      </c>
    </row>
    <row r="349" spans="1:26" x14ac:dyDescent="0.45">
      <c r="A349" t="s">
        <v>2257</v>
      </c>
      <c r="B349" t="s">
        <v>2631</v>
      </c>
      <c r="C349" s="3" t="s">
        <v>1868</v>
      </c>
      <c r="D349">
        <v>31.170999999999999</v>
      </c>
      <c r="E349">
        <v>30.702999999999999</v>
      </c>
      <c r="F349">
        <v>30.376000000000001</v>
      </c>
      <c r="G349">
        <v>32.204999999999998</v>
      </c>
      <c r="H349">
        <v>31.512</v>
      </c>
      <c r="I349">
        <v>31.448</v>
      </c>
      <c r="J349">
        <v>30.545000000000002</v>
      </c>
      <c r="K349">
        <v>31.137</v>
      </c>
      <c r="L349">
        <v>31.265000000000001</v>
      </c>
      <c r="M349">
        <v>31.337</v>
      </c>
      <c r="N349">
        <v>31.001999999999999</v>
      </c>
      <c r="O349">
        <v>31.824000000000002</v>
      </c>
      <c r="P349">
        <v>30.771999999999998</v>
      </c>
      <c r="Q349">
        <v>30.422999999999998</v>
      </c>
      <c r="R349">
        <v>31.571000000000002</v>
      </c>
      <c r="S349">
        <v>31.585999999999999</v>
      </c>
      <c r="T349">
        <v>30.667000000000002</v>
      </c>
      <c r="U349">
        <v>31.812000000000001</v>
      </c>
      <c r="V349">
        <v>30.914999999999999</v>
      </c>
      <c r="W349">
        <v>31.524000000000001</v>
      </c>
      <c r="X349">
        <v>31.864000000000001</v>
      </c>
      <c r="Y349">
        <v>31.437999999999999</v>
      </c>
      <c r="Z349">
        <v>31.873999999999999</v>
      </c>
    </row>
    <row r="350" spans="1:26" x14ac:dyDescent="0.45">
      <c r="A350" t="s">
        <v>2258</v>
      </c>
      <c r="B350" t="s">
        <v>2632</v>
      </c>
      <c r="C350" s="3" t="s">
        <v>1869</v>
      </c>
      <c r="D350">
        <v>34.558999999999997</v>
      </c>
      <c r="E350" t="s">
        <v>1906</v>
      </c>
      <c r="F350">
        <v>34.188000000000002</v>
      </c>
      <c r="G350">
        <v>34.662999999999997</v>
      </c>
      <c r="H350" t="s">
        <v>1906</v>
      </c>
      <c r="I350" t="s">
        <v>1906</v>
      </c>
      <c r="J350">
        <v>31.945</v>
      </c>
      <c r="K350">
        <v>33.817999999999998</v>
      </c>
      <c r="L350">
        <v>33.648000000000003</v>
      </c>
      <c r="M350">
        <v>34.704999999999998</v>
      </c>
      <c r="N350">
        <v>33.344999999999999</v>
      </c>
      <c r="O350" t="s">
        <v>1906</v>
      </c>
      <c r="P350">
        <v>32.68</v>
      </c>
      <c r="Q350">
        <v>33.927</v>
      </c>
      <c r="R350">
        <v>34.316000000000003</v>
      </c>
      <c r="S350">
        <v>34.566000000000003</v>
      </c>
      <c r="T350">
        <v>35.131999999999998</v>
      </c>
      <c r="U350" t="s">
        <v>1906</v>
      </c>
      <c r="V350">
        <v>32.72</v>
      </c>
      <c r="W350">
        <v>33.270000000000003</v>
      </c>
      <c r="X350" t="s">
        <v>1906</v>
      </c>
      <c r="Y350">
        <v>34.353000000000002</v>
      </c>
      <c r="Z350">
        <v>33.686</v>
      </c>
    </row>
    <row r="351" spans="1:26" x14ac:dyDescent="0.45">
      <c r="A351" t="s">
        <v>2259</v>
      </c>
      <c r="B351" t="s">
        <v>2633</v>
      </c>
      <c r="C351" s="3" t="s">
        <v>1870</v>
      </c>
      <c r="D351">
        <v>30.745000000000001</v>
      </c>
      <c r="E351">
        <v>30.007999999999999</v>
      </c>
      <c r="F351">
        <v>28.934000000000001</v>
      </c>
      <c r="G351">
        <v>31.295000000000002</v>
      </c>
      <c r="H351">
        <v>29.843</v>
      </c>
      <c r="I351">
        <v>29.231999999999999</v>
      </c>
      <c r="J351">
        <v>29.885999999999999</v>
      </c>
      <c r="K351">
        <v>30.963999999999999</v>
      </c>
      <c r="L351">
        <v>30.193999999999999</v>
      </c>
      <c r="M351">
        <v>30.123999999999999</v>
      </c>
      <c r="N351">
        <v>30.158000000000001</v>
      </c>
      <c r="O351">
        <v>31.385999999999999</v>
      </c>
      <c r="P351">
        <v>30.122</v>
      </c>
      <c r="Q351">
        <v>33.558999999999997</v>
      </c>
      <c r="R351">
        <v>31.224</v>
      </c>
      <c r="S351">
        <v>31.431999999999999</v>
      </c>
      <c r="T351">
        <v>33.667999999999999</v>
      </c>
      <c r="U351">
        <v>30.326000000000001</v>
      </c>
      <c r="V351">
        <v>29.344000000000001</v>
      </c>
      <c r="W351">
        <v>30.748000000000001</v>
      </c>
      <c r="X351">
        <v>31.18</v>
      </c>
      <c r="Y351">
        <v>30.183</v>
      </c>
      <c r="Z351">
        <v>30.388000000000002</v>
      </c>
    </row>
    <row r="352" spans="1:26" x14ac:dyDescent="0.45">
      <c r="A352" t="s">
        <v>2260</v>
      </c>
      <c r="B352" t="s">
        <v>2634</v>
      </c>
      <c r="C352" s="3" t="s">
        <v>1871</v>
      </c>
      <c r="D352">
        <v>27.908000000000001</v>
      </c>
      <c r="E352">
        <v>27.071000000000002</v>
      </c>
      <c r="F352">
        <v>25.68</v>
      </c>
      <c r="G352">
        <v>27.181000000000001</v>
      </c>
      <c r="H352">
        <v>26.809000000000001</v>
      </c>
      <c r="I352">
        <v>26.065000000000001</v>
      </c>
      <c r="J352">
        <v>26.309000000000001</v>
      </c>
      <c r="K352">
        <v>26.983000000000001</v>
      </c>
      <c r="L352">
        <v>26.15</v>
      </c>
      <c r="M352">
        <v>25.937999999999999</v>
      </c>
      <c r="N352">
        <v>26.954999999999998</v>
      </c>
      <c r="O352">
        <v>27.225999999999999</v>
      </c>
      <c r="P352">
        <v>26.370999999999999</v>
      </c>
      <c r="Q352">
        <v>29.678000000000001</v>
      </c>
      <c r="R352">
        <v>27.984999999999999</v>
      </c>
      <c r="S352">
        <v>27.577000000000002</v>
      </c>
      <c r="T352">
        <v>30.224</v>
      </c>
      <c r="U352">
        <v>26.225000000000001</v>
      </c>
      <c r="V352">
        <v>26.428000000000001</v>
      </c>
      <c r="W352">
        <v>26.95</v>
      </c>
      <c r="X352">
        <v>28.152999999999999</v>
      </c>
      <c r="Y352">
        <v>26.317</v>
      </c>
      <c r="Z352">
        <v>26.600999999999999</v>
      </c>
    </row>
    <row r="353" spans="1:26" x14ac:dyDescent="0.45">
      <c r="A353" t="s">
        <v>2261</v>
      </c>
      <c r="B353" t="s">
        <v>2635</v>
      </c>
      <c r="C353" s="3" t="s">
        <v>1872</v>
      </c>
      <c r="D353">
        <v>28.41</v>
      </c>
      <c r="E353">
        <v>28.898</v>
      </c>
      <c r="F353">
        <v>28.689</v>
      </c>
      <c r="G353">
        <v>30.123999999999999</v>
      </c>
      <c r="H353">
        <v>28.832000000000001</v>
      </c>
      <c r="I353">
        <v>29.085999999999999</v>
      </c>
      <c r="J353">
        <v>31.724</v>
      </c>
      <c r="K353">
        <v>28.686</v>
      </c>
      <c r="L353">
        <v>28.484000000000002</v>
      </c>
      <c r="M353">
        <v>28.771000000000001</v>
      </c>
      <c r="N353">
        <v>28.867000000000001</v>
      </c>
      <c r="O353">
        <v>29.436</v>
      </c>
      <c r="P353">
        <v>28.689</v>
      </c>
      <c r="Q353">
        <v>28.164000000000001</v>
      </c>
      <c r="R353">
        <v>28.783999999999999</v>
      </c>
      <c r="S353">
        <v>29.111000000000001</v>
      </c>
      <c r="T353">
        <v>28.306999999999999</v>
      </c>
      <c r="U353">
        <v>28.754999999999999</v>
      </c>
      <c r="V353">
        <v>28.99</v>
      </c>
      <c r="W353">
        <v>28.527999999999999</v>
      </c>
      <c r="X353">
        <v>29.280999999999999</v>
      </c>
      <c r="Y353">
        <v>28.108000000000001</v>
      </c>
      <c r="Z353">
        <v>28.314</v>
      </c>
    </row>
    <row r="354" spans="1:26" x14ac:dyDescent="0.45">
      <c r="A354" t="s">
        <v>2262</v>
      </c>
      <c r="B354" t="s">
        <v>2636</v>
      </c>
      <c r="C354" s="3" t="s">
        <v>1873</v>
      </c>
      <c r="D354">
        <v>27.870999999999999</v>
      </c>
      <c r="E354">
        <v>27.012</v>
      </c>
      <c r="F354">
        <v>27.379000000000001</v>
      </c>
      <c r="G354">
        <v>28.277000000000001</v>
      </c>
      <c r="H354">
        <v>28.187000000000001</v>
      </c>
      <c r="I354">
        <v>28.184000000000001</v>
      </c>
      <c r="J354">
        <v>30.943999999999999</v>
      </c>
      <c r="K354">
        <v>28.260999999999999</v>
      </c>
      <c r="L354">
        <v>27.167000000000002</v>
      </c>
      <c r="M354">
        <v>27.513000000000002</v>
      </c>
      <c r="N354">
        <v>26.882999999999999</v>
      </c>
      <c r="O354">
        <v>29.105</v>
      </c>
      <c r="P354">
        <v>27.145</v>
      </c>
      <c r="Q354">
        <v>27.402000000000001</v>
      </c>
      <c r="R354">
        <v>27.82</v>
      </c>
      <c r="S354">
        <v>29.381</v>
      </c>
      <c r="T354">
        <v>27.451000000000001</v>
      </c>
      <c r="U354">
        <v>27.439</v>
      </c>
      <c r="V354">
        <v>27.02</v>
      </c>
      <c r="W354">
        <v>28.102</v>
      </c>
      <c r="X354">
        <v>27.986000000000001</v>
      </c>
      <c r="Y354">
        <v>27.292999999999999</v>
      </c>
      <c r="Z354">
        <v>27.334</v>
      </c>
    </row>
    <row r="355" spans="1:26" x14ac:dyDescent="0.45">
      <c r="A355" t="s">
        <v>2263</v>
      </c>
      <c r="B355" t="s">
        <v>2637</v>
      </c>
      <c r="C355" s="3" t="s">
        <v>1874</v>
      </c>
      <c r="D355">
        <v>25.83</v>
      </c>
      <c r="E355">
        <v>25.684999999999999</v>
      </c>
      <c r="F355">
        <v>24.667000000000002</v>
      </c>
      <c r="G355">
        <v>26.146999999999998</v>
      </c>
      <c r="H355">
        <v>25.55</v>
      </c>
      <c r="I355">
        <v>25.472000000000001</v>
      </c>
      <c r="J355">
        <v>25.332000000000001</v>
      </c>
      <c r="K355">
        <v>26.567</v>
      </c>
      <c r="L355">
        <v>25.344999999999999</v>
      </c>
      <c r="M355">
        <v>25.975000000000001</v>
      </c>
      <c r="N355">
        <v>26.844999999999999</v>
      </c>
      <c r="O355">
        <v>26.437999999999999</v>
      </c>
      <c r="P355">
        <v>26.376999999999999</v>
      </c>
      <c r="Q355">
        <v>26.550999999999998</v>
      </c>
      <c r="R355">
        <v>25.888999999999999</v>
      </c>
      <c r="S355">
        <v>26.276</v>
      </c>
      <c r="T355">
        <v>25.641999999999999</v>
      </c>
      <c r="U355">
        <v>25.536000000000001</v>
      </c>
      <c r="V355">
        <v>25.684999999999999</v>
      </c>
      <c r="W355">
        <v>25.972999999999999</v>
      </c>
      <c r="X355">
        <v>26.303000000000001</v>
      </c>
      <c r="Y355">
        <v>25.577000000000002</v>
      </c>
      <c r="Z355">
        <v>25.803000000000001</v>
      </c>
    </row>
    <row r="356" spans="1:26" x14ac:dyDescent="0.45">
      <c r="A356" t="s">
        <v>2264</v>
      </c>
      <c r="B356" t="s">
        <v>2638</v>
      </c>
      <c r="C356" s="3" t="s">
        <v>1875</v>
      </c>
      <c r="D356">
        <v>28.347999999999999</v>
      </c>
      <c r="E356">
        <v>29.384</v>
      </c>
      <c r="F356">
        <v>28.145</v>
      </c>
      <c r="G356">
        <v>29.847999999999999</v>
      </c>
      <c r="H356">
        <v>28.419</v>
      </c>
      <c r="I356">
        <v>28.451000000000001</v>
      </c>
      <c r="J356">
        <v>28.420999999999999</v>
      </c>
      <c r="K356">
        <v>28.981999999999999</v>
      </c>
      <c r="L356">
        <v>28.494</v>
      </c>
      <c r="M356">
        <v>28.834</v>
      </c>
      <c r="N356">
        <v>30.137</v>
      </c>
      <c r="O356">
        <v>29.553999999999998</v>
      </c>
      <c r="P356">
        <v>29.113</v>
      </c>
      <c r="Q356">
        <v>29.902000000000001</v>
      </c>
      <c r="R356">
        <v>28.547000000000001</v>
      </c>
      <c r="S356">
        <v>29.300999999999998</v>
      </c>
      <c r="T356">
        <v>28.513000000000002</v>
      </c>
      <c r="U356">
        <v>28.361999999999998</v>
      </c>
      <c r="V356">
        <v>28.856999999999999</v>
      </c>
      <c r="W356">
        <v>28.693000000000001</v>
      </c>
      <c r="X356">
        <v>28.634</v>
      </c>
      <c r="Y356">
        <v>28.416</v>
      </c>
      <c r="Z356">
        <v>28.529</v>
      </c>
    </row>
    <row r="357" spans="1:26" x14ac:dyDescent="0.45">
      <c r="A357" t="s">
        <v>2265</v>
      </c>
      <c r="B357" t="s">
        <v>2639</v>
      </c>
      <c r="C357" s="3" t="s">
        <v>1876</v>
      </c>
      <c r="D357">
        <v>28.931000000000001</v>
      </c>
      <c r="E357">
        <v>29.381</v>
      </c>
      <c r="F357">
        <v>28.518000000000001</v>
      </c>
      <c r="G357">
        <v>31.524000000000001</v>
      </c>
      <c r="H357">
        <v>29.46</v>
      </c>
      <c r="I357">
        <v>28.614000000000001</v>
      </c>
      <c r="J357">
        <v>28.681999999999999</v>
      </c>
      <c r="K357">
        <v>29.341999999999999</v>
      </c>
      <c r="L357">
        <v>29.058</v>
      </c>
      <c r="M357">
        <v>28.484999999999999</v>
      </c>
      <c r="N357">
        <v>29.468</v>
      </c>
      <c r="O357">
        <v>29.504000000000001</v>
      </c>
      <c r="P357">
        <v>29.300999999999998</v>
      </c>
      <c r="Q357">
        <v>28.978999999999999</v>
      </c>
      <c r="R357">
        <v>29.481000000000002</v>
      </c>
      <c r="S357">
        <v>30.716999999999999</v>
      </c>
      <c r="T357">
        <v>28.523</v>
      </c>
      <c r="U357">
        <v>28.946000000000002</v>
      </c>
      <c r="V357">
        <v>28.614000000000001</v>
      </c>
      <c r="W357">
        <v>29.606000000000002</v>
      </c>
      <c r="X357">
        <v>29.388000000000002</v>
      </c>
      <c r="Y357">
        <v>28.815999999999999</v>
      </c>
      <c r="Z357">
        <v>29.141999999999999</v>
      </c>
    </row>
    <row r="358" spans="1:26" x14ac:dyDescent="0.45">
      <c r="A358" t="s">
        <v>2266</v>
      </c>
      <c r="B358" t="s">
        <v>2640</v>
      </c>
      <c r="C358" s="3" t="s">
        <v>1877</v>
      </c>
      <c r="D358">
        <v>27</v>
      </c>
      <c r="E358">
        <v>26.68</v>
      </c>
      <c r="F358">
        <v>27.584</v>
      </c>
      <c r="G358">
        <v>28.667999999999999</v>
      </c>
      <c r="H358">
        <v>27.445</v>
      </c>
      <c r="I358">
        <v>26.373000000000001</v>
      </c>
      <c r="J358">
        <v>27.132999999999999</v>
      </c>
      <c r="K358">
        <v>28.379000000000001</v>
      </c>
      <c r="L358">
        <v>27.312999999999999</v>
      </c>
      <c r="M358">
        <v>27.533999999999999</v>
      </c>
      <c r="N358">
        <v>27.611000000000001</v>
      </c>
      <c r="O358">
        <v>27.974</v>
      </c>
      <c r="P358">
        <v>28.013000000000002</v>
      </c>
      <c r="Q358">
        <v>27.355</v>
      </c>
      <c r="R358">
        <v>27.378</v>
      </c>
      <c r="S358">
        <v>28.335999999999999</v>
      </c>
      <c r="T358">
        <v>26.71</v>
      </c>
      <c r="U358">
        <v>27.454999999999998</v>
      </c>
      <c r="V358">
        <v>26.806999999999999</v>
      </c>
      <c r="W358">
        <v>28.097000000000001</v>
      </c>
      <c r="X358">
        <v>27.614999999999998</v>
      </c>
      <c r="Y358">
        <v>26.925000000000001</v>
      </c>
      <c r="Z358">
        <v>26.738</v>
      </c>
    </row>
    <row r="359" spans="1:26" x14ac:dyDescent="0.45">
      <c r="A359" t="s">
        <v>2267</v>
      </c>
      <c r="B359" t="s">
        <v>2641</v>
      </c>
      <c r="C359" s="3" t="s">
        <v>1878</v>
      </c>
      <c r="D359">
        <v>27.922999999999998</v>
      </c>
      <c r="E359">
        <v>27.196000000000002</v>
      </c>
      <c r="F359">
        <v>26.806999999999999</v>
      </c>
      <c r="G359">
        <v>27.951000000000001</v>
      </c>
      <c r="H359">
        <v>27.19</v>
      </c>
      <c r="I359">
        <v>26.577000000000002</v>
      </c>
      <c r="J359">
        <v>27.689</v>
      </c>
      <c r="K359">
        <v>27.533000000000001</v>
      </c>
      <c r="L359">
        <v>26.966000000000001</v>
      </c>
      <c r="M359">
        <v>27.434000000000001</v>
      </c>
      <c r="N359">
        <v>26.81</v>
      </c>
      <c r="O359">
        <v>28.14</v>
      </c>
      <c r="P359">
        <v>27.356000000000002</v>
      </c>
      <c r="Q359">
        <v>27.222000000000001</v>
      </c>
      <c r="R359">
        <v>27.420999999999999</v>
      </c>
      <c r="S359">
        <v>28.093</v>
      </c>
      <c r="T359">
        <v>26.914999999999999</v>
      </c>
      <c r="U359">
        <v>27.446999999999999</v>
      </c>
      <c r="V359">
        <v>26.905999999999999</v>
      </c>
      <c r="W359">
        <v>27.574000000000002</v>
      </c>
      <c r="X359">
        <v>27.518999999999998</v>
      </c>
      <c r="Y359">
        <v>27.202999999999999</v>
      </c>
      <c r="Z359">
        <v>27.195</v>
      </c>
    </row>
    <row r="360" spans="1:26" x14ac:dyDescent="0.45">
      <c r="A360" t="s">
        <v>2268</v>
      </c>
      <c r="B360" t="s">
        <v>2642</v>
      </c>
      <c r="C360" s="3" t="s">
        <v>1879</v>
      </c>
      <c r="D360">
        <v>27.141999999999999</v>
      </c>
      <c r="E360">
        <v>26.134</v>
      </c>
      <c r="F360">
        <v>25.771999999999998</v>
      </c>
      <c r="G360">
        <v>27.012</v>
      </c>
      <c r="H360">
        <v>26.5</v>
      </c>
      <c r="I360">
        <v>25.791</v>
      </c>
      <c r="J360">
        <v>25.747</v>
      </c>
      <c r="K360">
        <v>26.536000000000001</v>
      </c>
      <c r="L360">
        <v>26.396000000000001</v>
      </c>
      <c r="M360">
        <v>26.2</v>
      </c>
      <c r="N360">
        <v>25.864000000000001</v>
      </c>
      <c r="O360">
        <v>27.196000000000002</v>
      </c>
      <c r="P360">
        <v>26.59</v>
      </c>
      <c r="Q360">
        <v>26.282</v>
      </c>
      <c r="R360">
        <v>26.515999999999998</v>
      </c>
      <c r="S360">
        <v>26.86</v>
      </c>
      <c r="T360">
        <v>26.193000000000001</v>
      </c>
      <c r="U360">
        <v>26.327000000000002</v>
      </c>
      <c r="V360">
        <v>26.274999999999999</v>
      </c>
      <c r="W360">
        <v>26.864999999999998</v>
      </c>
      <c r="X360">
        <v>27.114999999999998</v>
      </c>
      <c r="Y360">
        <v>26.161000000000001</v>
      </c>
      <c r="Z360">
        <v>26.131</v>
      </c>
    </row>
    <row r="361" spans="1:26" x14ac:dyDescent="0.45">
      <c r="A361" t="s">
        <v>2269</v>
      </c>
      <c r="B361" t="s">
        <v>2643</v>
      </c>
      <c r="C361" s="3" t="s">
        <v>1880</v>
      </c>
      <c r="D361">
        <v>26.475999999999999</v>
      </c>
      <c r="E361">
        <v>26.137</v>
      </c>
      <c r="F361">
        <v>25.626000000000001</v>
      </c>
      <c r="G361">
        <v>27.266999999999999</v>
      </c>
      <c r="H361">
        <v>26.292000000000002</v>
      </c>
      <c r="I361">
        <v>25.815999999999999</v>
      </c>
      <c r="J361">
        <v>25.997</v>
      </c>
      <c r="K361">
        <v>26.835000000000001</v>
      </c>
      <c r="L361">
        <v>26.465</v>
      </c>
      <c r="M361">
        <v>26.251000000000001</v>
      </c>
      <c r="N361">
        <v>25.161999999999999</v>
      </c>
      <c r="O361">
        <v>27.451000000000001</v>
      </c>
      <c r="P361">
        <v>26.6</v>
      </c>
      <c r="Q361">
        <v>26.169</v>
      </c>
      <c r="R361">
        <v>26.43</v>
      </c>
      <c r="S361">
        <v>27.492000000000001</v>
      </c>
      <c r="T361">
        <v>26.478000000000002</v>
      </c>
      <c r="U361">
        <v>26.245999999999999</v>
      </c>
      <c r="V361">
        <v>25.678000000000001</v>
      </c>
      <c r="W361">
        <v>26.783999999999999</v>
      </c>
      <c r="X361">
        <v>27.433</v>
      </c>
      <c r="Y361">
        <v>26.257999999999999</v>
      </c>
      <c r="Z361">
        <v>26.518000000000001</v>
      </c>
    </row>
    <row r="362" spans="1:26" x14ac:dyDescent="0.45">
      <c r="A362" t="s">
        <v>2270</v>
      </c>
      <c r="B362" t="s">
        <v>2644</v>
      </c>
      <c r="C362" s="3" t="s">
        <v>1881</v>
      </c>
      <c r="D362">
        <v>31.111000000000001</v>
      </c>
      <c r="E362">
        <v>32.069000000000003</v>
      </c>
      <c r="F362">
        <v>32.152999999999999</v>
      </c>
      <c r="G362">
        <v>32.264000000000003</v>
      </c>
      <c r="H362">
        <v>31.277999999999999</v>
      </c>
      <c r="I362">
        <v>31.818000000000001</v>
      </c>
      <c r="J362">
        <v>31.341999999999999</v>
      </c>
      <c r="K362">
        <v>31.718</v>
      </c>
      <c r="L362">
        <v>31.605</v>
      </c>
      <c r="M362">
        <v>32.636000000000003</v>
      </c>
      <c r="N362">
        <v>31.742000000000001</v>
      </c>
      <c r="O362">
        <v>31.106000000000002</v>
      </c>
      <c r="P362">
        <v>31.777999999999999</v>
      </c>
      <c r="Q362">
        <v>30.971</v>
      </c>
      <c r="R362">
        <v>31.585000000000001</v>
      </c>
      <c r="S362">
        <v>30.869</v>
      </c>
      <c r="T362">
        <v>30.837</v>
      </c>
      <c r="U362">
        <v>31.387</v>
      </c>
      <c r="V362">
        <v>30.966000000000001</v>
      </c>
      <c r="W362">
        <v>31.305</v>
      </c>
      <c r="X362">
        <v>31.754000000000001</v>
      </c>
      <c r="Y362">
        <v>31.603000000000002</v>
      </c>
      <c r="Z362">
        <v>31.157</v>
      </c>
    </row>
    <row r="363" spans="1:26" x14ac:dyDescent="0.45">
      <c r="A363" t="s">
        <v>2271</v>
      </c>
      <c r="B363" t="s">
        <v>2645</v>
      </c>
      <c r="C363" s="3" t="s">
        <v>1882</v>
      </c>
      <c r="D363">
        <v>25.472999999999999</v>
      </c>
      <c r="E363">
        <v>25.959</v>
      </c>
      <c r="F363">
        <v>24.878</v>
      </c>
      <c r="G363">
        <v>26.552</v>
      </c>
      <c r="H363">
        <v>25.416</v>
      </c>
      <c r="I363">
        <v>24.998000000000001</v>
      </c>
      <c r="J363">
        <v>25.38</v>
      </c>
      <c r="K363">
        <v>25.838999999999999</v>
      </c>
      <c r="L363">
        <v>25.611999999999998</v>
      </c>
      <c r="M363">
        <v>25.736000000000001</v>
      </c>
      <c r="N363">
        <v>25.597999999999999</v>
      </c>
      <c r="O363">
        <v>26.263000000000002</v>
      </c>
      <c r="P363">
        <v>25.736000000000001</v>
      </c>
      <c r="Q363">
        <v>25.853999999999999</v>
      </c>
      <c r="R363">
        <v>25.843</v>
      </c>
      <c r="S363">
        <v>26.141999999999999</v>
      </c>
      <c r="T363">
        <v>25.87</v>
      </c>
      <c r="U363">
        <v>25.358000000000001</v>
      </c>
      <c r="V363">
        <v>25.327000000000002</v>
      </c>
      <c r="W363">
        <v>25.628</v>
      </c>
      <c r="X363">
        <v>25.911999999999999</v>
      </c>
      <c r="Y363">
        <v>25.536999999999999</v>
      </c>
      <c r="Z363">
        <v>25.637</v>
      </c>
    </row>
    <row r="364" spans="1:26" x14ac:dyDescent="0.45">
      <c r="A364" t="s">
        <v>2272</v>
      </c>
      <c r="B364" t="s">
        <v>2646</v>
      </c>
      <c r="C364" s="3" t="s">
        <v>1883</v>
      </c>
      <c r="D364">
        <v>23.126999999999999</v>
      </c>
      <c r="E364">
        <v>23.466999999999999</v>
      </c>
      <c r="F364">
        <v>22.643000000000001</v>
      </c>
      <c r="G364">
        <v>24.172999999999998</v>
      </c>
      <c r="H364">
        <v>23.155000000000001</v>
      </c>
      <c r="I364">
        <v>22.605</v>
      </c>
      <c r="J364">
        <v>22.972000000000001</v>
      </c>
      <c r="K364">
        <v>23.675000000000001</v>
      </c>
      <c r="L364">
        <v>23.402999999999999</v>
      </c>
      <c r="M364">
        <v>23.4</v>
      </c>
      <c r="N364">
        <v>23.236000000000001</v>
      </c>
      <c r="O364">
        <v>23.756</v>
      </c>
      <c r="P364">
        <v>23.533999999999999</v>
      </c>
      <c r="Q364">
        <v>23.541</v>
      </c>
      <c r="R364">
        <v>23.66</v>
      </c>
      <c r="S364">
        <v>23.581</v>
      </c>
      <c r="T364">
        <v>23.459</v>
      </c>
      <c r="U364">
        <v>23.361999999999998</v>
      </c>
      <c r="V364">
        <v>22.928999999999998</v>
      </c>
      <c r="W364">
        <v>23.385999999999999</v>
      </c>
      <c r="X364">
        <v>23.721</v>
      </c>
      <c r="Y364">
        <v>23.210999999999999</v>
      </c>
      <c r="Z364">
        <v>23.300999999999998</v>
      </c>
    </row>
    <row r="365" spans="1:26" x14ac:dyDescent="0.45">
      <c r="A365" t="s">
        <v>2273</v>
      </c>
      <c r="B365" t="s">
        <v>2647</v>
      </c>
      <c r="C365" s="3" t="s">
        <v>1884</v>
      </c>
      <c r="D365">
        <v>26.167000000000002</v>
      </c>
      <c r="E365">
        <v>26.530999999999999</v>
      </c>
      <c r="F365">
        <v>25.978000000000002</v>
      </c>
      <c r="G365">
        <v>27.471</v>
      </c>
      <c r="H365">
        <v>26.323</v>
      </c>
      <c r="I365">
        <v>25.684999999999999</v>
      </c>
      <c r="J365">
        <v>26.395</v>
      </c>
      <c r="K365">
        <v>27.163</v>
      </c>
      <c r="L365">
        <v>26.498000000000001</v>
      </c>
      <c r="M365">
        <v>26.792999999999999</v>
      </c>
      <c r="N365">
        <v>26.472000000000001</v>
      </c>
      <c r="O365">
        <v>27.007999999999999</v>
      </c>
      <c r="P365">
        <v>26.646000000000001</v>
      </c>
      <c r="Q365">
        <v>26.626999999999999</v>
      </c>
      <c r="R365">
        <v>26.565000000000001</v>
      </c>
      <c r="S365">
        <v>26.77</v>
      </c>
      <c r="T365">
        <v>26.623999999999999</v>
      </c>
      <c r="U365">
        <v>26.372</v>
      </c>
      <c r="V365">
        <v>26.405000000000001</v>
      </c>
      <c r="W365">
        <v>26.606999999999999</v>
      </c>
      <c r="X365">
        <v>26.797000000000001</v>
      </c>
      <c r="Y365">
        <v>26.622</v>
      </c>
      <c r="Z365">
        <v>26.431999999999999</v>
      </c>
    </row>
    <row r="366" spans="1:26" x14ac:dyDescent="0.45">
      <c r="A366" t="s">
        <v>2274</v>
      </c>
      <c r="B366" t="s">
        <v>2648</v>
      </c>
      <c r="C366" s="3" t="s">
        <v>1885</v>
      </c>
      <c r="D366">
        <v>32.280999999999999</v>
      </c>
      <c r="E366">
        <v>35.790999999999997</v>
      </c>
      <c r="F366">
        <v>32.04</v>
      </c>
      <c r="G366">
        <v>32.902999999999999</v>
      </c>
      <c r="H366">
        <v>32.171999999999997</v>
      </c>
      <c r="I366">
        <v>33.323</v>
      </c>
      <c r="J366">
        <v>34.340000000000003</v>
      </c>
      <c r="K366">
        <v>32.215000000000003</v>
      </c>
      <c r="L366">
        <v>32.378999999999998</v>
      </c>
      <c r="M366">
        <v>33.479999999999997</v>
      </c>
      <c r="N366">
        <v>31.718</v>
      </c>
      <c r="O366">
        <v>31.736000000000001</v>
      </c>
      <c r="P366">
        <v>34.511000000000003</v>
      </c>
      <c r="Q366">
        <v>32.543999999999997</v>
      </c>
      <c r="R366">
        <v>32.756</v>
      </c>
      <c r="S366">
        <v>32.896999999999998</v>
      </c>
      <c r="T366">
        <v>31.52</v>
      </c>
      <c r="U366">
        <v>31.728999999999999</v>
      </c>
      <c r="V366">
        <v>31.300999999999998</v>
      </c>
      <c r="W366">
        <v>32.311999999999998</v>
      </c>
      <c r="X366">
        <v>32.110999999999997</v>
      </c>
      <c r="Y366">
        <v>32.613</v>
      </c>
      <c r="Z366">
        <v>31.536000000000001</v>
      </c>
    </row>
    <row r="367" spans="1:26" x14ac:dyDescent="0.45">
      <c r="A367" t="s">
        <v>2275</v>
      </c>
      <c r="B367" t="s">
        <v>2649</v>
      </c>
      <c r="C367" s="3" t="s">
        <v>1886</v>
      </c>
      <c r="D367">
        <v>24.882000000000001</v>
      </c>
      <c r="E367">
        <v>24.283999999999999</v>
      </c>
      <c r="F367">
        <v>24.664999999999999</v>
      </c>
      <c r="G367">
        <v>25.442</v>
      </c>
      <c r="H367">
        <v>25.08</v>
      </c>
      <c r="I367">
        <v>25.486000000000001</v>
      </c>
      <c r="J367">
        <v>24.895</v>
      </c>
      <c r="K367">
        <v>25.257999999999999</v>
      </c>
      <c r="L367">
        <v>24.927</v>
      </c>
      <c r="M367">
        <v>25.558</v>
      </c>
      <c r="N367">
        <v>25.510999999999999</v>
      </c>
      <c r="O367">
        <v>24.663</v>
      </c>
      <c r="P367">
        <v>24.875</v>
      </c>
      <c r="Q367">
        <v>24.908999999999999</v>
      </c>
      <c r="R367">
        <v>24.991</v>
      </c>
      <c r="S367">
        <v>24.393999999999998</v>
      </c>
      <c r="T367">
        <v>24.867000000000001</v>
      </c>
      <c r="U367">
        <v>25.24</v>
      </c>
      <c r="V367">
        <v>24.8</v>
      </c>
      <c r="W367">
        <v>24.911000000000001</v>
      </c>
      <c r="X367">
        <v>25.248999999999999</v>
      </c>
      <c r="Y367">
        <v>25.096</v>
      </c>
      <c r="Z367">
        <v>24.707999999999998</v>
      </c>
    </row>
    <row r="368" spans="1:26" x14ac:dyDescent="0.45">
      <c r="A368" t="s">
        <v>2276</v>
      </c>
      <c r="B368" t="s">
        <v>2650</v>
      </c>
      <c r="C368" s="3" t="s">
        <v>1887</v>
      </c>
      <c r="D368">
        <v>29.913</v>
      </c>
      <c r="E368">
        <v>29.934999999999999</v>
      </c>
      <c r="F368">
        <v>29.890999999999998</v>
      </c>
      <c r="G368">
        <v>30.387</v>
      </c>
      <c r="H368">
        <v>29.414000000000001</v>
      </c>
      <c r="I368">
        <v>29.661999999999999</v>
      </c>
      <c r="J368">
        <v>30.126000000000001</v>
      </c>
      <c r="K368">
        <v>30.268999999999998</v>
      </c>
      <c r="L368">
        <v>30.265999999999998</v>
      </c>
      <c r="M368">
        <v>30.248999999999999</v>
      </c>
      <c r="N368">
        <v>29.908999999999999</v>
      </c>
      <c r="O368">
        <v>30.541</v>
      </c>
      <c r="P368">
        <v>29.661000000000001</v>
      </c>
      <c r="Q368">
        <v>29.966000000000001</v>
      </c>
      <c r="R368">
        <v>30.672000000000001</v>
      </c>
      <c r="S368">
        <v>29.245999999999999</v>
      </c>
      <c r="T368">
        <v>30.818000000000001</v>
      </c>
      <c r="U368">
        <v>30.727</v>
      </c>
      <c r="V368">
        <v>28.908999999999999</v>
      </c>
      <c r="W368">
        <v>29.501000000000001</v>
      </c>
      <c r="X368">
        <v>29.751999999999999</v>
      </c>
      <c r="Y368">
        <v>29.442</v>
      </c>
      <c r="Z368">
        <v>30.567</v>
      </c>
    </row>
    <row r="369" spans="1:26" x14ac:dyDescent="0.45">
      <c r="A369" t="s">
        <v>2277</v>
      </c>
      <c r="B369" t="s">
        <v>2651</v>
      </c>
      <c r="C369" s="3" t="s">
        <v>1888</v>
      </c>
      <c r="D369">
        <v>27.221</v>
      </c>
      <c r="E369">
        <v>33.683</v>
      </c>
      <c r="F369">
        <v>31.698</v>
      </c>
      <c r="G369">
        <v>32.411000000000001</v>
      </c>
      <c r="H369">
        <v>27.943000000000001</v>
      </c>
      <c r="I369">
        <v>26.946000000000002</v>
      </c>
      <c r="J369">
        <v>37.418999999999997</v>
      </c>
      <c r="K369">
        <v>31.818999999999999</v>
      </c>
      <c r="L369">
        <v>28.535</v>
      </c>
      <c r="M369">
        <v>27.303999999999998</v>
      </c>
      <c r="N369">
        <v>33.738</v>
      </c>
      <c r="O369">
        <v>33.148000000000003</v>
      </c>
      <c r="P369">
        <v>31.57</v>
      </c>
      <c r="Q369">
        <v>33.194000000000003</v>
      </c>
      <c r="R369">
        <v>38.014000000000003</v>
      </c>
      <c r="S369">
        <v>27.431999999999999</v>
      </c>
      <c r="T369">
        <v>32.796999999999997</v>
      </c>
      <c r="U369">
        <v>28.532</v>
      </c>
      <c r="V369">
        <v>32.51</v>
      </c>
      <c r="W369">
        <v>26.847000000000001</v>
      </c>
      <c r="X369">
        <v>33.869</v>
      </c>
      <c r="Y369">
        <v>27.393999999999998</v>
      </c>
      <c r="Z369">
        <v>27.815000000000001</v>
      </c>
    </row>
    <row r="370" spans="1:26" x14ac:dyDescent="0.45">
      <c r="A370" t="s">
        <v>2278</v>
      </c>
      <c r="B370" t="s">
        <v>2652</v>
      </c>
      <c r="C370" s="3" t="s">
        <v>1889</v>
      </c>
      <c r="D370">
        <v>28.783000000000001</v>
      </c>
      <c r="E370">
        <v>31.152999999999999</v>
      </c>
      <c r="F370">
        <v>29.123000000000001</v>
      </c>
      <c r="G370">
        <v>31.861000000000001</v>
      </c>
      <c r="H370">
        <v>31.209</v>
      </c>
      <c r="I370">
        <v>29.425000000000001</v>
      </c>
      <c r="J370">
        <v>30.125</v>
      </c>
      <c r="K370">
        <v>30.439</v>
      </c>
      <c r="L370">
        <v>30.637</v>
      </c>
      <c r="M370">
        <v>30.79</v>
      </c>
      <c r="N370">
        <v>31.559000000000001</v>
      </c>
      <c r="O370">
        <v>30.207999999999998</v>
      </c>
      <c r="P370">
        <v>29.684999999999999</v>
      </c>
      <c r="Q370">
        <v>30.771999999999998</v>
      </c>
      <c r="R370">
        <v>30.786000000000001</v>
      </c>
      <c r="S370">
        <v>30.917999999999999</v>
      </c>
      <c r="T370">
        <v>30.745000000000001</v>
      </c>
      <c r="U370">
        <v>31.702000000000002</v>
      </c>
      <c r="V370">
        <v>30.128</v>
      </c>
      <c r="W370">
        <v>29.988</v>
      </c>
      <c r="X370">
        <v>31.664999999999999</v>
      </c>
      <c r="Y370">
        <v>30.236000000000001</v>
      </c>
      <c r="Z370">
        <v>30.17</v>
      </c>
    </row>
    <row r="371" spans="1:26" x14ac:dyDescent="0.45">
      <c r="A371" t="s">
        <v>2279</v>
      </c>
      <c r="B371" t="s">
        <v>2653</v>
      </c>
      <c r="C371" s="3" t="s">
        <v>1890</v>
      </c>
      <c r="D371">
        <v>24.920999999999999</v>
      </c>
      <c r="E371">
        <v>24.001000000000001</v>
      </c>
      <c r="F371">
        <v>23.524999999999999</v>
      </c>
      <c r="G371">
        <v>25.167999999999999</v>
      </c>
      <c r="H371">
        <v>23.849</v>
      </c>
      <c r="I371">
        <v>24.122</v>
      </c>
      <c r="J371">
        <v>23.978000000000002</v>
      </c>
      <c r="K371">
        <v>24.623000000000001</v>
      </c>
      <c r="L371">
        <v>24.39</v>
      </c>
      <c r="M371">
        <v>25.196000000000002</v>
      </c>
      <c r="N371">
        <v>25.221</v>
      </c>
      <c r="O371">
        <v>24.632999999999999</v>
      </c>
      <c r="P371">
        <v>24.13</v>
      </c>
      <c r="Q371">
        <v>24.202999999999999</v>
      </c>
      <c r="R371">
        <v>24.292000000000002</v>
      </c>
      <c r="S371">
        <v>24.751999999999999</v>
      </c>
      <c r="T371">
        <v>24.417999999999999</v>
      </c>
      <c r="U371">
        <v>24.536000000000001</v>
      </c>
      <c r="V371">
        <v>24.215</v>
      </c>
      <c r="W371">
        <v>24.28</v>
      </c>
      <c r="X371">
        <v>25.215</v>
      </c>
      <c r="Y371">
        <v>24.888000000000002</v>
      </c>
      <c r="Z371">
        <v>24.513000000000002</v>
      </c>
    </row>
    <row r="372" spans="1:26" x14ac:dyDescent="0.45">
      <c r="A372" t="s">
        <v>2280</v>
      </c>
      <c r="B372" t="s">
        <v>2654</v>
      </c>
      <c r="C372" s="3" t="s">
        <v>1891</v>
      </c>
      <c r="D372">
        <v>29.193000000000001</v>
      </c>
      <c r="E372">
        <v>27.622</v>
      </c>
      <c r="F372">
        <v>27.062000000000001</v>
      </c>
      <c r="G372">
        <v>29.283000000000001</v>
      </c>
      <c r="H372">
        <v>27.704999999999998</v>
      </c>
      <c r="I372">
        <v>27.597999999999999</v>
      </c>
      <c r="J372">
        <v>27.440999999999999</v>
      </c>
      <c r="K372">
        <v>27.87</v>
      </c>
      <c r="L372">
        <v>27.945</v>
      </c>
      <c r="M372">
        <v>28.925999999999998</v>
      </c>
      <c r="N372">
        <v>28.693999999999999</v>
      </c>
      <c r="O372">
        <v>28.748999999999999</v>
      </c>
      <c r="P372">
        <v>27.481000000000002</v>
      </c>
      <c r="Q372">
        <v>27.602</v>
      </c>
      <c r="R372">
        <v>27.466000000000001</v>
      </c>
      <c r="S372">
        <v>28.199000000000002</v>
      </c>
      <c r="T372">
        <v>27.904</v>
      </c>
      <c r="U372">
        <v>27.995999999999999</v>
      </c>
      <c r="V372">
        <v>27.529</v>
      </c>
      <c r="W372">
        <v>27.940999999999999</v>
      </c>
      <c r="X372">
        <v>28.6</v>
      </c>
      <c r="Y372">
        <v>28.251999999999999</v>
      </c>
      <c r="Z372">
        <v>27.678999999999998</v>
      </c>
    </row>
    <row r="373" spans="1:26" x14ac:dyDescent="0.45">
      <c r="A373" t="s">
        <v>2281</v>
      </c>
      <c r="B373" t="s">
        <v>2655</v>
      </c>
      <c r="C373" s="3" t="s">
        <v>1892</v>
      </c>
      <c r="D373">
        <v>31.228999999999999</v>
      </c>
      <c r="E373">
        <v>34.183999999999997</v>
      </c>
      <c r="F373">
        <v>29.547999999999998</v>
      </c>
      <c r="G373">
        <v>33.232999999999997</v>
      </c>
      <c r="H373">
        <v>31.484999999999999</v>
      </c>
      <c r="I373">
        <v>31.196999999999999</v>
      </c>
      <c r="J373">
        <v>28.88</v>
      </c>
      <c r="K373">
        <v>28.309000000000001</v>
      </c>
      <c r="L373">
        <v>30.629000000000001</v>
      </c>
      <c r="M373">
        <v>30.315999999999999</v>
      </c>
      <c r="N373">
        <v>29.838999999999999</v>
      </c>
      <c r="O373">
        <v>30.390999999999998</v>
      </c>
      <c r="P373">
        <v>28.609000000000002</v>
      </c>
      <c r="Q373">
        <v>29.013000000000002</v>
      </c>
      <c r="R373">
        <v>28.378</v>
      </c>
      <c r="S373">
        <v>29.481000000000002</v>
      </c>
      <c r="T373">
        <v>30.811</v>
      </c>
      <c r="U373">
        <v>31.36</v>
      </c>
      <c r="V373">
        <v>30.297000000000001</v>
      </c>
      <c r="W373">
        <v>28.617000000000001</v>
      </c>
      <c r="X373">
        <v>30.466000000000001</v>
      </c>
      <c r="Y373">
        <v>29.538</v>
      </c>
      <c r="Z373">
        <v>29.815000000000001</v>
      </c>
    </row>
    <row r="374" spans="1:26" x14ac:dyDescent="0.45">
      <c r="A374" t="s">
        <v>2282</v>
      </c>
      <c r="B374" t="s">
        <v>2656</v>
      </c>
      <c r="C374" s="3" t="s">
        <v>1893</v>
      </c>
      <c r="D374">
        <v>32.540999999999997</v>
      </c>
      <c r="E374">
        <v>33.277999999999999</v>
      </c>
      <c r="F374">
        <v>32.521999999999998</v>
      </c>
      <c r="G374">
        <v>33.209000000000003</v>
      </c>
      <c r="H374">
        <v>32.673999999999999</v>
      </c>
      <c r="I374">
        <v>33.298999999999999</v>
      </c>
      <c r="J374">
        <v>34.216000000000001</v>
      </c>
      <c r="K374">
        <v>33.829000000000001</v>
      </c>
      <c r="L374">
        <v>32.924999999999997</v>
      </c>
      <c r="M374">
        <v>33.488999999999997</v>
      </c>
      <c r="N374">
        <v>32.573</v>
      </c>
      <c r="O374">
        <v>33.539000000000001</v>
      </c>
      <c r="P374">
        <v>36.290999999999997</v>
      </c>
      <c r="Q374">
        <v>33.542999999999999</v>
      </c>
      <c r="R374">
        <v>34.323</v>
      </c>
      <c r="S374">
        <v>32.94</v>
      </c>
      <c r="T374">
        <v>33.186999999999998</v>
      </c>
      <c r="U374">
        <v>33.375</v>
      </c>
      <c r="V374">
        <v>32.945999999999998</v>
      </c>
      <c r="W374">
        <v>33.956000000000003</v>
      </c>
      <c r="X374">
        <v>33.232999999999997</v>
      </c>
      <c r="Y374">
        <v>33.280999999999999</v>
      </c>
      <c r="Z374">
        <v>33.003999999999998</v>
      </c>
    </row>
    <row r="375" spans="1:26" x14ac:dyDescent="0.45">
      <c r="A375" t="s">
        <v>2283</v>
      </c>
      <c r="B375" t="s">
        <v>2657</v>
      </c>
      <c r="C375" s="3" t="s">
        <v>1894</v>
      </c>
      <c r="D375">
        <v>24.120999999999999</v>
      </c>
      <c r="E375">
        <v>23.733000000000001</v>
      </c>
      <c r="F375">
        <v>22.765000000000001</v>
      </c>
      <c r="G375">
        <v>24.22</v>
      </c>
      <c r="H375">
        <v>23.815999999999999</v>
      </c>
      <c r="I375">
        <v>23.265999999999998</v>
      </c>
      <c r="J375">
        <v>23.242999999999999</v>
      </c>
      <c r="K375">
        <v>24.106999999999999</v>
      </c>
      <c r="L375">
        <v>23.492000000000001</v>
      </c>
      <c r="M375">
        <v>23.265000000000001</v>
      </c>
      <c r="N375">
        <v>24.291</v>
      </c>
      <c r="O375">
        <v>23.940999999999999</v>
      </c>
      <c r="P375">
        <v>23.393000000000001</v>
      </c>
      <c r="Q375">
        <v>25.536999999999999</v>
      </c>
      <c r="R375">
        <v>24.684000000000001</v>
      </c>
      <c r="S375">
        <v>24.585999999999999</v>
      </c>
      <c r="T375">
        <v>25.385000000000002</v>
      </c>
      <c r="U375">
        <v>23.227</v>
      </c>
      <c r="V375">
        <v>23.803000000000001</v>
      </c>
      <c r="W375">
        <v>24.273</v>
      </c>
      <c r="X375">
        <v>24.678000000000001</v>
      </c>
      <c r="Y375">
        <v>23.516999999999999</v>
      </c>
      <c r="Z375">
        <v>23.652999999999999</v>
      </c>
    </row>
    <row r="376" spans="1:26" x14ac:dyDescent="0.45">
      <c r="A376" t="s">
        <v>2284</v>
      </c>
      <c r="B376" t="s">
        <v>2658</v>
      </c>
      <c r="C376" s="3" t="s">
        <v>1895</v>
      </c>
      <c r="D376">
        <v>26.11</v>
      </c>
      <c r="E376">
        <v>25.588000000000001</v>
      </c>
      <c r="F376">
        <v>24.367999999999999</v>
      </c>
      <c r="G376">
        <v>25.582999999999998</v>
      </c>
      <c r="H376">
        <v>25.28</v>
      </c>
      <c r="I376">
        <v>24.742000000000001</v>
      </c>
      <c r="J376">
        <v>25.116</v>
      </c>
      <c r="K376">
        <v>25.474</v>
      </c>
      <c r="L376">
        <v>24.663</v>
      </c>
      <c r="M376">
        <v>24.762</v>
      </c>
      <c r="N376">
        <v>25.452999999999999</v>
      </c>
      <c r="O376">
        <v>25.643999999999998</v>
      </c>
      <c r="P376">
        <v>24.943999999999999</v>
      </c>
      <c r="Q376">
        <v>26.78</v>
      </c>
      <c r="R376">
        <v>26.532</v>
      </c>
      <c r="S376">
        <v>26.29</v>
      </c>
      <c r="T376">
        <v>26.927</v>
      </c>
      <c r="U376">
        <v>24.745999999999999</v>
      </c>
      <c r="V376">
        <v>25.22</v>
      </c>
      <c r="W376">
        <v>25.646999999999998</v>
      </c>
      <c r="X376">
        <v>25.15</v>
      </c>
      <c r="Y376">
        <v>25.242999999999999</v>
      </c>
      <c r="Z376">
        <v>25.247</v>
      </c>
    </row>
    <row r="377" spans="1:26" x14ac:dyDescent="0.45">
      <c r="A377" t="s">
        <v>2285</v>
      </c>
      <c r="B377" t="s">
        <v>2659</v>
      </c>
      <c r="C377" s="3" t="s">
        <v>1896</v>
      </c>
      <c r="D377">
        <v>28.635000000000002</v>
      </c>
      <c r="E377">
        <v>27.638000000000002</v>
      </c>
      <c r="F377">
        <v>27.765999999999998</v>
      </c>
      <c r="G377">
        <v>28.91</v>
      </c>
      <c r="H377">
        <v>28.456</v>
      </c>
      <c r="I377">
        <v>28.562000000000001</v>
      </c>
      <c r="J377">
        <v>30.274999999999999</v>
      </c>
      <c r="K377">
        <v>28.172000000000001</v>
      </c>
      <c r="L377">
        <v>27.356999999999999</v>
      </c>
      <c r="M377">
        <v>28.013000000000002</v>
      </c>
      <c r="N377">
        <v>27.164000000000001</v>
      </c>
      <c r="O377">
        <v>28.954000000000001</v>
      </c>
      <c r="P377">
        <v>27.491</v>
      </c>
      <c r="Q377">
        <v>27.67</v>
      </c>
      <c r="R377">
        <v>28.494</v>
      </c>
      <c r="S377">
        <v>29.085999999999999</v>
      </c>
      <c r="T377">
        <v>27.675000000000001</v>
      </c>
      <c r="U377">
        <v>27.995999999999999</v>
      </c>
      <c r="V377">
        <v>27.204000000000001</v>
      </c>
      <c r="W377">
        <v>27.885000000000002</v>
      </c>
      <c r="X377">
        <v>28.241</v>
      </c>
      <c r="Y377">
        <v>27.353000000000002</v>
      </c>
      <c r="Z377">
        <v>27.657</v>
      </c>
    </row>
    <row r="378" spans="1:26" x14ac:dyDescent="0.45">
      <c r="A378" t="s">
        <v>2661</v>
      </c>
      <c r="B378" t="s">
        <v>2670</v>
      </c>
      <c r="C378" s="3" t="s">
        <v>1897</v>
      </c>
      <c r="D378">
        <v>29.364999999999998</v>
      </c>
      <c r="E378">
        <v>29.702999999999999</v>
      </c>
      <c r="F378">
        <v>29.997</v>
      </c>
      <c r="G378">
        <v>30.169</v>
      </c>
      <c r="H378">
        <v>29.277000000000001</v>
      </c>
      <c r="I378">
        <v>30.167999999999999</v>
      </c>
      <c r="J378">
        <v>31.777999999999999</v>
      </c>
      <c r="K378">
        <v>29.303999999999998</v>
      </c>
      <c r="L378">
        <v>28.835999999999999</v>
      </c>
      <c r="M378">
        <v>30.163</v>
      </c>
      <c r="N378">
        <v>29.376999999999999</v>
      </c>
      <c r="O378">
        <v>29.776</v>
      </c>
      <c r="P378">
        <v>29.619</v>
      </c>
      <c r="Q378">
        <v>29.271999999999998</v>
      </c>
      <c r="R378">
        <v>30.140999999999998</v>
      </c>
      <c r="S378">
        <v>29.934000000000001</v>
      </c>
      <c r="T378">
        <v>29.382000000000001</v>
      </c>
      <c r="U378">
        <v>29.707000000000001</v>
      </c>
      <c r="V378">
        <v>28.971</v>
      </c>
      <c r="W378">
        <v>29.178000000000001</v>
      </c>
      <c r="X378">
        <v>29.190999999999999</v>
      </c>
      <c r="Y378">
        <v>28.9</v>
      </c>
      <c r="Z378">
        <v>28.626000000000001</v>
      </c>
    </row>
    <row r="379" spans="1:26" x14ac:dyDescent="0.45">
      <c r="A379" t="s">
        <v>2662</v>
      </c>
      <c r="B379" t="s">
        <v>2671</v>
      </c>
      <c r="C379" s="3" t="s">
        <v>1898</v>
      </c>
      <c r="D379">
        <v>28.93</v>
      </c>
      <c r="E379">
        <v>29.747</v>
      </c>
      <c r="F379">
        <v>28.992000000000001</v>
      </c>
      <c r="G379">
        <v>29.533000000000001</v>
      </c>
      <c r="H379">
        <v>28.815000000000001</v>
      </c>
      <c r="I379">
        <v>28.998000000000001</v>
      </c>
      <c r="J379">
        <v>29.347000000000001</v>
      </c>
      <c r="K379">
        <v>29.841999999999999</v>
      </c>
      <c r="L379">
        <v>29.169</v>
      </c>
      <c r="M379">
        <v>29.908000000000001</v>
      </c>
      <c r="N379">
        <v>30.222999999999999</v>
      </c>
      <c r="O379">
        <v>30.141999999999999</v>
      </c>
      <c r="P379">
        <v>30.34</v>
      </c>
      <c r="Q379">
        <v>29.593</v>
      </c>
      <c r="R379">
        <v>29.382999999999999</v>
      </c>
      <c r="S379">
        <v>29.084</v>
      </c>
      <c r="T379">
        <v>28.664000000000001</v>
      </c>
      <c r="U379">
        <v>29.170999999999999</v>
      </c>
      <c r="V379">
        <v>28.997</v>
      </c>
      <c r="W379">
        <v>29.178999999999998</v>
      </c>
      <c r="X379">
        <v>29.114999999999998</v>
      </c>
      <c r="Y379">
        <v>29.152000000000001</v>
      </c>
      <c r="Z379">
        <v>29.244</v>
      </c>
    </row>
    <row r="380" spans="1:26" x14ac:dyDescent="0.45">
      <c r="A380" t="s">
        <v>2663</v>
      </c>
      <c r="B380" t="s">
        <v>2672</v>
      </c>
      <c r="C380" s="3" t="s">
        <v>1899</v>
      </c>
      <c r="D380">
        <v>28.838999999999999</v>
      </c>
      <c r="E380">
        <v>29.771999999999998</v>
      </c>
      <c r="F380">
        <v>28.972000000000001</v>
      </c>
      <c r="G380">
        <v>29.69</v>
      </c>
      <c r="H380">
        <v>28.181999999999999</v>
      </c>
      <c r="I380">
        <v>29.367000000000001</v>
      </c>
      <c r="J380">
        <v>29.265999999999998</v>
      </c>
      <c r="K380">
        <v>29.716999999999999</v>
      </c>
      <c r="L380">
        <v>28.696999999999999</v>
      </c>
      <c r="M380">
        <v>29.606999999999999</v>
      </c>
      <c r="N380">
        <v>29.943000000000001</v>
      </c>
      <c r="O380">
        <v>29.879000000000001</v>
      </c>
      <c r="P380">
        <v>30.016999999999999</v>
      </c>
      <c r="Q380">
        <v>29.946000000000002</v>
      </c>
      <c r="R380">
        <v>29.49</v>
      </c>
      <c r="S380">
        <v>28.948</v>
      </c>
      <c r="T380">
        <v>28.478999999999999</v>
      </c>
      <c r="U380">
        <v>29.119</v>
      </c>
      <c r="V380">
        <v>28.835000000000001</v>
      </c>
      <c r="W380">
        <v>29</v>
      </c>
      <c r="X380">
        <v>28.873999999999999</v>
      </c>
      <c r="Y380">
        <v>28.908000000000001</v>
      </c>
      <c r="Z380">
        <v>29.1</v>
      </c>
    </row>
    <row r="381" spans="1:26" x14ac:dyDescent="0.45">
      <c r="A381" t="s">
        <v>2664</v>
      </c>
      <c r="B381" t="s">
        <v>2673</v>
      </c>
      <c r="C381" s="3" t="s">
        <v>1900</v>
      </c>
      <c r="D381">
        <v>22.59</v>
      </c>
      <c r="E381">
        <v>22.308</v>
      </c>
      <c r="F381">
        <v>22.888999999999999</v>
      </c>
      <c r="G381">
        <v>23.78</v>
      </c>
      <c r="H381">
        <v>22.597999999999999</v>
      </c>
      <c r="I381">
        <v>22.277999999999999</v>
      </c>
      <c r="J381">
        <v>22.140999999999998</v>
      </c>
      <c r="K381">
        <v>22.678999999999998</v>
      </c>
      <c r="L381">
        <v>22.600999999999999</v>
      </c>
      <c r="M381">
        <v>22.523</v>
      </c>
      <c r="N381">
        <v>21.826000000000001</v>
      </c>
      <c r="O381">
        <v>23.373000000000001</v>
      </c>
      <c r="P381">
        <v>22.959</v>
      </c>
      <c r="Q381">
        <v>22.27</v>
      </c>
      <c r="R381">
        <v>22.888000000000002</v>
      </c>
      <c r="S381">
        <v>24.393000000000001</v>
      </c>
      <c r="T381">
        <v>22.166</v>
      </c>
      <c r="U381">
        <v>22.48</v>
      </c>
      <c r="V381">
        <v>22.474</v>
      </c>
      <c r="W381">
        <v>23.469000000000001</v>
      </c>
      <c r="X381">
        <v>22.411000000000001</v>
      </c>
      <c r="Y381">
        <v>22.079000000000001</v>
      </c>
      <c r="Z381">
        <v>22.547999999999998</v>
      </c>
    </row>
    <row r="382" spans="1:26" x14ac:dyDescent="0.45">
      <c r="A382" t="s">
        <v>2665</v>
      </c>
      <c r="B382" t="s">
        <v>2674</v>
      </c>
      <c r="C382" s="3" t="s">
        <v>1901</v>
      </c>
      <c r="D382">
        <v>22.626000000000001</v>
      </c>
      <c r="E382">
        <v>22.295000000000002</v>
      </c>
      <c r="F382">
        <v>22.864000000000001</v>
      </c>
      <c r="G382">
        <v>23.731000000000002</v>
      </c>
      <c r="H382">
        <v>22.675999999999998</v>
      </c>
      <c r="I382">
        <v>22.291</v>
      </c>
      <c r="J382">
        <v>22.163</v>
      </c>
      <c r="K382">
        <v>22.582000000000001</v>
      </c>
      <c r="L382">
        <v>22.536000000000001</v>
      </c>
      <c r="M382">
        <v>22.483000000000001</v>
      </c>
      <c r="N382">
        <v>21.832000000000001</v>
      </c>
      <c r="O382">
        <v>23.437000000000001</v>
      </c>
      <c r="P382">
        <v>23.007999999999999</v>
      </c>
      <c r="Q382">
        <v>22.274000000000001</v>
      </c>
      <c r="R382">
        <v>22.902999999999999</v>
      </c>
      <c r="S382">
        <v>24.713999999999999</v>
      </c>
      <c r="T382">
        <v>22.08</v>
      </c>
      <c r="U382">
        <v>22.477</v>
      </c>
      <c r="V382">
        <v>22.399000000000001</v>
      </c>
      <c r="W382">
        <v>23.585999999999999</v>
      </c>
      <c r="X382">
        <v>22.361000000000001</v>
      </c>
      <c r="Y382">
        <v>22.1</v>
      </c>
      <c r="Z382">
        <v>22.577000000000002</v>
      </c>
    </row>
    <row r="383" spans="1:26" x14ac:dyDescent="0.45">
      <c r="A383" t="s">
        <v>2666</v>
      </c>
      <c r="B383" t="s">
        <v>2675</v>
      </c>
      <c r="C383" s="3" t="s">
        <v>1902</v>
      </c>
      <c r="D383">
        <v>23.390999999999998</v>
      </c>
      <c r="E383">
        <v>22.440999999999999</v>
      </c>
      <c r="F383">
        <v>22.756</v>
      </c>
      <c r="G383">
        <v>23.565999999999999</v>
      </c>
      <c r="H383">
        <v>23.193000000000001</v>
      </c>
      <c r="I383">
        <v>22.016999999999999</v>
      </c>
      <c r="J383">
        <v>22.338000000000001</v>
      </c>
      <c r="K383">
        <v>22.699000000000002</v>
      </c>
      <c r="L383">
        <v>22.51</v>
      </c>
      <c r="M383">
        <v>22.693999999999999</v>
      </c>
      <c r="N383">
        <v>21.963000000000001</v>
      </c>
      <c r="O383">
        <v>23.981999999999999</v>
      </c>
      <c r="P383">
        <v>23.094000000000001</v>
      </c>
      <c r="Q383">
        <v>22.242999999999999</v>
      </c>
      <c r="R383">
        <v>22.992000000000001</v>
      </c>
      <c r="S383">
        <v>23.527999999999999</v>
      </c>
      <c r="T383">
        <v>22.22</v>
      </c>
      <c r="U383">
        <v>22.702000000000002</v>
      </c>
      <c r="V383">
        <v>22.699000000000002</v>
      </c>
      <c r="W383">
        <v>23.762</v>
      </c>
      <c r="X383">
        <v>22.718</v>
      </c>
      <c r="Y383">
        <v>22.329000000000001</v>
      </c>
      <c r="Z383">
        <v>22.364999999999998</v>
      </c>
    </row>
    <row r="384" spans="1:26" x14ac:dyDescent="0.45">
      <c r="A384" t="s">
        <v>2667</v>
      </c>
      <c r="B384" t="s">
        <v>2676</v>
      </c>
      <c r="C384" s="3" t="s">
        <v>1903</v>
      </c>
      <c r="D384">
        <v>18.641999999999999</v>
      </c>
      <c r="E384">
        <v>17.934000000000001</v>
      </c>
      <c r="F384">
        <v>18.337</v>
      </c>
      <c r="G384">
        <v>18.553999999999998</v>
      </c>
      <c r="H384">
        <v>18.13</v>
      </c>
      <c r="I384">
        <v>18.327999999999999</v>
      </c>
      <c r="J384">
        <v>17.690000000000001</v>
      </c>
      <c r="K384">
        <v>18.198</v>
      </c>
      <c r="L384">
        <v>18.32</v>
      </c>
      <c r="M384">
        <v>18.286999999999999</v>
      </c>
      <c r="N384">
        <v>18.337</v>
      </c>
      <c r="O384">
        <v>18.468</v>
      </c>
      <c r="P384">
        <v>18.498999999999999</v>
      </c>
      <c r="Q384">
        <v>18.553999999999998</v>
      </c>
      <c r="R384">
        <v>18.472999999999999</v>
      </c>
      <c r="S384">
        <v>18.344999999999999</v>
      </c>
      <c r="T384">
        <v>18.353999999999999</v>
      </c>
      <c r="U384">
        <v>18.422999999999998</v>
      </c>
      <c r="V384">
        <v>18.353999999999999</v>
      </c>
      <c r="W384">
        <v>18.574000000000002</v>
      </c>
      <c r="X384">
        <v>18.411999999999999</v>
      </c>
      <c r="Y384">
        <v>18.355</v>
      </c>
      <c r="Z384">
        <v>18.629000000000001</v>
      </c>
    </row>
    <row r="385" spans="1:26" x14ac:dyDescent="0.45">
      <c r="A385" t="s">
        <v>2668</v>
      </c>
      <c r="B385" t="s">
        <v>2677</v>
      </c>
      <c r="C385" s="3" t="s">
        <v>1904</v>
      </c>
      <c r="D385">
        <v>18.472999999999999</v>
      </c>
      <c r="E385">
        <v>17.998000000000001</v>
      </c>
      <c r="F385">
        <v>18.12</v>
      </c>
      <c r="G385">
        <v>18.507999999999999</v>
      </c>
      <c r="H385">
        <v>17.954999999999998</v>
      </c>
      <c r="I385">
        <v>18.542999999999999</v>
      </c>
      <c r="J385">
        <v>18.143000000000001</v>
      </c>
      <c r="K385">
        <v>18.248999999999999</v>
      </c>
      <c r="L385">
        <v>18.167999999999999</v>
      </c>
      <c r="M385">
        <v>18.120999999999999</v>
      </c>
      <c r="N385">
        <v>18.451000000000001</v>
      </c>
      <c r="O385">
        <v>18.225000000000001</v>
      </c>
      <c r="P385">
        <v>18.526</v>
      </c>
      <c r="Q385">
        <v>18.594000000000001</v>
      </c>
      <c r="R385">
        <v>18.558</v>
      </c>
      <c r="S385">
        <v>18.206</v>
      </c>
      <c r="T385">
        <v>18.277000000000001</v>
      </c>
      <c r="U385">
        <v>18.41</v>
      </c>
      <c r="V385">
        <v>18.12</v>
      </c>
      <c r="W385">
        <v>18.329000000000001</v>
      </c>
      <c r="X385">
        <v>18.420999999999999</v>
      </c>
      <c r="Y385">
        <v>18.291</v>
      </c>
      <c r="Z385">
        <v>18.433</v>
      </c>
    </row>
    <row r="386" spans="1:26" x14ac:dyDescent="0.45">
      <c r="A386" t="s">
        <v>2669</v>
      </c>
      <c r="B386" t="s">
        <v>2678</v>
      </c>
      <c r="C386" s="3" t="s">
        <v>1905</v>
      </c>
      <c r="D386">
        <v>18.39</v>
      </c>
      <c r="E386">
        <v>17.954000000000001</v>
      </c>
      <c r="F386">
        <v>17.937000000000001</v>
      </c>
      <c r="G386">
        <v>18.327999999999999</v>
      </c>
      <c r="H386">
        <v>17.923999999999999</v>
      </c>
      <c r="I386">
        <v>18.451000000000001</v>
      </c>
      <c r="J386">
        <v>18.158000000000001</v>
      </c>
      <c r="K386">
        <v>18.161999999999999</v>
      </c>
      <c r="L386">
        <v>17.957999999999998</v>
      </c>
      <c r="M386">
        <v>18.077000000000002</v>
      </c>
      <c r="N386">
        <v>18.291</v>
      </c>
      <c r="O386">
        <v>18.187999999999999</v>
      </c>
      <c r="P386">
        <v>18.385999999999999</v>
      </c>
      <c r="Q386">
        <v>18.614999999999998</v>
      </c>
      <c r="R386">
        <v>18.390999999999998</v>
      </c>
      <c r="S386">
        <v>18.22</v>
      </c>
      <c r="T386">
        <v>18.393000000000001</v>
      </c>
      <c r="U386">
        <v>18.385999999999999</v>
      </c>
      <c r="V386">
        <v>18.297999999999998</v>
      </c>
      <c r="W386">
        <v>18.356000000000002</v>
      </c>
      <c r="X386">
        <v>18.408000000000001</v>
      </c>
      <c r="Y386">
        <v>18.436</v>
      </c>
      <c r="Z386">
        <v>18.564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248CA-9CAD-4925-8CD9-617D0A69C2A7}">
  <dimension ref="A1:R4980"/>
  <sheetViews>
    <sheetView workbookViewId="0">
      <selection activeCell="C35" sqref="C35"/>
    </sheetView>
  </sheetViews>
  <sheetFormatPr defaultRowHeight="14.25" x14ac:dyDescent="0.45"/>
  <cols>
    <col min="2" max="2" width="12.265625" bestFit="1" customWidth="1"/>
    <col min="3" max="3" width="15.265625" bestFit="1" customWidth="1"/>
    <col min="4" max="4" width="13.46484375" bestFit="1" customWidth="1"/>
    <col min="5" max="5" width="13.53125" bestFit="1" customWidth="1"/>
    <col min="6" max="6" width="20" bestFit="1" customWidth="1"/>
    <col min="7" max="7" width="41.19921875" bestFit="1" customWidth="1"/>
    <col min="8" max="8" width="52.53125" bestFit="1" customWidth="1"/>
    <col min="9" max="9" width="109.796875" bestFit="1" customWidth="1"/>
    <col min="10" max="10" width="15.19921875" bestFit="1" customWidth="1"/>
    <col min="11" max="11" width="18.53125" bestFit="1" customWidth="1"/>
    <col min="12" max="12" width="14.73046875" bestFit="1" customWidth="1"/>
    <col min="13" max="13" width="7.265625" bestFit="1" customWidth="1"/>
    <col min="14" max="14" width="16.796875" bestFit="1" customWidth="1"/>
    <col min="15" max="15" width="23" bestFit="1" customWidth="1"/>
    <col min="16" max="16" width="18.796875" bestFit="1" customWidth="1"/>
    <col min="17" max="17" width="9.796875" bestFit="1" customWidth="1"/>
    <col min="18" max="18" width="17.73046875" bestFit="1" customWidth="1"/>
  </cols>
  <sheetData>
    <row r="1" spans="1:18" s="1" customFormat="1" x14ac:dyDescent="0.45">
      <c r="A1" s="1" t="s">
        <v>1263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</row>
    <row r="2" spans="1:18" x14ac:dyDescent="0.45">
      <c r="A2" t="s">
        <v>1264</v>
      </c>
      <c r="B2">
        <v>8</v>
      </c>
      <c r="C2" t="str">
        <f>HYPERLINK("http://www.ncbi.nlm.nih.gov/protein/XP_039533197.1","XP_039533197.1")</f>
        <v>XP_039533197.1</v>
      </c>
      <c r="D2">
        <v>96127</v>
      </c>
      <c r="E2" t="str">
        <f>HYPERLINK("http://www.ncbi.nlm.nih.gov/Taxonomy/Browser/wwwtax.cgi?mode=Info&amp;id=90988&amp;lvl=3&amp;lin=f&amp;keep=1&amp;srchmode=1&amp;unlock","90988")</f>
        <v>90988</v>
      </c>
      <c r="F2" t="s">
        <v>17</v>
      </c>
      <c r="G2" t="str">
        <f>HYPERLINK("http://www.ncbi.nlm.nih.gov/Taxonomy/Browser/wwwtax.cgi?mode=Info&amp;id=90988&amp;lvl=3&amp;lin=f&amp;keep=1&amp;srchmode=1&amp;unlock","Pimephales promelas")</f>
        <v>Pimephales promelas</v>
      </c>
      <c r="H2" t="s">
        <v>18</v>
      </c>
      <c r="I2" t="str">
        <f>HYPERLINK("http://www.ncbi.nlm.nih.gov/protein/XP_039533197.1","LOW QUALITY PROTEIN: ryanodine receptor 1")</f>
        <v>LOW QUALITY PROTEIN: ryanodine receptor 1</v>
      </c>
      <c r="J2">
        <v>10453.9</v>
      </c>
      <c r="K2" t="s">
        <v>19</v>
      </c>
      <c r="L2">
        <v>276</v>
      </c>
      <c r="M2">
        <v>9.75</v>
      </c>
      <c r="N2">
        <v>100</v>
      </c>
      <c r="O2" t="s">
        <v>19</v>
      </c>
      <c r="P2" t="s">
        <v>20</v>
      </c>
      <c r="Q2" t="s">
        <v>19</v>
      </c>
      <c r="R2" t="str">
        <f>HYPERLINK("https://cfpub.epa.gov/ecotox/explore.cfm?ncbi=90988","Explore in ECOTOX")</f>
        <v>Explore in ECOTOX</v>
      </c>
    </row>
    <row r="3" spans="1:18" x14ac:dyDescent="0.45">
      <c r="A3" t="s">
        <v>1264</v>
      </c>
      <c r="B3">
        <v>8</v>
      </c>
      <c r="C3" t="str">
        <f>HYPERLINK("http://www.ncbi.nlm.nih.gov/protein/XP_056127466.1","XP_056127466.1")</f>
        <v>XP_056127466.1</v>
      </c>
      <c r="D3">
        <v>40181</v>
      </c>
      <c r="E3" t="str">
        <f>HYPERLINK("http://www.ncbi.nlm.nih.gov/Taxonomy/Browser/wwwtax.cgi?mode=Info&amp;id=3034132&amp;lvl=3&amp;lin=f&amp;keep=1&amp;srchmode=1&amp;unlock","3034132")</f>
        <v>3034132</v>
      </c>
      <c r="F3" t="s">
        <v>17</v>
      </c>
      <c r="G3" t="str">
        <f>HYPERLINK("http://www.ncbi.nlm.nih.gov/Taxonomy/Browser/wwwtax.cgi?mode=Info&amp;id=3034132&amp;lvl=3&amp;lin=f&amp;keep=1&amp;srchmode=1&amp;unlock","Rhinichthys klamathensis goyatoka")</f>
        <v>Rhinichthys klamathensis goyatoka</v>
      </c>
      <c r="H3" t="s">
        <v>21</v>
      </c>
      <c r="I3" t="str">
        <f>HYPERLINK("http://www.ncbi.nlm.nih.gov/protein/XP_056127466.1","ryanodine receptor 1 isoform X4")</f>
        <v>ryanodine receptor 1 isoform X4</v>
      </c>
      <c r="J3">
        <v>10245.5</v>
      </c>
      <c r="K3" t="s">
        <v>22</v>
      </c>
      <c r="L3">
        <v>276</v>
      </c>
      <c r="M3">
        <v>9.75</v>
      </c>
      <c r="N3">
        <v>98.01</v>
      </c>
      <c r="O3" t="s">
        <v>19</v>
      </c>
      <c r="P3" t="s">
        <v>20</v>
      </c>
      <c r="Q3" t="s">
        <v>19</v>
      </c>
      <c r="R3" t="str">
        <f>HYPERLINK("https://cfpub.epa.gov/ecotox/explore.cfm?ncbi=3034132","Explore in ECOTOX")</f>
        <v>Explore in ECOTOX</v>
      </c>
    </row>
    <row r="4" spans="1:18" x14ac:dyDescent="0.45">
      <c r="A4" t="s">
        <v>1264</v>
      </c>
      <c r="B4">
        <v>8</v>
      </c>
      <c r="C4" t="str">
        <f>HYPERLINK("http://www.ncbi.nlm.nih.gov/protein/XP_048036800.1","XP_048036800.1")</f>
        <v>XP_048036800.1</v>
      </c>
      <c r="D4">
        <v>60768</v>
      </c>
      <c r="E4" t="str">
        <f>HYPERLINK("http://www.ncbi.nlm.nih.gov/Taxonomy/Browser/wwwtax.cgi?mode=Info&amp;id=75352&amp;lvl=3&amp;lin=f&amp;keep=1&amp;srchmode=1&amp;unlock","75352")</f>
        <v>75352</v>
      </c>
      <c r="F4" t="s">
        <v>17</v>
      </c>
      <c r="G4" t="str">
        <f>HYPERLINK("http://www.ncbi.nlm.nih.gov/Taxonomy/Browser/wwwtax.cgi?mode=Info&amp;id=75352&amp;lvl=3&amp;lin=f&amp;keep=1&amp;srchmode=1&amp;unlock","Megalobrama amblycephala")</f>
        <v>Megalobrama amblycephala</v>
      </c>
      <c r="H4" t="s">
        <v>23</v>
      </c>
      <c r="I4" t="str">
        <f>HYPERLINK("http://www.ncbi.nlm.nih.gov/protein/XP_048036800.1","LOW QUALITY PROTEIN: ryanodine receptor 1")</f>
        <v>LOW QUALITY PROTEIN: ryanodine receptor 1</v>
      </c>
      <c r="J4">
        <v>10111.9</v>
      </c>
      <c r="K4" t="s">
        <v>19</v>
      </c>
      <c r="L4">
        <v>276</v>
      </c>
      <c r="M4">
        <v>9.75</v>
      </c>
      <c r="N4">
        <v>96.73</v>
      </c>
      <c r="O4" t="s">
        <v>19</v>
      </c>
      <c r="P4" t="s">
        <v>20</v>
      </c>
      <c r="Q4" t="s">
        <v>19</v>
      </c>
      <c r="R4" t="str">
        <f>HYPERLINK("https://cfpub.epa.gov/ecotox/explore.cfm?ncbi=75352","Explore in ECOTOX")</f>
        <v>Explore in ECOTOX</v>
      </c>
    </row>
    <row r="5" spans="1:18" x14ac:dyDescent="0.45">
      <c r="A5" t="s">
        <v>1264</v>
      </c>
      <c r="B5">
        <v>8</v>
      </c>
      <c r="C5" t="str">
        <f>HYPERLINK("http://www.ncbi.nlm.nih.gov/protein/XP_051763722.1","XP_051763722.1")</f>
        <v>XP_051763722.1</v>
      </c>
      <c r="D5">
        <v>61666</v>
      </c>
      <c r="E5" t="str">
        <f>HYPERLINK("http://www.ncbi.nlm.nih.gov/Taxonomy/Browser/wwwtax.cgi?mode=Info&amp;id=7959&amp;lvl=3&amp;lin=f&amp;keep=1&amp;srchmode=1&amp;unlock","7959")</f>
        <v>7959</v>
      </c>
      <c r="F5" t="s">
        <v>17</v>
      </c>
      <c r="G5" t="str">
        <f>HYPERLINK("http://www.ncbi.nlm.nih.gov/Taxonomy/Browser/wwwtax.cgi?mode=Info&amp;id=7959&amp;lvl=3&amp;lin=f&amp;keep=1&amp;srchmode=1&amp;unlock","Ctenopharyngodon idella")</f>
        <v>Ctenopharyngodon idella</v>
      </c>
      <c r="H5" t="s">
        <v>24</v>
      </c>
      <c r="I5" t="str">
        <f>HYPERLINK("http://www.ncbi.nlm.nih.gov/protein/XP_051763722.1","ryanodine receptor 1")</f>
        <v>ryanodine receptor 1</v>
      </c>
      <c r="J5">
        <v>10098.4</v>
      </c>
      <c r="K5" t="s">
        <v>19</v>
      </c>
      <c r="L5">
        <v>276</v>
      </c>
      <c r="M5">
        <v>9.75</v>
      </c>
      <c r="N5">
        <v>96.6</v>
      </c>
      <c r="O5" t="s">
        <v>19</v>
      </c>
      <c r="P5" t="s">
        <v>20</v>
      </c>
      <c r="Q5" t="s">
        <v>19</v>
      </c>
      <c r="R5" t="str">
        <f>HYPERLINK("https://cfpub.epa.gov/ecotox/explore.cfm?ncbi=7959","Explore in ECOTOX")</f>
        <v>Explore in ECOTOX</v>
      </c>
    </row>
    <row r="6" spans="1:18" x14ac:dyDescent="0.45">
      <c r="A6" t="s">
        <v>1264</v>
      </c>
      <c r="B6">
        <v>8</v>
      </c>
      <c r="C6" t="str">
        <f>HYPERLINK("http://www.ncbi.nlm.nih.gov/protein/XP_056322498.1","XP_056322498.1")</f>
        <v>XP_056322498.1</v>
      </c>
      <c r="D6">
        <v>36531</v>
      </c>
      <c r="E6" t="str">
        <f>HYPERLINK("http://www.ncbi.nlm.nih.gov/Taxonomy/Browser/wwwtax.cgi?mode=Info&amp;id=1142201&amp;lvl=3&amp;lin=f&amp;keep=1&amp;srchmode=1&amp;unlock","1142201")</f>
        <v>1142201</v>
      </c>
      <c r="F6" t="s">
        <v>17</v>
      </c>
      <c r="G6" t="str">
        <f>HYPERLINK("http://www.ncbi.nlm.nih.gov/Taxonomy/Browser/wwwtax.cgi?mode=Info&amp;id=1142201&amp;lvl=3&amp;lin=f&amp;keep=1&amp;srchmode=1&amp;unlock","Danio aesculapii")</f>
        <v>Danio aesculapii</v>
      </c>
      <c r="H6" t="s">
        <v>21</v>
      </c>
      <c r="I6" t="str">
        <f>HYPERLINK("http://www.ncbi.nlm.nih.gov/protein/XP_056322498.1","LOW QUALITY PROTEIN: ryanodine receptor 1-like")</f>
        <v>LOW QUALITY PROTEIN: ryanodine receptor 1-like</v>
      </c>
      <c r="J6">
        <v>10003.200000000001</v>
      </c>
      <c r="K6" t="s">
        <v>19</v>
      </c>
      <c r="L6">
        <v>276</v>
      </c>
      <c r="M6">
        <v>9.75</v>
      </c>
      <c r="N6">
        <v>95.69</v>
      </c>
      <c r="O6" t="s">
        <v>19</v>
      </c>
      <c r="P6" t="s">
        <v>20</v>
      </c>
      <c r="Q6" t="s">
        <v>19</v>
      </c>
      <c r="R6" t="str">
        <f>HYPERLINK("https://cfpub.epa.gov/ecotox/explore.cfm?ncbi=1142201","Explore in ECOTOX")</f>
        <v>Explore in ECOTOX</v>
      </c>
    </row>
    <row r="7" spans="1:18" x14ac:dyDescent="0.45">
      <c r="A7" t="s">
        <v>1264</v>
      </c>
      <c r="B7">
        <v>8</v>
      </c>
      <c r="C7" t="str">
        <f>HYPERLINK("http://www.ncbi.nlm.nih.gov/protein/XP_059401574.1","XP_059401574.1")</f>
        <v>XP_059401574.1</v>
      </c>
      <c r="D7">
        <v>74399</v>
      </c>
      <c r="E7" t="str">
        <f>HYPERLINK("http://www.ncbi.nlm.nih.gov/Taxonomy/Browser/wwwtax.cgi?mode=Info&amp;id=217509&amp;lvl=3&amp;lin=f&amp;keep=1&amp;srchmode=1&amp;unlock","217509")</f>
        <v>217509</v>
      </c>
      <c r="F7" t="s">
        <v>17</v>
      </c>
      <c r="G7" t="str">
        <f>HYPERLINK("http://www.ncbi.nlm.nih.gov/Taxonomy/Browser/wwwtax.cgi?mode=Info&amp;id=217509&amp;lvl=3&amp;lin=f&amp;keep=1&amp;srchmode=1&amp;unlock","Carassius carassius")</f>
        <v>Carassius carassius</v>
      </c>
      <c r="H7" t="s">
        <v>25</v>
      </c>
      <c r="I7" t="str">
        <f>HYPERLINK("http://www.ncbi.nlm.nih.gov/protein/XP_059401574.1","ryanodine receptor 1-like")</f>
        <v>ryanodine receptor 1-like</v>
      </c>
      <c r="J7">
        <v>9988.2099999999991</v>
      </c>
      <c r="K7" t="s">
        <v>19</v>
      </c>
      <c r="L7">
        <v>276</v>
      </c>
      <c r="M7">
        <v>9.75</v>
      </c>
      <c r="N7">
        <v>95.55</v>
      </c>
      <c r="O7" t="s">
        <v>19</v>
      </c>
      <c r="P7" t="s">
        <v>20</v>
      </c>
      <c r="Q7" t="s">
        <v>19</v>
      </c>
      <c r="R7" t="str">
        <f>HYPERLINK("https://cfpub.epa.gov/ecotox/explore.cfm?ncbi=217509","Explore in ECOTOX")</f>
        <v>Explore in ECOTOX</v>
      </c>
    </row>
    <row r="8" spans="1:18" x14ac:dyDescent="0.45">
      <c r="A8" t="s">
        <v>1264</v>
      </c>
      <c r="B8">
        <v>8</v>
      </c>
      <c r="C8" t="str">
        <f>HYPERLINK("http://www.ncbi.nlm.nih.gov/protein/XP_021335080.1","XP_021335080.1")</f>
        <v>XP_021335080.1</v>
      </c>
      <c r="D8">
        <v>88318</v>
      </c>
      <c r="E8" t="str">
        <f>HYPERLINK("http://www.ncbi.nlm.nih.gov/Taxonomy/Browser/wwwtax.cgi?mode=Info&amp;id=7955&amp;lvl=3&amp;lin=f&amp;keep=1&amp;srchmode=1&amp;unlock","7955")</f>
        <v>7955</v>
      </c>
      <c r="F8" t="s">
        <v>17</v>
      </c>
      <c r="G8" t="str">
        <f>HYPERLINK("http://www.ncbi.nlm.nih.gov/Taxonomy/Browser/wwwtax.cgi?mode=Info&amp;id=7955&amp;lvl=3&amp;lin=f&amp;keep=1&amp;srchmode=1&amp;unlock","Danio rerio")</f>
        <v>Danio rerio</v>
      </c>
      <c r="H8" t="s">
        <v>26</v>
      </c>
      <c r="I8" t="str">
        <f>HYPERLINK("http://www.ncbi.nlm.nih.gov/protein/XP_021335080.1","ryanodine receptor 1 isoform X1")</f>
        <v>ryanodine receptor 1 isoform X1</v>
      </c>
      <c r="J8">
        <v>9982.82</v>
      </c>
      <c r="K8" t="s">
        <v>19</v>
      </c>
      <c r="L8">
        <v>276</v>
      </c>
      <c r="M8">
        <v>9.75</v>
      </c>
      <c r="N8">
        <v>95.49</v>
      </c>
      <c r="O8" t="s">
        <v>19</v>
      </c>
      <c r="P8" t="s">
        <v>20</v>
      </c>
      <c r="Q8" t="s">
        <v>19</v>
      </c>
      <c r="R8" t="str">
        <f>HYPERLINK("https://cfpub.epa.gov/ecotox/explore.cfm?ncbi=7955","Explore in ECOTOX")</f>
        <v>Explore in ECOTOX</v>
      </c>
    </row>
    <row r="9" spans="1:18" x14ac:dyDescent="0.45">
      <c r="A9" t="s">
        <v>1264</v>
      </c>
      <c r="B9">
        <v>8</v>
      </c>
      <c r="C9" t="str">
        <f>HYPERLINK("http://www.ncbi.nlm.nih.gov/protein/XP_043106442.1","XP_043106442.1")</f>
        <v>XP_043106442.1</v>
      </c>
      <c r="D9">
        <v>48795</v>
      </c>
      <c r="E9" t="str">
        <f>HYPERLINK("http://www.ncbi.nlm.nih.gov/Taxonomy/Browser/wwwtax.cgi?mode=Info&amp;id=1606681&amp;lvl=3&amp;lin=f&amp;keep=1&amp;srchmode=1&amp;unlock","1606681")</f>
        <v>1606681</v>
      </c>
      <c r="F9" t="s">
        <v>17</v>
      </c>
      <c r="G9" t="str">
        <f>HYPERLINK("http://www.ncbi.nlm.nih.gov/Taxonomy/Browser/wwwtax.cgi?mode=Info&amp;id=1606681&amp;lvl=3&amp;lin=f&amp;keep=1&amp;srchmode=1&amp;unlock","Puntigrus tetrazona")</f>
        <v>Puntigrus tetrazona</v>
      </c>
      <c r="H9" t="s">
        <v>27</v>
      </c>
      <c r="I9" t="str">
        <f>HYPERLINK("http://www.ncbi.nlm.nih.gov/protein/XP_043106442.1","LOW QUALITY PROTEIN: ryanodine receptor 1")</f>
        <v>LOW QUALITY PROTEIN: ryanodine receptor 1</v>
      </c>
      <c r="J9">
        <v>9982.43</v>
      </c>
      <c r="K9" t="s">
        <v>19</v>
      </c>
      <c r="L9">
        <v>276</v>
      </c>
      <c r="M9">
        <v>9.75</v>
      </c>
      <c r="N9">
        <v>95.49</v>
      </c>
      <c r="O9" t="s">
        <v>19</v>
      </c>
      <c r="P9" t="s">
        <v>20</v>
      </c>
      <c r="Q9" t="s">
        <v>19</v>
      </c>
      <c r="R9" t="str">
        <f>HYPERLINK("https://cfpub.epa.gov/ecotox/explore.cfm?ncbi=1606681","Explore in ECOTOX")</f>
        <v>Explore in ECOTOX</v>
      </c>
    </row>
    <row r="10" spans="1:18" x14ac:dyDescent="0.45">
      <c r="A10" t="s">
        <v>1264</v>
      </c>
      <c r="B10">
        <v>8</v>
      </c>
      <c r="C10" t="str">
        <f>HYPERLINK("http://www.ncbi.nlm.nih.gov/protein/XP_052463927.1","XP_052463927.1")</f>
        <v>XP_052463927.1</v>
      </c>
      <c r="D10">
        <v>91592</v>
      </c>
      <c r="E10" t="str">
        <f>HYPERLINK("http://www.ncbi.nlm.nih.gov/Taxonomy/Browser/wwwtax.cgi?mode=Info&amp;id=101364&amp;lvl=3&amp;lin=f&amp;keep=1&amp;srchmode=1&amp;unlock","101364")</f>
        <v>101364</v>
      </c>
      <c r="F10" t="s">
        <v>17</v>
      </c>
      <c r="G10" t="str">
        <f>HYPERLINK("http://www.ncbi.nlm.nih.gov/Taxonomy/Browser/wwwtax.cgi?mode=Info&amp;id=101364&amp;lvl=3&amp;lin=f&amp;keep=1&amp;srchmode=1&amp;unlock","Carassius gibelio")</f>
        <v>Carassius gibelio</v>
      </c>
      <c r="H10" t="s">
        <v>28</v>
      </c>
      <c r="I10" t="str">
        <f>HYPERLINK("http://www.ncbi.nlm.nih.gov/protein/XP_052463927.1","ryanodine receptor 1 isoform X4")</f>
        <v>ryanodine receptor 1 isoform X4</v>
      </c>
      <c r="J10">
        <v>9972.7999999999993</v>
      </c>
      <c r="K10" t="s">
        <v>22</v>
      </c>
      <c r="L10">
        <v>276</v>
      </c>
      <c r="M10">
        <v>9.75</v>
      </c>
      <c r="N10">
        <v>95.4</v>
      </c>
      <c r="O10" t="s">
        <v>19</v>
      </c>
      <c r="P10" t="s">
        <v>20</v>
      </c>
      <c r="Q10" t="s">
        <v>19</v>
      </c>
      <c r="R10" t="str">
        <f>HYPERLINK("https://cfpub.epa.gov/ecotox/explore.cfm?ncbi=101364","Explore in ECOTOX")</f>
        <v>Explore in ECOTOX</v>
      </c>
    </row>
    <row r="11" spans="1:18" x14ac:dyDescent="0.45">
      <c r="A11" t="s">
        <v>1264</v>
      </c>
      <c r="B11">
        <v>8</v>
      </c>
      <c r="C11" t="str">
        <f>HYPERLINK("http://www.ncbi.nlm.nih.gov/protein/XP_026075756.1","XP_026075756.1")</f>
        <v>XP_026075756.1</v>
      </c>
      <c r="D11">
        <v>99050</v>
      </c>
      <c r="E11" t="str">
        <f>HYPERLINK("http://www.ncbi.nlm.nih.gov/Taxonomy/Browser/wwwtax.cgi?mode=Info&amp;id=7957&amp;lvl=3&amp;lin=f&amp;keep=1&amp;srchmode=1&amp;unlock","7957")</f>
        <v>7957</v>
      </c>
      <c r="F11" t="s">
        <v>17</v>
      </c>
      <c r="G11" t="str">
        <f>HYPERLINK("http://www.ncbi.nlm.nih.gov/Taxonomy/Browser/wwwtax.cgi?mode=Info&amp;id=7957&amp;lvl=3&amp;lin=f&amp;keep=1&amp;srchmode=1&amp;unlock","Carassius auratus")</f>
        <v>Carassius auratus</v>
      </c>
      <c r="H11" t="s">
        <v>29</v>
      </c>
      <c r="I11" t="str">
        <f>HYPERLINK("http://www.ncbi.nlm.nih.gov/protein/XP_026075756.1","ryanodine receptor 1-like isoform X4")</f>
        <v>ryanodine receptor 1-like isoform X4</v>
      </c>
      <c r="J11">
        <v>9968.9500000000007</v>
      </c>
      <c r="K11" t="s">
        <v>19</v>
      </c>
      <c r="L11">
        <v>276</v>
      </c>
      <c r="M11">
        <v>9.75</v>
      </c>
      <c r="N11">
        <v>95.36</v>
      </c>
      <c r="O11" t="s">
        <v>19</v>
      </c>
      <c r="P11" t="s">
        <v>20</v>
      </c>
      <c r="Q11" t="s">
        <v>19</v>
      </c>
      <c r="R11" t="str">
        <f>HYPERLINK("https://cfpub.epa.gov/ecotox/explore.cfm?ncbi=7957","Explore in ECOTOX")</f>
        <v>Explore in ECOTOX</v>
      </c>
    </row>
    <row r="12" spans="1:18" x14ac:dyDescent="0.45">
      <c r="A12" t="s">
        <v>1264</v>
      </c>
      <c r="B12">
        <v>8</v>
      </c>
      <c r="C12" t="str">
        <f>HYPERLINK("http://www.ncbi.nlm.nih.gov/protein/XP_050977787.1","XP_050977787.1")</f>
        <v>XP_050977787.1</v>
      </c>
      <c r="D12">
        <v>110562</v>
      </c>
      <c r="E12" t="str">
        <f>HYPERLINK("http://www.ncbi.nlm.nih.gov/Taxonomy/Browser/wwwtax.cgi?mode=Info&amp;id=84645&amp;lvl=3&amp;lin=f&amp;keep=1&amp;srchmode=1&amp;unlock","84645")</f>
        <v>84645</v>
      </c>
      <c r="F12" t="s">
        <v>17</v>
      </c>
      <c r="G12" t="str">
        <f>HYPERLINK("http://www.ncbi.nlm.nih.gov/Taxonomy/Browser/wwwtax.cgi?mode=Info&amp;id=84645&amp;lvl=3&amp;lin=f&amp;keep=1&amp;srchmode=1&amp;unlock","Labeo rohita")</f>
        <v>Labeo rohita</v>
      </c>
      <c r="H12" t="s">
        <v>30</v>
      </c>
      <c r="I12" t="str">
        <f>HYPERLINK("http://www.ncbi.nlm.nih.gov/protein/XP_050977787.1","ryanodine receptor 1 isoform X4")</f>
        <v>ryanodine receptor 1 isoform X4</v>
      </c>
      <c r="J12">
        <v>9968.9500000000007</v>
      </c>
      <c r="K12" t="s">
        <v>19</v>
      </c>
      <c r="L12">
        <v>276</v>
      </c>
      <c r="M12">
        <v>9.75</v>
      </c>
      <c r="N12">
        <v>95.36</v>
      </c>
      <c r="O12" t="s">
        <v>19</v>
      </c>
      <c r="P12" t="s">
        <v>20</v>
      </c>
      <c r="Q12" t="s">
        <v>19</v>
      </c>
      <c r="R12" t="str">
        <f>HYPERLINK("https://cfpub.epa.gov/ecotox/explore.cfm?ncbi=84645","Explore in ECOTOX")</f>
        <v>Explore in ECOTOX</v>
      </c>
    </row>
    <row r="13" spans="1:18" x14ac:dyDescent="0.45">
      <c r="A13" t="s">
        <v>1264</v>
      </c>
      <c r="B13">
        <v>8</v>
      </c>
      <c r="C13" t="str">
        <f>HYPERLINK("http://www.ncbi.nlm.nih.gov/protein/XP_016338503.1","XP_016338503.1")</f>
        <v>XP_016338503.1</v>
      </c>
      <c r="D13">
        <v>68489</v>
      </c>
      <c r="E13" t="str">
        <f>HYPERLINK("http://www.ncbi.nlm.nih.gov/Taxonomy/Browser/wwwtax.cgi?mode=Info&amp;id=1608454&amp;lvl=3&amp;lin=f&amp;keep=1&amp;srchmode=1&amp;unlock","1608454")</f>
        <v>1608454</v>
      </c>
      <c r="F13" t="s">
        <v>17</v>
      </c>
      <c r="G13" t="str">
        <f>HYPERLINK("http://www.ncbi.nlm.nih.gov/Taxonomy/Browser/wwwtax.cgi?mode=Info&amp;id=1608454&amp;lvl=3&amp;lin=f&amp;keep=1&amp;srchmode=1&amp;unlock","Sinocyclocheilus anshuiensis")</f>
        <v>Sinocyclocheilus anshuiensis</v>
      </c>
      <c r="H13" t="s">
        <v>21</v>
      </c>
      <c r="I13" t="str">
        <f>HYPERLINK("http://www.ncbi.nlm.nih.gov/protein/XP_016338503.1","PREDICTED: ryanodine receptor 1-like isoform X2")</f>
        <v>PREDICTED: ryanodine receptor 1-like isoform X2</v>
      </c>
      <c r="J13">
        <v>9958.5499999999993</v>
      </c>
      <c r="K13" t="s">
        <v>19</v>
      </c>
      <c r="L13">
        <v>276</v>
      </c>
      <c r="M13">
        <v>9.75</v>
      </c>
      <c r="N13">
        <v>95.26</v>
      </c>
      <c r="O13" t="s">
        <v>19</v>
      </c>
      <c r="P13" t="s">
        <v>20</v>
      </c>
      <c r="Q13" t="s">
        <v>19</v>
      </c>
      <c r="R13" t="str">
        <f>HYPERLINK("https://cfpub.epa.gov/ecotox/explore.cfm?ncbi=1608454","Explore in ECOTOX")</f>
        <v>Explore in ECOTOX</v>
      </c>
    </row>
    <row r="14" spans="1:18" x14ac:dyDescent="0.45">
      <c r="A14" t="s">
        <v>1264</v>
      </c>
      <c r="B14">
        <v>8</v>
      </c>
      <c r="C14" t="str">
        <f>HYPERLINK("http://www.ncbi.nlm.nih.gov/protein/XP_058645874.1","XP_058645874.1")</f>
        <v>XP_058645874.1</v>
      </c>
      <c r="D14">
        <v>80341</v>
      </c>
      <c r="E14" t="str">
        <f>HYPERLINK("http://www.ncbi.nlm.nih.gov/Taxonomy/Browser/wwwtax.cgi?mode=Info&amp;id=369639&amp;lvl=3&amp;lin=f&amp;keep=1&amp;srchmode=1&amp;unlock","369639")</f>
        <v>369639</v>
      </c>
      <c r="F14" t="s">
        <v>17</v>
      </c>
      <c r="G14" t="str">
        <f>HYPERLINK("http://www.ncbi.nlm.nih.gov/Taxonomy/Browser/wwwtax.cgi?mode=Info&amp;id=369639&amp;lvl=3&amp;lin=f&amp;keep=1&amp;srchmode=1&amp;unlock","Onychostoma macrolepis")</f>
        <v>Onychostoma macrolepis</v>
      </c>
      <c r="H14" t="s">
        <v>21</v>
      </c>
      <c r="I14" t="str">
        <f>HYPERLINK("http://www.ncbi.nlm.nih.gov/protein/XP_058645874.1","ryanodine receptor 1 isoform X2")</f>
        <v>ryanodine receptor 1 isoform X2</v>
      </c>
      <c r="J14">
        <v>9954.31</v>
      </c>
      <c r="K14" t="s">
        <v>22</v>
      </c>
      <c r="L14">
        <v>276</v>
      </c>
      <c r="M14">
        <v>9.75</v>
      </c>
      <c r="N14">
        <v>95.22</v>
      </c>
      <c r="O14" t="s">
        <v>19</v>
      </c>
      <c r="P14" t="s">
        <v>20</v>
      </c>
      <c r="Q14" t="s">
        <v>19</v>
      </c>
      <c r="R14" t="str">
        <f>HYPERLINK("https://cfpub.epa.gov/ecotox/explore.cfm?ncbi=369639","Explore in ECOTOX")</f>
        <v>Explore in ECOTOX</v>
      </c>
    </row>
    <row r="15" spans="1:18" x14ac:dyDescent="0.45">
      <c r="A15" t="s">
        <v>1264</v>
      </c>
      <c r="B15">
        <v>8</v>
      </c>
      <c r="C15" t="str">
        <f>HYPERLINK("http://www.ncbi.nlm.nih.gov/protein/XP_016394626.1","XP_016394626.1")</f>
        <v>XP_016394626.1</v>
      </c>
      <c r="D15">
        <v>68583</v>
      </c>
      <c r="E15" t="str">
        <f>HYPERLINK("http://www.ncbi.nlm.nih.gov/Taxonomy/Browser/wwwtax.cgi?mode=Info&amp;id=307959&amp;lvl=3&amp;lin=f&amp;keep=1&amp;srchmode=1&amp;unlock","307959")</f>
        <v>307959</v>
      </c>
      <c r="F15" t="s">
        <v>17</v>
      </c>
      <c r="G15" t="str">
        <f>HYPERLINK("http://www.ncbi.nlm.nih.gov/Taxonomy/Browser/wwwtax.cgi?mode=Info&amp;id=307959&amp;lvl=3&amp;lin=f&amp;keep=1&amp;srchmode=1&amp;unlock","Sinocyclocheilus rhinocerous")</f>
        <v>Sinocyclocheilus rhinocerous</v>
      </c>
      <c r="H15" t="s">
        <v>21</v>
      </c>
      <c r="I15" t="str">
        <f>HYPERLINK("http://www.ncbi.nlm.nih.gov/protein/XP_016394626.1","PREDICTED: ryanodine receptor 1-like")</f>
        <v>PREDICTED: ryanodine receptor 1-like</v>
      </c>
      <c r="J15">
        <v>9951.23</v>
      </c>
      <c r="K15" t="s">
        <v>22</v>
      </c>
      <c r="L15">
        <v>276</v>
      </c>
      <c r="M15">
        <v>9.75</v>
      </c>
      <c r="N15">
        <v>95.19</v>
      </c>
      <c r="O15" t="s">
        <v>19</v>
      </c>
      <c r="P15" t="s">
        <v>20</v>
      </c>
      <c r="Q15" t="s">
        <v>19</v>
      </c>
      <c r="R15" t="str">
        <f>HYPERLINK("https://cfpub.epa.gov/ecotox/explore.cfm?ncbi=307959","Explore in ECOTOX")</f>
        <v>Explore in ECOTOX</v>
      </c>
    </row>
    <row r="16" spans="1:18" x14ac:dyDescent="0.45">
      <c r="A16" t="s">
        <v>1264</v>
      </c>
      <c r="B16">
        <v>8</v>
      </c>
      <c r="C16" t="str">
        <f>HYPERLINK("http://www.ncbi.nlm.nih.gov/protein/KAK2871025.1","KAK2871025.1")</f>
        <v>KAK2871025.1</v>
      </c>
      <c r="D16">
        <v>25876</v>
      </c>
      <c r="E16" t="str">
        <f>HYPERLINK("http://www.ncbi.nlm.nih.gov/Taxonomy/Browser/wwwtax.cgi?mode=Info&amp;id=172907&amp;lvl=3&amp;lin=f&amp;keep=1&amp;srchmode=1&amp;unlock","172907")</f>
        <v>172907</v>
      </c>
      <c r="F16" t="s">
        <v>17</v>
      </c>
      <c r="G16" t="str">
        <f>HYPERLINK("http://www.ncbi.nlm.nih.gov/Taxonomy/Browser/wwwtax.cgi?mode=Info&amp;id=172907&amp;lvl=3&amp;lin=f&amp;keep=1&amp;srchmode=1&amp;unlock","Cirrhinus molitorella")</f>
        <v>Cirrhinus molitorella</v>
      </c>
      <c r="H16" t="s">
        <v>31</v>
      </c>
      <c r="I16" t="str">
        <f>HYPERLINK("http://www.ncbi.nlm.nih.gov/protein/KAK2871025.1","hypothetical protein Q8A67_023552")</f>
        <v>hypothetical protein Q8A67_023552</v>
      </c>
      <c r="J16">
        <v>9950.4599999999991</v>
      </c>
      <c r="K16" t="s">
        <v>19</v>
      </c>
      <c r="L16">
        <v>276</v>
      </c>
      <c r="M16">
        <v>9.75</v>
      </c>
      <c r="N16">
        <v>95.18</v>
      </c>
      <c r="O16" t="s">
        <v>19</v>
      </c>
      <c r="P16" t="s">
        <v>20</v>
      </c>
      <c r="Q16" t="s">
        <v>19</v>
      </c>
      <c r="R16" t="str">
        <f>HYPERLINK("https://cfpub.epa.gov/ecotox/explore.cfm?ncbi=172907","Explore in ECOTOX")</f>
        <v>Explore in ECOTOX</v>
      </c>
    </row>
    <row r="17" spans="1:18" x14ac:dyDescent="0.45">
      <c r="A17" t="s">
        <v>1264</v>
      </c>
      <c r="B17">
        <v>8</v>
      </c>
      <c r="C17" t="str">
        <f>HYPERLINK("http://www.ncbi.nlm.nih.gov/protein/XP_051541905.1","XP_051541905.1")</f>
        <v>XP_051541905.1</v>
      </c>
      <c r="D17">
        <v>81242</v>
      </c>
      <c r="E17" t="str">
        <f>HYPERLINK("http://www.ncbi.nlm.nih.gov/Taxonomy/Browser/wwwtax.cgi?mode=Info&amp;id=70543&amp;lvl=3&amp;lin=f&amp;keep=1&amp;srchmode=1&amp;unlock","70543")</f>
        <v>70543</v>
      </c>
      <c r="F17" t="s">
        <v>17</v>
      </c>
      <c r="G17" t="str">
        <f>HYPERLINK("http://www.ncbi.nlm.nih.gov/Taxonomy/Browser/wwwtax.cgi?mode=Info&amp;id=70543&amp;lvl=3&amp;lin=f&amp;keep=1&amp;srchmode=1&amp;unlock","Myxocyprinus asiaticus")</f>
        <v>Myxocyprinus asiaticus</v>
      </c>
      <c r="H17" t="s">
        <v>32</v>
      </c>
      <c r="I17" t="str">
        <f>HYPERLINK("http://www.ncbi.nlm.nih.gov/protein/XP_051541905.1","ryanodine receptor 1")</f>
        <v>ryanodine receptor 1</v>
      </c>
      <c r="J17">
        <v>9589.14</v>
      </c>
      <c r="K17" t="s">
        <v>19</v>
      </c>
      <c r="L17">
        <v>276</v>
      </c>
      <c r="M17">
        <v>9.75</v>
      </c>
      <c r="N17">
        <v>91.73</v>
      </c>
      <c r="O17" t="s">
        <v>19</v>
      </c>
      <c r="P17" t="s">
        <v>20</v>
      </c>
      <c r="Q17" t="s">
        <v>19</v>
      </c>
      <c r="R17" t="str">
        <f>HYPERLINK("https://cfpub.epa.gov/ecotox/explore.cfm?ncbi=70543","Explore in ECOTOX")</f>
        <v>Explore in ECOTOX</v>
      </c>
    </row>
    <row r="18" spans="1:18" x14ac:dyDescent="0.45">
      <c r="A18" t="s">
        <v>1264</v>
      </c>
      <c r="B18">
        <v>8</v>
      </c>
      <c r="C18" t="str">
        <f>HYPERLINK("http://www.ncbi.nlm.nih.gov/protein/XP_057176362.1","XP_057176362.1")</f>
        <v>XP_057176362.1</v>
      </c>
      <c r="D18">
        <v>70292</v>
      </c>
      <c r="E18" t="str">
        <f>HYPERLINK("http://www.ncbi.nlm.nih.gov/Taxonomy/Browser/wwwtax.cgi?mode=Info&amp;id=992332&amp;lvl=3&amp;lin=f&amp;keep=1&amp;srchmode=1&amp;unlock","992332")</f>
        <v>992332</v>
      </c>
      <c r="F18" t="s">
        <v>17</v>
      </c>
      <c r="G18" t="str">
        <f>HYPERLINK("http://www.ncbi.nlm.nih.gov/Taxonomy/Browser/wwwtax.cgi?mode=Info&amp;id=992332&amp;lvl=3&amp;lin=f&amp;keep=1&amp;srchmode=1&amp;unlock","Triplophysa rosa")</f>
        <v>Triplophysa rosa</v>
      </c>
      <c r="H18" t="s">
        <v>33</v>
      </c>
      <c r="I18" t="str">
        <f>HYPERLINK("http://www.ncbi.nlm.nih.gov/protein/XP_057176362.1","ryanodine receptor 1 isoform X8")</f>
        <v>ryanodine receptor 1 isoform X8</v>
      </c>
      <c r="J18">
        <v>9533.68</v>
      </c>
      <c r="K18" t="s">
        <v>19</v>
      </c>
      <c r="L18">
        <v>276</v>
      </c>
      <c r="M18">
        <v>9.75</v>
      </c>
      <c r="N18">
        <v>91.2</v>
      </c>
      <c r="O18" t="s">
        <v>19</v>
      </c>
      <c r="P18" t="s">
        <v>20</v>
      </c>
      <c r="Q18" t="s">
        <v>19</v>
      </c>
      <c r="R18" t="str">
        <f>HYPERLINK("https://cfpub.epa.gov/ecotox/explore.cfm?ncbi=992332","Explore in ECOTOX")</f>
        <v>Explore in ECOTOX</v>
      </c>
    </row>
    <row r="19" spans="1:18" x14ac:dyDescent="0.45">
      <c r="A19" t="s">
        <v>1264</v>
      </c>
      <c r="B19">
        <v>8</v>
      </c>
      <c r="C19" t="str">
        <f>HYPERLINK("http://www.ncbi.nlm.nih.gov/protein/XP_051973037.1","XP_051973037.1")</f>
        <v>XP_051973037.1</v>
      </c>
      <c r="D19">
        <v>66368</v>
      </c>
      <c r="E19" t="str">
        <f>HYPERLINK("http://www.ncbi.nlm.nih.gov/Taxonomy/Browser/wwwtax.cgi?mode=Info&amp;id=154827&amp;lvl=3&amp;lin=f&amp;keep=1&amp;srchmode=1&amp;unlock","154827")</f>
        <v>154827</v>
      </c>
      <c r="F19" t="s">
        <v>17</v>
      </c>
      <c r="G19" t="str">
        <f>HYPERLINK("http://www.ncbi.nlm.nih.gov/Taxonomy/Browser/wwwtax.cgi?mode=Info&amp;id=154827&amp;lvl=3&amp;lin=f&amp;keep=1&amp;srchmode=1&amp;unlock","Xyrauchen texanus")</f>
        <v>Xyrauchen texanus</v>
      </c>
      <c r="H19" t="s">
        <v>34</v>
      </c>
      <c r="I19" t="str">
        <f>HYPERLINK("http://www.ncbi.nlm.nih.gov/protein/XP_051973037.1","LOW QUALITY PROTEIN: ryanodine receptor 1")</f>
        <v>LOW QUALITY PROTEIN: ryanodine receptor 1</v>
      </c>
      <c r="J19">
        <v>9520.9599999999991</v>
      </c>
      <c r="K19" t="s">
        <v>19</v>
      </c>
      <c r="L19">
        <v>276</v>
      </c>
      <c r="M19">
        <v>9.75</v>
      </c>
      <c r="N19">
        <v>91.08</v>
      </c>
      <c r="O19" t="s">
        <v>19</v>
      </c>
      <c r="P19" t="s">
        <v>20</v>
      </c>
      <c r="Q19" t="s">
        <v>19</v>
      </c>
      <c r="R19" t="str">
        <f>HYPERLINK("https://cfpub.epa.gov/ecotox/explore.cfm?ncbi=154827","Explore in ECOTOX")</f>
        <v>Explore in ECOTOX</v>
      </c>
    </row>
    <row r="20" spans="1:18" x14ac:dyDescent="0.45">
      <c r="A20" t="s">
        <v>1264</v>
      </c>
      <c r="B20">
        <v>8</v>
      </c>
      <c r="C20" t="str">
        <f>HYPERLINK("http://www.ncbi.nlm.nih.gov/protein/KTF89609.1","KTF89609.1")</f>
        <v>KTF89609.1</v>
      </c>
      <c r="D20">
        <v>134023</v>
      </c>
      <c r="E20" t="str">
        <f>HYPERLINK("http://www.ncbi.nlm.nih.gov/Taxonomy/Browser/wwwtax.cgi?mode=Info&amp;id=7962&amp;lvl=3&amp;lin=f&amp;keep=1&amp;srchmode=1&amp;unlock","7962")</f>
        <v>7962</v>
      </c>
      <c r="F20" t="s">
        <v>17</v>
      </c>
      <c r="G20" t="str">
        <f>HYPERLINK("http://www.ncbi.nlm.nih.gov/Taxonomy/Browser/wwwtax.cgi?mode=Info&amp;id=7962&amp;lvl=3&amp;lin=f&amp;keep=1&amp;srchmode=1&amp;unlock","Cyprinus carpio")</f>
        <v>Cyprinus carpio</v>
      </c>
      <c r="H20" t="s">
        <v>35</v>
      </c>
      <c r="I20" t="str">
        <f>HYPERLINK("http://www.ncbi.nlm.nih.gov/protein/KTF89609.1","hypothetical protein cypCar_00020371, partial")</f>
        <v>hypothetical protein cypCar_00020371, partial</v>
      </c>
      <c r="J20">
        <v>9486.2999999999993</v>
      </c>
      <c r="K20" t="s">
        <v>22</v>
      </c>
      <c r="L20">
        <v>276</v>
      </c>
      <c r="M20">
        <v>9.75</v>
      </c>
      <c r="N20">
        <v>90.74</v>
      </c>
      <c r="O20" t="s">
        <v>19</v>
      </c>
      <c r="P20" t="s">
        <v>20</v>
      </c>
      <c r="Q20" t="s">
        <v>19</v>
      </c>
      <c r="R20" t="str">
        <f>HYPERLINK("https://cfpub.epa.gov/ecotox/explore.cfm?ncbi=7962","Explore in ECOTOX")</f>
        <v>Explore in ECOTOX</v>
      </c>
    </row>
    <row r="21" spans="1:18" x14ac:dyDescent="0.45">
      <c r="A21" t="s">
        <v>1264</v>
      </c>
      <c r="B21">
        <v>8</v>
      </c>
      <c r="C21" t="str">
        <f>HYPERLINK("http://www.ncbi.nlm.nih.gov/protein/XP_056593457.1","XP_056593457.1")</f>
        <v>XP_056593457.1</v>
      </c>
      <c r="D21">
        <v>44187</v>
      </c>
      <c r="E21" t="str">
        <f>HYPERLINK("http://www.ncbi.nlm.nih.gov/Taxonomy/Browser/wwwtax.cgi?mode=Info&amp;id=1582913&amp;lvl=3&amp;lin=f&amp;keep=1&amp;srchmode=1&amp;unlock","1582913")</f>
        <v>1582913</v>
      </c>
      <c r="F21" t="s">
        <v>17</v>
      </c>
      <c r="G21" t="str">
        <f>HYPERLINK("http://www.ncbi.nlm.nih.gov/Taxonomy/Browser/wwwtax.cgi?mode=Info&amp;id=1582913&amp;lvl=3&amp;lin=f&amp;keep=1&amp;srchmode=1&amp;unlock","Triplophysa dalaica")</f>
        <v>Triplophysa dalaica</v>
      </c>
      <c r="H21" t="s">
        <v>33</v>
      </c>
      <c r="I21" t="str">
        <f>HYPERLINK("http://www.ncbi.nlm.nih.gov/protein/XP_056593457.1","ryanodine receptor 1")</f>
        <v>ryanodine receptor 1</v>
      </c>
      <c r="J21">
        <v>9483.2099999999991</v>
      </c>
      <c r="K21" t="s">
        <v>19</v>
      </c>
      <c r="L21">
        <v>276</v>
      </c>
      <c r="M21">
        <v>9.75</v>
      </c>
      <c r="N21">
        <v>90.71</v>
      </c>
      <c r="O21" t="s">
        <v>19</v>
      </c>
      <c r="P21" t="s">
        <v>20</v>
      </c>
      <c r="Q21" t="s">
        <v>19</v>
      </c>
      <c r="R21" t="str">
        <f>HYPERLINK("https://cfpub.epa.gov/ecotox/explore.cfm?ncbi=1582913","Explore in ECOTOX")</f>
        <v>Explore in ECOTOX</v>
      </c>
    </row>
    <row r="22" spans="1:18" x14ac:dyDescent="0.45">
      <c r="A22" t="s">
        <v>1264</v>
      </c>
      <c r="B22">
        <v>8</v>
      </c>
      <c r="C22" t="str">
        <f>HYPERLINK("http://www.ncbi.nlm.nih.gov/protein/XP_055064120.1","XP_055064120.1")</f>
        <v>XP_055064120.1</v>
      </c>
      <c r="D22">
        <v>54879</v>
      </c>
      <c r="E22" t="str">
        <f>HYPERLINK("http://www.ncbi.nlm.nih.gov/Taxonomy/Browser/wwwtax.cgi?mode=Info&amp;id=75329&amp;lvl=3&amp;lin=f&amp;keep=1&amp;srchmode=1&amp;unlock","75329")</f>
        <v>75329</v>
      </c>
      <c r="F22" t="s">
        <v>17</v>
      </c>
      <c r="G22" t="str">
        <f>HYPERLINK("http://www.ncbi.nlm.nih.gov/Taxonomy/Browser/wwwtax.cgi?mode=Info&amp;id=75329&amp;lvl=3&amp;lin=f&amp;keep=1&amp;srchmode=1&amp;unlock","Misgurnus anguillicaudatus")</f>
        <v>Misgurnus anguillicaudatus</v>
      </c>
      <c r="H22" t="s">
        <v>36</v>
      </c>
      <c r="I22" t="str">
        <f>HYPERLINK("http://www.ncbi.nlm.nih.gov/protein/XP_055064120.1","ryanodine receptor 1 isoform X1")</f>
        <v>ryanodine receptor 1 isoform X1</v>
      </c>
      <c r="J22">
        <v>9481.67</v>
      </c>
      <c r="K22" t="s">
        <v>19</v>
      </c>
      <c r="L22">
        <v>276</v>
      </c>
      <c r="M22">
        <v>9.75</v>
      </c>
      <c r="N22">
        <v>90.7</v>
      </c>
      <c r="O22" t="s">
        <v>19</v>
      </c>
      <c r="P22" t="s">
        <v>20</v>
      </c>
      <c r="Q22" t="s">
        <v>19</v>
      </c>
      <c r="R22" t="str">
        <f>HYPERLINK("https://cfpub.epa.gov/ecotox/explore.cfm?ncbi=75329","Explore in ECOTOX")</f>
        <v>Explore in ECOTOX</v>
      </c>
    </row>
    <row r="23" spans="1:18" x14ac:dyDescent="0.45">
      <c r="A23" t="s">
        <v>1264</v>
      </c>
      <c r="B23">
        <v>8</v>
      </c>
      <c r="C23" t="str">
        <f>HYPERLINK("http://www.ncbi.nlm.nih.gov/protein/XP_016119169.1","XP_016119169.1")</f>
        <v>XP_016119169.1</v>
      </c>
      <c r="D23">
        <v>67442</v>
      </c>
      <c r="E23" t="str">
        <f>HYPERLINK("http://www.ncbi.nlm.nih.gov/Taxonomy/Browser/wwwtax.cgi?mode=Info&amp;id=75366&amp;lvl=3&amp;lin=f&amp;keep=1&amp;srchmode=1&amp;unlock","75366")</f>
        <v>75366</v>
      </c>
      <c r="F23" t="s">
        <v>17</v>
      </c>
      <c r="G23" t="str">
        <f>HYPERLINK("http://www.ncbi.nlm.nih.gov/Taxonomy/Browser/wwwtax.cgi?mode=Info&amp;id=75366&amp;lvl=3&amp;lin=f&amp;keep=1&amp;srchmode=1&amp;unlock","Sinocyclocheilus grahami")</f>
        <v>Sinocyclocheilus grahami</v>
      </c>
      <c r="H23" t="s">
        <v>21</v>
      </c>
      <c r="I23" t="str">
        <f>HYPERLINK("http://www.ncbi.nlm.nih.gov/protein/XP_016119169.1","PREDICTED: ryanodine receptor 1-like")</f>
        <v>PREDICTED: ryanodine receptor 1-like</v>
      </c>
      <c r="J23">
        <v>9477.82</v>
      </c>
      <c r="K23" t="s">
        <v>22</v>
      </c>
      <c r="L23">
        <v>276</v>
      </c>
      <c r="M23">
        <v>9.75</v>
      </c>
      <c r="N23">
        <v>90.66</v>
      </c>
      <c r="O23" t="s">
        <v>19</v>
      </c>
      <c r="P23" t="s">
        <v>20</v>
      </c>
      <c r="Q23" t="s">
        <v>19</v>
      </c>
      <c r="R23" t="str">
        <f>HYPERLINK("https://cfpub.epa.gov/ecotox/explore.cfm?ncbi=75366","Explore in ECOTOX")</f>
        <v>Explore in ECOTOX</v>
      </c>
    </row>
    <row r="24" spans="1:18" x14ac:dyDescent="0.45">
      <c r="A24" t="s">
        <v>1264</v>
      </c>
      <c r="B24">
        <v>8</v>
      </c>
      <c r="C24" t="str">
        <f>HYPERLINK("http://www.ncbi.nlm.nih.gov/protein/XP_049324518.1","XP_049324518.1")</f>
        <v>XP_049324518.1</v>
      </c>
      <c r="D24">
        <v>77276</v>
      </c>
      <c r="E24" t="str">
        <f>HYPERLINK("http://www.ncbi.nlm.nih.gov/Taxonomy/Browser/wwwtax.cgi?mode=Info&amp;id=7994&amp;lvl=3&amp;lin=f&amp;keep=1&amp;srchmode=1&amp;unlock","7994")</f>
        <v>7994</v>
      </c>
      <c r="F24" t="s">
        <v>17</v>
      </c>
      <c r="G24" t="str">
        <f>HYPERLINK("http://www.ncbi.nlm.nih.gov/Taxonomy/Browser/wwwtax.cgi?mode=Info&amp;id=7994&amp;lvl=3&amp;lin=f&amp;keep=1&amp;srchmode=1&amp;unlock","Astyanax mexicanus")</f>
        <v>Astyanax mexicanus</v>
      </c>
      <c r="H24" t="s">
        <v>37</v>
      </c>
      <c r="I24" t="str">
        <f>HYPERLINK("http://www.ncbi.nlm.nih.gov/protein/XP_049324518.1","ryanodine receptor 1 isoform X2")</f>
        <v>ryanodine receptor 1 isoform X2</v>
      </c>
      <c r="J24">
        <v>9329.1299999999992</v>
      </c>
      <c r="K24" t="s">
        <v>19</v>
      </c>
      <c r="L24">
        <v>276</v>
      </c>
      <c r="M24">
        <v>9.75</v>
      </c>
      <c r="N24">
        <v>89.24</v>
      </c>
      <c r="O24" t="s">
        <v>19</v>
      </c>
      <c r="P24" t="s">
        <v>20</v>
      </c>
      <c r="Q24" t="s">
        <v>19</v>
      </c>
      <c r="R24" t="str">
        <f>HYPERLINK("https://cfpub.epa.gov/ecotox/explore.cfm?ncbi=7994","Explore in ECOTOX")</f>
        <v>Explore in ECOTOX</v>
      </c>
    </row>
    <row r="25" spans="1:18" x14ac:dyDescent="0.45">
      <c r="A25" t="s">
        <v>1264</v>
      </c>
      <c r="B25">
        <v>8</v>
      </c>
      <c r="C25" t="str">
        <f>HYPERLINK("http://www.ncbi.nlm.nih.gov/protein/XP_036450384.1","XP_036450384.1")</f>
        <v>XP_036450384.1</v>
      </c>
      <c r="D25">
        <v>43804</v>
      </c>
      <c r="E25" t="str">
        <f>HYPERLINK("http://www.ncbi.nlm.nih.gov/Taxonomy/Browser/wwwtax.cgi?mode=Info&amp;id=42526&amp;lvl=3&amp;lin=f&amp;keep=1&amp;srchmode=1&amp;unlock","42526")</f>
        <v>42526</v>
      </c>
      <c r="F25" t="s">
        <v>17</v>
      </c>
      <c r="G25" t="str">
        <f>HYPERLINK("http://www.ncbi.nlm.nih.gov/Taxonomy/Browser/wwwtax.cgi?mode=Info&amp;id=42526&amp;lvl=3&amp;lin=f&amp;keep=1&amp;srchmode=1&amp;unlock","Colossoma macropomum")</f>
        <v>Colossoma macropomum</v>
      </c>
      <c r="H25" t="s">
        <v>38</v>
      </c>
      <c r="I25" t="str">
        <f>HYPERLINK("http://www.ncbi.nlm.nih.gov/protein/XP_036450384.1","LOW QUALITY PROTEIN: ryanodine receptor 1")</f>
        <v>LOW QUALITY PROTEIN: ryanodine receptor 1</v>
      </c>
      <c r="J25">
        <v>9274.0499999999993</v>
      </c>
      <c r="K25" t="s">
        <v>19</v>
      </c>
      <c r="L25">
        <v>276</v>
      </c>
      <c r="M25">
        <v>9.75</v>
      </c>
      <c r="N25">
        <v>88.71</v>
      </c>
      <c r="O25" t="s">
        <v>19</v>
      </c>
      <c r="P25" t="s">
        <v>20</v>
      </c>
      <c r="Q25" t="s">
        <v>19</v>
      </c>
      <c r="R25" t="str">
        <f>HYPERLINK("https://cfpub.epa.gov/ecotox/explore.cfm?ncbi=42526","Explore in ECOTOX")</f>
        <v>Explore in ECOTOX</v>
      </c>
    </row>
    <row r="26" spans="1:18" x14ac:dyDescent="0.45">
      <c r="A26" t="s">
        <v>1264</v>
      </c>
      <c r="B26">
        <v>8</v>
      </c>
      <c r="C26" t="str">
        <f>HYPERLINK("http://www.ncbi.nlm.nih.gov/protein/XP_037403207.1","XP_037403207.1")</f>
        <v>XP_037403207.1</v>
      </c>
      <c r="D26">
        <v>50772</v>
      </c>
      <c r="E26" t="str">
        <f>HYPERLINK("http://www.ncbi.nlm.nih.gov/Taxonomy/Browser/wwwtax.cgi?mode=Info&amp;id=42514&amp;lvl=3&amp;lin=f&amp;keep=1&amp;srchmode=1&amp;unlock","42514")</f>
        <v>42514</v>
      </c>
      <c r="F26" t="s">
        <v>17</v>
      </c>
      <c r="G26" t="str">
        <f>HYPERLINK("http://www.ncbi.nlm.nih.gov/Taxonomy/Browser/wwwtax.cgi?mode=Info&amp;id=42514&amp;lvl=3&amp;lin=f&amp;keep=1&amp;srchmode=1&amp;unlock","Pygocentrus nattereri")</f>
        <v>Pygocentrus nattereri</v>
      </c>
      <c r="H26" t="s">
        <v>39</v>
      </c>
      <c r="I26" t="str">
        <f>HYPERLINK("http://www.ncbi.nlm.nih.gov/protein/XP_037403207.1","ryanodine receptor 1")</f>
        <v>ryanodine receptor 1</v>
      </c>
      <c r="J26">
        <v>9220.1200000000008</v>
      </c>
      <c r="K26" t="s">
        <v>19</v>
      </c>
      <c r="L26">
        <v>276</v>
      </c>
      <c r="M26">
        <v>9.75</v>
      </c>
      <c r="N26">
        <v>88.2</v>
      </c>
      <c r="O26" t="s">
        <v>19</v>
      </c>
      <c r="P26" t="s">
        <v>20</v>
      </c>
      <c r="Q26" t="s">
        <v>19</v>
      </c>
      <c r="R26" t="str">
        <f>HYPERLINK("https://cfpub.epa.gov/ecotox/explore.cfm?ncbi=42514","Explore in ECOTOX")</f>
        <v>Explore in ECOTOX</v>
      </c>
    </row>
    <row r="27" spans="1:18" x14ac:dyDescent="0.45">
      <c r="A27" t="s">
        <v>1264</v>
      </c>
      <c r="B27">
        <v>8</v>
      </c>
      <c r="C27" t="str">
        <f>HYPERLINK("http://www.ncbi.nlm.nih.gov/protein/XP_053542566.1","XP_053542566.1")</f>
        <v>XP_053542566.1</v>
      </c>
      <c r="D27">
        <v>54807</v>
      </c>
      <c r="E27" t="str">
        <f>HYPERLINK("http://www.ncbi.nlm.nih.gov/Taxonomy/Browser/wwwtax.cgi?mode=Info&amp;id=7998&amp;lvl=3&amp;lin=f&amp;keep=1&amp;srchmode=1&amp;unlock","7998")</f>
        <v>7998</v>
      </c>
      <c r="F27" t="s">
        <v>17</v>
      </c>
      <c r="G27" t="str">
        <f>HYPERLINK("http://www.ncbi.nlm.nih.gov/Taxonomy/Browser/wwwtax.cgi?mode=Info&amp;id=7998&amp;lvl=3&amp;lin=f&amp;keep=1&amp;srchmode=1&amp;unlock","Ictalurus punctatus")</f>
        <v>Ictalurus punctatus</v>
      </c>
      <c r="H27" t="s">
        <v>40</v>
      </c>
      <c r="I27" t="str">
        <f>HYPERLINK("http://www.ncbi.nlm.nih.gov/protein/XP_053542566.1","ryanodine receptor 1 isoform X2")</f>
        <v>ryanodine receptor 1 isoform X2</v>
      </c>
      <c r="J27">
        <v>9190.85</v>
      </c>
      <c r="K27" t="s">
        <v>19</v>
      </c>
      <c r="L27">
        <v>276</v>
      </c>
      <c r="M27">
        <v>9.75</v>
      </c>
      <c r="N27">
        <v>87.92</v>
      </c>
      <c r="O27" t="s">
        <v>19</v>
      </c>
      <c r="P27" t="s">
        <v>20</v>
      </c>
      <c r="Q27" t="s">
        <v>19</v>
      </c>
      <c r="R27" t="str">
        <f>HYPERLINK("https://cfpub.epa.gov/ecotox/explore.cfm?ncbi=7998","Explore in ECOTOX")</f>
        <v>Explore in ECOTOX</v>
      </c>
    </row>
    <row r="28" spans="1:18" x14ac:dyDescent="0.45">
      <c r="A28" t="s">
        <v>1264</v>
      </c>
      <c r="B28">
        <v>8</v>
      </c>
      <c r="C28" t="str">
        <f>HYPERLINK("http://www.ncbi.nlm.nih.gov/protein/XP_060765624.1","XP_060765624.1")</f>
        <v>XP_060765624.1</v>
      </c>
      <c r="D28">
        <v>46654</v>
      </c>
      <c r="E28" t="str">
        <f>HYPERLINK("http://www.ncbi.nlm.nih.gov/Taxonomy/Browser/wwwtax.cgi?mode=Info&amp;id=443677&amp;lvl=3&amp;lin=f&amp;keep=1&amp;srchmode=1&amp;unlock","443677")</f>
        <v>443677</v>
      </c>
      <c r="F28" t="s">
        <v>17</v>
      </c>
      <c r="G28" t="str">
        <f>HYPERLINK("http://www.ncbi.nlm.nih.gov/Taxonomy/Browser/wwwtax.cgi?mode=Info&amp;id=443677&amp;lvl=3&amp;lin=f&amp;keep=1&amp;srchmode=1&amp;unlock","Neoarius graeffei")</f>
        <v>Neoarius graeffei</v>
      </c>
      <c r="H28" t="s">
        <v>41</v>
      </c>
      <c r="I28" t="str">
        <f>HYPERLINK("http://www.ncbi.nlm.nih.gov/protein/XP_060765624.1","ryanodine receptor 1 isoform X5")</f>
        <v>ryanodine receptor 1 isoform X5</v>
      </c>
      <c r="J28">
        <v>9176.6</v>
      </c>
      <c r="K28" t="s">
        <v>19</v>
      </c>
      <c r="L28">
        <v>276</v>
      </c>
      <c r="M28">
        <v>9.75</v>
      </c>
      <c r="N28">
        <v>87.78</v>
      </c>
      <c r="O28" t="s">
        <v>19</v>
      </c>
      <c r="P28" t="s">
        <v>20</v>
      </c>
      <c r="Q28" t="s">
        <v>19</v>
      </c>
      <c r="R28" t="str">
        <f>HYPERLINK("https://cfpub.epa.gov/ecotox/explore.cfm?ncbi=443677","Explore in ECOTOX")</f>
        <v>Explore in ECOTOX</v>
      </c>
    </row>
    <row r="29" spans="1:18" x14ac:dyDescent="0.45">
      <c r="A29" t="s">
        <v>1264</v>
      </c>
      <c r="B29">
        <v>8</v>
      </c>
      <c r="C29" t="str">
        <f>HYPERLINK("http://www.ncbi.nlm.nih.gov/protein/XP_053500806.1","XP_053500806.1")</f>
        <v>XP_053500806.1</v>
      </c>
      <c r="D29">
        <v>45079</v>
      </c>
      <c r="E29" t="str">
        <f>HYPERLINK("http://www.ncbi.nlm.nih.gov/Taxonomy/Browser/wwwtax.cgi?mode=Info&amp;id=66913&amp;lvl=3&amp;lin=f&amp;keep=1&amp;srchmode=1&amp;unlock","66913")</f>
        <v>66913</v>
      </c>
      <c r="F29" t="s">
        <v>17</v>
      </c>
      <c r="G29" t="str">
        <f>HYPERLINK("http://www.ncbi.nlm.nih.gov/Taxonomy/Browser/wwwtax.cgi?mode=Info&amp;id=66913&amp;lvl=3&amp;lin=f&amp;keep=1&amp;srchmode=1&amp;unlock","Ictalurus furcatus")</f>
        <v>Ictalurus furcatus</v>
      </c>
      <c r="H29" t="s">
        <v>42</v>
      </c>
      <c r="I29" t="str">
        <f>HYPERLINK("http://www.ncbi.nlm.nih.gov/protein/XP_053500806.1","ryanodine receptor 1")</f>
        <v>ryanodine receptor 1</v>
      </c>
      <c r="J29">
        <v>9164.27</v>
      </c>
      <c r="K29" t="s">
        <v>19</v>
      </c>
      <c r="L29">
        <v>276</v>
      </c>
      <c r="M29">
        <v>9.75</v>
      </c>
      <c r="N29">
        <v>87.66</v>
      </c>
      <c r="O29" t="s">
        <v>19</v>
      </c>
      <c r="P29" t="s">
        <v>20</v>
      </c>
      <c r="Q29" t="s">
        <v>19</v>
      </c>
      <c r="R29" t="str">
        <f>HYPERLINK("https://cfpub.epa.gov/ecotox/explore.cfm?ncbi=66913","Explore in ECOTOX")</f>
        <v>Explore in ECOTOX</v>
      </c>
    </row>
    <row r="30" spans="1:18" x14ac:dyDescent="0.45">
      <c r="A30" t="s">
        <v>1264</v>
      </c>
      <c r="B30">
        <v>8</v>
      </c>
      <c r="C30" t="str">
        <f>HYPERLINK("http://www.ncbi.nlm.nih.gov/protein/XP_053331949.1","XP_053331949.1")</f>
        <v>XP_053331949.1</v>
      </c>
      <c r="D30">
        <v>41392</v>
      </c>
      <c r="E30" t="str">
        <f>HYPERLINK("http://www.ncbi.nlm.nih.gov/Taxonomy/Browser/wwwtax.cgi?mode=Info&amp;id=13013&amp;lvl=3&amp;lin=f&amp;keep=1&amp;srchmode=1&amp;unlock","13013")</f>
        <v>13013</v>
      </c>
      <c r="F30" t="s">
        <v>17</v>
      </c>
      <c r="G30" t="str">
        <f>HYPERLINK("http://www.ncbi.nlm.nih.gov/Taxonomy/Browser/wwwtax.cgi?mode=Info&amp;id=13013&amp;lvl=3&amp;lin=f&amp;keep=1&amp;srchmode=1&amp;unlock","Clarias gariepinus")</f>
        <v>Clarias gariepinus</v>
      </c>
      <c r="H30" t="s">
        <v>43</v>
      </c>
      <c r="I30" t="str">
        <f>HYPERLINK("http://www.ncbi.nlm.nih.gov/protein/XP_053331949.1","ryanodine receptor 1")</f>
        <v>ryanodine receptor 1</v>
      </c>
      <c r="J30">
        <v>9157.7199999999993</v>
      </c>
      <c r="K30" t="s">
        <v>19</v>
      </c>
      <c r="L30">
        <v>276</v>
      </c>
      <c r="M30">
        <v>9.75</v>
      </c>
      <c r="N30">
        <v>87.6</v>
      </c>
      <c r="O30" t="s">
        <v>19</v>
      </c>
      <c r="P30" t="s">
        <v>20</v>
      </c>
      <c r="Q30" t="s">
        <v>19</v>
      </c>
      <c r="R30" t="str">
        <f>HYPERLINK("https://cfpub.epa.gov/ecotox/explore.cfm?ncbi=13013","Explore in ECOTOX")</f>
        <v>Explore in ECOTOX</v>
      </c>
    </row>
    <row r="31" spans="1:18" x14ac:dyDescent="0.45">
      <c r="A31" t="s">
        <v>1264</v>
      </c>
      <c r="B31">
        <v>8</v>
      </c>
      <c r="C31" t="str">
        <f>HYPERLINK("http://www.ncbi.nlm.nih.gov/protein/KAG7483870.1","KAG7483870.1")</f>
        <v>KAG7483870.1</v>
      </c>
      <c r="D31">
        <v>23906</v>
      </c>
      <c r="E31" t="str">
        <f>HYPERLINK("http://www.ncbi.nlm.nih.gov/Taxonomy/Browser/wwwtax.cgi?mode=Info&amp;id=7932&amp;lvl=3&amp;lin=f&amp;keep=1&amp;srchmode=1&amp;unlock","7932")</f>
        <v>7932</v>
      </c>
      <c r="F31" t="s">
        <v>17</v>
      </c>
      <c r="G31" t="str">
        <f>HYPERLINK("http://www.ncbi.nlm.nih.gov/Taxonomy/Browser/wwwtax.cgi?mode=Info&amp;id=7932&amp;lvl=3&amp;lin=f&amp;keep=1&amp;srchmode=1&amp;unlock","Megalops atlanticus")</f>
        <v>Megalops atlanticus</v>
      </c>
      <c r="H31" t="s">
        <v>44</v>
      </c>
      <c r="I31" t="str">
        <f>HYPERLINK("http://www.ncbi.nlm.nih.gov/protein/KAG7483870.1","hypothetical protein MATL_G00042740")</f>
        <v>hypothetical protein MATL_G00042740</v>
      </c>
      <c r="J31">
        <v>9140.39</v>
      </c>
      <c r="K31" t="s">
        <v>19</v>
      </c>
      <c r="L31">
        <v>276</v>
      </c>
      <c r="M31">
        <v>9.75</v>
      </c>
      <c r="N31">
        <v>87.44</v>
      </c>
      <c r="O31" t="s">
        <v>19</v>
      </c>
      <c r="P31" t="s">
        <v>20</v>
      </c>
      <c r="Q31" t="s">
        <v>19</v>
      </c>
      <c r="R31" t="str">
        <f>HYPERLINK("https://cfpub.epa.gov/ecotox/explore.cfm?ncbi=7932","Explore in ECOTOX")</f>
        <v>Explore in ECOTOX</v>
      </c>
    </row>
    <row r="32" spans="1:18" x14ac:dyDescent="0.45">
      <c r="A32" t="s">
        <v>1264</v>
      </c>
      <c r="B32">
        <v>8</v>
      </c>
      <c r="C32" t="str">
        <f>HYPERLINK("http://www.ncbi.nlm.nih.gov/protein/XP_058268299.1","XP_058268299.1")</f>
        <v>XP_058268299.1</v>
      </c>
      <c r="D32">
        <v>69182</v>
      </c>
      <c r="E32" t="str">
        <f>HYPERLINK("http://www.ncbi.nlm.nih.gov/Taxonomy/Browser/wwwtax.cgi?mode=Info&amp;id=337641&amp;lvl=3&amp;lin=f&amp;keep=1&amp;srchmode=1&amp;unlock","337641")</f>
        <v>337641</v>
      </c>
      <c r="F32" t="s">
        <v>17</v>
      </c>
      <c r="G32" t="str">
        <f>HYPERLINK("http://www.ncbi.nlm.nih.gov/Taxonomy/Browser/wwwtax.cgi?mode=Info&amp;id=337641&amp;lvl=3&amp;lin=f&amp;keep=1&amp;srchmode=1&amp;unlock","Hemibagrus wyckioides")</f>
        <v>Hemibagrus wyckioides</v>
      </c>
      <c r="H32" t="s">
        <v>45</v>
      </c>
      <c r="I32" t="str">
        <f>HYPERLINK("http://www.ncbi.nlm.nih.gov/protein/XP_058268299.1","ryanodine receptor 1")</f>
        <v>ryanodine receptor 1</v>
      </c>
      <c r="J32">
        <v>9128.83</v>
      </c>
      <c r="K32" t="s">
        <v>19</v>
      </c>
      <c r="L32">
        <v>276</v>
      </c>
      <c r="M32">
        <v>9.75</v>
      </c>
      <c r="N32">
        <v>87.32</v>
      </c>
      <c r="O32" t="s">
        <v>19</v>
      </c>
      <c r="P32" t="s">
        <v>20</v>
      </c>
      <c r="Q32" t="s">
        <v>19</v>
      </c>
      <c r="R32" t="str">
        <f>HYPERLINK("https://cfpub.epa.gov/ecotox/explore.cfm?ncbi=337641","Explore in ECOTOX")</f>
        <v>Explore in ECOTOX</v>
      </c>
    </row>
    <row r="33" spans="1:18" x14ac:dyDescent="0.45">
      <c r="A33" t="s">
        <v>1264</v>
      </c>
      <c r="B33">
        <v>8</v>
      </c>
      <c r="C33" t="str">
        <f>HYPERLINK("http://www.ncbi.nlm.nih.gov/protein/XP_041948366.1","XP_041948366.1")</f>
        <v>XP_041948366.1</v>
      </c>
      <c r="D33">
        <v>56130</v>
      </c>
      <c r="E33" t="str">
        <f>HYPERLINK("http://www.ncbi.nlm.nih.gov/Taxonomy/Browser/wwwtax.cgi?mode=Info&amp;id=34773&amp;lvl=3&amp;lin=f&amp;keep=1&amp;srchmode=1&amp;unlock","34773")</f>
        <v>34773</v>
      </c>
      <c r="F33" t="s">
        <v>17</v>
      </c>
      <c r="G33" t="str">
        <f>HYPERLINK("http://www.ncbi.nlm.nih.gov/Taxonomy/Browser/wwwtax.cgi?mode=Info&amp;id=34773&amp;lvl=3&amp;lin=f&amp;keep=1&amp;srchmode=1&amp;unlock","Alosa sapidissima")</f>
        <v>Alosa sapidissima</v>
      </c>
      <c r="H33" t="s">
        <v>46</v>
      </c>
      <c r="I33" t="str">
        <f>HYPERLINK("http://www.ncbi.nlm.nih.gov/protein/XP_041948366.1","ryanodine receptor 1 isoform X2")</f>
        <v>ryanodine receptor 1 isoform X2</v>
      </c>
      <c r="J33">
        <v>9126.9</v>
      </c>
      <c r="K33" t="s">
        <v>19</v>
      </c>
      <c r="L33">
        <v>276</v>
      </c>
      <c r="M33">
        <v>9.75</v>
      </c>
      <c r="N33">
        <v>87.31</v>
      </c>
      <c r="O33" t="s">
        <v>19</v>
      </c>
      <c r="P33" t="s">
        <v>20</v>
      </c>
      <c r="Q33" t="s">
        <v>19</v>
      </c>
      <c r="R33" t="str">
        <f>HYPERLINK("https://cfpub.epa.gov/ecotox/explore.cfm?ncbi=34773","Explore in ECOTOX")</f>
        <v>Explore in ECOTOX</v>
      </c>
    </row>
    <row r="34" spans="1:18" x14ac:dyDescent="0.45">
      <c r="A34" t="s">
        <v>1264</v>
      </c>
      <c r="B34">
        <v>8</v>
      </c>
      <c r="C34" t="str">
        <f>HYPERLINK("http://www.ncbi.nlm.nih.gov/protein/XP_047660702.1","XP_047660702.1")</f>
        <v>XP_047660702.1</v>
      </c>
      <c r="D34">
        <v>56318</v>
      </c>
      <c r="E34" t="str">
        <f>HYPERLINK("http://www.ncbi.nlm.nih.gov/Taxonomy/Browser/wwwtax.cgi?mode=Info&amp;id=1234273&amp;lvl=3&amp;lin=f&amp;keep=1&amp;srchmode=1&amp;unlock","1234273")</f>
        <v>1234273</v>
      </c>
      <c r="F34" t="s">
        <v>17</v>
      </c>
      <c r="G34" t="str">
        <f>HYPERLINK("http://www.ncbi.nlm.nih.gov/Taxonomy/Browser/wwwtax.cgi?mode=Info&amp;id=1234273&amp;lvl=3&amp;lin=f&amp;keep=1&amp;srchmode=1&amp;unlock","Tachysurus fulvidraco")</f>
        <v>Tachysurus fulvidraco</v>
      </c>
      <c r="H34" t="s">
        <v>47</v>
      </c>
      <c r="I34" t="str">
        <f>HYPERLINK("http://www.ncbi.nlm.nih.gov/protein/XP_047660702.1","ryanodine receptor 1 isoform X2")</f>
        <v>ryanodine receptor 1 isoform X2</v>
      </c>
      <c r="J34">
        <v>9122.2800000000007</v>
      </c>
      <c r="K34" t="s">
        <v>19</v>
      </c>
      <c r="L34">
        <v>276</v>
      </c>
      <c r="M34">
        <v>9.75</v>
      </c>
      <c r="N34">
        <v>87.26</v>
      </c>
      <c r="O34" t="s">
        <v>19</v>
      </c>
      <c r="P34" t="s">
        <v>20</v>
      </c>
      <c r="Q34" t="s">
        <v>19</v>
      </c>
      <c r="R34" t="str">
        <f>HYPERLINK("https://cfpub.epa.gov/ecotox/explore.cfm?ncbi=1234273","Explore in ECOTOX")</f>
        <v>Explore in ECOTOX</v>
      </c>
    </row>
    <row r="35" spans="1:18" x14ac:dyDescent="0.45">
      <c r="A35" t="s">
        <v>1264</v>
      </c>
      <c r="B35">
        <v>8</v>
      </c>
      <c r="C35" t="str">
        <f>HYPERLINK("http://www.ncbi.nlm.nih.gov/protein/XP_028825171.1","XP_028825171.1")</f>
        <v>XP_028825171.1</v>
      </c>
      <c r="D35">
        <v>50098</v>
      </c>
      <c r="E35" t="str">
        <f>HYPERLINK("http://www.ncbi.nlm.nih.gov/Taxonomy/Browser/wwwtax.cgi?mode=Info&amp;id=299321&amp;lvl=3&amp;lin=f&amp;keep=1&amp;srchmode=1&amp;unlock","299321")</f>
        <v>299321</v>
      </c>
      <c r="F35" t="s">
        <v>17</v>
      </c>
      <c r="G35" t="str">
        <f>HYPERLINK("http://www.ncbi.nlm.nih.gov/Taxonomy/Browser/wwwtax.cgi?mode=Info&amp;id=299321&amp;lvl=3&amp;lin=f&amp;keep=1&amp;srchmode=1&amp;unlock","Denticeps clupeoides")</f>
        <v>Denticeps clupeoides</v>
      </c>
      <c r="H35" t="s">
        <v>48</v>
      </c>
      <c r="I35" t="str">
        <f>HYPERLINK("http://www.ncbi.nlm.nih.gov/protein/XP_028825171.1","ryanodine receptor 1-like isoform X6")</f>
        <v>ryanodine receptor 1-like isoform X6</v>
      </c>
      <c r="J35">
        <v>9118.43</v>
      </c>
      <c r="K35" t="s">
        <v>19</v>
      </c>
      <c r="L35">
        <v>276</v>
      </c>
      <c r="M35">
        <v>9.75</v>
      </c>
      <c r="N35">
        <v>87.23</v>
      </c>
      <c r="O35" t="s">
        <v>19</v>
      </c>
      <c r="P35" t="s">
        <v>20</v>
      </c>
      <c r="Q35" t="s">
        <v>19</v>
      </c>
      <c r="R35" t="str">
        <f>HYPERLINK("https://cfpub.epa.gov/ecotox/explore.cfm?ncbi=299321","Explore in ECOTOX")</f>
        <v>Explore in ECOTOX</v>
      </c>
    </row>
    <row r="36" spans="1:18" x14ac:dyDescent="0.45">
      <c r="A36" t="s">
        <v>1264</v>
      </c>
      <c r="B36">
        <v>8</v>
      </c>
      <c r="C36" t="str">
        <f>HYPERLINK("http://www.ncbi.nlm.nih.gov/protein/XP_019903635.3","XP_019903635.3")</f>
        <v>XP_019903635.3</v>
      </c>
      <c r="D36">
        <v>59810</v>
      </c>
      <c r="E36" t="str">
        <f>HYPERLINK("http://www.ncbi.nlm.nih.gov/Taxonomy/Browser/wwwtax.cgi?mode=Info&amp;id=8010&amp;lvl=3&amp;lin=f&amp;keep=1&amp;srchmode=1&amp;unlock","8010")</f>
        <v>8010</v>
      </c>
      <c r="F36" t="s">
        <v>17</v>
      </c>
      <c r="G36" t="str">
        <f>HYPERLINK("http://www.ncbi.nlm.nih.gov/Taxonomy/Browser/wwwtax.cgi?mode=Info&amp;id=8010&amp;lvl=3&amp;lin=f&amp;keep=1&amp;srchmode=1&amp;unlock","Esox lucius")</f>
        <v>Esox lucius</v>
      </c>
      <c r="H36" t="s">
        <v>49</v>
      </c>
      <c r="I36" t="str">
        <f>HYPERLINK("http://www.ncbi.nlm.nih.gov/protein/XP_019903635.3","ryanodine receptor 1 isoform X2")</f>
        <v>ryanodine receptor 1 isoform X2</v>
      </c>
      <c r="J36">
        <v>9101.48</v>
      </c>
      <c r="K36" t="s">
        <v>19</v>
      </c>
      <c r="L36">
        <v>276</v>
      </c>
      <c r="M36">
        <v>9.75</v>
      </c>
      <c r="N36">
        <v>87.06</v>
      </c>
      <c r="O36" t="s">
        <v>19</v>
      </c>
      <c r="P36" t="s">
        <v>20</v>
      </c>
      <c r="Q36" t="s">
        <v>19</v>
      </c>
      <c r="R36" t="str">
        <f>HYPERLINK("https://cfpub.epa.gov/ecotox/explore.cfm?ncbi=8010","Explore in ECOTOX")</f>
        <v>Explore in ECOTOX</v>
      </c>
    </row>
    <row r="37" spans="1:18" x14ac:dyDescent="0.45">
      <c r="A37" t="s">
        <v>1264</v>
      </c>
      <c r="B37">
        <v>8</v>
      </c>
      <c r="C37" t="str">
        <f>HYPERLINK("http://www.ncbi.nlm.nih.gov/protein/XP_060751318.1","XP_060751318.1")</f>
        <v>XP_060751318.1</v>
      </c>
      <c r="D37">
        <v>64250</v>
      </c>
      <c r="E37" t="str">
        <f>HYPERLINK("http://www.ncbi.nlm.nih.gov/Taxonomy/Browser/wwwtax.cgi?mode=Info&amp;id=175792&amp;lvl=3&amp;lin=f&amp;keep=1&amp;srchmode=1&amp;unlock","175792")</f>
        <v>175792</v>
      </c>
      <c r="F37" t="s">
        <v>17</v>
      </c>
      <c r="G37" t="str">
        <f>HYPERLINK("http://www.ncbi.nlm.nih.gov/Taxonomy/Browser/wwwtax.cgi?mode=Info&amp;id=175792&amp;lvl=3&amp;lin=f&amp;keep=1&amp;srchmode=1&amp;unlock","Tachysurus vachellii")</f>
        <v>Tachysurus vachellii</v>
      </c>
      <c r="H37" t="s">
        <v>45</v>
      </c>
      <c r="I37" t="str">
        <f>HYPERLINK("http://www.ncbi.nlm.nih.gov/protein/XP_060751318.1","ryanodine receptor 1")</f>
        <v>ryanodine receptor 1</v>
      </c>
      <c r="J37">
        <v>9093.7800000000007</v>
      </c>
      <c r="K37" t="s">
        <v>19</v>
      </c>
      <c r="L37">
        <v>276</v>
      </c>
      <c r="M37">
        <v>9.75</v>
      </c>
      <c r="N37">
        <v>86.99</v>
      </c>
      <c r="O37" t="s">
        <v>19</v>
      </c>
      <c r="P37" t="s">
        <v>20</v>
      </c>
      <c r="Q37" t="s">
        <v>19</v>
      </c>
      <c r="R37" t="str">
        <f>HYPERLINK("https://cfpub.epa.gov/ecotox/explore.cfm?ncbi=175792","Explore in ECOTOX")</f>
        <v>Explore in ECOTOX</v>
      </c>
    </row>
    <row r="38" spans="1:18" x14ac:dyDescent="0.45">
      <c r="A38" t="s">
        <v>1264</v>
      </c>
      <c r="B38">
        <v>8</v>
      </c>
      <c r="C38" t="str">
        <f>HYPERLINK("http://www.ncbi.nlm.nih.gov/protein/XP_028278251.1","XP_028278251.1")</f>
        <v>XP_028278251.1</v>
      </c>
      <c r="D38">
        <v>41039</v>
      </c>
      <c r="E38" t="str">
        <f>HYPERLINK("http://www.ncbi.nlm.nih.gov/Taxonomy/Browser/wwwtax.cgi?mode=Info&amp;id=210632&amp;lvl=3&amp;lin=f&amp;keep=1&amp;srchmode=1&amp;unlock","210632")</f>
        <v>210632</v>
      </c>
      <c r="F38" t="s">
        <v>17</v>
      </c>
      <c r="G38" t="str">
        <f>HYPERLINK("http://www.ncbi.nlm.nih.gov/Taxonomy/Browser/wwwtax.cgi?mode=Info&amp;id=210632&amp;lvl=3&amp;lin=f&amp;keep=1&amp;srchmode=1&amp;unlock","Parambassis ranga")</f>
        <v>Parambassis ranga</v>
      </c>
      <c r="H38" t="s">
        <v>50</v>
      </c>
      <c r="I38" t="str">
        <f>HYPERLINK("http://www.ncbi.nlm.nih.gov/protein/XP_028278251.1","ryanodine receptor 1-like isoform X9")</f>
        <v>ryanodine receptor 1-like isoform X9</v>
      </c>
      <c r="J38">
        <v>9071.0499999999993</v>
      </c>
      <c r="K38" t="s">
        <v>19</v>
      </c>
      <c r="L38">
        <v>276</v>
      </c>
      <c r="M38">
        <v>9.75</v>
      </c>
      <c r="N38">
        <v>86.77</v>
      </c>
      <c r="O38" t="s">
        <v>19</v>
      </c>
      <c r="P38" t="s">
        <v>20</v>
      </c>
      <c r="Q38" t="s">
        <v>19</v>
      </c>
      <c r="R38" t="str">
        <f>HYPERLINK("https://cfpub.epa.gov/ecotox/explore.cfm?ncbi=210632","Explore in ECOTOX")</f>
        <v>Explore in ECOTOX</v>
      </c>
    </row>
    <row r="39" spans="1:18" x14ac:dyDescent="0.45">
      <c r="A39" t="s">
        <v>1264</v>
      </c>
      <c r="B39">
        <v>8</v>
      </c>
      <c r="C39" t="str">
        <f>HYPERLINK("http://www.ncbi.nlm.nih.gov/protein/XP_026862739.2","XP_026862739.2")</f>
        <v>XP_026862739.2</v>
      </c>
      <c r="D39">
        <v>45401</v>
      </c>
      <c r="E39" t="str">
        <f>HYPERLINK("http://www.ncbi.nlm.nih.gov/Taxonomy/Browser/wwwtax.cgi?mode=Info&amp;id=8005&amp;lvl=3&amp;lin=f&amp;keep=1&amp;srchmode=1&amp;unlock","8005")</f>
        <v>8005</v>
      </c>
      <c r="F39" t="s">
        <v>17</v>
      </c>
      <c r="G39" t="str">
        <f>HYPERLINK("http://www.ncbi.nlm.nih.gov/Taxonomy/Browser/wwwtax.cgi?mode=Info&amp;id=8005&amp;lvl=3&amp;lin=f&amp;keep=1&amp;srchmode=1&amp;unlock","Electrophorus electricus")</f>
        <v>Electrophorus electricus</v>
      </c>
      <c r="H39" t="s">
        <v>51</v>
      </c>
      <c r="I39" t="str">
        <f>HYPERLINK("http://www.ncbi.nlm.nih.gov/protein/XP_026862739.2","LOW QUALITY PROTEIN: ryanodine receptor 1")</f>
        <v>LOW QUALITY PROTEIN: ryanodine receptor 1</v>
      </c>
      <c r="J39">
        <v>9067.9699999999993</v>
      </c>
      <c r="K39" t="s">
        <v>19</v>
      </c>
      <c r="L39">
        <v>276</v>
      </c>
      <c r="M39">
        <v>9.75</v>
      </c>
      <c r="N39">
        <v>86.74</v>
      </c>
      <c r="O39" t="s">
        <v>19</v>
      </c>
      <c r="P39" t="s">
        <v>20</v>
      </c>
      <c r="Q39" t="s">
        <v>19</v>
      </c>
      <c r="R39" t="str">
        <f>HYPERLINK("https://cfpub.epa.gov/ecotox/explore.cfm?ncbi=8005","Explore in ECOTOX")</f>
        <v>Explore in ECOTOX</v>
      </c>
    </row>
    <row r="40" spans="1:18" x14ac:dyDescent="0.45">
      <c r="A40" t="s">
        <v>1264</v>
      </c>
      <c r="B40">
        <v>8</v>
      </c>
      <c r="C40" t="str">
        <f>HYPERLINK("http://www.ncbi.nlm.nih.gov/protein/XP_035521823.1","XP_035521823.1")</f>
        <v>XP_035521823.1</v>
      </c>
      <c r="D40">
        <v>31152</v>
      </c>
      <c r="E40" t="str">
        <f>HYPERLINK("http://www.ncbi.nlm.nih.gov/Taxonomy/Browser/wwwtax.cgi?mode=Info&amp;id=34816&amp;lvl=3&amp;lin=f&amp;keep=1&amp;srchmode=1&amp;unlock","34816")</f>
        <v>34816</v>
      </c>
      <c r="F40" t="s">
        <v>17</v>
      </c>
      <c r="G40" t="str">
        <f>HYPERLINK("http://www.ncbi.nlm.nih.gov/Taxonomy/Browser/wwwtax.cgi?mode=Info&amp;id=34816&amp;lvl=3&amp;lin=f&amp;keep=1&amp;srchmode=1&amp;unlock","Morone saxatilis")</f>
        <v>Morone saxatilis</v>
      </c>
      <c r="H40" t="s">
        <v>52</v>
      </c>
      <c r="I40" t="str">
        <f>HYPERLINK("http://www.ncbi.nlm.nih.gov/protein/XP_035521823.1","ryanodine receptor 1-like isoform X1")</f>
        <v>ryanodine receptor 1-like isoform X1</v>
      </c>
      <c r="J40">
        <v>9067.58</v>
      </c>
      <c r="K40" t="s">
        <v>19</v>
      </c>
      <c r="L40">
        <v>276</v>
      </c>
      <c r="M40">
        <v>9.75</v>
      </c>
      <c r="N40">
        <v>86.74</v>
      </c>
      <c r="O40" t="s">
        <v>19</v>
      </c>
      <c r="P40" t="s">
        <v>20</v>
      </c>
      <c r="Q40" t="s">
        <v>19</v>
      </c>
      <c r="R40" t="str">
        <f>HYPERLINK("https://cfpub.epa.gov/ecotox/explore.cfm?ncbi=34816","Explore in ECOTOX")</f>
        <v>Explore in ECOTOX</v>
      </c>
    </row>
    <row r="41" spans="1:18" x14ac:dyDescent="0.45">
      <c r="A41" t="s">
        <v>1264</v>
      </c>
      <c r="B41">
        <v>8</v>
      </c>
      <c r="C41" t="str">
        <f>HYPERLINK("http://www.ncbi.nlm.nih.gov/protein/XP_029925213.1","XP_029925213.1")</f>
        <v>XP_029925213.1</v>
      </c>
      <c r="D41">
        <v>38178</v>
      </c>
      <c r="E41" t="str">
        <f>HYPERLINK("http://www.ncbi.nlm.nih.gov/Taxonomy/Browser/wwwtax.cgi?mode=Info&amp;id=586833&amp;lvl=3&amp;lin=f&amp;keep=1&amp;srchmode=1&amp;unlock","586833")</f>
        <v>586833</v>
      </c>
      <c r="F41" t="s">
        <v>17</v>
      </c>
      <c r="G41" t="str">
        <f>HYPERLINK("http://www.ncbi.nlm.nih.gov/Taxonomy/Browser/wwwtax.cgi?mode=Info&amp;id=586833&amp;lvl=3&amp;lin=f&amp;keep=1&amp;srchmode=1&amp;unlock","Myripristis murdjan")</f>
        <v>Myripristis murdjan</v>
      </c>
      <c r="H41" t="s">
        <v>53</v>
      </c>
      <c r="I41" t="str">
        <f>HYPERLINK("http://www.ncbi.nlm.nih.gov/protein/XP_029925213.1","ryanodine receptor 1-like")</f>
        <v>ryanodine receptor 1-like</v>
      </c>
      <c r="J41">
        <v>9064.89</v>
      </c>
      <c r="K41" t="s">
        <v>19</v>
      </c>
      <c r="L41">
        <v>276</v>
      </c>
      <c r="M41">
        <v>9.75</v>
      </c>
      <c r="N41">
        <v>86.71</v>
      </c>
      <c r="O41" t="s">
        <v>19</v>
      </c>
      <c r="P41" t="s">
        <v>20</v>
      </c>
      <c r="Q41" t="s">
        <v>19</v>
      </c>
      <c r="R41" t="str">
        <f>HYPERLINK("https://cfpub.epa.gov/ecotox/explore.cfm?ncbi=586833","Explore in ECOTOX")</f>
        <v>Explore in ECOTOX</v>
      </c>
    </row>
    <row r="42" spans="1:18" x14ac:dyDescent="0.45">
      <c r="A42" t="s">
        <v>1264</v>
      </c>
      <c r="B42">
        <v>8</v>
      </c>
      <c r="C42" t="str">
        <f>HYPERLINK("http://www.ncbi.nlm.nih.gov/protein/XP_056253076.1","XP_056253076.1")</f>
        <v>XP_056253076.1</v>
      </c>
      <c r="D42">
        <v>42717</v>
      </c>
      <c r="E42" t="str">
        <f>HYPERLINK("http://www.ncbi.nlm.nih.gov/Taxonomy/Browser/wwwtax.cgi?mode=Info&amp;id=2871759&amp;lvl=3&amp;lin=f&amp;keep=1&amp;srchmode=1&amp;unlock","2871759")</f>
        <v>2871759</v>
      </c>
      <c r="F42" t="s">
        <v>17</v>
      </c>
      <c r="G42" t="str">
        <f>HYPERLINK("http://www.ncbi.nlm.nih.gov/Taxonomy/Browser/wwwtax.cgi?mode=Info&amp;id=2871759&amp;lvl=3&amp;lin=f&amp;keep=1&amp;srchmode=1&amp;unlock","Seriola aureovittata")</f>
        <v>Seriola aureovittata</v>
      </c>
      <c r="H42" t="s">
        <v>54</v>
      </c>
      <c r="I42" t="str">
        <f>HYPERLINK("http://www.ncbi.nlm.nih.gov/protein/XP_056253076.1","ryanodine receptor 1-like")</f>
        <v>ryanodine receptor 1-like</v>
      </c>
      <c r="J42">
        <v>9062.19</v>
      </c>
      <c r="K42" t="s">
        <v>19</v>
      </c>
      <c r="L42">
        <v>276</v>
      </c>
      <c r="M42">
        <v>9.75</v>
      </c>
      <c r="N42">
        <v>86.69</v>
      </c>
      <c r="O42" t="s">
        <v>19</v>
      </c>
      <c r="P42" t="s">
        <v>20</v>
      </c>
      <c r="Q42" t="s">
        <v>19</v>
      </c>
      <c r="R42" t="str">
        <f>HYPERLINK("https://cfpub.epa.gov/ecotox/explore.cfm?ncbi=2871759","Explore in ECOTOX")</f>
        <v>Explore in ECOTOX</v>
      </c>
    </row>
    <row r="43" spans="1:18" x14ac:dyDescent="0.45">
      <c r="A43" t="s">
        <v>1264</v>
      </c>
      <c r="B43">
        <v>8</v>
      </c>
      <c r="C43" t="str">
        <f>HYPERLINK("http://www.ncbi.nlm.nih.gov/protein/XP_019108762.2","XP_019108762.2")</f>
        <v>XP_019108762.2</v>
      </c>
      <c r="D43">
        <v>94610</v>
      </c>
      <c r="E43" t="str">
        <f>HYPERLINK("http://www.ncbi.nlm.nih.gov/Taxonomy/Browser/wwwtax.cgi?mode=Info&amp;id=215358&amp;lvl=3&amp;lin=f&amp;keep=1&amp;srchmode=1&amp;unlock","215358")</f>
        <v>215358</v>
      </c>
      <c r="F43" t="s">
        <v>17</v>
      </c>
      <c r="G43" t="str">
        <f>HYPERLINK("http://www.ncbi.nlm.nih.gov/Taxonomy/Browser/wwwtax.cgi?mode=Info&amp;id=215358&amp;lvl=3&amp;lin=f&amp;keep=1&amp;srchmode=1&amp;unlock","Larimichthys crocea")</f>
        <v>Larimichthys crocea</v>
      </c>
      <c r="H43" t="s">
        <v>55</v>
      </c>
      <c r="I43" t="str">
        <f>HYPERLINK("http://www.ncbi.nlm.nih.gov/protein/XP_019108762.2","ryanodine receptor 1 isoform X1")</f>
        <v>ryanodine receptor 1 isoform X1</v>
      </c>
      <c r="J43">
        <v>9061.81</v>
      </c>
      <c r="K43" t="s">
        <v>19</v>
      </c>
      <c r="L43">
        <v>276</v>
      </c>
      <c r="M43">
        <v>9.75</v>
      </c>
      <c r="N43">
        <v>86.68</v>
      </c>
      <c r="O43" t="s">
        <v>19</v>
      </c>
      <c r="P43" t="s">
        <v>20</v>
      </c>
      <c r="Q43" t="s">
        <v>19</v>
      </c>
      <c r="R43" t="str">
        <f>HYPERLINK("https://cfpub.epa.gov/ecotox/explore.cfm?ncbi=215358","Explore in ECOTOX")</f>
        <v>Explore in ECOTOX</v>
      </c>
    </row>
    <row r="44" spans="1:18" x14ac:dyDescent="0.45">
      <c r="A44" t="s">
        <v>1264</v>
      </c>
      <c r="B44">
        <v>8</v>
      </c>
      <c r="C44" t="str">
        <f>HYPERLINK("http://www.ncbi.nlm.nih.gov/protein/XP_035803039.2","XP_035803039.2")</f>
        <v>XP_035803039.2</v>
      </c>
      <c r="D44">
        <v>47453</v>
      </c>
      <c r="E44" t="str">
        <f>HYPERLINK("http://www.ncbi.nlm.nih.gov/Taxonomy/Browser/wwwtax.cgi?mode=Info&amp;id=80972&amp;lvl=3&amp;lin=f&amp;keep=1&amp;srchmode=1&amp;unlock","80972")</f>
        <v>80972</v>
      </c>
      <c r="F44" t="s">
        <v>17</v>
      </c>
      <c r="G44" t="str">
        <f>HYPERLINK("http://www.ncbi.nlm.nih.gov/Taxonomy/Browser/wwwtax.cgi?mode=Info&amp;id=80972&amp;lvl=3&amp;lin=f&amp;keep=1&amp;srchmode=1&amp;unlock","Amphiprion ocellaris")</f>
        <v>Amphiprion ocellaris</v>
      </c>
      <c r="H44" t="s">
        <v>56</v>
      </c>
      <c r="I44" t="str">
        <f>HYPERLINK("http://www.ncbi.nlm.nih.gov/protein/XP_035803039.2","ryanodine receptor 1-like isoform X4")</f>
        <v>ryanodine receptor 1-like isoform X4</v>
      </c>
      <c r="J44">
        <v>9058.34</v>
      </c>
      <c r="K44" t="s">
        <v>19</v>
      </c>
      <c r="L44">
        <v>276</v>
      </c>
      <c r="M44">
        <v>9.75</v>
      </c>
      <c r="N44">
        <v>86.65</v>
      </c>
      <c r="O44" t="s">
        <v>19</v>
      </c>
      <c r="P44" t="s">
        <v>20</v>
      </c>
      <c r="Q44" t="s">
        <v>19</v>
      </c>
      <c r="R44" t="str">
        <f>HYPERLINK("https://cfpub.epa.gov/ecotox/explore.cfm?ncbi=80972","Explore in ECOTOX")</f>
        <v>Explore in ECOTOX</v>
      </c>
    </row>
    <row r="45" spans="1:18" x14ac:dyDescent="0.45">
      <c r="A45" t="s">
        <v>1264</v>
      </c>
      <c r="B45">
        <v>8</v>
      </c>
      <c r="C45" t="str">
        <f>HYPERLINK("http://www.ncbi.nlm.nih.gov/protein/XP_022618410.1","XP_022618410.1")</f>
        <v>XP_022618410.1</v>
      </c>
      <c r="D45">
        <v>32913</v>
      </c>
      <c r="E45" t="str">
        <f>HYPERLINK("http://www.ncbi.nlm.nih.gov/Taxonomy/Browser/wwwtax.cgi?mode=Info&amp;id=41447&amp;lvl=3&amp;lin=f&amp;keep=1&amp;srchmode=1&amp;unlock","41447")</f>
        <v>41447</v>
      </c>
      <c r="F45" t="s">
        <v>17</v>
      </c>
      <c r="G45" t="str">
        <f>HYPERLINK("http://www.ncbi.nlm.nih.gov/Taxonomy/Browser/wwwtax.cgi?mode=Info&amp;id=41447&amp;lvl=3&amp;lin=f&amp;keep=1&amp;srchmode=1&amp;unlock","Seriola dumerili")</f>
        <v>Seriola dumerili</v>
      </c>
      <c r="H45" t="s">
        <v>57</v>
      </c>
      <c r="I45" t="str">
        <f>HYPERLINK("http://www.ncbi.nlm.nih.gov/protein/XP_022618410.1","ryanodine receptor 1-like")</f>
        <v>ryanodine receptor 1-like</v>
      </c>
      <c r="J45">
        <v>9056.7999999999993</v>
      </c>
      <c r="K45" t="s">
        <v>19</v>
      </c>
      <c r="L45">
        <v>276</v>
      </c>
      <c r="M45">
        <v>9.75</v>
      </c>
      <c r="N45">
        <v>86.64</v>
      </c>
      <c r="O45" t="s">
        <v>19</v>
      </c>
      <c r="P45" t="s">
        <v>20</v>
      </c>
      <c r="Q45" t="s">
        <v>19</v>
      </c>
      <c r="R45" t="str">
        <f>HYPERLINK("https://cfpub.epa.gov/ecotox/explore.cfm?ncbi=41447","Explore in ECOTOX")</f>
        <v>Explore in ECOTOX</v>
      </c>
    </row>
    <row r="46" spans="1:18" x14ac:dyDescent="0.45">
      <c r="A46" t="s">
        <v>1264</v>
      </c>
      <c r="B46">
        <v>8</v>
      </c>
      <c r="C46" t="str">
        <f>HYPERLINK("http://www.ncbi.nlm.nih.gov/protein/AWP00097.1","AWP00097.1")</f>
        <v>AWP00097.1</v>
      </c>
      <c r="D46">
        <v>104790</v>
      </c>
      <c r="E46" t="str">
        <f>HYPERLINK("http://www.ncbi.nlm.nih.gov/Taxonomy/Browser/wwwtax.cgi?mode=Info&amp;id=52904&amp;lvl=3&amp;lin=f&amp;keep=1&amp;srchmode=1&amp;unlock","52904")</f>
        <v>52904</v>
      </c>
      <c r="F46" t="s">
        <v>17</v>
      </c>
      <c r="G46" t="str">
        <f>HYPERLINK("http://www.ncbi.nlm.nih.gov/Taxonomy/Browser/wwwtax.cgi?mode=Info&amp;id=52904&amp;lvl=3&amp;lin=f&amp;keep=1&amp;srchmode=1&amp;unlock","Scophthalmus maximus")</f>
        <v>Scophthalmus maximus</v>
      </c>
      <c r="H46" t="s">
        <v>58</v>
      </c>
      <c r="I46" t="str">
        <f>HYPERLINK("http://www.ncbi.nlm.nih.gov/protein/AWP00097.1","putative ryanodine receptor 1-like")</f>
        <v>putative ryanodine receptor 1-like</v>
      </c>
      <c r="J46">
        <v>9056.41</v>
      </c>
      <c r="K46" t="s">
        <v>19</v>
      </c>
      <c r="L46">
        <v>276</v>
      </c>
      <c r="M46">
        <v>9.75</v>
      </c>
      <c r="N46">
        <v>86.63</v>
      </c>
      <c r="O46" t="s">
        <v>19</v>
      </c>
      <c r="P46" t="s">
        <v>20</v>
      </c>
      <c r="Q46" t="s">
        <v>19</v>
      </c>
      <c r="R46" t="str">
        <f>HYPERLINK("https://cfpub.epa.gov/ecotox/explore.cfm?ncbi=52904","Explore in ECOTOX")</f>
        <v>Explore in ECOTOX</v>
      </c>
    </row>
    <row r="47" spans="1:18" x14ac:dyDescent="0.45">
      <c r="A47" t="s">
        <v>1264</v>
      </c>
      <c r="B47">
        <v>8</v>
      </c>
      <c r="C47" t="str">
        <f>HYPERLINK("http://www.ncbi.nlm.nih.gov/protein/KAF5890775.1","KAF5890775.1")</f>
        <v>KAF5890775.1</v>
      </c>
      <c r="D47">
        <v>23900</v>
      </c>
      <c r="E47" t="str">
        <f>HYPERLINK("http://www.ncbi.nlm.nih.gov/Taxonomy/Browser/wwwtax.cgi?mode=Info&amp;id=1594786&amp;lvl=3&amp;lin=f&amp;keep=1&amp;srchmode=1&amp;unlock","1594786")</f>
        <v>1594786</v>
      </c>
      <c r="F47" t="s">
        <v>17</v>
      </c>
      <c r="G47" t="str">
        <f>HYPERLINK("http://www.ncbi.nlm.nih.gov/Taxonomy/Browser/wwwtax.cgi?mode=Info&amp;id=1594786&amp;lvl=3&amp;lin=f&amp;keep=1&amp;srchmode=1&amp;unlock","Clarias magur")</f>
        <v>Clarias magur</v>
      </c>
      <c r="H47" t="s">
        <v>59</v>
      </c>
      <c r="I47" t="str">
        <f>HYPERLINK("http://www.ncbi.nlm.nih.gov/protein/KAF5890775.1","ryanodine receptor 1-like isoform X1, partial")</f>
        <v>ryanodine receptor 1-like isoform X1, partial</v>
      </c>
      <c r="J47">
        <v>9054.8700000000008</v>
      </c>
      <c r="K47" t="s">
        <v>19</v>
      </c>
      <c r="L47">
        <v>276</v>
      </c>
      <c r="M47">
        <v>9.75</v>
      </c>
      <c r="N47">
        <v>86.62</v>
      </c>
      <c r="O47" t="s">
        <v>19</v>
      </c>
      <c r="P47" t="s">
        <v>20</v>
      </c>
      <c r="Q47" t="s">
        <v>19</v>
      </c>
      <c r="R47" t="str">
        <f>HYPERLINK("https://cfpub.epa.gov/ecotox/explore.cfm?ncbi=1594786","Explore in ECOTOX")</f>
        <v>Explore in ECOTOX</v>
      </c>
    </row>
    <row r="48" spans="1:18" x14ac:dyDescent="0.45">
      <c r="A48" t="s">
        <v>1264</v>
      </c>
      <c r="B48">
        <v>8</v>
      </c>
      <c r="C48" t="str">
        <f>HYPERLINK("http://www.ncbi.nlm.nih.gov/protein/KAG7516592.1","KAG7516592.1")</f>
        <v>KAG7516592.1</v>
      </c>
      <c r="D48">
        <v>91952</v>
      </c>
      <c r="E48" t="str">
        <f>HYPERLINK("http://www.ncbi.nlm.nih.gov/Taxonomy/Browser/wwwtax.cgi?mode=Info&amp;id=28829&amp;lvl=3&amp;lin=f&amp;keep=1&amp;srchmode=1&amp;unlock","28829")</f>
        <v>28829</v>
      </c>
      <c r="F48" t="s">
        <v>17</v>
      </c>
      <c r="G48" t="str">
        <f>HYPERLINK("http://www.ncbi.nlm.nih.gov/Taxonomy/Browser/wwwtax.cgi?mode=Info&amp;id=28829&amp;lvl=3&amp;lin=f&amp;keep=1&amp;srchmode=1&amp;unlock","Solea senegalensis")</f>
        <v>Solea senegalensis</v>
      </c>
      <c r="H48" t="s">
        <v>60</v>
      </c>
      <c r="I48" t="str">
        <f>HYPERLINK("http://www.ncbi.nlm.nih.gov/protein/KAG7516592.1","ryanodine receptor 1-like isoform X2")</f>
        <v>ryanodine receptor 1-like isoform X2</v>
      </c>
      <c r="J48">
        <v>9051.02</v>
      </c>
      <c r="K48" t="s">
        <v>19</v>
      </c>
      <c r="L48">
        <v>276</v>
      </c>
      <c r="M48">
        <v>9.75</v>
      </c>
      <c r="N48">
        <v>86.58</v>
      </c>
      <c r="O48" t="s">
        <v>19</v>
      </c>
      <c r="P48" t="s">
        <v>20</v>
      </c>
      <c r="Q48" t="s">
        <v>19</v>
      </c>
      <c r="R48" t="str">
        <f>HYPERLINK("https://cfpub.epa.gov/ecotox/explore.cfm?ncbi=28829","Explore in ECOTOX")</f>
        <v>Explore in ECOTOX</v>
      </c>
    </row>
    <row r="49" spans="1:18" x14ac:dyDescent="0.45">
      <c r="A49" t="s">
        <v>1264</v>
      </c>
      <c r="B49">
        <v>8</v>
      </c>
      <c r="C49" t="str">
        <f>HYPERLINK("http://www.ncbi.nlm.nih.gov/protein/XP_023277189.1","XP_023277189.1")</f>
        <v>XP_023277189.1</v>
      </c>
      <c r="D49">
        <v>38591</v>
      </c>
      <c r="E49" t="str">
        <f>HYPERLINK("http://www.ncbi.nlm.nih.gov/Taxonomy/Browser/wwwtax.cgi?mode=Info&amp;id=1841481&amp;lvl=3&amp;lin=f&amp;keep=1&amp;srchmode=1&amp;unlock","1841481")</f>
        <v>1841481</v>
      </c>
      <c r="F49" t="s">
        <v>17</v>
      </c>
      <c r="G49" t="str">
        <f>HYPERLINK("http://www.ncbi.nlm.nih.gov/Taxonomy/Browser/wwwtax.cgi?mode=Info&amp;id=1841481&amp;lvl=3&amp;lin=f&amp;keep=1&amp;srchmode=1&amp;unlock","Seriola lalandi dorsalis")</f>
        <v>Seriola lalandi dorsalis</v>
      </c>
      <c r="H49" t="s">
        <v>61</v>
      </c>
      <c r="I49" t="str">
        <f>HYPERLINK("http://www.ncbi.nlm.nih.gov/protein/XP_023277189.1","ryanodine receptor 1-like isoform X1")</f>
        <v>ryanodine receptor 1-like isoform X1</v>
      </c>
      <c r="J49">
        <v>9050.25</v>
      </c>
      <c r="K49" t="s">
        <v>19</v>
      </c>
      <c r="L49">
        <v>276</v>
      </c>
      <c r="M49">
        <v>9.75</v>
      </c>
      <c r="N49">
        <v>86.57</v>
      </c>
      <c r="O49" t="s">
        <v>19</v>
      </c>
      <c r="P49" t="s">
        <v>20</v>
      </c>
      <c r="Q49" t="s">
        <v>19</v>
      </c>
      <c r="R49" t="str">
        <f>HYPERLINK("https://cfpub.epa.gov/ecotox/explore.cfm?ncbi=1841481","Explore in ECOTOX")</f>
        <v>Explore in ECOTOX</v>
      </c>
    </row>
    <row r="50" spans="1:18" x14ac:dyDescent="0.45">
      <c r="A50" t="s">
        <v>1264</v>
      </c>
      <c r="B50">
        <v>8</v>
      </c>
      <c r="C50" t="str">
        <f>HYPERLINK("http://www.ncbi.nlm.nih.gov/protein/XP_044079569.1","XP_044079569.1")</f>
        <v>XP_044079569.1</v>
      </c>
      <c r="D50">
        <v>59434</v>
      </c>
      <c r="E50" t="str">
        <f>HYPERLINK("http://www.ncbi.nlm.nih.gov/Taxonomy/Browser/wwwtax.cgi?mode=Info&amp;id=119488&amp;lvl=3&amp;lin=f&amp;keep=1&amp;srchmode=1&amp;unlock","119488")</f>
        <v>119488</v>
      </c>
      <c r="F50" t="s">
        <v>17</v>
      </c>
      <c r="G50" t="str">
        <f>HYPERLINK("http://www.ncbi.nlm.nih.gov/Taxonomy/Browser/wwwtax.cgi?mode=Info&amp;id=119488&amp;lvl=3&amp;lin=f&amp;keep=1&amp;srchmode=1&amp;unlock","Siniperca chuatsi")</f>
        <v>Siniperca chuatsi</v>
      </c>
      <c r="H50" t="s">
        <v>62</v>
      </c>
      <c r="I50" t="str">
        <f>HYPERLINK("http://www.ncbi.nlm.nih.gov/protein/XP_044079569.1","ryanodine receptor 1-like isoform X12")</f>
        <v>ryanodine receptor 1-like isoform X12</v>
      </c>
      <c r="J50">
        <v>9050.25</v>
      </c>
      <c r="K50" t="s">
        <v>19</v>
      </c>
      <c r="L50">
        <v>276</v>
      </c>
      <c r="M50">
        <v>9.75</v>
      </c>
      <c r="N50">
        <v>86.57</v>
      </c>
      <c r="O50" t="s">
        <v>19</v>
      </c>
      <c r="P50" t="s">
        <v>20</v>
      </c>
      <c r="Q50" t="s">
        <v>19</v>
      </c>
      <c r="R50" t="str">
        <f>HYPERLINK("https://cfpub.epa.gov/ecotox/explore.cfm?ncbi=119488","Explore in ECOTOX")</f>
        <v>Explore in ECOTOX</v>
      </c>
    </row>
    <row r="51" spans="1:18" x14ac:dyDescent="0.45">
      <c r="A51" t="s">
        <v>1264</v>
      </c>
      <c r="B51">
        <v>8</v>
      </c>
      <c r="C51" t="str">
        <f>HYPERLINK("http://www.ncbi.nlm.nih.gov/protein/XP_054482335.1","XP_054482335.1")</f>
        <v>XP_054482335.1</v>
      </c>
      <c r="D51">
        <v>33066</v>
      </c>
      <c r="E51" t="str">
        <f>HYPERLINK("http://www.ncbi.nlm.nih.gov/Taxonomy/Browser/wwwtax.cgi?mode=Info&amp;id=229290&amp;lvl=3&amp;lin=f&amp;keep=1&amp;srchmode=1&amp;unlock","229290")</f>
        <v>229290</v>
      </c>
      <c r="F51" t="s">
        <v>17</v>
      </c>
      <c r="G51" t="str">
        <f>HYPERLINK("http://www.ncbi.nlm.nih.gov/Taxonomy/Browser/wwwtax.cgi?mode=Info&amp;id=229290&amp;lvl=3&amp;lin=f&amp;keep=1&amp;srchmode=1&amp;unlock","Anoplopoma fimbria")</f>
        <v>Anoplopoma fimbria</v>
      </c>
      <c r="H51" t="s">
        <v>63</v>
      </c>
      <c r="I51" t="str">
        <f>HYPERLINK("http://www.ncbi.nlm.nih.gov/protein/XP_054482335.1","ryanodine receptor 1-like")</f>
        <v>ryanodine receptor 1-like</v>
      </c>
      <c r="J51">
        <v>9048.32</v>
      </c>
      <c r="K51" t="s">
        <v>19</v>
      </c>
      <c r="L51">
        <v>276</v>
      </c>
      <c r="M51">
        <v>9.75</v>
      </c>
      <c r="N51">
        <v>86.55</v>
      </c>
      <c r="O51" t="s">
        <v>19</v>
      </c>
      <c r="P51" t="s">
        <v>20</v>
      </c>
      <c r="Q51" t="s">
        <v>19</v>
      </c>
      <c r="R51" t="str">
        <f>HYPERLINK("https://cfpub.epa.gov/ecotox/explore.cfm?ncbi=229290","Explore in ECOTOX")</f>
        <v>Explore in ECOTOX</v>
      </c>
    </row>
    <row r="52" spans="1:18" x14ac:dyDescent="0.45">
      <c r="A52" t="s">
        <v>1264</v>
      </c>
      <c r="B52">
        <v>8</v>
      </c>
      <c r="C52" t="str">
        <f>HYPERLINK("http://www.ncbi.nlm.nih.gov/protein/XP_041808336.1","XP_041808336.1")</f>
        <v>XP_041808336.1</v>
      </c>
      <c r="D52">
        <v>33964</v>
      </c>
      <c r="E52" t="str">
        <f>HYPERLINK("http://www.ncbi.nlm.nih.gov/Taxonomy/Browser/wwwtax.cgi?mode=Info&amp;id=109905&amp;lvl=3&amp;lin=f&amp;keep=1&amp;srchmode=1&amp;unlock","109905")</f>
        <v>109905</v>
      </c>
      <c r="F52" t="s">
        <v>17</v>
      </c>
      <c r="G52" t="str">
        <f>HYPERLINK("http://www.ncbi.nlm.nih.gov/Taxonomy/Browser/wwwtax.cgi?mode=Info&amp;id=109905&amp;lvl=3&amp;lin=f&amp;keep=1&amp;srchmode=1&amp;unlock","Chelmon rostratus")</f>
        <v>Chelmon rostratus</v>
      </c>
      <c r="H52" t="s">
        <v>64</v>
      </c>
      <c r="I52" t="str">
        <f>HYPERLINK("http://www.ncbi.nlm.nih.gov/protein/XP_041808336.1","ryanodine receptor 1-like")</f>
        <v>ryanodine receptor 1-like</v>
      </c>
      <c r="J52">
        <v>9047.94</v>
      </c>
      <c r="K52" t="s">
        <v>19</v>
      </c>
      <c r="L52">
        <v>276</v>
      </c>
      <c r="M52">
        <v>9.75</v>
      </c>
      <c r="N52">
        <v>86.55</v>
      </c>
      <c r="O52" t="s">
        <v>19</v>
      </c>
      <c r="P52" t="s">
        <v>20</v>
      </c>
      <c r="Q52" t="s">
        <v>19</v>
      </c>
      <c r="R52" t="str">
        <f>HYPERLINK("https://cfpub.epa.gov/ecotox/explore.cfm?ncbi=109905","Explore in ECOTOX")</f>
        <v>Explore in ECOTOX</v>
      </c>
    </row>
    <row r="53" spans="1:18" x14ac:dyDescent="0.45">
      <c r="A53" t="s">
        <v>1264</v>
      </c>
      <c r="B53">
        <v>8</v>
      </c>
      <c r="C53" t="str">
        <f>HYPERLINK("http://www.ncbi.nlm.nih.gov/protein/XP_015816253.1","XP_015816253.1")</f>
        <v>XP_015816253.1</v>
      </c>
      <c r="D53">
        <v>79907</v>
      </c>
      <c r="E53" t="str">
        <f>HYPERLINK("http://www.ncbi.nlm.nih.gov/Taxonomy/Browser/wwwtax.cgi?mode=Info&amp;id=105023&amp;lvl=3&amp;lin=f&amp;keep=1&amp;srchmode=1&amp;unlock","105023")</f>
        <v>105023</v>
      </c>
      <c r="F53" t="s">
        <v>17</v>
      </c>
      <c r="G53" t="str">
        <f>HYPERLINK("http://www.ncbi.nlm.nih.gov/Taxonomy/Browser/wwwtax.cgi?mode=Info&amp;id=105023&amp;lvl=3&amp;lin=f&amp;keep=1&amp;srchmode=1&amp;unlock","Nothobranchius furzeri")</f>
        <v>Nothobranchius furzeri</v>
      </c>
      <c r="H53" t="s">
        <v>65</v>
      </c>
      <c r="I53" t="str">
        <f>HYPERLINK("http://www.ncbi.nlm.nih.gov/protein/XP_015816253.1","ryanodine receptor 1 isoform X3")</f>
        <v>ryanodine receptor 1 isoform X3</v>
      </c>
      <c r="J53">
        <v>9046.4</v>
      </c>
      <c r="K53" t="s">
        <v>19</v>
      </c>
      <c r="L53">
        <v>276</v>
      </c>
      <c r="M53">
        <v>9.75</v>
      </c>
      <c r="N53">
        <v>86.54</v>
      </c>
      <c r="O53" t="s">
        <v>19</v>
      </c>
      <c r="P53" t="s">
        <v>20</v>
      </c>
      <c r="Q53" t="s">
        <v>19</v>
      </c>
      <c r="R53" t="str">
        <f>HYPERLINK("https://cfpub.epa.gov/ecotox/explore.cfm?ncbi=105023","Explore in ECOTOX")</f>
        <v>Explore in ECOTOX</v>
      </c>
    </row>
    <row r="54" spans="1:18" x14ac:dyDescent="0.45">
      <c r="A54" t="s">
        <v>1264</v>
      </c>
      <c r="B54">
        <v>8</v>
      </c>
      <c r="C54" t="str">
        <f>HYPERLINK("http://www.ncbi.nlm.nih.gov/protein/XP_029376057.1","XP_029376057.1")</f>
        <v>XP_029376057.1</v>
      </c>
      <c r="D54">
        <v>38281</v>
      </c>
      <c r="E54" t="str">
        <f>HYPERLINK("http://www.ncbi.nlm.nih.gov/Taxonomy/Browser/wwwtax.cgi?mode=Info&amp;id=173247&amp;lvl=3&amp;lin=f&amp;keep=1&amp;srchmode=1&amp;unlock","173247")</f>
        <v>173247</v>
      </c>
      <c r="F54" t="s">
        <v>17</v>
      </c>
      <c r="G54" t="str">
        <f>HYPERLINK("http://www.ncbi.nlm.nih.gov/Taxonomy/Browser/wwwtax.cgi?mode=Info&amp;id=173247&amp;lvl=3&amp;lin=f&amp;keep=1&amp;srchmode=1&amp;unlock","Echeneis naucrates")</f>
        <v>Echeneis naucrates</v>
      </c>
      <c r="H54" t="s">
        <v>66</v>
      </c>
      <c r="I54" t="str">
        <f>HYPERLINK("http://www.ncbi.nlm.nih.gov/protein/XP_029376057.1","ryanodine receptor 1-like isoform X3")</f>
        <v>ryanodine receptor 1-like isoform X3</v>
      </c>
      <c r="J54">
        <v>9045.6299999999992</v>
      </c>
      <c r="K54" t="s">
        <v>19</v>
      </c>
      <c r="L54">
        <v>276</v>
      </c>
      <c r="M54">
        <v>9.75</v>
      </c>
      <c r="N54">
        <v>86.53</v>
      </c>
      <c r="O54" t="s">
        <v>19</v>
      </c>
      <c r="P54" t="s">
        <v>20</v>
      </c>
      <c r="Q54" t="s">
        <v>19</v>
      </c>
      <c r="R54" t="str">
        <f>HYPERLINK("https://cfpub.epa.gov/ecotox/explore.cfm?ncbi=173247","Explore in ECOTOX")</f>
        <v>Explore in ECOTOX</v>
      </c>
    </row>
    <row r="55" spans="1:18" x14ac:dyDescent="0.45">
      <c r="A55" t="s">
        <v>1264</v>
      </c>
      <c r="B55">
        <v>8</v>
      </c>
      <c r="C55" t="str">
        <f>HYPERLINK("http://www.ncbi.nlm.nih.gov/protein/XP_028451085.1","XP_028451085.1")</f>
        <v>XP_028451085.1</v>
      </c>
      <c r="D55">
        <v>65002</v>
      </c>
      <c r="E55" t="str">
        <f>HYPERLINK("http://www.ncbi.nlm.nih.gov/Taxonomy/Browser/wwwtax.cgi?mode=Info&amp;id=8167&amp;lvl=3&amp;lin=f&amp;keep=1&amp;srchmode=1&amp;unlock","8167")</f>
        <v>8167</v>
      </c>
      <c r="F55" t="s">
        <v>17</v>
      </c>
      <c r="G55" t="str">
        <f>HYPERLINK("http://www.ncbi.nlm.nih.gov/Taxonomy/Browser/wwwtax.cgi?mode=Info&amp;id=8167&amp;lvl=3&amp;lin=f&amp;keep=1&amp;srchmode=1&amp;unlock","Perca flavescens")</f>
        <v>Perca flavescens</v>
      </c>
      <c r="H55" t="s">
        <v>67</v>
      </c>
      <c r="I55" t="str">
        <f>HYPERLINK("http://www.ncbi.nlm.nih.gov/protein/XP_028451085.1","ryanodine receptor 1-like")</f>
        <v>ryanodine receptor 1-like</v>
      </c>
      <c r="J55">
        <v>9044.09</v>
      </c>
      <c r="K55" t="s">
        <v>19</v>
      </c>
      <c r="L55">
        <v>276</v>
      </c>
      <c r="M55">
        <v>9.75</v>
      </c>
      <c r="N55">
        <v>86.51</v>
      </c>
      <c r="O55" t="s">
        <v>19</v>
      </c>
      <c r="P55" t="s">
        <v>20</v>
      </c>
      <c r="Q55" t="s">
        <v>19</v>
      </c>
      <c r="R55" t="str">
        <f>HYPERLINK("https://cfpub.epa.gov/ecotox/explore.cfm?ncbi=8167","Explore in ECOTOX")</f>
        <v>Explore in ECOTOX</v>
      </c>
    </row>
    <row r="56" spans="1:18" x14ac:dyDescent="0.45">
      <c r="A56" t="s">
        <v>1264</v>
      </c>
      <c r="B56">
        <v>8</v>
      </c>
      <c r="C56" t="str">
        <f>HYPERLINK("http://www.ncbi.nlm.nih.gov/protein/XP_047462896.1","XP_047462896.1")</f>
        <v>XP_047462896.1</v>
      </c>
      <c r="D56">
        <v>45447</v>
      </c>
      <c r="E56" t="str">
        <f>HYPERLINK("http://www.ncbi.nlm.nih.gov/Taxonomy/Browser/wwwtax.cgi?mode=Info&amp;id=48193&amp;lvl=3&amp;lin=f&amp;keep=1&amp;srchmode=1&amp;unlock","48193")</f>
        <v>48193</v>
      </c>
      <c r="F56" t="s">
        <v>17</v>
      </c>
      <c r="G56" t="str">
        <f>HYPERLINK("http://www.ncbi.nlm.nih.gov/Taxonomy/Browser/wwwtax.cgi?mode=Info&amp;id=48193&amp;lvl=3&amp;lin=f&amp;keep=1&amp;srchmode=1&amp;unlock","Mugil cephalus")</f>
        <v>Mugil cephalus</v>
      </c>
      <c r="H56" t="s">
        <v>68</v>
      </c>
      <c r="I56" t="str">
        <f>HYPERLINK("http://www.ncbi.nlm.nih.gov/protein/XP_047462896.1","ryanodine receptor 1-like isoform X8")</f>
        <v>ryanodine receptor 1-like isoform X8</v>
      </c>
      <c r="J56">
        <v>9042.16</v>
      </c>
      <c r="K56" t="s">
        <v>19</v>
      </c>
      <c r="L56">
        <v>276</v>
      </c>
      <c r="M56">
        <v>9.75</v>
      </c>
      <c r="N56">
        <v>86.5</v>
      </c>
      <c r="O56" t="s">
        <v>19</v>
      </c>
      <c r="P56" t="s">
        <v>20</v>
      </c>
      <c r="Q56" t="s">
        <v>19</v>
      </c>
      <c r="R56" t="str">
        <f>HYPERLINK("https://cfpub.epa.gov/ecotox/explore.cfm?ncbi=48193","Explore in ECOTOX")</f>
        <v>Explore in ECOTOX</v>
      </c>
    </row>
    <row r="57" spans="1:18" x14ac:dyDescent="0.45">
      <c r="A57" t="s">
        <v>1264</v>
      </c>
      <c r="B57">
        <v>8</v>
      </c>
      <c r="C57" t="str">
        <f>HYPERLINK("http://www.ncbi.nlm.nih.gov/protein/XP_024120892.1","XP_024120892.1")</f>
        <v>XP_024120892.1</v>
      </c>
      <c r="D57">
        <v>69270</v>
      </c>
      <c r="E57" t="str">
        <f>HYPERLINK("http://www.ncbi.nlm.nih.gov/Taxonomy/Browser/wwwtax.cgi?mode=Info&amp;id=30732&amp;lvl=3&amp;lin=f&amp;keep=1&amp;srchmode=1&amp;unlock","30732")</f>
        <v>30732</v>
      </c>
      <c r="F57" t="s">
        <v>17</v>
      </c>
      <c r="G57" t="str">
        <f>HYPERLINK("http://www.ncbi.nlm.nih.gov/Taxonomy/Browser/wwwtax.cgi?mode=Info&amp;id=30732&amp;lvl=3&amp;lin=f&amp;keep=1&amp;srchmode=1&amp;unlock","Oryzias melastigma")</f>
        <v>Oryzias melastigma</v>
      </c>
      <c r="H57" t="s">
        <v>69</v>
      </c>
      <c r="I57" t="str">
        <f>HYPERLINK("http://www.ncbi.nlm.nih.gov/protein/XP_024120892.1","ryanodine receptor 1 isoform X2")</f>
        <v>ryanodine receptor 1 isoform X2</v>
      </c>
      <c r="J57">
        <v>9040.23</v>
      </c>
      <c r="K57" t="s">
        <v>19</v>
      </c>
      <c r="L57">
        <v>276</v>
      </c>
      <c r="M57">
        <v>9.75</v>
      </c>
      <c r="N57">
        <v>86.48</v>
      </c>
      <c r="O57" t="s">
        <v>19</v>
      </c>
      <c r="P57" t="s">
        <v>20</v>
      </c>
      <c r="Q57" t="s">
        <v>19</v>
      </c>
      <c r="R57" t="str">
        <f>HYPERLINK("https://cfpub.epa.gov/ecotox/explore.cfm?ncbi=30732","Explore in ECOTOX")</f>
        <v>Explore in ECOTOX</v>
      </c>
    </row>
    <row r="58" spans="1:18" x14ac:dyDescent="0.45">
      <c r="A58" t="s">
        <v>1264</v>
      </c>
      <c r="B58">
        <v>8</v>
      </c>
      <c r="C58" t="str">
        <f>HYPERLINK("http://www.ncbi.nlm.nih.gov/protein/XP_046876660.1","XP_046876660.1")</f>
        <v>XP_046876660.1</v>
      </c>
      <c r="D58">
        <v>38520</v>
      </c>
      <c r="E58" t="str">
        <f>HYPERLINK("http://www.ncbi.nlm.nih.gov/Taxonomy/Browser/wwwtax.cgi?mode=Info&amp;id=137520&amp;lvl=3&amp;lin=f&amp;keep=1&amp;srchmode=1&amp;unlock","137520")</f>
        <v>137520</v>
      </c>
      <c r="F58" t="s">
        <v>17</v>
      </c>
      <c r="G58" t="str">
        <f>HYPERLINK("http://www.ncbi.nlm.nih.gov/Taxonomy/Browser/wwwtax.cgi?mode=Info&amp;id=137520&amp;lvl=3&amp;lin=f&amp;keep=1&amp;srchmode=1&amp;unlock","Hypomesus transpacificus")</f>
        <v>Hypomesus transpacificus</v>
      </c>
      <c r="H58" t="s">
        <v>70</v>
      </c>
      <c r="I58" t="str">
        <f>HYPERLINK("http://www.ncbi.nlm.nih.gov/protein/XP_046876660.1","ryanodine receptor 1 isoform X15")</f>
        <v>ryanodine receptor 1 isoform X15</v>
      </c>
      <c r="J58">
        <v>9039.08</v>
      </c>
      <c r="K58" t="s">
        <v>19</v>
      </c>
      <c r="L58">
        <v>276</v>
      </c>
      <c r="M58">
        <v>9.75</v>
      </c>
      <c r="N58">
        <v>86.47</v>
      </c>
      <c r="O58" t="s">
        <v>19</v>
      </c>
      <c r="P58" t="s">
        <v>20</v>
      </c>
      <c r="Q58" t="s">
        <v>19</v>
      </c>
      <c r="R58" t="str">
        <f>HYPERLINK("https://cfpub.epa.gov/ecotox/explore.cfm?ncbi=137520","Explore in ECOTOX")</f>
        <v>Explore in ECOTOX</v>
      </c>
    </row>
    <row r="59" spans="1:18" x14ac:dyDescent="0.45">
      <c r="A59" t="s">
        <v>1264</v>
      </c>
      <c r="B59">
        <v>8</v>
      </c>
      <c r="C59" t="str">
        <f>HYPERLINK("http://www.ncbi.nlm.nih.gov/protein/XP_038565134.1","XP_038565134.1")</f>
        <v>XP_038565134.1</v>
      </c>
      <c r="D59">
        <v>48388</v>
      </c>
      <c r="E59" t="str">
        <f>HYPERLINK("http://www.ncbi.nlm.nih.gov/Taxonomy/Browser/wwwtax.cgi?mode=Info&amp;id=27706&amp;lvl=3&amp;lin=f&amp;keep=1&amp;srchmode=1&amp;unlock","27706")</f>
        <v>27706</v>
      </c>
      <c r="F59" t="s">
        <v>17</v>
      </c>
      <c r="G59" t="str">
        <f>HYPERLINK("http://www.ncbi.nlm.nih.gov/Taxonomy/Browser/wwwtax.cgi?mode=Info&amp;id=27706&amp;lvl=3&amp;lin=f&amp;keep=1&amp;srchmode=1&amp;unlock","Micropterus salmoides")</f>
        <v>Micropterus salmoides</v>
      </c>
      <c r="H59" t="s">
        <v>71</v>
      </c>
      <c r="I59" t="str">
        <f>HYPERLINK("http://www.ncbi.nlm.nih.gov/protein/XP_038565134.1","ryanodine receptor 1-like isoform X9")</f>
        <v>ryanodine receptor 1-like isoform X9</v>
      </c>
      <c r="J59">
        <v>9038.31</v>
      </c>
      <c r="K59" t="s">
        <v>19</v>
      </c>
      <c r="L59">
        <v>276</v>
      </c>
      <c r="M59">
        <v>9.75</v>
      </c>
      <c r="N59">
        <v>86.46</v>
      </c>
      <c r="O59" t="s">
        <v>19</v>
      </c>
      <c r="P59" t="s">
        <v>20</v>
      </c>
      <c r="Q59" t="s">
        <v>19</v>
      </c>
      <c r="R59" t="str">
        <f>HYPERLINK("https://cfpub.epa.gov/ecotox/explore.cfm?ncbi=27706","Explore in ECOTOX")</f>
        <v>Explore in ECOTOX</v>
      </c>
    </row>
    <row r="60" spans="1:18" x14ac:dyDescent="0.45">
      <c r="A60" t="s">
        <v>1264</v>
      </c>
      <c r="B60">
        <v>8</v>
      </c>
      <c r="C60" t="str">
        <f>HYPERLINK("http://www.ncbi.nlm.nih.gov/protein/XP_035767617.1","XP_035767617.1")</f>
        <v>XP_035767617.1</v>
      </c>
      <c r="D60">
        <v>36437</v>
      </c>
      <c r="E60" t="str">
        <f>HYPERLINK("http://www.ncbi.nlm.nih.gov/Taxonomy/Browser/wwwtax.cgi?mode=Info&amp;id=32507&amp;lvl=3&amp;lin=f&amp;keep=1&amp;srchmode=1&amp;unlock","32507")</f>
        <v>32507</v>
      </c>
      <c r="F60" t="s">
        <v>17</v>
      </c>
      <c r="G60" t="str">
        <f>HYPERLINK("http://www.ncbi.nlm.nih.gov/Taxonomy/Browser/wwwtax.cgi?mode=Info&amp;id=32507&amp;lvl=3&amp;lin=f&amp;keep=1&amp;srchmode=1&amp;unlock","Neolamprologus brichardi")</f>
        <v>Neolamprologus brichardi</v>
      </c>
      <c r="H60" t="s">
        <v>72</v>
      </c>
      <c r="I60" t="str">
        <f>HYPERLINK("http://www.ncbi.nlm.nih.gov/protein/XP_035767617.1","ryanodine receptor 1-like isoform X4")</f>
        <v>ryanodine receptor 1-like isoform X4</v>
      </c>
      <c r="J60">
        <v>9037.92</v>
      </c>
      <c r="K60" t="s">
        <v>19</v>
      </c>
      <c r="L60">
        <v>276</v>
      </c>
      <c r="M60">
        <v>9.75</v>
      </c>
      <c r="N60">
        <v>86.46</v>
      </c>
      <c r="O60" t="s">
        <v>19</v>
      </c>
      <c r="P60" t="s">
        <v>20</v>
      </c>
      <c r="Q60" t="s">
        <v>19</v>
      </c>
      <c r="R60" t="str">
        <f>HYPERLINK("https://cfpub.epa.gov/ecotox/explore.cfm?ncbi=32507","Explore in ECOTOX")</f>
        <v>Explore in ECOTOX</v>
      </c>
    </row>
    <row r="61" spans="1:18" x14ac:dyDescent="0.45">
      <c r="A61" t="s">
        <v>1264</v>
      </c>
      <c r="B61">
        <v>8</v>
      </c>
      <c r="C61" t="str">
        <f>HYPERLINK("http://www.ncbi.nlm.nih.gov/protein/XP_013766917.1","XP_013766917.1")</f>
        <v>XP_013766917.1</v>
      </c>
      <c r="D61">
        <v>38743</v>
      </c>
      <c r="E61" t="str">
        <f>HYPERLINK("http://www.ncbi.nlm.nih.gov/Taxonomy/Browser/wwwtax.cgi?mode=Info&amp;id=303518&amp;lvl=3&amp;lin=f&amp;keep=1&amp;srchmode=1&amp;unlock","303518")</f>
        <v>303518</v>
      </c>
      <c r="F61" t="s">
        <v>17</v>
      </c>
      <c r="G61" t="str">
        <f>HYPERLINK("http://www.ncbi.nlm.nih.gov/Taxonomy/Browser/wwwtax.cgi?mode=Info&amp;id=303518&amp;lvl=3&amp;lin=f&amp;keep=1&amp;srchmode=1&amp;unlock","Pundamilia nyererei")</f>
        <v>Pundamilia nyererei</v>
      </c>
      <c r="H61" t="s">
        <v>73</v>
      </c>
      <c r="I61" t="str">
        <f>HYPERLINK("http://www.ncbi.nlm.nih.gov/protein/XP_013766917.1","PREDICTED: ryanodine receptor 1-like isoform X2")</f>
        <v>PREDICTED: ryanodine receptor 1-like isoform X2</v>
      </c>
      <c r="J61">
        <v>9037.92</v>
      </c>
      <c r="K61" t="s">
        <v>19</v>
      </c>
      <c r="L61">
        <v>276</v>
      </c>
      <c r="M61">
        <v>9.75</v>
      </c>
      <c r="N61">
        <v>86.46</v>
      </c>
      <c r="O61" t="s">
        <v>19</v>
      </c>
      <c r="P61" t="s">
        <v>20</v>
      </c>
      <c r="Q61" t="s">
        <v>19</v>
      </c>
      <c r="R61" t="str">
        <f>HYPERLINK("https://cfpub.epa.gov/ecotox/explore.cfm?ncbi=303518","Explore in ECOTOX")</f>
        <v>Explore in ECOTOX</v>
      </c>
    </row>
    <row r="62" spans="1:18" x14ac:dyDescent="0.45">
      <c r="A62" t="s">
        <v>1264</v>
      </c>
      <c r="B62">
        <v>8</v>
      </c>
      <c r="C62" t="str">
        <f>HYPERLINK("http://www.ncbi.nlm.nih.gov/protein/XP_026036786.1","XP_026036786.1")</f>
        <v>XP_026036786.1</v>
      </c>
      <c r="D62">
        <v>52755</v>
      </c>
      <c r="E62" t="str">
        <f>HYPERLINK("http://www.ncbi.nlm.nih.gov/Taxonomy/Browser/wwwtax.cgi?mode=Info&amp;id=8154&amp;lvl=3&amp;lin=f&amp;keep=1&amp;srchmode=1&amp;unlock","8154")</f>
        <v>8154</v>
      </c>
      <c r="F62" t="s">
        <v>17</v>
      </c>
      <c r="G62" t="str">
        <f>HYPERLINK("http://www.ncbi.nlm.nih.gov/Taxonomy/Browser/wwwtax.cgi?mode=Info&amp;id=8154&amp;lvl=3&amp;lin=f&amp;keep=1&amp;srchmode=1&amp;unlock","Astatotilapia calliptera")</f>
        <v>Astatotilapia calliptera</v>
      </c>
      <c r="H62" t="s">
        <v>74</v>
      </c>
      <c r="I62" t="str">
        <f>HYPERLINK("http://www.ncbi.nlm.nih.gov/protein/XP_026036786.1","ryanodine receptor 1-like isoform X4")</f>
        <v>ryanodine receptor 1-like isoform X4</v>
      </c>
      <c r="J62">
        <v>9037.5400000000009</v>
      </c>
      <c r="K62" t="s">
        <v>19</v>
      </c>
      <c r="L62">
        <v>276</v>
      </c>
      <c r="M62">
        <v>9.75</v>
      </c>
      <c r="N62">
        <v>86.45</v>
      </c>
      <c r="O62" t="s">
        <v>19</v>
      </c>
      <c r="P62" t="s">
        <v>20</v>
      </c>
      <c r="Q62" t="s">
        <v>19</v>
      </c>
      <c r="R62" t="str">
        <f>HYPERLINK("https://cfpub.epa.gov/ecotox/explore.cfm?ncbi=8154","Explore in ECOTOX")</f>
        <v>Explore in ECOTOX</v>
      </c>
    </row>
    <row r="63" spans="1:18" x14ac:dyDescent="0.45">
      <c r="A63" t="s">
        <v>1264</v>
      </c>
      <c r="B63">
        <v>8</v>
      </c>
      <c r="C63" t="str">
        <f>HYPERLINK("http://www.ncbi.nlm.nih.gov/protein/XP_042084247.1","XP_042084247.1")</f>
        <v>XP_042084247.1</v>
      </c>
      <c r="D63">
        <v>49303</v>
      </c>
      <c r="E63" t="str">
        <f>HYPERLINK("http://www.ncbi.nlm.nih.gov/Taxonomy/Browser/wwwtax.cgi?mode=Info&amp;id=8153&amp;lvl=3&amp;lin=f&amp;keep=1&amp;srchmode=1&amp;unlock","8153")</f>
        <v>8153</v>
      </c>
      <c r="F63" t="s">
        <v>17</v>
      </c>
      <c r="G63" t="str">
        <f>HYPERLINK("http://www.ncbi.nlm.nih.gov/Taxonomy/Browser/wwwtax.cgi?mode=Info&amp;id=8153&amp;lvl=3&amp;lin=f&amp;keep=1&amp;srchmode=1&amp;unlock","Haplochromis burtoni")</f>
        <v>Haplochromis burtoni</v>
      </c>
      <c r="H63" t="s">
        <v>75</v>
      </c>
      <c r="I63" t="str">
        <f>HYPERLINK("http://www.ncbi.nlm.nih.gov/protein/XP_042084247.1","ryanodine receptor 1 isoform X4")</f>
        <v>ryanodine receptor 1 isoform X4</v>
      </c>
      <c r="J63">
        <v>9037.15</v>
      </c>
      <c r="K63" t="s">
        <v>19</v>
      </c>
      <c r="L63">
        <v>276</v>
      </c>
      <c r="M63">
        <v>9.75</v>
      </c>
      <c r="N63">
        <v>86.45</v>
      </c>
      <c r="O63" t="s">
        <v>19</v>
      </c>
      <c r="P63" t="s">
        <v>20</v>
      </c>
      <c r="Q63" t="s">
        <v>19</v>
      </c>
      <c r="R63" t="str">
        <f>HYPERLINK("https://cfpub.epa.gov/ecotox/explore.cfm?ncbi=8153","Explore in ECOTOX")</f>
        <v>Explore in ECOTOX</v>
      </c>
    </row>
    <row r="64" spans="1:18" x14ac:dyDescent="0.45">
      <c r="A64" t="s">
        <v>1264</v>
      </c>
      <c r="B64">
        <v>8</v>
      </c>
      <c r="C64" t="str">
        <f>HYPERLINK("http://www.ncbi.nlm.nih.gov/protein/XP_039888935.1","XP_039888935.1")</f>
        <v>XP_039888935.1</v>
      </c>
      <c r="D64">
        <v>53697</v>
      </c>
      <c r="E64" t="str">
        <f>HYPERLINK("http://www.ncbi.nlm.nih.gov/Taxonomy/Browser/wwwtax.cgi?mode=Info&amp;id=43689&amp;lvl=3&amp;lin=f&amp;keep=1&amp;srchmode=1&amp;unlock","43689")</f>
        <v>43689</v>
      </c>
      <c r="F64" t="s">
        <v>17</v>
      </c>
      <c r="G64" t="str">
        <f>HYPERLINK("http://www.ncbi.nlm.nih.gov/Taxonomy/Browser/wwwtax.cgi?mode=Info&amp;id=43689&amp;lvl=3&amp;lin=f&amp;keep=1&amp;srchmode=1&amp;unlock","Simochromis diagramma")</f>
        <v>Simochromis diagramma</v>
      </c>
      <c r="H64" t="s">
        <v>73</v>
      </c>
      <c r="I64" t="str">
        <f>HYPERLINK("http://www.ncbi.nlm.nih.gov/protein/XP_039888935.1","ryanodine receptor 1-like isoform X4")</f>
        <v>ryanodine receptor 1-like isoform X4</v>
      </c>
      <c r="J64">
        <v>9034.07</v>
      </c>
      <c r="K64" t="s">
        <v>19</v>
      </c>
      <c r="L64">
        <v>276</v>
      </c>
      <c r="M64">
        <v>9.75</v>
      </c>
      <c r="N64">
        <v>86.42</v>
      </c>
      <c r="O64" t="s">
        <v>19</v>
      </c>
      <c r="P64" t="s">
        <v>20</v>
      </c>
      <c r="Q64" t="s">
        <v>19</v>
      </c>
      <c r="R64" t="str">
        <f>HYPERLINK("https://cfpub.epa.gov/ecotox/explore.cfm?ncbi=43689","Explore in ECOTOX")</f>
        <v>Explore in ECOTOX</v>
      </c>
    </row>
    <row r="65" spans="1:18" x14ac:dyDescent="0.45">
      <c r="A65" t="s">
        <v>1264</v>
      </c>
      <c r="B65">
        <v>8</v>
      </c>
      <c r="C65" t="str">
        <f>HYPERLINK("http://www.ncbi.nlm.nih.gov/protein/XP_034746477.1","XP_034746477.1")</f>
        <v>XP_034746477.1</v>
      </c>
      <c r="D65">
        <v>45233</v>
      </c>
      <c r="E65" t="str">
        <f>HYPERLINK("http://www.ncbi.nlm.nih.gov/Taxonomy/Browser/wwwtax.cgi?mode=Info&amp;id=417921&amp;lvl=3&amp;lin=f&amp;keep=1&amp;srchmode=1&amp;unlock","417921")</f>
        <v>417921</v>
      </c>
      <c r="F65" t="s">
        <v>17</v>
      </c>
      <c r="G65" t="str">
        <f>HYPERLINK("http://www.ncbi.nlm.nih.gov/Taxonomy/Browser/wwwtax.cgi?mode=Info&amp;id=417921&amp;lvl=3&amp;lin=f&amp;keep=1&amp;srchmode=1&amp;unlock","Etheostoma cragini")</f>
        <v>Etheostoma cragini</v>
      </c>
      <c r="H65" t="s">
        <v>76</v>
      </c>
      <c r="I65" t="str">
        <f>HYPERLINK("http://www.ncbi.nlm.nih.gov/protein/XP_034746477.1","ryanodine receptor 1-like isoform X7")</f>
        <v>ryanodine receptor 1-like isoform X7</v>
      </c>
      <c r="J65">
        <v>9033.69</v>
      </c>
      <c r="K65" t="s">
        <v>19</v>
      </c>
      <c r="L65">
        <v>276</v>
      </c>
      <c r="M65">
        <v>9.75</v>
      </c>
      <c r="N65">
        <v>86.41</v>
      </c>
      <c r="O65" t="s">
        <v>19</v>
      </c>
      <c r="P65" t="s">
        <v>20</v>
      </c>
      <c r="Q65" t="s">
        <v>19</v>
      </c>
      <c r="R65" t="str">
        <f>HYPERLINK("https://cfpub.epa.gov/ecotox/explore.cfm?ncbi=417921","Explore in ECOTOX")</f>
        <v>Explore in ECOTOX</v>
      </c>
    </row>
    <row r="66" spans="1:18" x14ac:dyDescent="0.45">
      <c r="A66" t="s">
        <v>1264</v>
      </c>
      <c r="B66">
        <v>8</v>
      </c>
      <c r="C66" t="str">
        <f>HYPERLINK("http://www.ncbi.nlm.nih.gov/protein/XP_051257102.1","XP_051257102.1")</f>
        <v>XP_051257102.1</v>
      </c>
      <c r="D66">
        <v>57329</v>
      </c>
      <c r="E66" t="str">
        <f>HYPERLINK("http://www.ncbi.nlm.nih.gov/Taxonomy/Browser/wwwtax.cgi?mode=Info&amp;id=13489&amp;lvl=3&amp;lin=f&amp;keep=1&amp;srchmode=1&amp;unlock","13489")</f>
        <v>13489</v>
      </c>
      <c r="F66" t="s">
        <v>17</v>
      </c>
      <c r="G66" t="str">
        <f>HYPERLINK("http://www.ncbi.nlm.nih.gov/Taxonomy/Browser/wwwtax.cgi?mode=Info&amp;id=13489&amp;lvl=3&amp;lin=f&amp;keep=1&amp;srchmode=1&amp;unlock","Dicentrarchus labrax")</f>
        <v>Dicentrarchus labrax</v>
      </c>
      <c r="H66" t="s">
        <v>77</v>
      </c>
      <c r="I66" t="str">
        <f>HYPERLINK("http://www.ncbi.nlm.nih.gov/protein/XP_051257102.1","ryanodine receptor 1 isoform X4")</f>
        <v>ryanodine receptor 1 isoform X4</v>
      </c>
      <c r="J66">
        <v>9031.3799999999992</v>
      </c>
      <c r="K66" t="s">
        <v>19</v>
      </c>
      <c r="L66">
        <v>276</v>
      </c>
      <c r="M66">
        <v>9.75</v>
      </c>
      <c r="N66">
        <v>86.39</v>
      </c>
      <c r="O66" t="s">
        <v>19</v>
      </c>
      <c r="P66" t="s">
        <v>20</v>
      </c>
      <c r="Q66" t="s">
        <v>19</v>
      </c>
      <c r="R66" t="str">
        <f>HYPERLINK("https://cfpub.epa.gov/ecotox/explore.cfm?ncbi=13489","Explore in ECOTOX")</f>
        <v>Explore in ECOTOX</v>
      </c>
    </row>
    <row r="67" spans="1:18" x14ac:dyDescent="0.45">
      <c r="A67" t="s">
        <v>1264</v>
      </c>
      <c r="B67">
        <v>8</v>
      </c>
      <c r="C67" t="str">
        <f>HYPERLINK("http://www.ncbi.nlm.nih.gov/protein/XP_040908297.1","XP_040908297.1")</f>
        <v>XP_040908297.1</v>
      </c>
      <c r="D67">
        <v>38459</v>
      </c>
      <c r="E67" t="str">
        <f>HYPERLINK("http://www.ncbi.nlm.nih.gov/Taxonomy/Browser/wwwtax.cgi?mode=Info&amp;id=941984&amp;lvl=3&amp;lin=f&amp;keep=1&amp;srchmode=1&amp;unlock","941984")</f>
        <v>941984</v>
      </c>
      <c r="F67" t="s">
        <v>17</v>
      </c>
      <c r="G67" t="str">
        <f>HYPERLINK("http://www.ncbi.nlm.nih.gov/Taxonomy/Browser/wwwtax.cgi?mode=Info&amp;id=941984&amp;lvl=3&amp;lin=f&amp;keep=1&amp;srchmode=1&amp;unlock","Toxotes jaculatrix")</f>
        <v>Toxotes jaculatrix</v>
      </c>
      <c r="H67" t="s">
        <v>78</v>
      </c>
      <c r="I67" t="str">
        <f>HYPERLINK("http://www.ncbi.nlm.nih.gov/protein/XP_040908297.1","ryanodine receptor 1-like")</f>
        <v>ryanodine receptor 1-like</v>
      </c>
      <c r="J67">
        <v>9031.3799999999992</v>
      </c>
      <c r="K67" t="s">
        <v>19</v>
      </c>
      <c r="L67">
        <v>276</v>
      </c>
      <c r="M67">
        <v>9.75</v>
      </c>
      <c r="N67">
        <v>86.39</v>
      </c>
      <c r="O67" t="s">
        <v>19</v>
      </c>
      <c r="P67" t="s">
        <v>20</v>
      </c>
      <c r="Q67" t="s">
        <v>19</v>
      </c>
      <c r="R67" t="str">
        <f>HYPERLINK("https://cfpub.epa.gov/ecotox/explore.cfm?ncbi=941984","Explore in ECOTOX")</f>
        <v>Explore in ECOTOX</v>
      </c>
    </row>
    <row r="68" spans="1:18" x14ac:dyDescent="0.45">
      <c r="A68" t="s">
        <v>1264</v>
      </c>
      <c r="B68">
        <v>8</v>
      </c>
      <c r="C68" t="str">
        <f>HYPERLINK("http://www.ncbi.nlm.nih.gov/protein/XP_048840050.1","XP_048840050.1")</f>
        <v>XP_048840050.1</v>
      </c>
      <c r="D68">
        <v>62344</v>
      </c>
      <c r="E68" t="str">
        <f>HYPERLINK("http://www.ncbi.nlm.nih.gov/Taxonomy/Browser/wwwtax.cgi?mode=Info&amp;id=42636&amp;lvl=3&amp;lin=f&amp;keep=1&amp;srchmode=1&amp;unlock","42636")</f>
        <v>42636</v>
      </c>
      <c r="F68" t="s">
        <v>17</v>
      </c>
      <c r="G68" t="str">
        <f>HYPERLINK("http://www.ncbi.nlm.nih.gov/Taxonomy/Browser/wwwtax.cgi?mode=Info&amp;id=42636&amp;lvl=3&amp;lin=f&amp;keep=1&amp;srchmode=1&amp;unlock","Brienomyrus brachyistius")</f>
        <v>Brienomyrus brachyistius</v>
      </c>
      <c r="H68" t="s">
        <v>79</v>
      </c>
      <c r="I68" t="str">
        <f>HYPERLINK("http://www.ncbi.nlm.nih.gov/protein/XP_048840050.1","ryanodine receptor 1 isoform X1")</f>
        <v>ryanodine receptor 1 isoform X1</v>
      </c>
      <c r="J68">
        <v>9030.99</v>
      </c>
      <c r="K68" t="s">
        <v>19</v>
      </c>
      <c r="L68">
        <v>276</v>
      </c>
      <c r="M68">
        <v>9.75</v>
      </c>
      <c r="N68">
        <v>86.39</v>
      </c>
      <c r="O68" t="s">
        <v>19</v>
      </c>
      <c r="P68" t="s">
        <v>20</v>
      </c>
      <c r="Q68" t="s">
        <v>19</v>
      </c>
      <c r="R68" t="str">
        <f>HYPERLINK("https://cfpub.epa.gov/ecotox/explore.cfm?ncbi=42636","Explore in ECOTOX")</f>
        <v>Explore in ECOTOX</v>
      </c>
    </row>
    <row r="69" spans="1:18" x14ac:dyDescent="0.45">
      <c r="A69" t="s">
        <v>1264</v>
      </c>
      <c r="B69">
        <v>8</v>
      </c>
      <c r="C69" t="str">
        <f>HYPERLINK("http://www.ncbi.nlm.nih.gov/protein/XP_012778144.1","XP_012778144.1")</f>
        <v>XP_012778144.1</v>
      </c>
      <c r="D69">
        <v>46437</v>
      </c>
      <c r="E69" t="str">
        <f>HYPERLINK("http://www.ncbi.nlm.nih.gov/Taxonomy/Browser/wwwtax.cgi?mode=Info&amp;id=106582&amp;lvl=3&amp;lin=f&amp;keep=1&amp;srchmode=1&amp;unlock","106582")</f>
        <v>106582</v>
      </c>
      <c r="F69" t="s">
        <v>17</v>
      </c>
      <c r="G69" t="str">
        <f>HYPERLINK("http://www.ncbi.nlm.nih.gov/Taxonomy/Browser/wwwtax.cgi?mode=Info&amp;id=106582&amp;lvl=3&amp;lin=f&amp;keep=1&amp;srchmode=1&amp;unlock","Maylandia zebra")</f>
        <v>Maylandia zebra</v>
      </c>
      <c r="H69" t="s">
        <v>80</v>
      </c>
      <c r="I69" t="str">
        <f>HYPERLINK("http://www.ncbi.nlm.nih.gov/protein/XP_012778144.1","ryanodine receptor 1 isoform X1")</f>
        <v>ryanodine receptor 1 isoform X1</v>
      </c>
      <c r="J69">
        <v>9030.6</v>
      </c>
      <c r="K69" t="s">
        <v>19</v>
      </c>
      <c r="L69">
        <v>276</v>
      </c>
      <c r="M69">
        <v>9.75</v>
      </c>
      <c r="N69">
        <v>86.38</v>
      </c>
      <c r="O69" t="s">
        <v>19</v>
      </c>
      <c r="P69" t="s">
        <v>20</v>
      </c>
      <c r="Q69" t="s">
        <v>19</v>
      </c>
      <c r="R69" t="str">
        <f>HYPERLINK("https://cfpub.epa.gov/ecotox/explore.cfm?ncbi=106582","Explore in ECOTOX")</f>
        <v>Explore in ECOTOX</v>
      </c>
    </row>
    <row r="70" spans="1:18" x14ac:dyDescent="0.45">
      <c r="A70" t="s">
        <v>1264</v>
      </c>
      <c r="B70">
        <v>8</v>
      </c>
      <c r="C70" t="str">
        <f>HYPERLINK("http://www.ncbi.nlm.nih.gov/protein/XP_057942190.1","XP_057942190.1")</f>
        <v>XP_057942190.1</v>
      </c>
      <c r="D70">
        <v>45989</v>
      </c>
      <c r="E70" t="str">
        <f>HYPERLINK("http://www.ncbi.nlm.nih.gov/Taxonomy/Browser/wwwtax.cgi?mode=Info&amp;id=161450&amp;lvl=3&amp;lin=f&amp;keep=1&amp;srchmode=1&amp;unlock","161450")</f>
        <v>161450</v>
      </c>
      <c r="F70" t="s">
        <v>17</v>
      </c>
      <c r="G70" t="str">
        <f>HYPERLINK("http://www.ncbi.nlm.nih.gov/Taxonomy/Browser/wwwtax.cgi?mode=Info&amp;id=161450&amp;lvl=3&amp;lin=f&amp;keep=1&amp;srchmode=1&amp;unlock","Doryrhamphus excisus")</f>
        <v>Doryrhamphus excisus</v>
      </c>
      <c r="H70" t="s">
        <v>81</v>
      </c>
      <c r="I70" t="str">
        <f>HYPERLINK("http://www.ncbi.nlm.nih.gov/protein/XP_057942190.1","ryanodine receptor 1-like isoform X5")</f>
        <v>ryanodine receptor 1-like isoform X5</v>
      </c>
      <c r="J70">
        <v>9030.2199999999993</v>
      </c>
      <c r="K70" t="s">
        <v>19</v>
      </c>
      <c r="L70">
        <v>276</v>
      </c>
      <c r="M70">
        <v>9.75</v>
      </c>
      <c r="N70">
        <v>86.38</v>
      </c>
      <c r="O70" t="s">
        <v>19</v>
      </c>
      <c r="P70" t="s">
        <v>20</v>
      </c>
      <c r="Q70" t="s">
        <v>19</v>
      </c>
      <c r="R70" t="str">
        <f>HYPERLINK("https://cfpub.epa.gov/ecotox/explore.cfm?ncbi=161450","Explore in ECOTOX")</f>
        <v>Explore in ECOTOX</v>
      </c>
    </row>
    <row r="71" spans="1:18" x14ac:dyDescent="0.45">
      <c r="A71" t="s">
        <v>1264</v>
      </c>
      <c r="B71">
        <v>8</v>
      </c>
      <c r="C71" t="str">
        <f>HYPERLINK("http://www.ncbi.nlm.nih.gov/protein/XP_045896834.1","XP_045896834.1")</f>
        <v>XP_045896834.1</v>
      </c>
      <c r="D71">
        <v>48490</v>
      </c>
      <c r="E71" t="str">
        <f>HYPERLINK("http://www.ncbi.nlm.nih.gov/Taxonomy/Browser/wwwtax.cgi?mode=Info&amp;id=147949&amp;lvl=3&amp;lin=f&amp;keep=1&amp;srchmode=1&amp;unlock","147949")</f>
        <v>147949</v>
      </c>
      <c r="F71" t="s">
        <v>17</v>
      </c>
      <c r="G71" t="str">
        <f>HYPERLINK("http://www.ncbi.nlm.nih.gov/Taxonomy/Browser/wwwtax.cgi?mode=Info&amp;id=147949&amp;lvl=3&amp;lin=f&amp;keep=1&amp;srchmode=1&amp;unlock","Micropterus dolomieu")</f>
        <v>Micropterus dolomieu</v>
      </c>
      <c r="H71" t="s">
        <v>82</v>
      </c>
      <c r="I71" t="str">
        <f>HYPERLINK("http://www.ncbi.nlm.nih.gov/protein/XP_045896834.1","ryanodine receptor 1-like")</f>
        <v>ryanodine receptor 1-like</v>
      </c>
      <c r="J71">
        <v>9028.2900000000009</v>
      </c>
      <c r="K71" t="s">
        <v>19</v>
      </c>
      <c r="L71">
        <v>276</v>
      </c>
      <c r="M71">
        <v>9.75</v>
      </c>
      <c r="N71">
        <v>86.36</v>
      </c>
      <c r="O71" t="s">
        <v>19</v>
      </c>
      <c r="P71" t="s">
        <v>20</v>
      </c>
      <c r="Q71" t="s">
        <v>19</v>
      </c>
      <c r="R71" t="str">
        <f>HYPERLINK("https://cfpub.epa.gov/ecotox/explore.cfm?ncbi=147949","Explore in ECOTOX")</f>
        <v>Explore in ECOTOX</v>
      </c>
    </row>
    <row r="72" spans="1:18" x14ac:dyDescent="0.45">
      <c r="A72" t="s">
        <v>1264</v>
      </c>
      <c r="B72">
        <v>8</v>
      </c>
      <c r="C72" t="str">
        <f>HYPERLINK("http://www.ncbi.nlm.nih.gov/protein/XP_019941589.1","XP_019941589.1")</f>
        <v>XP_019941589.1</v>
      </c>
      <c r="D72">
        <v>37917</v>
      </c>
      <c r="E72" t="str">
        <f>HYPERLINK("http://www.ncbi.nlm.nih.gov/Taxonomy/Browser/wwwtax.cgi?mode=Info&amp;id=8255&amp;lvl=3&amp;lin=f&amp;keep=1&amp;srchmode=1&amp;unlock","8255")</f>
        <v>8255</v>
      </c>
      <c r="F72" t="s">
        <v>17</v>
      </c>
      <c r="G72" t="str">
        <f>HYPERLINK("http://www.ncbi.nlm.nih.gov/Taxonomy/Browser/wwwtax.cgi?mode=Info&amp;id=8255&amp;lvl=3&amp;lin=f&amp;keep=1&amp;srchmode=1&amp;unlock","Paralichthys olivaceus")</f>
        <v>Paralichthys olivaceus</v>
      </c>
      <c r="H72" t="s">
        <v>83</v>
      </c>
      <c r="I72" t="str">
        <f>HYPERLINK("http://www.ncbi.nlm.nih.gov/protein/XP_019941589.1","PREDICTED: ryanodine receptor 1-like isoform X2")</f>
        <v>PREDICTED: ryanodine receptor 1-like isoform X2</v>
      </c>
      <c r="J72">
        <v>9027.91</v>
      </c>
      <c r="K72" t="s">
        <v>19</v>
      </c>
      <c r="L72">
        <v>276</v>
      </c>
      <c r="M72">
        <v>9.75</v>
      </c>
      <c r="N72">
        <v>86.36</v>
      </c>
      <c r="O72" t="s">
        <v>19</v>
      </c>
      <c r="P72" t="s">
        <v>20</v>
      </c>
      <c r="Q72" t="s">
        <v>19</v>
      </c>
      <c r="R72" t="str">
        <f>HYPERLINK("https://cfpub.epa.gov/ecotox/explore.cfm?ncbi=8255","Explore in ECOTOX")</f>
        <v>Explore in ECOTOX</v>
      </c>
    </row>
    <row r="73" spans="1:18" x14ac:dyDescent="0.45">
      <c r="A73" t="s">
        <v>1264</v>
      </c>
      <c r="B73">
        <v>8</v>
      </c>
      <c r="C73" t="str">
        <f>HYPERLINK("http://www.ncbi.nlm.nih.gov/protein/XP_030294667.1","XP_030294667.1")</f>
        <v>XP_030294667.1</v>
      </c>
      <c r="D73">
        <v>54212</v>
      </c>
      <c r="E73" t="str">
        <f>HYPERLINK("http://www.ncbi.nlm.nih.gov/Taxonomy/Browser/wwwtax.cgi?mode=Info&amp;id=8175&amp;lvl=3&amp;lin=f&amp;keep=1&amp;srchmode=1&amp;unlock","8175")</f>
        <v>8175</v>
      </c>
      <c r="F73" t="s">
        <v>17</v>
      </c>
      <c r="G73" t="str">
        <f>HYPERLINK("http://www.ncbi.nlm.nih.gov/Taxonomy/Browser/wwwtax.cgi?mode=Info&amp;id=8175&amp;lvl=3&amp;lin=f&amp;keep=1&amp;srchmode=1&amp;unlock","Sparus aurata")</f>
        <v>Sparus aurata</v>
      </c>
      <c r="H73" t="s">
        <v>84</v>
      </c>
      <c r="I73" t="str">
        <f>HYPERLINK("http://www.ncbi.nlm.nih.gov/protein/XP_030294667.1","ryanodine receptor 1-like isoform X10")</f>
        <v>ryanodine receptor 1-like isoform X10</v>
      </c>
      <c r="J73">
        <v>9025.6</v>
      </c>
      <c r="K73" t="s">
        <v>19</v>
      </c>
      <c r="L73">
        <v>276</v>
      </c>
      <c r="M73">
        <v>9.75</v>
      </c>
      <c r="N73">
        <v>86.34</v>
      </c>
      <c r="O73" t="s">
        <v>19</v>
      </c>
      <c r="P73" t="s">
        <v>20</v>
      </c>
      <c r="Q73" t="s">
        <v>19</v>
      </c>
      <c r="R73" t="str">
        <f>HYPERLINK("https://cfpub.epa.gov/ecotox/explore.cfm?ncbi=8175","Explore in ECOTOX")</f>
        <v>Explore in ECOTOX</v>
      </c>
    </row>
    <row r="74" spans="1:18" x14ac:dyDescent="0.45">
      <c r="A74" t="s">
        <v>1264</v>
      </c>
      <c r="B74">
        <v>8</v>
      </c>
      <c r="C74" t="str">
        <f>HYPERLINK("http://www.ncbi.nlm.nih.gov/protein/XP_008294796.1","XP_008294796.1")</f>
        <v>XP_008294796.1</v>
      </c>
      <c r="D74">
        <v>31764</v>
      </c>
      <c r="E74" t="str">
        <f>HYPERLINK("http://www.ncbi.nlm.nih.gov/Taxonomy/Browser/wwwtax.cgi?mode=Info&amp;id=144197&amp;lvl=3&amp;lin=f&amp;keep=1&amp;srchmode=1&amp;unlock","144197")</f>
        <v>144197</v>
      </c>
      <c r="F74" t="s">
        <v>17</v>
      </c>
      <c r="G74" t="str">
        <f>HYPERLINK("http://www.ncbi.nlm.nih.gov/Taxonomy/Browser/wwwtax.cgi?mode=Info&amp;id=144197&amp;lvl=3&amp;lin=f&amp;keep=1&amp;srchmode=1&amp;unlock","Stegastes partitus")</f>
        <v>Stegastes partitus</v>
      </c>
      <c r="H74" t="s">
        <v>85</v>
      </c>
      <c r="I74" t="str">
        <f>HYPERLINK("http://www.ncbi.nlm.nih.gov/protein/XP_008294796.1","PREDICTED: ryanodine receptor 1-like isoform X4")</f>
        <v>PREDICTED: ryanodine receptor 1-like isoform X4</v>
      </c>
      <c r="J74">
        <v>9025.2099999999991</v>
      </c>
      <c r="K74" t="s">
        <v>19</v>
      </c>
      <c r="L74">
        <v>276</v>
      </c>
      <c r="M74">
        <v>9.75</v>
      </c>
      <c r="N74">
        <v>86.33</v>
      </c>
      <c r="O74" t="s">
        <v>19</v>
      </c>
      <c r="P74" t="s">
        <v>20</v>
      </c>
      <c r="Q74" t="s">
        <v>19</v>
      </c>
      <c r="R74" t="str">
        <f>HYPERLINK("https://cfpub.epa.gov/ecotox/explore.cfm?ncbi=144197","Explore in ECOTOX")</f>
        <v>Explore in ECOTOX</v>
      </c>
    </row>
    <row r="75" spans="1:18" x14ac:dyDescent="0.45">
      <c r="A75" t="s">
        <v>1264</v>
      </c>
      <c r="B75">
        <v>8</v>
      </c>
      <c r="C75" t="str">
        <f>HYPERLINK("http://www.ncbi.nlm.nih.gov/protein/XP_025766651.1","XP_025766651.1")</f>
        <v>XP_025766651.1</v>
      </c>
      <c r="D75">
        <v>63723</v>
      </c>
      <c r="E75" t="str">
        <f>HYPERLINK("http://www.ncbi.nlm.nih.gov/Taxonomy/Browser/wwwtax.cgi?mode=Info&amp;id=8128&amp;lvl=3&amp;lin=f&amp;keep=1&amp;srchmode=1&amp;unlock","8128")</f>
        <v>8128</v>
      </c>
      <c r="F75" t="s">
        <v>17</v>
      </c>
      <c r="G75" t="str">
        <f>HYPERLINK("http://www.ncbi.nlm.nih.gov/Taxonomy/Browser/wwwtax.cgi?mode=Info&amp;id=8128&amp;lvl=3&amp;lin=f&amp;keep=1&amp;srchmode=1&amp;unlock","Oreochromis niloticus")</f>
        <v>Oreochromis niloticus</v>
      </c>
      <c r="H75" t="s">
        <v>86</v>
      </c>
      <c r="I75" t="str">
        <f>HYPERLINK("http://www.ncbi.nlm.nih.gov/protein/XP_025766651.1","ryanodine receptor 1")</f>
        <v>ryanodine receptor 1</v>
      </c>
      <c r="J75">
        <v>9023.67</v>
      </c>
      <c r="K75" t="s">
        <v>19</v>
      </c>
      <c r="L75">
        <v>276</v>
      </c>
      <c r="M75">
        <v>9.75</v>
      </c>
      <c r="N75">
        <v>86.32</v>
      </c>
      <c r="O75" t="s">
        <v>19</v>
      </c>
      <c r="P75" t="s">
        <v>20</v>
      </c>
      <c r="Q75" t="s">
        <v>19</v>
      </c>
      <c r="R75" t="str">
        <f>HYPERLINK("https://cfpub.epa.gov/ecotox/explore.cfm?ncbi=8128","Explore in ECOTOX")</f>
        <v>Explore in ECOTOX</v>
      </c>
    </row>
    <row r="76" spans="1:18" x14ac:dyDescent="0.45">
      <c r="A76" t="s">
        <v>1264</v>
      </c>
      <c r="B76">
        <v>8</v>
      </c>
      <c r="C76" t="str">
        <f>HYPERLINK("http://www.ncbi.nlm.nih.gov/protein/XP_053188001.1","XP_053188001.1")</f>
        <v>XP_053188001.1</v>
      </c>
      <c r="D76">
        <v>30754</v>
      </c>
      <c r="E76" t="str">
        <f>HYPERLINK("http://www.ncbi.nlm.nih.gov/Taxonomy/Browser/wwwtax.cgi?mode=Info&amp;id=13676&amp;lvl=3&amp;lin=f&amp;keep=1&amp;srchmode=1&amp;unlock","13676")</f>
        <v>13676</v>
      </c>
      <c r="F76" t="s">
        <v>17</v>
      </c>
      <c r="G76" t="str">
        <f>HYPERLINK("http://www.ncbi.nlm.nih.gov/Taxonomy/Browser/wwwtax.cgi?mode=Info&amp;id=13676&amp;lvl=3&amp;lin=f&amp;keep=1&amp;srchmode=1&amp;unlock","Scomber japonicus")</f>
        <v>Scomber japonicus</v>
      </c>
      <c r="H76" t="s">
        <v>87</v>
      </c>
      <c r="I76" t="str">
        <f>HYPERLINK("http://www.ncbi.nlm.nih.gov/protein/XP_053188001.1","ryanodine receptor 1-like")</f>
        <v>ryanodine receptor 1-like</v>
      </c>
      <c r="J76">
        <v>9023.2900000000009</v>
      </c>
      <c r="K76" t="s">
        <v>19</v>
      </c>
      <c r="L76">
        <v>276</v>
      </c>
      <c r="M76">
        <v>9.75</v>
      </c>
      <c r="N76">
        <v>86.32</v>
      </c>
      <c r="O76" t="s">
        <v>19</v>
      </c>
      <c r="P76" t="s">
        <v>20</v>
      </c>
      <c r="Q76" t="s">
        <v>19</v>
      </c>
      <c r="R76" t="str">
        <f>HYPERLINK("https://cfpub.epa.gov/ecotox/explore.cfm?ncbi=13676","Explore in ECOTOX")</f>
        <v>Explore in ECOTOX</v>
      </c>
    </row>
    <row r="77" spans="1:18" x14ac:dyDescent="0.45">
      <c r="A77" t="s">
        <v>1264</v>
      </c>
      <c r="B77">
        <v>8</v>
      </c>
      <c r="C77" t="str">
        <f>HYPERLINK("http://www.ncbi.nlm.nih.gov/protein/XP_051793501.1","XP_051793501.1")</f>
        <v>XP_051793501.1</v>
      </c>
      <c r="D77">
        <v>46396</v>
      </c>
      <c r="E77" t="str">
        <f>HYPERLINK("http://www.ncbi.nlm.nih.gov/Taxonomy/Browser/wwwtax.cgi?mode=Info&amp;id=80966&amp;lvl=3&amp;lin=f&amp;keep=1&amp;srchmode=1&amp;unlock","80966")</f>
        <v>80966</v>
      </c>
      <c r="F77" t="s">
        <v>17</v>
      </c>
      <c r="G77" t="str">
        <f>HYPERLINK("http://www.ncbi.nlm.nih.gov/Taxonomy/Browser/wwwtax.cgi?mode=Info&amp;id=80966&amp;lvl=3&amp;lin=f&amp;keep=1&amp;srchmode=1&amp;unlock","Acanthochromis polyacanthus")</f>
        <v>Acanthochromis polyacanthus</v>
      </c>
      <c r="H77" t="s">
        <v>88</v>
      </c>
      <c r="I77" t="str">
        <f>HYPERLINK("http://www.ncbi.nlm.nih.gov/protein/XP_051793501.1","ryanodine receptor 1-like")</f>
        <v>ryanodine receptor 1-like</v>
      </c>
      <c r="J77">
        <v>9020.59</v>
      </c>
      <c r="K77" t="s">
        <v>19</v>
      </c>
      <c r="L77">
        <v>276</v>
      </c>
      <c r="M77">
        <v>9.75</v>
      </c>
      <c r="N77">
        <v>86.29</v>
      </c>
      <c r="O77" t="s">
        <v>19</v>
      </c>
      <c r="P77" t="s">
        <v>20</v>
      </c>
      <c r="Q77" t="s">
        <v>19</v>
      </c>
      <c r="R77" t="str">
        <f>HYPERLINK("https://cfpub.epa.gov/ecotox/explore.cfm?ncbi=80966","Explore in ECOTOX")</f>
        <v>Explore in ECOTOX</v>
      </c>
    </row>
    <row r="78" spans="1:18" x14ac:dyDescent="0.45">
      <c r="A78" t="s">
        <v>1264</v>
      </c>
      <c r="B78">
        <v>8</v>
      </c>
      <c r="C78" t="str">
        <f>HYPERLINK("http://www.ncbi.nlm.nih.gov/protein/XP_032388917.1","XP_032388917.1")</f>
        <v>XP_032388917.1</v>
      </c>
      <c r="D78">
        <v>64511</v>
      </c>
      <c r="E78" t="str">
        <f>HYPERLINK("http://www.ncbi.nlm.nih.gov/Taxonomy/Browser/wwwtax.cgi?mode=Info&amp;id=54343&amp;lvl=3&amp;lin=f&amp;keep=1&amp;srchmode=1&amp;unlock","54343")</f>
        <v>54343</v>
      </c>
      <c r="F78" t="s">
        <v>17</v>
      </c>
      <c r="G78" t="str">
        <f>HYPERLINK("http://www.ncbi.nlm.nih.gov/Taxonomy/Browser/wwwtax.cgi?mode=Info&amp;id=54343&amp;lvl=3&amp;lin=f&amp;keep=1&amp;srchmode=1&amp;unlock","Etheostoma spectabile")</f>
        <v>Etheostoma spectabile</v>
      </c>
      <c r="H78" t="s">
        <v>89</v>
      </c>
      <c r="I78" t="str">
        <f>HYPERLINK("http://www.ncbi.nlm.nih.gov/protein/XP_032388917.1","ryanodine receptor 1-like isoform X7")</f>
        <v>ryanodine receptor 1-like isoform X7</v>
      </c>
      <c r="J78">
        <v>9018.2800000000007</v>
      </c>
      <c r="K78" t="s">
        <v>19</v>
      </c>
      <c r="L78">
        <v>276</v>
      </c>
      <c r="M78">
        <v>9.75</v>
      </c>
      <c r="N78">
        <v>86.27</v>
      </c>
      <c r="O78" t="s">
        <v>19</v>
      </c>
      <c r="P78" t="s">
        <v>20</v>
      </c>
      <c r="Q78" t="s">
        <v>19</v>
      </c>
      <c r="R78" t="str">
        <f>HYPERLINK("https://cfpub.epa.gov/ecotox/explore.cfm?ncbi=54343","Explore in ECOTOX")</f>
        <v>Explore in ECOTOX</v>
      </c>
    </row>
    <row r="79" spans="1:18" x14ac:dyDescent="0.45">
      <c r="A79" t="s">
        <v>1264</v>
      </c>
      <c r="B79">
        <v>8</v>
      </c>
      <c r="C79" t="str">
        <f>HYPERLINK("http://www.ncbi.nlm.nih.gov/protein/XP_058483201.1","XP_058483201.1")</f>
        <v>XP_058483201.1</v>
      </c>
      <c r="D79">
        <v>43057</v>
      </c>
      <c r="E79" t="str">
        <f>HYPERLINK("http://www.ncbi.nlm.nih.gov/Taxonomy/Browser/wwwtax.cgi?mode=Info&amp;id=90069&amp;lvl=3&amp;lin=f&amp;keep=1&amp;srchmode=1&amp;unlock","90069")</f>
        <v>90069</v>
      </c>
      <c r="F79" t="s">
        <v>17</v>
      </c>
      <c r="G79" t="str">
        <f>HYPERLINK("http://www.ncbi.nlm.nih.gov/Taxonomy/Browser/wwwtax.cgi?mode=Info&amp;id=90069&amp;lvl=3&amp;lin=f&amp;keep=1&amp;srchmode=1&amp;unlock","Solea solea")</f>
        <v>Solea solea</v>
      </c>
      <c r="H79" t="s">
        <v>90</v>
      </c>
      <c r="I79" t="str">
        <f>HYPERLINK("http://www.ncbi.nlm.nih.gov/protein/XP_058483201.1","ryanodine receptor 1 isoform X4")</f>
        <v>ryanodine receptor 1 isoform X4</v>
      </c>
      <c r="J79">
        <v>9017.1200000000008</v>
      </c>
      <c r="K79" t="s">
        <v>19</v>
      </c>
      <c r="L79">
        <v>276</v>
      </c>
      <c r="M79">
        <v>9.75</v>
      </c>
      <c r="N79">
        <v>86.26</v>
      </c>
      <c r="O79" t="s">
        <v>19</v>
      </c>
      <c r="P79" t="s">
        <v>20</v>
      </c>
      <c r="Q79" t="s">
        <v>19</v>
      </c>
      <c r="R79" t="str">
        <f>HYPERLINK("https://cfpub.epa.gov/ecotox/explore.cfm?ncbi=90069","Explore in ECOTOX")</f>
        <v>Explore in ECOTOX</v>
      </c>
    </row>
    <row r="80" spans="1:18" x14ac:dyDescent="0.45">
      <c r="A80" t="s">
        <v>1264</v>
      </c>
      <c r="B80">
        <v>8</v>
      </c>
      <c r="C80" t="str">
        <f>HYPERLINK("http://www.ncbi.nlm.nih.gov/protein/XP_051902702.1","XP_051902702.1")</f>
        <v>XP_051902702.1</v>
      </c>
      <c r="D80">
        <v>42976</v>
      </c>
      <c r="E80" t="str">
        <f>HYPERLINK("http://www.ncbi.nlm.nih.gov/Taxonomy/Browser/wwwtax.cgi?mode=Info&amp;id=109293&amp;lvl=3&amp;lin=f&amp;keep=1&amp;srchmode=1&amp;unlock","109293")</f>
        <v>109293</v>
      </c>
      <c r="F80" t="s">
        <v>17</v>
      </c>
      <c r="G80" t="str">
        <f>HYPERLINK("http://www.ncbi.nlm.nih.gov/Taxonomy/Browser/wwwtax.cgi?mode=Info&amp;id=109293&amp;lvl=3&amp;lin=f&amp;keep=1&amp;srchmode=1&amp;unlock","Hippocampus zosterae")</f>
        <v>Hippocampus zosterae</v>
      </c>
      <c r="H80" t="s">
        <v>91</v>
      </c>
      <c r="I80" t="str">
        <f>HYPERLINK("http://www.ncbi.nlm.nih.gov/protein/XP_051902702.1","ryanodine receptor 1-like isoform X3")</f>
        <v>ryanodine receptor 1-like isoform X3</v>
      </c>
      <c r="J80">
        <v>9015.9699999999993</v>
      </c>
      <c r="K80" t="s">
        <v>19</v>
      </c>
      <c r="L80">
        <v>276</v>
      </c>
      <c r="M80">
        <v>9.75</v>
      </c>
      <c r="N80">
        <v>86.25</v>
      </c>
      <c r="O80" t="s">
        <v>19</v>
      </c>
      <c r="P80" t="s">
        <v>20</v>
      </c>
      <c r="Q80" t="s">
        <v>19</v>
      </c>
      <c r="R80" t="str">
        <f>HYPERLINK("https://cfpub.epa.gov/ecotox/explore.cfm?ncbi=109293","Explore in ECOTOX")</f>
        <v>Explore in ECOTOX</v>
      </c>
    </row>
    <row r="81" spans="1:18" x14ac:dyDescent="0.45">
      <c r="A81" t="s">
        <v>1264</v>
      </c>
      <c r="B81">
        <v>8</v>
      </c>
      <c r="C81" t="str">
        <f>HYPERLINK("http://www.ncbi.nlm.nih.gov/protein/XP_060912286.1","XP_060912286.1")</f>
        <v>XP_060912286.1</v>
      </c>
      <c r="D81">
        <v>39850</v>
      </c>
      <c r="E81" t="str">
        <f>HYPERLINK("http://www.ncbi.nlm.nih.gov/Taxonomy/Browser/wwwtax.cgi?mode=Info&amp;id=508554&amp;lvl=3&amp;lin=f&amp;keep=1&amp;srchmode=1&amp;unlock","508554")</f>
        <v>508554</v>
      </c>
      <c r="F81" t="s">
        <v>17</v>
      </c>
      <c r="G81" t="str">
        <f>HYPERLINK("http://www.ncbi.nlm.nih.gov/Taxonomy/Browser/wwwtax.cgi?mode=Info&amp;id=508554&amp;lvl=3&amp;lin=f&amp;keep=1&amp;srchmode=1&amp;unlock","Labrus mixtus")</f>
        <v>Labrus mixtus</v>
      </c>
      <c r="H81" t="s">
        <v>92</v>
      </c>
      <c r="I81" t="str">
        <f>HYPERLINK("http://www.ncbi.nlm.nih.gov/protein/XP_060912286.1","ryanodine receptor 1-like")</f>
        <v>ryanodine receptor 1-like</v>
      </c>
      <c r="J81">
        <v>9015.2000000000007</v>
      </c>
      <c r="K81" t="s">
        <v>19</v>
      </c>
      <c r="L81">
        <v>276</v>
      </c>
      <c r="M81">
        <v>9.75</v>
      </c>
      <c r="N81">
        <v>86.24</v>
      </c>
      <c r="O81" t="s">
        <v>19</v>
      </c>
      <c r="P81" t="s">
        <v>20</v>
      </c>
      <c r="Q81" t="s">
        <v>19</v>
      </c>
      <c r="R81" t="str">
        <f>HYPERLINK("https://cfpub.epa.gov/ecotox/explore.cfm?ncbi=508554","Explore in ECOTOX")</f>
        <v>Explore in ECOTOX</v>
      </c>
    </row>
    <row r="82" spans="1:18" x14ac:dyDescent="0.45">
      <c r="A82" t="s">
        <v>1264</v>
      </c>
      <c r="B82">
        <v>8</v>
      </c>
      <c r="C82" t="str">
        <f>HYPERLINK("http://www.ncbi.nlm.nih.gov/protein/XP_039473924.1","XP_039473924.1")</f>
        <v>XP_039473924.1</v>
      </c>
      <c r="D82">
        <v>49867</v>
      </c>
      <c r="E82" t="str">
        <f>HYPERLINK("http://www.ncbi.nlm.nih.gov/Taxonomy/Browser/wwwtax.cgi?mode=Info&amp;id=47969&amp;lvl=3&amp;lin=f&amp;keep=1&amp;srchmode=1&amp;unlock","47969")</f>
        <v>47969</v>
      </c>
      <c r="F82" t="s">
        <v>17</v>
      </c>
      <c r="G82" t="str">
        <f>HYPERLINK("http://www.ncbi.nlm.nih.gov/Taxonomy/Browser/wwwtax.cgi?mode=Info&amp;id=47969&amp;lvl=3&amp;lin=f&amp;keep=1&amp;srchmode=1&amp;unlock","Oreochromis aureus")</f>
        <v>Oreochromis aureus</v>
      </c>
      <c r="H82" t="s">
        <v>93</v>
      </c>
      <c r="I82" t="str">
        <f>HYPERLINK("http://www.ncbi.nlm.nih.gov/protein/XP_039473924.1","ryanodine receptor 1-like")</f>
        <v>ryanodine receptor 1-like</v>
      </c>
      <c r="J82">
        <v>9014.0400000000009</v>
      </c>
      <c r="K82" t="s">
        <v>19</v>
      </c>
      <c r="L82">
        <v>276</v>
      </c>
      <c r="M82">
        <v>9.75</v>
      </c>
      <c r="N82">
        <v>86.23</v>
      </c>
      <c r="O82" t="s">
        <v>19</v>
      </c>
      <c r="P82" t="s">
        <v>20</v>
      </c>
      <c r="Q82" t="s">
        <v>19</v>
      </c>
      <c r="R82" t="str">
        <f>HYPERLINK("https://cfpub.epa.gov/ecotox/explore.cfm?ncbi=47969","Explore in ECOTOX")</f>
        <v>Explore in ECOTOX</v>
      </c>
    </row>
    <row r="83" spans="1:18" x14ac:dyDescent="0.45">
      <c r="A83" t="s">
        <v>1264</v>
      </c>
      <c r="B83">
        <v>8</v>
      </c>
      <c r="C83" t="str">
        <f>HYPERLINK("http://www.ncbi.nlm.nih.gov/protein/XP_055082934.1","XP_055082934.1")</f>
        <v>XP_055082934.1</v>
      </c>
      <c r="D83">
        <v>50626</v>
      </c>
      <c r="E83" t="str">
        <f>HYPERLINK("http://www.ncbi.nlm.nih.gov/Taxonomy/Browser/wwwtax.cgi?mode=Info&amp;id=409849&amp;lvl=3&amp;lin=f&amp;keep=1&amp;srchmode=1&amp;unlock","409849")</f>
        <v>409849</v>
      </c>
      <c r="F83" t="s">
        <v>17</v>
      </c>
      <c r="G83" t="str">
        <f>HYPERLINK("http://www.ncbi.nlm.nih.gov/Taxonomy/Browser/wwwtax.cgi?mode=Info&amp;id=409849&amp;lvl=3&amp;lin=f&amp;keep=1&amp;srchmode=1&amp;unlock","Periophthalmus magnuspinnatus")</f>
        <v>Periophthalmus magnuspinnatus</v>
      </c>
      <c r="H83" t="s">
        <v>94</v>
      </c>
      <c r="I83" t="str">
        <f>HYPERLINK("http://www.ncbi.nlm.nih.gov/protein/XP_055082934.1","ryanodine receptor 1-like isoform X11")</f>
        <v>ryanodine receptor 1-like isoform X11</v>
      </c>
      <c r="J83">
        <v>9012.5</v>
      </c>
      <c r="K83" t="s">
        <v>19</v>
      </c>
      <c r="L83">
        <v>276</v>
      </c>
      <c r="M83">
        <v>9.75</v>
      </c>
      <c r="N83">
        <v>86.21</v>
      </c>
      <c r="O83" t="s">
        <v>19</v>
      </c>
      <c r="P83" t="s">
        <v>20</v>
      </c>
      <c r="Q83" t="s">
        <v>19</v>
      </c>
      <c r="R83" t="str">
        <f>HYPERLINK("https://cfpub.epa.gov/ecotox/explore.cfm?ncbi=409849","Explore in ECOTOX")</f>
        <v>Explore in ECOTOX</v>
      </c>
    </row>
    <row r="84" spans="1:18" x14ac:dyDescent="0.45">
      <c r="A84" t="s">
        <v>1264</v>
      </c>
      <c r="B84">
        <v>8</v>
      </c>
      <c r="C84" t="str">
        <f>HYPERLINK("http://www.ncbi.nlm.nih.gov/protein/KAK2828601.1","KAK2828601.1")</f>
        <v>KAK2828601.1</v>
      </c>
      <c r="D84">
        <v>27151</v>
      </c>
      <c r="E84" t="str">
        <f>HYPERLINK("http://www.ncbi.nlm.nih.gov/Taxonomy/Browser/wwwtax.cgi?mode=Info&amp;id=64152&amp;lvl=3&amp;lin=f&amp;keep=1&amp;srchmode=1&amp;unlock","64152")</f>
        <v>64152</v>
      </c>
      <c r="F84" t="s">
        <v>17</v>
      </c>
      <c r="G84" t="str">
        <f>HYPERLINK("http://www.ncbi.nlm.nih.gov/Taxonomy/Browser/wwwtax.cgi?mode=Info&amp;id=64152&amp;lvl=3&amp;lin=f&amp;keep=1&amp;srchmode=1&amp;unlock","Channa striata")</f>
        <v>Channa striata</v>
      </c>
      <c r="H84" t="s">
        <v>95</v>
      </c>
      <c r="I84" t="str">
        <f>HYPERLINK("http://www.ncbi.nlm.nih.gov/protein/KAK2828601.1","hypothetical protein Q5P01_019635")</f>
        <v>hypothetical protein Q5P01_019635</v>
      </c>
      <c r="J84">
        <v>9011.73</v>
      </c>
      <c r="K84" t="s">
        <v>19</v>
      </c>
      <c r="L84">
        <v>276</v>
      </c>
      <c r="M84">
        <v>9.75</v>
      </c>
      <c r="N84">
        <v>86.2</v>
      </c>
      <c r="O84" t="s">
        <v>19</v>
      </c>
      <c r="P84" t="s">
        <v>20</v>
      </c>
      <c r="Q84" t="s">
        <v>19</v>
      </c>
      <c r="R84" t="str">
        <f>HYPERLINK("https://cfpub.epa.gov/ecotox/explore.cfm?ncbi=64152","Explore in ECOTOX")</f>
        <v>Explore in ECOTOX</v>
      </c>
    </row>
    <row r="85" spans="1:18" x14ac:dyDescent="0.45">
      <c r="A85" t="s">
        <v>1264</v>
      </c>
      <c r="B85">
        <v>8</v>
      </c>
      <c r="C85" t="str">
        <f>HYPERLINK("http://www.ncbi.nlm.nih.gov/protein/CAI5643679.1","CAI5643679.1")</f>
        <v>CAI5643679.1</v>
      </c>
      <c r="D85">
        <v>120022</v>
      </c>
      <c r="E85" t="str">
        <f>HYPERLINK("http://www.ncbi.nlm.nih.gov/Taxonomy/Browser/wwwtax.cgi?mode=Info&amp;id=9669&amp;lvl=3&amp;lin=f&amp;keep=1&amp;srchmode=1&amp;unlock","9669")</f>
        <v>9669</v>
      </c>
      <c r="F85" t="s">
        <v>96</v>
      </c>
      <c r="G85" t="str">
        <f>HYPERLINK("http://www.ncbi.nlm.nih.gov/Taxonomy/Browser/wwwtax.cgi?mode=Info&amp;id=9669&amp;lvl=3&amp;lin=f&amp;keep=1&amp;srchmode=1&amp;unlock","Mustela putorius furo")</f>
        <v>Mustela putorius furo</v>
      </c>
      <c r="H85" t="s">
        <v>97</v>
      </c>
      <c r="I85" t="str">
        <f>HYPERLINK("http://www.ncbi.nlm.nih.gov/protein/CAI5643679.1","unnamed protein product")</f>
        <v>unnamed protein product</v>
      </c>
      <c r="J85">
        <v>9011.34</v>
      </c>
      <c r="K85" t="s">
        <v>19</v>
      </c>
      <c r="L85">
        <v>276</v>
      </c>
      <c r="M85">
        <v>9.75</v>
      </c>
      <c r="N85">
        <v>86.2</v>
      </c>
      <c r="O85" t="s">
        <v>19</v>
      </c>
      <c r="P85" t="s">
        <v>20</v>
      </c>
      <c r="Q85" t="s">
        <v>19</v>
      </c>
      <c r="R85" t="str">
        <f>HYPERLINK("https://cfpub.epa.gov/ecotox/explore.cfm?ncbi=9669","Explore in ECOTOX")</f>
        <v>Explore in ECOTOX</v>
      </c>
    </row>
    <row r="86" spans="1:18" x14ac:dyDescent="0.45">
      <c r="A86" t="s">
        <v>1264</v>
      </c>
      <c r="B86">
        <v>8</v>
      </c>
      <c r="C86" t="str">
        <f>HYPERLINK("http://www.ncbi.nlm.nih.gov/protein/XP_031724958.1","XP_031724958.1")</f>
        <v>XP_031724958.1</v>
      </c>
      <c r="D86">
        <v>41917</v>
      </c>
      <c r="E86" t="str">
        <f>HYPERLINK("http://www.ncbi.nlm.nih.gov/Taxonomy/Browser/wwwtax.cgi?mode=Info&amp;id=433405&amp;lvl=3&amp;lin=f&amp;keep=1&amp;srchmode=1&amp;unlock","433405")</f>
        <v>433405</v>
      </c>
      <c r="F86" t="s">
        <v>17</v>
      </c>
      <c r="G86" t="str">
        <f>HYPERLINK("http://www.ncbi.nlm.nih.gov/Taxonomy/Browser/wwwtax.cgi?mode=Info&amp;id=433405&amp;lvl=3&amp;lin=f&amp;keep=1&amp;srchmode=1&amp;unlock","Anarrhichthys ocellatus")</f>
        <v>Anarrhichthys ocellatus</v>
      </c>
      <c r="H86" t="s">
        <v>98</v>
      </c>
      <c r="I86" t="str">
        <f>HYPERLINK("http://www.ncbi.nlm.nih.gov/protein/XP_031724958.1","ryanodine receptor 1-like")</f>
        <v>ryanodine receptor 1-like</v>
      </c>
      <c r="J86">
        <v>9010.57</v>
      </c>
      <c r="K86" t="s">
        <v>19</v>
      </c>
      <c r="L86">
        <v>276</v>
      </c>
      <c r="M86">
        <v>9.75</v>
      </c>
      <c r="N86">
        <v>86.19</v>
      </c>
      <c r="O86" t="s">
        <v>19</v>
      </c>
      <c r="P86" t="s">
        <v>20</v>
      </c>
      <c r="Q86" t="s">
        <v>19</v>
      </c>
      <c r="R86" t="str">
        <f>HYPERLINK("https://cfpub.epa.gov/ecotox/explore.cfm?ncbi=433405","Explore in ECOTOX")</f>
        <v>Explore in ECOTOX</v>
      </c>
    </row>
    <row r="87" spans="1:18" x14ac:dyDescent="0.45">
      <c r="A87" t="s">
        <v>1264</v>
      </c>
      <c r="B87">
        <v>8</v>
      </c>
      <c r="C87" t="str">
        <f>HYPERLINK("http://www.ncbi.nlm.nih.gov/protein/XP_035846780.1","XP_035846780.1")</f>
        <v>XP_035846780.1</v>
      </c>
      <c r="D87">
        <v>56708</v>
      </c>
      <c r="E87" t="str">
        <f>HYPERLINK("http://www.ncbi.nlm.nih.gov/Taxonomy/Browser/wwwtax.cgi?mode=Info&amp;id=283035&amp;lvl=3&amp;lin=f&amp;keep=1&amp;srchmode=1&amp;unlock","283035")</f>
        <v>283035</v>
      </c>
      <c r="F87" t="s">
        <v>17</v>
      </c>
      <c r="G87" t="str">
        <f>HYPERLINK("http://www.ncbi.nlm.nih.gov/Taxonomy/Browser/wwwtax.cgi?mode=Info&amp;id=283035&amp;lvl=3&amp;lin=f&amp;keep=1&amp;srchmode=1&amp;unlock","Sander lucioperca")</f>
        <v>Sander lucioperca</v>
      </c>
      <c r="H87" t="s">
        <v>99</v>
      </c>
      <c r="I87" t="str">
        <f>HYPERLINK("http://www.ncbi.nlm.nih.gov/protein/XP_035846780.1","ryanodine receptor 1 isoform X7")</f>
        <v>ryanodine receptor 1 isoform X7</v>
      </c>
      <c r="J87">
        <v>9009.0300000000007</v>
      </c>
      <c r="K87" t="s">
        <v>19</v>
      </c>
      <c r="L87">
        <v>276</v>
      </c>
      <c r="M87">
        <v>9.75</v>
      </c>
      <c r="N87">
        <v>86.18</v>
      </c>
      <c r="O87" t="s">
        <v>19</v>
      </c>
      <c r="P87" t="s">
        <v>20</v>
      </c>
      <c r="Q87" t="s">
        <v>19</v>
      </c>
      <c r="R87" t="str">
        <f>HYPERLINK("https://cfpub.epa.gov/ecotox/explore.cfm?ncbi=283035","Explore in ECOTOX")</f>
        <v>Explore in ECOTOX</v>
      </c>
    </row>
    <row r="88" spans="1:18" x14ac:dyDescent="0.45">
      <c r="A88" t="s">
        <v>1264</v>
      </c>
      <c r="B88">
        <v>8</v>
      </c>
      <c r="C88" t="str">
        <f>HYPERLINK("http://www.ncbi.nlm.nih.gov/protein/XP_036974565.1","XP_036974565.1")</f>
        <v>XP_036974565.1</v>
      </c>
      <c r="D88">
        <v>54713</v>
      </c>
      <c r="E88" t="str">
        <f>HYPERLINK("http://www.ncbi.nlm.nih.gov/Taxonomy/Browser/wwwtax.cgi?mode=Info&amp;id=8177&amp;lvl=3&amp;lin=f&amp;keep=1&amp;srchmode=1&amp;unlock","8177")</f>
        <v>8177</v>
      </c>
      <c r="F88" t="s">
        <v>17</v>
      </c>
      <c r="G88" t="str">
        <f>HYPERLINK("http://www.ncbi.nlm.nih.gov/Taxonomy/Browser/wwwtax.cgi?mode=Info&amp;id=8177&amp;lvl=3&amp;lin=f&amp;keep=1&amp;srchmode=1&amp;unlock","Acanthopagrus latus")</f>
        <v>Acanthopagrus latus</v>
      </c>
      <c r="H88" t="s">
        <v>100</v>
      </c>
      <c r="I88" t="str">
        <f>HYPERLINK("http://www.ncbi.nlm.nih.gov/protein/XP_036974565.1","ryanodine receptor 1-like")</f>
        <v>ryanodine receptor 1-like</v>
      </c>
      <c r="J88">
        <v>9007.8799999999992</v>
      </c>
      <c r="K88" t="s">
        <v>19</v>
      </c>
      <c r="L88">
        <v>276</v>
      </c>
      <c r="M88">
        <v>9.75</v>
      </c>
      <c r="N88">
        <v>86.17</v>
      </c>
      <c r="O88" t="s">
        <v>19</v>
      </c>
      <c r="P88" t="s">
        <v>20</v>
      </c>
      <c r="Q88" t="s">
        <v>19</v>
      </c>
      <c r="R88" t="str">
        <f>HYPERLINK("https://cfpub.epa.gov/ecotox/explore.cfm?ncbi=8177","Explore in ECOTOX")</f>
        <v>Explore in ECOTOX</v>
      </c>
    </row>
    <row r="89" spans="1:18" x14ac:dyDescent="0.45">
      <c r="A89" t="s">
        <v>1264</v>
      </c>
      <c r="B89">
        <v>8</v>
      </c>
      <c r="C89" t="str">
        <f>HYPERLINK("http://www.ncbi.nlm.nih.gov/protein/KAI5614356.1","KAI5614356.1")</f>
        <v>KAI5614356.1</v>
      </c>
      <c r="D89">
        <v>24506</v>
      </c>
      <c r="E89" t="str">
        <f>HYPERLINK("http://www.ncbi.nlm.nih.gov/Taxonomy/Browser/wwwtax.cgi?mode=Info&amp;id=30991&amp;lvl=3&amp;lin=f&amp;keep=1&amp;srchmode=1&amp;unlock","30991")</f>
        <v>30991</v>
      </c>
      <c r="F89" t="s">
        <v>17</v>
      </c>
      <c r="G89" t="str">
        <f>HYPERLINK("http://www.ncbi.nlm.nih.gov/Taxonomy/Browser/wwwtax.cgi?mode=Info&amp;id=30991&amp;lvl=3&amp;lin=f&amp;keep=1&amp;srchmode=1&amp;unlock","Silurus asotus")</f>
        <v>Silurus asotus</v>
      </c>
      <c r="H89" t="s">
        <v>101</v>
      </c>
      <c r="I89" t="str">
        <f>HYPERLINK("http://www.ncbi.nlm.nih.gov/protein/KAI5614356.1","ryanodine receptor 1 isoform X2, partial")</f>
        <v>ryanodine receptor 1 isoform X2, partial</v>
      </c>
      <c r="J89">
        <v>9005.9500000000007</v>
      </c>
      <c r="K89" t="s">
        <v>19</v>
      </c>
      <c r="L89">
        <v>276</v>
      </c>
      <c r="M89">
        <v>9.75</v>
      </c>
      <c r="N89">
        <v>86.15</v>
      </c>
      <c r="O89" t="s">
        <v>19</v>
      </c>
      <c r="P89" t="s">
        <v>20</v>
      </c>
      <c r="Q89" t="s">
        <v>19</v>
      </c>
      <c r="R89" t="str">
        <f>HYPERLINK("https://cfpub.epa.gov/ecotox/explore.cfm?ncbi=30991","Explore in ECOTOX")</f>
        <v>Explore in ECOTOX</v>
      </c>
    </row>
    <row r="90" spans="1:18" x14ac:dyDescent="0.45">
      <c r="A90" t="s">
        <v>1264</v>
      </c>
      <c r="B90">
        <v>8</v>
      </c>
      <c r="C90" t="str">
        <f>HYPERLINK("http://www.ncbi.nlm.nih.gov/protein/XP_055370319.1","XP_055370319.1")</f>
        <v>XP_055370319.1</v>
      </c>
      <c r="D90">
        <v>52191</v>
      </c>
      <c r="E90" t="str">
        <f>HYPERLINK("http://www.ncbi.nlm.nih.gov/Taxonomy/Browser/wwwtax.cgi?mode=Info&amp;id=158456&amp;lvl=3&amp;lin=f&amp;keep=1&amp;srchmode=1&amp;unlock","158456")</f>
        <v>158456</v>
      </c>
      <c r="F90" t="s">
        <v>17</v>
      </c>
      <c r="G90" t="str">
        <f>HYPERLINK("http://www.ncbi.nlm.nih.gov/Taxonomy/Browser/wwwtax.cgi?mode=Info&amp;id=158456&amp;lvl=3&amp;lin=f&amp;keep=1&amp;srchmode=1&amp;unlock","Betta splendens")</f>
        <v>Betta splendens</v>
      </c>
      <c r="H90" t="s">
        <v>102</v>
      </c>
      <c r="I90" t="str">
        <f>HYPERLINK("http://www.ncbi.nlm.nih.gov/protein/XP_055370319.1","ryanodine receptor 1-like isoform X5")</f>
        <v>ryanodine receptor 1-like isoform X5</v>
      </c>
      <c r="J90">
        <v>9005.18</v>
      </c>
      <c r="K90" t="s">
        <v>19</v>
      </c>
      <c r="L90">
        <v>276</v>
      </c>
      <c r="M90">
        <v>9.75</v>
      </c>
      <c r="N90">
        <v>86.14</v>
      </c>
      <c r="O90" t="s">
        <v>19</v>
      </c>
      <c r="P90" t="s">
        <v>20</v>
      </c>
      <c r="Q90" t="s">
        <v>19</v>
      </c>
      <c r="R90" t="str">
        <f>HYPERLINK("https://cfpub.epa.gov/ecotox/explore.cfm?ncbi=158456","Explore in ECOTOX")</f>
        <v>Explore in ECOTOX</v>
      </c>
    </row>
    <row r="91" spans="1:18" x14ac:dyDescent="0.45">
      <c r="A91" t="s">
        <v>1264</v>
      </c>
      <c r="B91">
        <v>8</v>
      </c>
      <c r="C91" t="str">
        <f>HYPERLINK("http://www.ncbi.nlm.nih.gov/protein/XP_020488996.1","XP_020488996.1")</f>
        <v>XP_020488996.1</v>
      </c>
      <c r="D91">
        <v>36766</v>
      </c>
      <c r="E91" t="str">
        <f>HYPERLINK("http://www.ncbi.nlm.nih.gov/Taxonomy/Browser/wwwtax.cgi?mode=Info&amp;id=56723&amp;lvl=3&amp;lin=f&amp;keep=1&amp;srchmode=1&amp;unlock","56723")</f>
        <v>56723</v>
      </c>
      <c r="F91" t="s">
        <v>17</v>
      </c>
      <c r="G91" t="str">
        <f>HYPERLINK("http://www.ncbi.nlm.nih.gov/Taxonomy/Browser/wwwtax.cgi?mode=Info&amp;id=56723&amp;lvl=3&amp;lin=f&amp;keep=1&amp;srchmode=1&amp;unlock","Labrus bergylta")</f>
        <v>Labrus bergylta</v>
      </c>
      <c r="H91" t="s">
        <v>103</v>
      </c>
      <c r="I91" t="str">
        <f>HYPERLINK("http://www.ncbi.nlm.nih.gov/protein/XP_020488996.1","LOW QUALITY PROTEIN: ryanodine receptor 1-like")</f>
        <v>LOW QUALITY PROTEIN: ryanodine receptor 1-like</v>
      </c>
      <c r="J91">
        <v>9002.49</v>
      </c>
      <c r="K91" t="s">
        <v>19</v>
      </c>
      <c r="L91">
        <v>276</v>
      </c>
      <c r="M91">
        <v>9.75</v>
      </c>
      <c r="N91">
        <v>86.12</v>
      </c>
      <c r="O91" t="s">
        <v>19</v>
      </c>
      <c r="P91" t="s">
        <v>20</v>
      </c>
      <c r="Q91" t="s">
        <v>19</v>
      </c>
      <c r="R91" t="str">
        <f>HYPERLINK("https://cfpub.epa.gov/ecotox/explore.cfm?ncbi=56723","Explore in ECOTOX")</f>
        <v>Explore in ECOTOX</v>
      </c>
    </row>
    <row r="92" spans="1:18" x14ac:dyDescent="0.45">
      <c r="A92" t="s">
        <v>1264</v>
      </c>
      <c r="B92">
        <v>8</v>
      </c>
      <c r="C92" t="str">
        <f>HYPERLINK("http://www.ncbi.nlm.nih.gov/protein/XP_035034774.1","XP_035034774.1")</f>
        <v>XP_035034774.1</v>
      </c>
      <c r="D92">
        <v>42151</v>
      </c>
      <c r="E92" t="str">
        <f>HYPERLINK("http://www.ncbi.nlm.nih.gov/Taxonomy/Browser/wwwtax.cgi?mode=Info&amp;id=195615&amp;lvl=3&amp;lin=f&amp;keep=1&amp;srchmode=1&amp;unlock","195615")</f>
        <v>195615</v>
      </c>
      <c r="F92" t="s">
        <v>17</v>
      </c>
      <c r="G92" t="str">
        <f>HYPERLINK("http://www.ncbi.nlm.nih.gov/Taxonomy/Browser/wwwtax.cgi?mode=Info&amp;id=195615&amp;lvl=3&amp;lin=f&amp;keep=1&amp;srchmode=1&amp;unlock","Hippoglossus stenolepis")</f>
        <v>Hippoglossus stenolepis</v>
      </c>
      <c r="H92" t="s">
        <v>104</v>
      </c>
      <c r="I92" t="str">
        <f>HYPERLINK("http://www.ncbi.nlm.nih.gov/protein/XP_035034774.1","ryanodine receptor 1 isoform X5")</f>
        <v>ryanodine receptor 1 isoform X5</v>
      </c>
      <c r="J92">
        <v>8999.4</v>
      </c>
      <c r="K92" t="s">
        <v>19</v>
      </c>
      <c r="L92">
        <v>276</v>
      </c>
      <c r="M92">
        <v>9.75</v>
      </c>
      <c r="N92">
        <v>86.09</v>
      </c>
      <c r="O92" t="s">
        <v>19</v>
      </c>
      <c r="P92" t="s">
        <v>20</v>
      </c>
      <c r="Q92" t="s">
        <v>19</v>
      </c>
      <c r="R92" t="str">
        <f>HYPERLINK("https://cfpub.epa.gov/ecotox/explore.cfm?ncbi=195615","Explore in ECOTOX")</f>
        <v>Explore in ECOTOX</v>
      </c>
    </row>
    <row r="93" spans="1:18" x14ac:dyDescent="0.45">
      <c r="A93" t="s">
        <v>1264</v>
      </c>
      <c r="B93">
        <v>8</v>
      </c>
      <c r="C93" t="str">
        <f>HYPERLINK("http://www.ncbi.nlm.nih.gov/protein/XP_018591963.1","XP_018591963.1")</f>
        <v>XP_018591963.1</v>
      </c>
      <c r="D93">
        <v>72575</v>
      </c>
      <c r="E93" t="str">
        <f>HYPERLINK("http://www.ncbi.nlm.nih.gov/Taxonomy/Browser/wwwtax.cgi?mode=Info&amp;id=113540&amp;lvl=3&amp;lin=f&amp;keep=1&amp;srchmode=1&amp;unlock","113540")</f>
        <v>113540</v>
      </c>
      <c r="F93" t="s">
        <v>17</v>
      </c>
      <c r="G93" t="str">
        <f>HYPERLINK("http://www.ncbi.nlm.nih.gov/Taxonomy/Browser/wwwtax.cgi?mode=Info&amp;id=113540&amp;lvl=3&amp;lin=f&amp;keep=1&amp;srchmode=1&amp;unlock","Scleropages formosus")</f>
        <v>Scleropages formosus</v>
      </c>
      <c r="H93" t="s">
        <v>105</v>
      </c>
      <c r="I93" t="str">
        <f>HYPERLINK("http://www.ncbi.nlm.nih.gov/protein/XP_018591963.1","ryanodine receptor 1-like")</f>
        <v>ryanodine receptor 1-like</v>
      </c>
      <c r="J93">
        <v>8999.02</v>
      </c>
      <c r="K93" t="s">
        <v>19</v>
      </c>
      <c r="L93">
        <v>276</v>
      </c>
      <c r="M93">
        <v>9.75</v>
      </c>
      <c r="N93">
        <v>86.08</v>
      </c>
      <c r="O93" t="s">
        <v>19</v>
      </c>
      <c r="P93" t="s">
        <v>20</v>
      </c>
      <c r="Q93" t="s">
        <v>19</v>
      </c>
      <c r="R93" t="str">
        <f>HYPERLINK("https://cfpub.epa.gov/ecotox/explore.cfm?ncbi=113540","Explore in ECOTOX")</f>
        <v>Explore in ECOTOX</v>
      </c>
    </row>
    <row r="94" spans="1:18" x14ac:dyDescent="0.45">
      <c r="A94" t="s">
        <v>1264</v>
      </c>
      <c r="B94">
        <v>8</v>
      </c>
      <c r="C94" t="str">
        <f>HYPERLINK("http://www.ncbi.nlm.nih.gov/protein/XP_020564539.1","XP_020564539.1")</f>
        <v>XP_020564539.1</v>
      </c>
      <c r="D94">
        <v>47355</v>
      </c>
      <c r="E94" t="str">
        <f>HYPERLINK("http://www.ncbi.nlm.nih.gov/Taxonomy/Browser/wwwtax.cgi?mode=Info&amp;id=8090&amp;lvl=3&amp;lin=f&amp;keep=1&amp;srchmode=1&amp;unlock","8090")</f>
        <v>8090</v>
      </c>
      <c r="F94" t="s">
        <v>17</v>
      </c>
      <c r="G94" t="str">
        <f>HYPERLINK("http://www.ncbi.nlm.nih.gov/Taxonomy/Browser/wwwtax.cgi?mode=Info&amp;id=8090&amp;lvl=3&amp;lin=f&amp;keep=1&amp;srchmode=1&amp;unlock","Oryzias latipes")</f>
        <v>Oryzias latipes</v>
      </c>
      <c r="H94" t="s">
        <v>106</v>
      </c>
      <c r="I94" t="str">
        <f>HYPERLINK("http://www.ncbi.nlm.nih.gov/protein/XP_020564539.1","ryanodine receptor 1 isoform X3")</f>
        <v>ryanodine receptor 1 isoform X3</v>
      </c>
      <c r="J94">
        <v>8998.6299999999992</v>
      </c>
      <c r="K94" t="s">
        <v>19</v>
      </c>
      <c r="L94">
        <v>276</v>
      </c>
      <c r="M94">
        <v>9.75</v>
      </c>
      <c r="N94">
        <v>86.08</v>
      </c>
      <c r="O94" t="s">
        <v>19</v>
      </c>
      <c r="P94" t="s">
        <v>20</v>
      </c>
      <c r="Q94" t="s">
        <v>19</v>
      </c>
      <c r="R94" t="str">
        <f>HYPERLINK("https://cfpub.epa.gov/ecotox/explore.cfm?ncbi=8090","Explore in ECOTOX")</f>
        <v>Explore in ECOTOX</v>
      </c>
    </row>
    <row r="95" spans="1:18" x14ac:dyDescent="0.45">
      <c r="A95" t="s">
        <v>1264</v>
      </c>
      <c r="B95">
        <v>8</v>
      </c>
      <c r="C95" t="str">
        <f>HYPERLINK("http://www.ncbi.nlm.nih.gov/protein/XP_054610382.1","XP_054610382.1")</f>
        <v>XP_054610382.1</v>
      </c>
      <c r="D95">
        <v>48595</v>
      </c>
      <c r="E95" t="str">
        <f>HYPERLINK("http://www.ncbi.nlm.nih.gov/Taxonomy/Browser/wwwtax.cgi?mode=Info&amp;id=161453&amp;lvl=3&amp;lin=f&amp;keep=1&amp;srchmode=1&amp;unlock","161453")</f>
        <v>161453</v>
      </c>
      <c r="F95" t="s">
        <v>17</v>
      </c>
      <c r="G95" t="str">
        <f>HYPERLINK("http://www.ncbi.nlm.nih.gov/Taxonomy/Browser/wwwtax.cgi?mode=Info&amp;id=161453&amp;lvl=3&amp;lin=f&amp;keep=1&amp;srchmode=1&amp;unlock","Dunckerocampus dactyliophorus")</f>
        <v>Dunckerocampus dactyliophorus</v>
      </c>
      <c r="H95" t="s">
        <v>107</v>
      </c>
      <c r="I95" t="str">
        <f>HYPERLINK("http://www.ncbi.nlm.nih.gov/protein/XP_054610382.1","ryanodine receptor 1-like isoform X6")</f>
        <v>ryanodine receptor 1-like isoform X6</v>
      </c>
      <c r="J95">
        <v>8998.25</v>
      </c>
      <c r="K95" t="s">
        <v>19</v>
      </c>
      <c r="L95">
        <v>276</v>
      </c>
      <c r="M95">
        <v>9.75</v>
      </c>
      <c r="N95">
        <v>86.08</v>
      </c>
      <c r="O95" t="s">
        <v>19</v>
      </c>
      <c r="P95" t="s">
        <v>20</v>
      </c>
      <c r="Q95" t="s">
        <v>19</v>
      </c>
      <c r="R95" t="str">
        <f>HYPERLINK("https://cfpub.epa.gov/ecotox/explore.cfm?ncbi=161453","Explore in ECOTOX")</f>
        <v>Explore in ECOTOX</v>
      </c>
    </row>
    <row r="96" spans="1:18" x14ac:dyDescent="0.45">
      <c r="A96" t="s">
        <v>1264</v>
      </c>
      <c r="B96">
        <v>8</v>
      </c>
      <c r="C96" t="str">
        <f>HYPERLINK("http://www.ncbi.nlm.nih.gov/protein/XP_034462574.1","XP_034462574.1")</f>
        <v>XP_034462574.1</v>
      </c>
      <c r="D96">
        <v>47303</v>
      </c>
      <c r="E96" t="str">
        <f>HYPERLINK("http://www.ncbi.nlm.nih.gov/Taxonomy/Browser/wwwtax.cgi?mode=Info&amp;id=8267&amp;lvl=3&amp;lin=f&amp;keep=1&amp;srchmode=1&amp;unlock","8267")</f>
        <v>8267</v>
      </c>
      <c r="F96" t="s">
        <v>17</v>
      </c>
      <c r="G96" t="str">
        <f>HYPERLINK("http://www.ncbi.nlm.nih.gov/Taxonomy/Browser/wwwtax.cgi?mode=Info&amp;id=8267&amp;lvl=3&amp;lin=f&amp;keep=1&amp;srchmode=1&amp;unlock","Hippoglossus hippoglossus")</f>
        <v>Hippoglossus hippoglossus</v>
      </c>
      <c r="H96" t="s">
        <v>108</v>
      </c>
      <c r="I96" t="str">
        <f>HYPERLINK("http://www.ncbi.nlm.nih.gov/protein/XP_034462574.1","ryanodine receptor 1 isoform X8")</f>
        <v>ryanodine receptor 1 isoform X8</v>
      </c>
      <c r="J96">
        <v>8997.86</v>
      </c>
      <c r="K96" t="s">
        <v>19</v>
      </c>
      <c r="L96">
        <v>276</v>
      </c>
      <c r="M96">
        <v>9.75</v>
      </c>
      <c r="N96">
        <v>86.07</v>
      </c>
      <c r="O96" t="s">
        <v>19</v>
      </c>
      <c r="P96" t="s">
        <v>20</v>
      </c>
      <c r="Q96" t="s">
        <v>19</v>
      </c>
      <c r="R96" t="str">
        <f>HYPERLINK("https://cfpub.epa.gov/ecotox/explore.cfm?ncbi=8267","Explore in ECOTOX")</f>
        <v>Explore in ECOTOX</v>
      </c>
    </row>
    <row r="97" spans="1:18" x14ac:dyDescent="0.45">
      <c r="A97" t="s">
        <v>1264</v>
      </c>
      <c r="B97">
        <v>8</v>
      </c>
      <c r="C97" t="str">
        <f>HYPERLINK("http://www.ncbi.nlm.nih.gov/protein/XP_029704028.1","XP_029704028.1")</f>
        <v>XP_029704028.1</v>
      </c>
      <c r="D97">
        <v>49116</v>
      </c>
      <c r="E97" t="str">
        <f>HYPERLINK("http://www.ncbi.nlm.nih.gov/Taxonomy/Browser/wwwtax.cgi?mode=Info&amp;id=31033&amp;lvl=3&amp;lin=f&amp;keep=1&amp;srchmode=1&amp;unlock","31033")</f>
        <v>31033</v>
      </c>
      <c r="F97" t="s">
        <v>17</v>
      </c>
      <c r="G97" t="str">
        <f>HYPERLINK("http://www.ncbi.nlm.nih.gov/Taxonomy/Browser/wwwtax.cgi?mode=Info&amp;id=31033&amp;lvl=3&amp;lin=f&amp;keep=1&amp;srchmode=1&amp;unlock","Takifugu rubripes")</f>
        <v>Takifugu rubripes</v>
      </c>
      <c r="H97" t="s">
        <v>109</v>
      </c>
      <c r="I97" t="str">
        <f>HYPERLINK("http://www.ncbi.nlm.nih.gov/protein/XP_029704028.1","ryanodine receptor 1-like isoform X11")</f>
        <v>ryanodine receptor 1-like isoform X11</v>
      </c>
      <c r="J97">
        <v>8991.31</v>
      </c>
      <c r="K97" t="s">
        <v>19</v>
      </c>
      <c r="L97">
        <v>276</v>
      </c>
      <c r="M97">
        <v>9.75</v>
      </c>
      <c r="N97">
        <v>86.01</v>
      </c>
      <c r="O97" t="s">
        <v>19</v>
      </c>
      <c r="P97" t="s">
        <v>20</v>
      </c>
      <c r="Q97" t="s">
        <v>19</v>
      </c>
      <c r="R97" t="str">
        <f>HYPERLINK("https://cfpub.epa.gov/ecotox/explore.cfm?ncbi=31033","Explore in ECOTOX")</f>
        <v>Explore in ECOTOX</v>
      </c>
    </row>
    <row r="98" spans="1:18" x14ac:dyDescent="0.45">
      <c r="A98" t="s">
        <v>1264</v>
      </c>
      <c r="B98">
        <v>8</v>
      </c>
      <c r="C98" t="str">
        <f>HYPERLINK("http://www.ncbi.nlm.nih.gov/protein/KAI1903502.1","KAI1903502.1")</f>
        <v>KAI1903502.1</v>
      </c>
      <c r="D98">
        <v>23597</v>
      </c>
      <c r="E98" t="str">
        <f>HYPERLINK("http://www.ncbi.nlm.nih.gov/Taxonomy/Browser/wwwtax.cgi?mode=Info&amp;id=1534307&amp;lvl=3&amp;lin=f&amp;keep=1&amp;srchmode=1&amp;unlock","1534307")</f>
        <v>1534307</v>
      </c>
      <c r="F98" t="s">
        <v>17</v>
      </c>
      <c r="G98" t="str">
        <f>HYPERLINK("http://www.ncbi.nlm.nih.gov/Taxonomy/Browser/wwwtax.cgi?mode=Info&amp;id=1534307&amp;lvl=3&amp;lin=f&amp;keep=1&amp;srchmode=1&amp;unlock","Albula goreensis")</f>
        <v>Albula goreensis</v>
      </c>
      <c r="H98" t="s">
        <v>110</v>
      </c>
      <c r="I98" t="str">
        <f>HYPERLINK("http://www.ncbi.nlm.nih.gov/protein/KAI1903502.1","hypothetical protein AGOR_G00027850")</f>
        <v>hypothetical protein AGOR_G00027850</v>
      </c>
      <c r="J98">
        <v>8987.4599999999991</v>
      </c>
      <c r="K98" t="s">
        <v>19</v>
      </c>
      <c r="L98">
        <v>276</v>
      </c>
      <c r="M98">
        <v>9.75</v>
      </c>
      <c r="N98">
        <v>85.97</v>
      </c>
      <c r="O98" t="s">
        <v>19</v>
      </c>
      <c r="P98" t="s">
        <v>20</v>
      </c>
      <c r="Q98" t="s">
        <v>19</v>
      </c>
      <c r="R98" t="str">
        <f>HYPERLINK("https://cfpub.epa.gov/ecotox/explore.cfm?ncbi=1534307","Explore in ECOTOX")</f>
        <v>Explore in ECOTOX</v>
      </c>
    </row>
    <row r="99" spans="1:18" x14ac:dyDescent="0.45">
      <c r="A99" t="s">
        <v>1264</v>
      </c>
      <c r="B99">
        <v>8</v>
      </c>
      <c r="C99" t="str">
        <f>HYPERLINK("http://www.ncbi.nlm.nih.gov/protein/XP_057676727.1","XP_057676727.1")</f>
        <v>XP_057676727.1</v>
      </c>
      <c r="D99">
        <v>44748</v>
      </c>
      <c r="E99" t="str">
        <f>HYPERLINK("http://www.ncbi.nlm.nih.gov/Taxonomy/Browser/wwwtax.cgi?mode=Info&amp;id=161448&amp;lvl=3&amp;lin=f&amp;keep=1&amp;srchmode=1&amp;unlock","161448")</f>
        <v>161448</v>
      </c>
      <c r="F99" t="s">
        <v>17</v>
      </c>
      <c r="G99" t="str">
        <f>HYPERLINK("http://www.ncbi.nlm.nih.gov/Taxonomy/Browser/wwwtax.cgi?mode=Info&amp;id=161448&amp;lvl=3&amp;lin=f&amp;keep=1&amp;srchmode=1&amp;unlock","Corythoichthys intestinalis")</f>
        <v>Corythoichthys intestinalis</v>
      </c>
      <c r="H99" t="s">
        <v>111</v>
      </c>
      <c r="I99" t="str">
        <f>HYPERLINK("http://www.ncbi.nlm.nih.gov/protein/XP_057676727.1","ryanodine receptor 1-like")</f>
        <v>ryanodine receptor 1-like</v>
      </c>
      <c r="J99">
        <v>8985.92</v>
      </c>
      <c r="K99" t="s">
        <v>19</v>
      </c>
      <c r="L99">
        <v>276</v>
      </c>
      <c r="M99">
        <v>9.75</v>
      </c>
      <c r="N99">
        <v>85.96</v>
      </c>
      <c r="O99" t="s">
        <v>19</v>
      </c>
      <c r="P99" t="s">
        <v>20</v>
      </c>
      <c r="Q99" t="s">
        <v>19</v>
      </c>
      <c r="R99" t="str">
        <f>HYPERLINK("https://cfpub.epa.gov/ecotox/explore.cfm?ncbi=161448","Explore in ECOTOX")</f>
        <v>Explore in ECOTOX</v>
      </c>
    </row>
    <row r="100" spans="1:18" x14ac:dyDescent="0.45">
      <c r="A100" t="s">
        <v>1264</v>
      </c>
      <c r="B100">
        <v>8</v>
      </c>
      <c r="C100" t="str">
        <f>HYPERLINK("http://www.ncbi.nlm.nih.gov/protein/KAK2879600.1","KAK2879600.1")</f>
        <v>KAK2879600.1</v>
      </c>
      <c r="D100">
        <v>47003</v>
      </c>
      <c r="E100" t="str">
        <f>HYPERLINK("http://www.ncbi.nlm.nih.gov/Taxonomy/Browser/wwwtax.cgi?mode=Info&amp;id=215402&amp;lvl=3&amp;lin=f&amp;keep=1&amp;srchmode=1&amp;unlock","215402")</f>
        <v>215402</v>
      </c>
      <c r="F100" t="s">
        <v>17</v>
      </c>
      <c r="G100" t="str">
        <f>HYPERLINK("http://www.ncbi.nlm.nih.gov/Taxonomy/Browser/wwwtax.cgi?mode=Info&amp;id=215402&amp;lvl=3&amp;lin=f&amp;keep=1&amp;srchmode=1&amp;unlock","Channa argus")</f>
        <v>Channa argus</v>
      </c>
      <c r="H100" t="s">
        <v>112</v>
      </c>
      <c r="I100" t="str">
        <f>HYPERLINK("http://www.ncbi.nlm.nih.gov/protein/KAK2879600.1","hypothetical protein Q8A73_023412")</f>
        <v>hypothetical protein Q8A73_023412</v>
      </c>
      <c r="J100">
        <v>8984.77</v>
      </c>
      <c r="K100" t="s">
        <v>19</v>
      </c>
      <c r="L100">
        <v>276</v>
      </c>
      <c r="M100">
        <v>9.75</v>
      </c>
      <c r="N100">
        <v>85.95</v>
      </c>
      <c r="O100" t="s">
        <v>19</v>
      </c>
      <c r="P100" t="s">
        <v>20</v>
      </c>
      <c r="Q100" t="s">
        <v>19</v>
      </c>
      <c r="R100" t="str">
        <f>HYPERLINK("https://cfpub.epa.gov/ecotox/explore.cfm?ncbi=215402","Explore in ECOTOX")</f>
        <v>Explore in ECOTOX</v>
      </c>
    </row>
    <row r="101" spans="1:18" x14ac:dyDescent="0.45">
      <c r="A101" t="s">
        <v>1264</v>
      </c>
      <c r="B101">
        <v>8</v>
      </c>
      <c r="C101" t="str">
        <f>HYPERLINK("http://www.ncbi.nlm.nih.gov/protein/XP_040005924.1","XP_040005924.1")</f>
        <v>XP_040005924.1</v>
      </c>
      <c r="D101">
        <v>44874</v>
      </c>
      <c r="E101" t="str">
        <f>HYPERLINK("http://www.ncbi.nlm.nih.gov/Taxonomy/Browser/wwwtax.cgi?mode=Info&amp;id=8245&amp;lvl=3&amp;lin=f&amp;keep=1&amp;srchmode=1&amp;unlock","8245")</f>
        <v>8245</v>
      </c>
      <c r="F101" t="s">
        <v>17</v>
      </c>
      <c r="G101" t="str">
        <f>HYPERLINK("http://www.ncbi.nlm.nih.gov/Taxonomy/Browser/wwwtax.cgi?mode=Info&amp;id=8245&amp;lvl=3&amp;lin=f&amp;keep=1&amp;srchmode=1&amp;unlock","Xiphias gladius")</f>
        <v>Xiphias gladius</v>
      </c>
      <c r="H101" t="s">
        <v>113</v>
      </c>
      <c r="I101" t="str">
        <f>HYPERLINK("http://www.ncbi.nlm.nih.gov/protein/XP_040005924.1","ryanodine receptor 1-like")</f>
        <v>ryanodine receptor 1-like</v>
      </c>
      <c r="J101">
        <v>8982.4500000000007</v>
      </c>
      <c r="K101" t="s">
        <v>19</v>
      </c>
      <c r="L101">
        <v>276</v>
      </c>
      <c r="M101">
        <v>9.75</v>
      </c>
      <c r="N101">
        <v>85.92</v>
      </c>
      <c r="O101" t="s">
        <v>19</v>
      </c>
      <c r="P101" t="s">
        <v>20</v>
      </c>
      <c r="Q101" t="s">
        <v>19</v>
      </c>
      <c r="R101" t="str">
        <f>HYPERLINK("https://cfpub.epa.gov/ecotox/explore.cfm?ncbi=8245","Explore in ECOTOX")</f>
        <v>Explore in ECOTOX</v>
      </c>
    </row>
    <row r="102" spans="1:18" x14ac:dyDescent="0.45">
      <c r="A102" t="s">
        <v>1264</v>
      </c>
      <c r="B102">
        <v>8</v>
      </c>
      <c r="C102" t="str">
        <f>HYPERLINK("http://www.ncbi.nlm.nih.gov/protein/XP_035999047.1","XP_035999047.1")</f>
        <v>XP_035999047.1</v>
      </c>
      <c r="D102">
        <v>50139</v>
      </c>
      <c r="E102" t="str">
        <f>HYPERLINK("http://www.ncbi.nlm.nih.gov/Taxonomy/Browser/wwwtax.cgi?mode=Info&amp;id=8078&amp;lvl=3&amp;lin=f&amp;keep=1&amp;srchmode=1&amp;unlock","8078")</f>
        <v>8078</v>
      </c>
      <c r="F102" t="s">
        <v>17</v>
      </c>
      <c r="G102" t="str">
        <f>HYPERLINK("http://www.ncbi.nlm.nih.gov/Taxonomy/Browser/wwwtax.cgi?mode=Info&amp;id=8078&amp;lvl=3&amp;lin=f&amp;keep=1&amp;srchmode=1&amp;unlock","Fundulus heteroclitus")</f>
        <v>Fundulus heteroclitus</v>
      </c>
      <c r="H102" t="s">
        <v>114</v>
      </c>
      <c r="I102" t="str">
        <f>HYPERLINK("http://www.ncbi.nlm.nih.gov/protein/XP_035999047.1","ryanodine receptor 1 isoform X2")</f>
        <v>ryanodine receptor 1 isoform X2</v>
      </c>
      <c r="J102">
        <v>8981.2999999999993</v>
      </c>
      <c r="K102" t="s">
        <v>19</v>
      </c>
      <c r="L102">
        <v>276</v>
      </c>
      <c r="M102">
        <v>9.75</v>
      </c>
      <c r="N102">
        <v>85.91</v>
      </c>
      <c r="O102" t="s">
        <v>19</v>
      </c>
      <c r="P102" t="s">
        <v>20</v>
      </c>
      <c r="Q102" t="s">
        <v>19</v>
      </c>
      <c r="R102" t="str">
        <f>HYPERLINK("https://cfpub.epa.gov/ecotox/explore.cfm?ncbi=8078","Explore in ECOTOX")</f>
        <v>Explore in ECOTOX</v>
      </c>
    </row>
    <row r="103" spans="1:18" x14ac:dyDescent="0.45">
      <c r="A103" t="s">
        <v>1264</v>
      </c>
      <c r="B103">
        <v>8</v>
      </c>
      <c r="C103" t="str">
        <f>HYPERLINK("http://www.ncbi.nlm.nih.gov/protein/XP_034406359.1","XP_034406359.1")</f>
        <v>XP_034406359.1</v>
      </c>
      <c r="D103">
        <v>38740</v>
      </c>
      <c r="E103" t="str">
        <f>HYPERLINK("http://www.ncbi.nlm.nih.gov/Taxonomy/Browser/wwwtax.cgi?mode=Info&amp;id=8103&amp;lvl=3&amp;lin=f&amp;keep=1&amp;srchmode=1&amp;unlock","8103")</f>
        <v>8103</v>
      </c>
      <c r="F103" t="s">
        <v>17</v>
      </c>
      <c r="G103" t="str">
        <f>HYPERLINK("http://www.ncbi.nlm.nih.gov/Taxonomy/Browser/wwwtax.cgi?mode=Info&amp;id=8103&amp;lvl=3&amp;lin=f&amp;keep=1&amp;srchmode=1&amp;unlock","Cyclopterus lumpus")</f>
        <v>Cyclopterus lumpus</v>
      </c>
      <c r="H103" t="s">
        <v>115</v>
      </c>
      <c r="I103" t="str">
        <f>HYPERLINK("http://www.ncbi.nlm.nih.gov/protein/XP_034406359.1","ryanodine receptor 1")</f>
        <v>ryanodine receptor 1</v>
      </c>
      <c r="J103">
        <v>8972.44</v>
      </c>
      <c r="K103" t="s">
        <v>19</v>
      </c>
      <c r="L103">
        <v>276</v>
      </c>
      <c r="M103">
        <v>9.75</v>
      </c>
      <c r="N103">
        <v>85.83</v>
      </c>
      <c r="O103" t="s">
        <v>19</v>
      </c>
      <c r="P103" t="s">
        <v>20</v>
      </c>
      <c r="Q103" t="s">
        <v>19</v>
      </c>
      <c r="R103" t="str">
        <f>HYPERLINK("https://cfpub.epa.gov/ecotox/explore.cfm?ncbi=8103","Explore in ECOTOX")</f>
        <v>Explore in ECOTOX</v>
      </c>
    </row>
    <row r="104" spans="1:18" x14ac:dyDescent="0.45">
      <c r="A104" t="s">
        <v>1264</v>
      </c>
      <c r="B104">
        <v>8</v>
      </c>
      <c r="C104" t="str">
        <f>HYPERLINK("http://www.ncbi.nlm.nih.gov/protein/XP_028322457.1","XP_028322457.1")</f>
        <v>XP_028322457.1</v>
      </c>
      <c r="D104">
        <v>43575</v>
      </c>
      <c r="E104" t="str">
        <f>HYPERLINK("http://www.ncbi.nlm.nih.gov/Taxonomy/Browser/wwwtax.cgi?mode=Info&amp;id=441366&amp;lvl=3&amp;lin=f&amp;keep=1&amp;srchmode=1&amp;unlock","441366")</f>
        <v>441366</v>
      </c>
      <c r="F104" t="s">
        <v>17</v>
      </c>
      <c r="G104" t="str">
        <f>HYPERLINK("http://www.ncbi.nlm.nih.gov/Taxonomy/Browser/wwwtax.cgi?mode=Info&amp;id=441366&amp;lvl=3&amp;lin=f&amp;keep=1&amp;srchmode=1&amp;unlock","Gouania willdenowi")</f>
        <v>Gouania willdenowi</v>
      </c>
      <c r="H104" t="s">
        <v>116</v>
      </c>
      <c r="I104" t="str">
        <f>HYPERLINK("http://www.ncbi.nlm.nih.gov/protein/XP_028322457.1","LOW QUALITY PROTEIN: ryanodine receptor 1-like")</f>
        <v>LOW QUALITY PROTEIN: ryanodine receptor 1-like</v>
      </c>
      <c r="J104">
        <v>8971.2800000000007</v>
      </c>
      <c r="K104" t="s">
        <v>19</v>
      </c>
      <c r="L104">
        <v>276</v>
      </c>
      <c r="M104">
        <v>9.75</v>
      </c>
      <c r="N104">
        <v>85.82</v>
      </c>
      <c r="O104" t="s">
        <v>19</v>
      </c>
      <c r="P104" t="s">
        <v>20</v>
      </c>
      <c r="Q104" t="s">
        <v>19</v>
      </c>
      <c r="R104" t="str">
        <f>HYPERLINK("https://cfpub.epa.gov/ecotox/explore.cfm?ncbi=441366","Explore in ECOTOX")</f>
        <v>Explore in ECOTOX</v>
      </c>
    </row>
    <row r="105" spans="1:18" x14ac:dyDescent="0.45">
      <c r="A105" t="s">
        <v>1264</v>
      </c>
      <c r="B105">
        <v>8</v>
      </c>
      <c r="C105" t="str">
        <f>HYPERLINK("http://www.ncbi.nlm.nih.gov/protein/XP_014895695.1","XP_014895695.1")</f>
        <v>XP_014895695.1</v>
      </c>
      <c r="D105">
        <v>47235</v>
      </c>
      <c r="E105" t="str">
        <f>HYPERLINK("http://www.ncbi.nlm.nih.gov/Taxonomy/Browser/wwwtax.cgi?mode=Info&amp;id=48699&amp;lvl=3&amp;lin=f&amp;keep=1&amp;srchmode=1&amp;unlock","48699")</f>
        <v>48699</v>
      </c>
      <c r="F105" t="s">
        <v>17</v>
      </c>
      <c r="G105" t="str">
        <f>HYPERLINK("http://www.ncbi.nlm.nih.gov/Taxonomy/Browser/wwwtax.cgi?mode=Info&amp;id=48699&amp;lvl=3&amp;lin=f&amp;keep=1&amp;srchmode=1&amp;unlock","Poecilia latipinna")</f>
        <v>Poecilia latipinna</v>
      </c>
      <c r="H105" t="s">
        <v>117</v>
      </c>
      <c r="I105" t="str">
        <f>HYPERLINK("http://www.ncbi.nlm.nih.gov/protein/XP_014895695.1","PREDICTED: ryanodine receptor 1-like isoform X1")</f>
        <v>PREDICTED: ryanodine receptor 1-like isoform X1</v>
      </c>
      <c r="J105">
        <v>8970.51</v>
      </c>
      <c r="K105" t="s">
        <v>19</v>
      </c>
      <c r="L105">
        <v>276</v>
      </c>
      <c r="M105">
        <v>9.75</v>
      </c>
      <c r="N105">
        <v>85.81</v>
      </c>
      <c r="O105" t="s">
        <v>19</v>
      </c>
      <c r="P105" t="s">
        <v>20</v>
      </c>
      <c r="Q105" t="s">
        <v>19</v>
      </c>
      <c r="R105" t="str">
        <f>HYPERLINK("https://cfpub.epa.gov/ecotox/explore.cfm?ncbi=48699","Explore in ECOTOX")</f>
        <v>Explore in ECOTOX</v>
      </c>
    </row>
    <row r="106" spans="1:18" x14ac:dyDescent="0.45">
      <c r="A106" t="s">
        <v>1264</v>
      </c>
      <c r="B106">
        <v>8</v>
      </c>
      <c r="C106" t="str">
        <f>HYPERLINK("http://www.ncbi.nlm.nih.gov/protein/KAF1378614.1","KAF1378614.1")</f>
        <v>KAF1378614.1</v>
      </c>
      <c r="D106">
        <v>74384</v>
      </c>
      <c r="E106" t="str">
        <f>HYPERLINK("http://www.ncbi.nlm.nih.gov/Taxonomy/Browser/wwwtax.cgi?mode=Info&amp;id=8168&amp;lvl=3&amp;lin=f&amp;keep=1&amp;srchmode=1&amp;unlock","8168")</f>
        <v>8168</v>
      </c>
      <c r="F106" t="s">
        <v>17</v>
      </c>
      <c r="G106" t="str">
        <f>HYPERLINK("http://www.ncbi.nlm.nih.gov/Taxonomy/Browser/wwwtax.cgi?mode=Info&amp;id=8168&amp;lvl=3&amp;lin=f&amp;keep=1&amp;srchmode=1&amp;unlock","Perca fluviatilis")</f>
        <v>Perca fluviatilis</v>
      </c>
      <c r="H106" t="s">
        <v>118</v>
      </c>
      <c r="I106" t="str">
        <f>HYPERLINK("http://www.ncbi.nlm.nih.gov/protein/KAF1378614.1","hypothetical protein PFLUV_G00192370")</f>
        <v>hypothetical protein PFLUV_G00192370</v>
      </c>
      <c r="J106">
        <v>8970.1299999999992</v>
      </c>
      <c r="K106" t="s">
        <v>19</v>
      </c>
      <c r="L106">
        <v>276</v>
      </c>
      <c r="M106">
        <v>9.75</v>
      </c>
      <c r="N106">
        <v>85.81</v>
      </c>
      <c r="O106" t="s">
        <v>19</v>
      </c>
      <c r="P106" t="s">
        <v>20</v>
      </c>
      <c r="Q106" t="s">
        <v>19</v>
      </c>
      <c r="R106" t="str">
        <f>HYPERLINK("https://cfpub.epa.gov/ecotox/explore.cfm?ncbi=8168","Explore in ECOTOX")</f>
        <v>Explore in ECOTOX</v>
      </c>
    </row>
    <row r="107" spans="1:18" x14ac:dyDescent="0.45">
      <c r="A107" t="s">
        <v>1264</v>
      </c>
      <c r="B107">
        <v>8</v>
      </c>
      <c r="C107" t="str">
        <f>HYPERLINK("http://www.ncbi.nlm.nih.gov/protein/XP_016529586.1","XP_016529586.1")</f>
        <v>XP_016529586.1</v>
      </c>
      <c r="D107">
        <v>49657</v>
      </c>
      <c r="E107" t="str">
        <f>HYPERLINK("http://www.ncbi.nlm.nih.gov/Taxonomy/Browser/wwwtax.cgi?mode=Info&amp;id=48698&amp;lvl=3&amp;lin=f&amp;keep=1&amp;srchmode=1&amp;unlock","48698")</f>
        <v>48698</v>
      </c>
      <c r="F107" t="s">
        <v>17</v>
      </c>
      <c r="G107" t="str">
        <f>HYPERLINK("http://www.ncbi.nlm.nih.gov/Taxonomy/Browser/wwwtax.cgi?mode=Info&amp;id=48698&amp;lvl=3&amp;lin=f&amp;keep=1&amp;srchmode=1&amp;unlock","Poecilia formosa")</f>
        <v>Poecilia formosa</v>
      </c>
      <c r="H107" t="s">
        <v>119</v>
      </c>
      <c r="I107" t="str">
        <f>HYPERLINK("http://www.ncbi.nlm.nih.gov/protein/XP_016529586.1","PREDICTED: ryanodine receptor 1-like isoform X1")</f>
        <v>PREDICTED: ryanodine receptor 1-like isoform X1</v>
      </c>
      <c r="J107">
        <v>8969.74</v>
      </c>
      <c r="K107" t="s">
        <v>19</v>
      </c>
      <c r="L107">
        <v>276</v>
      </c>
      <c r="M107">
        <v>9.75</v>
      </c>
      <c r="N107">
        <v>85.8</v>
      </c>
      <c r="O107" t="s">
        <v>19</v>
      </c>
      <c r="P107" t="s">
        <v>20</v>
      </c>
      <c r="Q107" t="s">
        <v>19</v>
      </c>
      <c r="R107" t="str">
        <f>HYPERLINK("https://cfpub.epa.gov/ecotox/explore.cfm?ncbi=48698","Explore in ECOTOX")</f>
        <v>Explore in ECOTOX</v>
      </c>
    </row>
    <row r="108" spans="1:18" x14ac:dyDescent="0.45">
      <c r="A108" t="s">
        <v>1264</v>
      </c>
      <c r="B108">
        <v>8</v>
      </c>
      <c r="C108" t="str">
        <f>HYPERLINK("http://www.ncbi.nlm.nih.gov/protein/KAK3521588.1","KAK3521588.1")</f>
        <v>KAK3521588.1</v>
      </c>
      <c r="D108">
        <v>70122</v>
      </c>
      <c r="E108" t="str">
        <f>HYPERLINK("http://www.ncbi.nlm.nih.gov/Taxonomy/Browser/wwwtax.cgi?mode=Info&amp;id=175788&amp;lvl=3&amp;lin=f&amp;keep=1&amp;srchmode=1&amp;unlock","175788")</f>
        <v>175788</v>
      </c>
      <c r="F108" t="s">
        <v>17</v>
      </c>
      <c r="G108" t="str">
        <f>HYPERLINK("http://www.ncbi.nlm.nih.gov/Taxonomy/Browser/wwwtax.cgi?mode=Info&amp;id=175788&amp;lvl=3&amp;lin=f&amp;keep=1&amp;srchmode=1&amp;unlock","Hemibagrus guttatus")</f>
        <v>Hemibagrus guttatus</v>
      </c>
      <c r="H108" t="s">
        <v>45</v>
      </c>
      <c r="I108" t="str">
        <f>HYPERLINK("http://www.ncbi.nlm.nih.gov/protein/KAK3521588.1","hypothetical protein QTP70_014764")</f>
        <v>hypothetical protein QTP70_014764</v>
      </c>
      <c r="J108">
        <v>8969.74</v>
      </c>
      <c r="K108" t="s">
        <v>19</v>
      </c>
      <c r="L108">
        <v>276</v>
      </c>
      <c r="M108">
        <v>9.75</v>
      </c>
      <c r="N108">
        <v>85.8</v>
      </c>
      <c r="O108" t="s">
        <v>19</v>
      </c>
      <c r="P108" t="s">
        <v>20</v>
      </c>
      <c r="Q108" t="s">
        <v>19</v>
      </c>
      <c r="R108" t="str">
        <f>HYPERLINK("https://cfpub.epa.gov/ecotox/explore.cfm?ncbi=175788","Explore in ECOTOX")</f>
        <v>Explore in ECOTOX</v>
      </c>
    </row>
    <row r="109" spans="1:18" x14ac:dyDescent="0.45">
      <c r="A109" t="s">
        <v>1264</v>
      </c>
      <c r="B109">
        <v>8</v>
      </c>
      <c r="C109" t="str">
        <f>HYPERLINK("http://www.ncbi.nlm.nih.gov/protein/XP_014849111.1","XP_014849111.1")</f>
        <v>XP_014849111.1</v>
      </c>
      <c r="D109">
        <v>47808</v>
      </c>
      <c r="E109" t="str">
        <f>HYPERLINK("http://www.ncbi.nlm.nih.gov/Taxonomy/Browser/wwwtax.cgi?mode=Info&amp;id=48701&amp;lvl=3&amp;lin=f&amp;keep=1&amp;srchmode=1&amp;unlock","48701")</f>
        <v>48701</v>
      </c>
      <c r="F109" t="s">
        <v>17</v>
      </c>
      <c r="G109" t="str">
        <f>HYPERLINK("http://www.ncbi.nlm.nih.gov/Taxonomy/Browser/wwwtax.cgi?mode=Info&amp;id=48701&amp;lvl=3&amp;lin=f&amp;keep=1&amp;srchmode=1&amp;unlock","Poecilia mexicana")</f>
        <v>Poecilia mexicana</v>
      </c>
      <c r="H109" t="s">
        <v>120</v>
      </c>
      <c r="I109" t="str">
        <f>HYPERLINK("http://www.ncbi.nlm.nih.gov/protein/XP_014849111.1","PREDICTED: ryanodine receptor 1-like isoform X1")</f>
        <v>PREDICTED: ryanodine receptor 1-like isoform X1</v>
      </c>
      <c r="J109">
        <v>8968.59</v>
      </c>
      <c r="K109" t="s">
        <v>19</v>
      </c>
      <c r="L109">
        <v>276</v>
      </c>
      <c r="M109">
        <v>9.75</v>
      </c>
      <c r="N109">
        <v>85.79</v>
      </c>
      <c r="O109" t="s">
        <v>19</v>
      </c>
      <c r="P109" t="s">
        <v>20</v>
      </c>
      <c r="Q109" t="s">
        <v>19</v>
      </c>
      <c r="R109" t="str">
        <f>HYPERLINK("https://cfpub.epa.gov/ecotox/explore.cfm?ncbi=48701","Explore in ECOTOX")</f>
        <v>Explore in ECOTOX</v>
      </c>
    </row>
    <row r="110" spans="1:18" x14ac:dyDescent="0.45">
      <c r="A110" t="s">
        <v>1264</v>
      </c>
      <c r="B110">
        <v>8</v>
      </c>
      <c r="C110" t="str">
        <f>HYPERLINK("http://www.ncbi.nlm.nih.gov/protein/XP_053298242.1","XP_053298242.1")</f>
        <v>XP_053298242.1</v>
      </c>
      <c r="D110">
        <v>85261</v>
      </c>
      <c r="E110" t="str">
        <f>HYPERLINK("http://www.ncbi.nlm.nih.gov/Taxonomy/Browser/wwwtax.cgi?mode=Info&amp;id=8262&amp;lvl=3&amp;lin=f&amp;keep=1&amp;srchmode=1&amp;unlock","8262")</f>
        <v>8262</v>
      </c>
      <c r="F110" t="s">
        <v>17</v>
      </c>
      <c r="G110" t="str">
        <f>HYPERLINK("http://www.ncbi.nlm.nih.gov/Taxonomy/Browser/wwwtax.cgi?mode=Info&amp;id=8262&amp;lvl=3&amp;lin=f&amp;keep=1&amp;srchmode=1&amp;unlock","Pleuronectes platessa")</f>
        <v>Pleuronectes platessa</v>
      </c>
      <c r="H110" t="s">
        <v>121</v>
      </c>
      <c r="I110" t="str">
        <f>HYPERLINK("http://www.ncbi.nlm.nih.gov/protein/XP_053298242.1","ryanodine receptor 1")</f>
        <v>ryanodine receptor 1</v>
      </c>
      <c r="J110">
        <v>8967.82</v>
      </c>
      <c r="K110" t="s">
        <v>19</v>
      </c>
      <c r="L110">
        <v>276</v>
      </c>
      <c r="M110">
        <v>9.75</v>
      </c>
      <c r="N110">
        <v>85.78</v>
      </c>
      <c r="O110" t="s">
        <v>19</v>
      </c>
      <c r="P110" t="s">
        <v>20</v>
      </c>
      <c r="Q110" t="s">
        <v>19</v>
      </c>
      <c r="R110" t="str">
        <f>HYPERLINK("https://cfpub.epa.gov/ecotox/explore.cfm?ncbi=8262","Explore in ECOTOX")</f>
        <v>Explore in ECOTOX</v>
      </c>
    </row>
    <row r="111" spans="1:18" x14ac:dyDescent="0.45">
      <c r="A111" t="s">
        <v>1264</v>
      </c>
      <c r="B111">
        <v>8</v>
      </c>
      <c r="C111" t="str">
        <f>HYPERLINK("http://www.ncbi.nlm.nih.gov/protein/XP_047234971.1","XP_047234971.1")</f>
        <v>XP_047234971.1</v>
      </c>
      <c r="D111">
        <v>48650</v>
      </c>
      <c r="E111" t="str">
        <f>HYPERLINK("http://www.ncbi.nlm.nih.gov/Taxonomy/Browser/wwwtax.cgi?mode=Info&amp;id=208333&amp;lvl=3&amp;lin=f&amp;keep=1&amp;srchmode=1&amp;unlock","208333")</f>
        <v>208333</v>
      </c>
      <c r="F111" t="s">
        <v>17</v>
      </c>
      <c r="G111" t="str">
        <f>HYPERLINK("http://www.ncbi.nlm.nih.gov/Taxonomy/Browser/wwwtax.cgi?mode=Info&amp;id=208333&amp;lvl=3&amp;lin=f&amp;keep=1&amp;srchmode=1&amp;unlock","Girardinichthys multiradiatus")</f>
        <v>Girardinichthys multiradiatus</v>
      </c>
      <c r="H111" t="s">
        <v>122</v>
      </c>
      <c r="I111" t="str">
        <f>HYPERLINK("http://www.ncbi.nlm.nih.gov/protein/XP_047234971.1","ryanodine receptor 1-like")</f>
        <v>ryanodine receptor 1-like</v>
      </c>
      <c r="J111">
        <v>8967.82</v>
      </c>
      <c r="K111" t="s">
        <v>19</v>
      </c>
      <c r="L111">
        <v>276</v>
      </c>
      <c r="M111">
        <v>9.75</v>
      </c>
      <c r="N111">
        <v>85.78</v>
      </c>
      <c r="O111" t="s">
        <v>19</v>
      </c>
      <c r="P111" t="s">
        <v>20</v>
      </c>
      <c r="Q111" t="s">
        <v>19</v>
      </c>
      <c r="R111" t="str">
        <f>HYPERLINK("https://cfpub.epa.gov/ecotox/explore.cfm?ncbi=208333","Explore in ECOTOX")</f>
        <v>Explore in ECOTOX</v>
      </c>
    </row>
    <row r="112" spans="1:18" x14ac:dyDescent="0.45">
      <c r="A112" t="s">
        <v>1264</v>
      </c>
      <c r="B112">
        <v>8</v>
      </c>
      <c r="C112" t="str">
        <f>HYPERLINK("http://www.ncbi.nlm.nih.gov/protein/XP_015238285.1","XP_015238285.1")</f>
        <v>XP_015238285.1</v>
      </c>
      <c r="D112">
        <v>36660</v>
      </c>
      <c r="E112" t="str">
        <f>HYPERLINK("http://www.ncbi.nlm.nih.gov/Taxonomy/Browser/wwwtax.cgi?mode=Info&amp;id=28743&amp;lvl=3&amp;lin=f&amp;keep=1&amp;srchmode=1&amp;unlock","28743")</f>
        <v>28743</v>
      </c>
      <c r="F112" t="s">
        <v>17</v>
      </c>
      <c r="G112" t="str">
        <f>HYPERLINK("http://www.ncbi.nlm.nih.gov/Taxonomy/Browser/wwwtax.cgi?mode=Info&amp;id=28743&amp;lvl=3&amp;lin=f&amp;keep=1&amp;srchmode=1&amp;unlock","Cyprinodon variegatus")</f>
        <v>Cyprinodon variegatus</v>
      </c>
      <c r="H112" t="s">
        <v>123</v>
      </c>
      <c r="I112" t="str">
        <f>HYPERLINK("http://www.ncbi.nlm.nih.gov/protein/XP_015238285.1","PREDICTED: ryanodine receptor 1-like isoform X3")</f>
        <v>PREDICTED: ryanodine receptor 1-like isoform X3</v>
      </c>
      <c r="J112">
        <v>8967.43</v>
      </c>
      <c r="K112" t="s">
        <v>19</v>
      </c>
      <c r="L112">
        <v>276</v>
      </c>
      <c r="M112">
        <v>9.75</v>
      </c>
      <c r="N112">
        <v>85.78</v>
      </c>
      <c r="O112" t="s">
        <v>19</v>
      </c>
      <c r="P112" t="s">
        <v>20</v>
      </c>
      <c r="Q112" t="s">
        <v>19</v>
      </c>
      <c r="R112" t="str">
        <f>HYPERLINK("https://cfpub.epa.gov/ecotox/explore.cfm?ncbi=28743","Explore in ECOTOX")</f>
        <v>Explore in ECOTOX</v>
      </c>
    </row>
    <row r="113" spans="1:18" x14ac:dyDescent="0.45">
      <c r="A113" t="s">
        <v>1264</v>
      </c>
      <c r="B113">
        <v>8</v>
      </c>
      <c r="C113" t="str">
        <f>HYPERLINK("http://www.ncbi.nlm.nih.gov/protein/CAG5874168.1","CAG5874168.1")</f>
        <v>CAG5874168.1</v>
      </c>
      <c r="D113">
        <v>21784</v>
      </c>
      <c r="E113" t="str">
        <f>HYPERLINK("http://www.ncbi.nlm.nih.gov/Taxonomy/Browser/wwwtax.cgi?mode=Info&amp;id=238744&amp;lvl=3&amp;lin=f&amp;keep=1&amp;srchmode=1&amp;unlock","238744")</f>
        <v>238744</v>
      </c>
      <c r="F113" t="s">
        <v>17</v>
      </c>
      <c r="G113" t="str">
        <f>HYPERLINK("http://www.ncbi.nlm.nih.gov/Taxonomy/Browser/wwwtax.cgi?mode=Info&amp;id=238744&amp;lvl=3&amp;lin=f&amp;keep=1&amp;srchmode=1&amp;unlock","Menidia menidia")</f>
        <v>Menidia menidia</v>
      </c>
      <c r="H113" t="s">
        <v>124</v>
      </c>
      <c r="I113" t="str">
        <f>HYPERLINK("http://www.ncbi.nlm.nih.gov/protein/CAG5874168.1","unnamed protein product")</f>
        <v>unnamed protein product</v>
      </c>
      <c r="J113">
        <v>8967.43</v>
      </c>
      <c r="K113" t="s">
        <v>19</v>
      </c>
      <c r="L113">
        <v>276</v>
      </c>
      <c r="M113">
        <v>9.75</v>
      </c>
      <c r="N113">
        <v>85.78</v>
      </c>
      <c r="O113" t="s">
        <v>19</v>
      </c>
      <c r="P113" t="s">
        <v>20</v>
      </c>
      <c r="Q113" t="s">
        <v>19</v>
      </c>
      <c r="R113" t="str">
        <f>HYPERLINK("https://cfpub.epa.gov/ecotox/explore.cfm?ncbi=238744","Explore in ECOTOX")</f>
        <v>Explore in ECOTOX</v>
      </c>
    </row>
    <row r="114" spans="1:18" x14ac:dyDescent="0.45">
      <c r="A114" t="s">
        <v>1264</v>
      </c>
      <c r="B114">
        <v>8</v>
      </c>
      <c r="C114" t="str">
        <f>HYPERLINK("http://www.ncbi.nlm.nih.gov/protein/XP_038133089.1","XP_038133089.1")</f>
        <v>XP_038133089.1</v>
      </c>
      <c r="D114">
        <v>42402</v>
      </c>
      <c r="E114" t="str">
        <f>HYPERLINK("http://www.ncbi.nlm.nih.gov/Taxonomy/Browser/wwwtax.cgi?mode=Info&amp;id=77115&amp;lvl=3&amp;lin=f&amp;keep=1&amp;srchmode=1&amp;unlock","77115")</f>
        <v>77115</v>
      </c>
      <c r="F114" t="s">
        <v>17</v>
      </c>
      <c r="G114" t="str">
        <f>HYPERLINK("http://www.ncbi.nlm.nih.gov/Taxonomy/Browser/wwwtax.cgi?mode=Info&amp;id=77115&amp;lvl=3&amp;lin=f&amp;keep=1&amp;srchmode=1&amp;unlock","Cyprinodon tularosa")</f>
        <v>Cyprinodon tularosa</v>
      </c>
      <c r="H114" t="s">
        <v>125</v>
      </c>
      <c r="I114" t="str">
        <f>HYPERLINK("http://www.ncbi.nlm.nih.gov/protein/XP_038133089.1","ryanodine receptor 1-like isoform X3")</f>
        <v>ryanodine receptor 1-like isoform X3</v>
      </c>
      <c r="J114">
        <v>8966.66</v>
      </c>
      <c r="K114" t="s">
        <v>19</v>
      </c>
      <c r="L114">
        <v>276</v>
      </c>
      <c r="M114">
        <v>9.75</v>
      </c>
      <c r="N114">
        <v>85.77</v>
      </c>
      <c r="O114" t="s">
        <v>19</v>
      </c>
      <c r="P114" t="s">
        <v>20</v>
      </c>
      <c r="Q114" t="s">
        <v>19</v>
      </c>
      <c r="R114" t="str">
        <f>HYPERLINK("https://cfpub.epa.gov/ecotox/explore.cfm?ncbi=77115","Explore in ECOTOX")</f>
        <v>Explore in ECOTOX</v>
      </c>
    </row>
    <row r="115" spans="1:18" x14ac:dyDescent="0.45">
      <c r="A115" t="s">
        <v>1264</v>
      </c>
      <c r="B115">
        <v>8</v>
      </c>
      <c r="C115" t="str">
        <f>HYPERLINK("http://www.ncbi.nlm.nih.gov/protein/XP_023197887.1","XP_023197887.1")</f>
        <v>XP_023197887.1</v>
      </c>
      <c r="D115">
        <v>43739</v>
      </c>
      <c r="E115" t="str">
        <f>HYPERLINK("http://www.ncbi.nlm.nih.gov/Taxonomy/Browser/wwwtax.cgi?mode=Info&amp;id=8083&amp;lvl=3&amp;lin=f&amp;keep=1&amp;srchmode=1&amp;unlock","8083")</f>
        <v>8083</v>
      </c>
      <c r="F115" t="s">
        <v>17</v>
      </c>
      <c r="G115" t="str">
        <f>HYPERLINK("http://www.ncbi.nlm.nih.gov/Taxonomy/Browser/wwwtax.cgi?mode=Info&amp;id=8083&amp;lvl=3&amp;lin=f&amp;keep=1&amp;srchmode=1&amp;unlock","Xiphophorus maculatus")</f>
        <v>Xiphophorus maculatus</v>
      </c>
      <c r="H115" t="s">
        <v>126</v>
      </c>
      <c r="I115" t="str">
        <f>HYPERLINK("http://www.ncbi.nlm.nih.gov/protein/XP_023197887.1","ryanodine receptor 1-like isoform X3")</f>
        <v>ryanodine receptor 1-like isoform X3</v>
      </c>
      <c r="J115">
        <v>8966.2800000000007</v>
      </c>
      <c r="K115" t="s">
        <v>19</v>
      </c>
      <c r="L115">
        <v>276</v>
      </c>
      <c r="M115">
        <v>9.75</v>
      </c>
      <c r="N115">
        <v>85.77</v>
      </c>
      <c r="O115" t="s">
        <v>19</v>
      </c>
      <c r="P115" t="s">
        <v>20</v>
      </c>
      <c r="Q115" t="s">
        <v>19</v>
      </c>
      <c r="R115" t="str">
        <f>HYPERLINK("https://cfpub.epa.gov/ecotox/explore.cfm?ncbi=8083","Explore in ECOTOX")</f>
        <v>Explore in ECOTOX</v>
      </c>
    </row>
    <row r="116" spans="1:18" x14ac:dyDescent="0.45">
      <c r="A116" t="s">
        <v>1264</v>
      </c>
      <c r="B116">
        <v>8</v>
      </c>
      <c r="C116" t="str">
        <f>HYPERLINK("http://www.ncbi.nlm.nih.gov/protein/XP_055004465.1","XP_055004465.1")</f>
        <v>XP_055004465.1</v>
      </c>
      <c r="D116">
        <v>52854</v>
      </c>
      <c r="E116" t="str">
        <f>HYPERLINK("http://www.ncbi.nlm.nih.gov/Taxonomy/Browser/wwwtax.cgi?mode=Info&amp;id=150288&amp;lvl=3&amp;lin=f&amp;keep=1&amp;srchmode=1&amp;unlock","150288")</f>
        <v>150288</v>
      </c>
      <c r="F116" t="s">
        <v>17</v>
      </c>
      <c r="G116" t="str">
        <f>HYPERLINK("http://www.ncbi.nlm.nih.gov/Taxonomy/Browser/wwwtax.cgi?mode=Info&amp;id=150288&amp;lvl=3&amp;lin=f&amp;keep=1&amp;srchmode=1&amp;unlock","Boleophthalmus pectinirostris")</f>
        <v>Boleophthalmus pectinirostris</v>
      </c>
      <c r="H116" t="s">
        <v>127</v>
      </c>
      <c r="I116" t="str">
        <f>HYPERLINK("http://www.ncbi.nlm.nih.gov/protein/XP_055004465.1","ryanodine receptor 1-like")</f>
        <v>ryanodine receptor 1-like</v>
      </c>
      <c r="J116">
        <v>8965.1200000000008</v>
      </c>
      <c r="K116" t="s">
        <v>19</v>
      </c>
      <c r="L116">
        <v>276</v>
      </c>
      <c r="M116">
        <v>9.75</v>
      </c>
      <c r="N116">
        <v>85.76</v>
      </c>
      <c r="O116" t="s">
        <v>19</v>
      </c>
      <c r="P116" t="s">
        <v>20</v>
      </c>
      <c r="Q116" t="s">
        <v>19</v>
      </c>
      <c r="R116" t="str">
        <f>HYPERLINK("https://cfpub.epa.gov/ecotox/explore.cfm?ncbi=150288","Explore in ECOTOX")</f>
        <v>Explore in ECOTOX</v>
      </c>
    </row>
    <row r="117" spans="1:18" x14ac:dyDescent="0.45">
      <c r="A117" t="s">
        <v>1264</v>
      </c>
      <c r="B117">
        <v>8</v>
      </c>
      <c r="C117" t="str">
        <f>HYPERLINK("http://www.ncbi.nlm.nih.gov/protein/XP_037323817.1","XP_037323817.1")</f>
        <v>XP_037323817.1</v>
      </c>
      <c r="D117">
        <v>43860</v>
      </c>
      <c r="E117" t="str">
        <f>HYPERLINK("http://www.ncbi.nlm.nih.gov/Taxonomy/Browser/wwwtax.cgi?mode=Info&amp;id=134920&amp;lvl=3&amp;lin=f&amp;keep=1&amp;srchmode=1&amp;unlock","134920")</f>
        <v>134920</v>
      </c>
      <c r="F117" t="s">
        <v>17</v>
      </c>
      <c r="G117" t="str">
        <f>HYPERLINK("http://www.ncbi.nlm.nih.gov/Taxonomy/Browser/wwwtax.cgi?mode=Info&amp;id=134920&amp;lvl=3&amp;lin=f&amp;keep=1&amp;srchmode=1&amp;unlock","Pungitius pungitius")</f>
        <v>Pungitius pungitius</v>
      </c>
      <c r="H117" t="s">
        <v>128</v>
      </c>
      <c r="I117" t="str">
        <f>HYPERLINK("http://www.ncbi.nlm.nih.gov/protein/XP_037323817.1","ryanodine receptor 1-like isoform X2")</f>
        <v>ryanodine receptor 1-like isoform X2</v>
      </c>
      <c r="J117">
        <v>8962.81</v>
      </c>
      <c r="K117" t="s">
        <v>19</v>
      </c>
      <c r="L117">
        <v>276</v>
      </c>
      <c r="M117">
        <v>9.75</v>
      </c>
      <c r="N117">
        <v>85.74</v>
      </c>
      <c r="O117" t="s">
        <v>19</v>
      </c>
      <c r="P117" t="s">
        <v>20</v>
      </c>
      <c r="Q117" t="s">
        <v>19</v>
      </c>
      <c r="R117" t="str">
        <f>HYPERLINK("https://cfpub.epa.gov/ecotox/explore.cfm?ncbi=134920","Explore in ECOTOX")</f>
        <v>Explore in ECOTOX</v>
      </c>
    </row>
    <row r="118" spans="1:18" x14ac:dyDescent="0.45">
      <c r="A118" t="s">
        <v>1264</v>
      </c>
      <c r="B118">
        <v>8</v>
      </c>
      <c r="C118" t="str">
        <f>HYPERLINK("http://www.ncbi.nlm.nih.gov/protein/XP_032432571.1","XP_032432571.1")</f>
        <v>XP_032432571.1</v>
      </c>
      <c r="D118">
        <v>46466</v>
      </c>
      <c r="E118" t="str">
        <f>HYPERLINK("http://www.ncbi.nlm.nih.gov/Taxonomy/Browser/wwwtax.cgi?mode=Info&amp;id=8084&amp;lvl=3&amp;lin=f&amp;keep=1&amp;srchmode=1&amp;unlock","8084")</f>
        <v>8084</v>
      </c>
      <c r="F118" t="s">
        <v>17</v>
      </c>
      <c r="G118" t="str">
        <f>HYPERLINK("http://www.ncbi.nlm.nih.gov/Taxonomy/Browser/wwwtax.cgi?mode=Info&amp;id=8084&amp;lvl=3&amp;lin=f&amp;keep=1&amp;srchmode=1&amp;unlock","Xiphophorus hellerii")</f>
        <v>Xiphophorus hellerii</v>
      </c>
      <c r="H118" t="s">
        <v>129</v>
      </c>
      <c r="I118" t="str">
        <f>HYPERLINK("http://www.ncbi.nlm.nih.gov/protein/XP_032432571.1","ryanodine receptor 1-like isoform X3")</f>
        <v>ryanodine receptor 1-like isoform X3</v>
      </c>
      <c r="J118">
        <v>8962.0400000000009</v>
      </c>
      <c r="K118" t="s">
        <v>19</v>
      </c>
      <c r="L118">
        <v>276</v>
      </c>
      <c r="M118">
        <v>9.75</v>
      </c>
      <c r="N118">
        <v>85.73</v>
      </c>
      <c r="O118" t="s">
        <v>19</v>
      </c>
      <c r="P118" t="s">
        <v>20</v>
      </c>
      <c r="Q118" t="s">
        <v>19</v>
      </c>
      <c r="R118" t="str">
        <f>HYPERLINK("https://cfpub.epa.gov/ecotox/explore.cfm?ncbi=8084","Explore in ECOTOX")</f>
        <v>Explore in ECOTOX</v>
      </c>
    </row>
    <row r="119" spans="1:18" x14ac:dyDescent="0.45">
      <c r="A119" t="s">
        <v>1264</v>
      </c>
      <c r="B119">
        <v>8</v>
      </c>
      <c r="C119" t="str">
        <f>HYPERLINK("http://www.ncbi.nlm.nih.gov/protein/XP_041707222.1","XP_041707222.1")</f>
        <v>XP_041707222.1</v>
      </c>
      <c r="D119">
        <v>77029</v>
      </c>
      <c r="E119" t="str">
        <f>HYPERLINK("http://www.ncbi.nlm.nih.gov/Taxonomy/Browser/wwwtax.cgi?mode=Info&amp;id=59861&amp;lvl=3&amp;lin=f&amp;keep=1&amp;srchmode=1&amp;unlock","59861")</f>
        <v>59861</v>
      </c>
      <c r="F119" t="s">
        <v>17</v>
      </c>
      <c r="G119" t="str">
        <f>HYPERLINK("http://www.ncbi.nlm.nih.gov/Taxonomy/Browser/wwwtax.cgi?mode=Info&amp;id=59861&amp;lvl=3&amp;lin=f&amp;keep=1&amp;srchmode=1&amp;unlock","Coregonus clupeaformis")</f>
        <v>Coregonus clupeaformis</v>
      </c>
      <c r="H119" t="s">
        <v>130</v>
      </c>
      <c r="I119" t="str">
        <f>HYPERLINK("http://www.ncbi.nlm.nih.gov/protein/XP_041707222.1","ryanodine receptor 1-like")</f>
        <v>ryanodine receptor 1-like</v>
      </c>
      <c r="J119">
        <v>8962.0400000000009</v>
      </c>
      <c r="K119" t="s">
        <v>19</v>
      </c>
      <c r="L119">
        <v>276</v>
      </c>
      <c r="M119">
        <v>9.75</v>
      </c>
      <c r="N119">
        <v>85.73</v>
      </c>
      <c r="O119" t="s">
        <v>19</v>
      </c>
      <c r="P119" t="s">
        <v>20</v>
      </c>
      <c r="Q119" t="s">
        <v>19</v>
      </c>
      <c r="R119" t="str">
        <f>HYPERLINK("https://cfpub.epa.gov/ecotox/explore.cfm?ncbi=59861","Explore in ECOTOX")</f>
        <v>Explore in ECOTOX</v>
      </c>
    </row>
    <row r="120" spans="1:18" x14ac:dyDescent="0.45">
      <c r="A120" t="s">
        <v>1264</v>
      </c>
      <c r="B120">
        <v>8</v>
      </c>
      <c r="C120" t="str">
        <f>HYPERLINK("http://www.ncbi.nlm.nih.gov/protein/XP_060941416.1","XP_060941416.1")</f>
        <v>XP_060941416.1</v>
      </c>
      <c r="D120">
        <v>30038</v>
      </c>
      <c r="E120" t="str">
        <f>HYPERLINK("http://www.ncbi.nlm.nih.gov/Taxonomy/Browser/wwwtax.cgi?mode=Info&amp;id=27771&amp;lvl=3&amp;lin=f&amp;keep=1&amp;srchmode=1&amp;unlock","27771")</f>
        <v>27771</v>
      </c>
      <c r="F120" t="s">
        <v>17</v>
      </c>
      <c r="G120" t="str">
        <f>HYPERLINK("http://www.ncbi.nlm.nih.gov/Taxonomy/Browser/wwwtax.cgi?mode=Info&amp;id=27771&amp;lvl=3&amp;lin=f&amp;keep=1&amp;srchmode=1&amp;unlock","Limanda limanda")</f>
        <v>Limanda limanda</v>
      </c>
      <c r="H120" t="s">
        <v>131</v>
      </c>
      <c r="I120" t="str">
        <f>HYPERLINK("http://www.ncbi.nlm.nih.gov/protein/XP_060941416.1","ryanodine receptor 1-like")</f>
        <v>ryanodine receptor 1-like</v>
      </c>
      <c r="J120">
        <v>8958.9599999999991</v>
      </c>
      <c r="K120" t="s">
        <v>19</v>
      </c>
      <c r="L120">
        <v>276</v>
      </c>
      <c r="M120">
        <v>9.75</v>
      </c>
      <c r="N120">
        <v>85.7</v>
      </c>
      <c r="O120" t="s">
        <v>19</v>
      </c>
      <c r="P120" t="s">
        <v>20</v>
      </c>
      <c r="Q120" t="s">
        <v>19</v>
      </c>
      <c r="R120" t="str">
        <f>HYPERLINK("https://cfpub.epa.gov/ecotox/explore.cfm?ncbi=27771","Explore in ECOTOX")</f>
        <v>Explore in ECOTOX</v>
      </c>
    </row>
    <row r="121" spans="1:18" x14ac:dyDescent="0.45">
      <c r="A121" t="s">
        <v>1264</v>
      </c>
      <c r="B121">
        <v>8</v>
      </c>
      <c r="C121" t="str">
        <f>HYPERLINK("http://www.ncbi.nlm.nih.gov/protein/XP_027887130.1","XP_027887130.1")</f>
        <v>XP_027887130.1</v>
      </c>
      <c r="D121">
        <v>47115</v>
      </c>
      <c r="E121" t="str">
        <f>HYPERLINK("http://www.ncbi.nlm.nih.gov/Taxonomy/Browser/wwwtax.cgi?mode=Info&amp;id=32473&amp;lvl=3&amp;lin=f&amp;keep=1&amp;srchmode=1&amp;unlock","32473")</f>
        <v>32473</v>
      </c>
      <c r="F121" t="s">
        <v>17</v>
      </c>
      <c r="G121" t="str">
        <f>HYPERLINK("http://www.ncbi.nlm.nih.gov/Taxonomy/Browser/wwwtax.cgi?mode=Info&amp;id=32473&amp;lvl=3&amp;lin=f&amp;keep=1&amp;srchmode=1&amp;unlock","Xiphophorus couchianus")</f>
        <v>Xiphophorus couchianus</v>
      </c>
      <c r="H121" t="s">
        <v>132</v>
      </c>
      <c r="I121" t="str">
        <f>HYPERLINK("http://www.ncbi.nlm.nih.gov/protein/XP_027887130.1","ryanodine receptor 1-like isoform X3")</f>
        <v>ryanodine receptor 1-like isoform X3</v>
      </c>
      <c r="J121">
        <v>8957.7999999999993</v>
      </c>
      <c r="K121" t="s">
        <v>19</v>
      </c>
      <c r="L121">
        <v>276</v>
      </c>
      <c r="M121">
        <v>9.75</v>
      </c>
      <c r="N121">
        <v>85.69</v>
      </c>
      <c r="O121" t="s">
        <v>19</v>
      </c>
      <c r="P121" t="s">
        <v>20</v>
      </c>
      <c r="Q121" t="s">
        <v>19</v>
      </c>
      <c r="R121" t="str">
        <f>HYPERLINK("https://cfpub.epa.gov/ecotox/explore.cfm?ncbi=32473","Explore in ECOTOX")</f>
        <v>Explore in ECOTOX</v>
      </c>
    </row>
    <row r="122" spans="1:18" x14ac:dyDescent="0.45">
      <c r="A122" t="s">
        <v>1264</v>
      </c>
      <c r="B122">
        <v>8</v>
      </c>
      <c r="C122" t="str">
        <f>HYPERLINK("http://www.ncbi.nlm.nih.gov/protein/XP_038862080.1","XP_038862080.1")</f>
        <v>XP_038862080.1</v>
      </c>
      <c r="D122">
        <v>58431</v>
      </c>
      <c r="E122" t="str">
        <f>HYPERLINK("http://www.ncbi.nlm.nih.gov/Taxonomy/Browser/wwwtax.cgi?mode=Info&amp;id=8040&amp;lvl=3&amp;lin=f&amp;keep=1&amp;srchmode=1&amp;unlock","8040")</f>
        <v>8040</v>
      </c>
      <c r="F122" t="s">
        <v>17</v>
      </c>
      <c r="G122" t="str">
        <f>HYPERLINK("http://www.ncbi.nlm.nih.gov/Taxonomy/Browser/wwwtax.cgi?mode=Info&amp;id=8040&amp;lvl=3&amp;lin=f&amp;keep=1&amp;srchmode=1&amp;unlock","Salvelinus namaycush")</f>
        <v>Salvelinus namaycush</v>
      </c>
      <c r="H122" t="s">
        <v>133</v>
      </c>
      <c r="I122" t="str">
        <f>HYPERLINK("http://www.ncbi.nlm.nih.gov/protein/XP_038862080.1","ryanodine receptor 1-like")</f>
        <v>ryanodine receptor 1-like</v>
      </c>
      <c r="J122">
        <v>8957.7999999999993</v>
      </c>
      <c r="K122" t="s">
        <v>19</v>
      </c>
      <c r="L122">
        <v>276</v>
      </c>
      <c r="M122">
        <v>9.75</v>
      </c>
      <c r="N122">
        <v>85.69</v>
      </c>
      <c r="O122" t="s">
        <v>19</v>
      </c>
      <c r="P122" t="s">
        <v>20</v>
      </c>
      <c r="Q122" t="s">
        <v>19</v>
      </c>
      <c r="R122" t="str">
        <f>HYPERLINK("https://cfpub.epa.gov/ecotox/explore.cfm?ncbi=8040","Explore in ECOTOX")</f>
        <v>Explore in ECOTOX</v>
      </c>
    </row>
    <row r="123" spans="1:18" x14ac:dyDescent="0.45">
      <c r="A123" t="s">
        <v>1264</v>
      </c>
      <c r="B123">
        <v>8</v>
      </c>
      <c r="C123" t="str">
        <f>HYPERLINK("http://www.ncbi.nlm.nih.gov/protein/XP_053702246.1","XP_053702246.1")</f>
        <v>XP_053702246.1</v>
      </c>
      <c r="D123">
        <v>44916</v>
      </c>
      <c r="E123" t="str">
        <f>HYPERLINK("http://www.ncbi.nlm.nih.gov/Taxonomy/Browser/wwwtax.cgi?mode=Info&amp;id=270530&amp;lvl=3&amp;lin=f&amp;keep=1&amp;srchmode=1&amp;unlock","270530")</f>
        <v>270530</v>
      </c>
      <c r="F123" t="s">
        <v>17</v>
      </c>
      <c r="G123" t="str">
        <f>HYPERLINK("http://www.ncbi.nlm.nih.gov/Taxonomy/Browser/wwwtax.cgi?mode=Info&amp;id=270530&amp;lvl=3&amp;lin=f&amp;keep=1&amp;srchmode=1&amp;unlock","Synchiropus splendidus")</f>
        <v>Synchiropus splendidus</v>
      </c>
      <c r="H123" t="s">
        <v>134</v>
      </c>
      <c r="I123" t="str">
        <f>HYPERLINK("http://www.ncbi.nlm.nih.gov/protein/XP_053702246.1","ryanodine receptor 1-like isoform X6")</f>
        <v>ryanodine receptor 1-like isoform X6</v>
      </c>
      <c r="J123">
        <v>8957.0300000000007</v>
      </c>
      <c r="K123" t="s">
        <v>19</v>
      </c>
      <c r="L123">
        <v>276</v>
      </c>
      <c r="M123">
        <v>9.75</v>
      </c>
      <c r="N123">
        <v>85.68</v>
      </c>
      <c r="O123" t="s">
        <v>19</v>
      </c>
      <c r="P123" t="s">
        <v>20</v>
      </c>
      <c r="Q123" t="s">
        <v>19</v>
      </c>
      <c r="R123" t="str">
        <f>HYPERLINK("https://cfpub.epa.gov/ecotox/explore.cfm?ncbi=270530","Explore in ECOTOX")</f>
        <v>Explore in ECOTOX</v>
      </c>
    </row>
    <row r="124" spans="1:18" x14ac:dyDescent="0.45">
      <c r="A124" t="s">
        <v>1264</v>
      </c>
      <c r="B124">
        <v>8</v>
      </c>
      <c r="C124" t="str">
        <f>HYPERLINK("http://www.ncbi.nlm.nih.gov/protein/XP_049597759.1","XP_049597759.1")</f>
        <v>XP_049597759.1</v>
      </c>
      <c r="D124">
        <v>47901</v>
      </c>
      <c r="E124" t="str">
        <f>HYPERLINK("http://www.ncbi.nlm.nih.gov/Taxonomy/Browser/wwwtax.cgi?mode=Info&amp;id=161590&amp;lvl=3&amp;lin=f&amp;keep=1&amp;srchmode=1&amp;unlock","161590")</f>
        <v>161590</v>
      </c>
      <c r="F124" t="s">
        <v>17</v>
      </c>
      <c r="G124" t="str">
        <f>HYPERLINK("http://www.ncbi.nlm.nih.gov/Taxonomy/Browser/wwwtax.cgi?mode=Info&amp;id=161590&amp;lvl=3&amp;lin=f&amp;keep=1&amp;srchmode=1&amp;unlock","Syngnathus scovelli")</f>
        <v>Syngnathus scovelli</v>
      </c>
      <c r="H124" t="s">
        <v>135</v>
      </c>
      <c r="I124" t="str">
        <f>HYPERLINK("http://www.ncbi.nlm.nih.gov/protein/XP_049597759.1","ryanodine receptor 1 isoform X9")</f>
        <v>ryanodine receptor 1 isoform X9</v>
      </c>
      <c r="J124">
        <v>8955.11</v>
      </c>
      <c r="K124" t="s">
        <v>19</v>
      </c>
      <c r="L124">
        <v>276</v>
      </c>
      <c r="M124">
        <v>9.75</v>
      </c>
      <c r="N124">
        <v>85.66</v>
      </c>
      <c r="O124" t="s">
        <v>19</v>
      </c>
      <c r="P124" t="s">
        <v>20</v>
      </c>
      <c r="Q124" t="s">
        <v>19</v>
      </c>
      <c r="R124" t="str">
        <f>HYPERLINK("https://cfpub.epa.gov/ecotox/explore.cfm?ncbi=161590","Explore in ECOTOX")</f>
        <v>Explore in ECOTOX</v>
      </c>
    </row>
    <row r="125" spans="1:18" x14ac:dyDescent="0.45">
      <c r="A125" t="s">
        <v>1264</v>
      </c>
      <c r="B125">
        <v>8</v>
      </c>
      <c r="C125" t="str">
        <f>HYPERLINK("http://www.ncbi.nlm.nih.gov/protein/XP_037543942.1","XP_037543942.1")</f>
        <v>XP_037543942.1</v>
      </c>
      <c r="D125">
        <v>24154</v>
      </c>
      <c r="E125" t="str">
        <f>HYPERLINK("http://www.ncbi.nlm.nih.gov/Taxonomy/Browser/wwwtax.cgi?mode=Info&amp;id=451745&amp;lvl=3&amp;lin=f&amp;keep=1&amp;srchmode=1&amp;unlock","451745")</f>
        <v>451745</v>
      </c>
      <c r="F125" t="s">
        <v>17</v>
      </c>
      <c r="G125" t="str">
        <f>HYPERLINK("http://www.ncbi.nlm.nih.gov/Taxonomy/Browser/wwwtax.cgi?mode=Info&amp;id=451745&amp;lvl=3&amp;lin=f&amp;keep=1&amp;srchmode=1&amp;unlock","Nematolebias whitei")</f>
        <v>Nematolebias whitei</v>
      </c>
      <c r="H125" t="s">
        <v>136</v>
      </c>
      <c r="I125" t="str">
        <f>HYPERLINK("http://www.ncbi.nlm.nih.gov/protein/XP_037543942.1","ryanodine receptor 1")</f>
        <v>ryanodine receptor 1</v>
      </c>
      <c r="J125">
        <v>8953.56</v>
      </c>
      <c r="K125" t="s">
        <v>19</v>
      </c>
      <c r="L125">
        <v>276</v>
      </c>
      <c r="M125">
        <v>9.75</v>
      </c>
      <c r="N125">
        <v>85.65</v>
      </c>
      <c r="O125" t="s">
        <v>19</v>
      </c>
      <c r="P125" t="s">
        <v>20</v>
      </c>
      <c r="Q125" t="s">
        <v>19</v>
      </c>
      <c r="R125" t="str">
        <f>HYPERLINK("https://cfpub.epa.gov/ecotox/explore.cfm?ncbi=451745","Explore in ECOTOX")</f>
        <v>Explore in ECOTOX</v>
      </c>
    </row>
    <row r="126" spans="1:18" x14ac:dyDescent="0.45">
      <c r="A126" t="s">
        <v>1264</v>
      </c>
      <c r="B126">
        <v>8</v>
      </c>
      <c r="C126" t="str">
        <f>HYPERLINK("http://www.ncbi.nlm.nih.gov/protein/XP_024921526.1","XP_024921526.1")</f>
        <v>XP_024921526.1</v>
      </c>
      <c r="D126">
        <v>40033</v>
      </c>
      <c r="E126" t="str">
        <f>HYPERLINK("http://www.ncbi.nlm.nih.gov/Taxonomy/Browser/wwwtax.cgi?mode=Info&amp;id=244447&amp;lvl=3&amp;lin=f&amp;keep=1&amp;srchmode=1&amp;unlock","244447")</f>
        <v>244447</v>
      </c>
      <c r="F126" t="s">
        <v>17</v>
      </c>
      <c r="G126" t="str">
        <f>HYPERLINK("http://www.ncbi.nlm.nih.gov/Taxonomy/Browser/wwwtax.cgi?mode=Info&amp;id=244447&amp;lvl=3&amp;lin=f&amp;keep=1&amp;srchmode=1&amp;unlock","Cynoglossus semilaevis")</f>
        <v>Cynoglossus semilaevis</v>
      </c>
      <c r="H126" t="s">
        <v>137</v>
      </c>
      <c r="I126" t="str">
        <f>HYPERLINK("http://www.ncbi.nlm.nih.gov/protein/XP_024921526.1","LOW QUALITY PROTEIN: ryanodine receptor 1-like")</f>
        <v>LOW QUALITY PROTEIN: ryanodine receptor 1-like</v>
      </c>
      <c r="J126">
        <v>8952.7900000000009</v>
      </c>
      <c r="K126" t="s">
        <v>19</v>
      </c>
      <c r="L126">
        <v>276</v>
      </c>
      <c r="M126">
        <v>9.75</v>
      </c>
      <c r="N126">
        <v>85.64</v>
      </c>
      <c r="O126" t="s">
        <v>19</v>
      </c>
      <c r="P126" t="s">
        <v>20</v>
      </c>
      <c r="Q126" t="s">
        <v>19</v>
      </c>
      <c r="R126" t="str">
        <f>HYPERLINK("https://cfpub.epa.gov/ecotox/explore.cfm?ncbi=244447","Explore in ECOTOX")</f>
        <v>Explore in ECOTOX</v>
      </c>
    </row>
    <row r="127" spans="1:18" x14ac:dyDescent="0.45">
      <c r="A127" t="s">
        <v>1264</v>
      </c>
      <c r="B127">
        <v>8</v>
      </c>
      <c r="C127" t="str">
        <f>HYPERLINK("http://www.ncbi.nlm.nih.gov/protein/XP_040037595.1","XP_040037595.1")</f>
        <v>XP_040037595.1</v>
      </c>
      <c r="D127">
        <v>45332</v>
      </c>
      <c r="E127" t="str">
        <f>HYPERLINK("http://www.ncbi.nlm.nih.gov/Taxonomy/Browser/wwwtax.cgi?mode=Info&amp;id=481459&amp;lvl=3&amp;lin=f&amp;keep=1&amp;srchmode=1&amp;unlock","481459")</f>
        <v>481459</v>
      </c>
      <c r="F127" t="s">
        <v>17</v>
      </c>
      <c r="G127" t="str">
        <f>HYPERLINK("http://www.ncbi.nlm.nih.gov/Taxonomy/Browser/wwwtax.cgi?mode=Info&amp;id=481459&amp;lvl=3&amp;lin=f&amp;keep=1&amp;srchmode=1&amp;unlock","Gasterosteus aculeatus aculeatus")</f>
        <v>Gasterosteus aculeatus aculeatus</v>
      </c>
      <c r="H127" t="s">
        <v>138</v>
      </c>
      <c r="I127" t="str">
        <f>HYPERLINK("http://www.ncbi.nlm.nih.gov/protein/XP_040037595.1","ryanodine receptor 1-like isoform X4")</f>
        <v>ryanodine receptor 1-like isoform X4</v>
      </c>
      <c r="J127">
        <v>8949.7099999999991</v>
      </c>
      <c r="K127" t="s">
        <v>19</v>
      </c>
      <c r="L127">
        <v>276</v>
      </c>
      <c r="M127">
        <v>9.75</v>
      </c>
      <c r="N127">
        <v>85.61</v>
      </c>
      <c r="O127" t="s">
        <v>19</v>
      </c>
      <c r="P127" t="s">
        <v>20</v>
      </c>
      <c r="Q127" t="s">
        <v>19</v>
      </c>
      <c r="R127" t="str">
        <f>HYPERLINK("https://cfpub.epa.gov/ecotox/explore.cfm?ncbi=481459","Explore in ECOTOX")</f>
        <v>Explore in ECOTOX</v>
      </c>
    </row>
    <row r="128" spans="1:18" x14ac:dyDescent="0.45">
      <c r="A128" t="s">
        <v>1264</v>
      </c>
      <c r="B128">
        <v>8</v>
      </c>
      <c r="C128" t="str">
        <f>HYPERLINK("http://www.ncbi.nlm.nih.gov/protein/XP_037125024.1","XP_037125024.1")</f>
        <v>XP_037125024.1</v>
      </c>
      <c r="D128">
        <v>41996</v>
      </c>
      <c r="E128" t="str">
        <f>HYPERLINK("http://www.ncbi.nlm.nih.gov/Taxonomy/Browser/wwwtax.cgi?mode=Info&amp;id=161584&amp;lvl=3&amp;lin=f&amp;keep=1&amp;srchmode=1&amp;unlock","161584")</f>
        <v>161584</v>
      </c>
      <c r="F128" t="s">
        <v>17</v>
      </c>
      <c r="G128" t="str">
        <f>HYPERLINK("http://www.ncbi.nlm.nih.gov/Taxonomy/Browser/wwwtax.cgi?mode=Info&amp;id=161584&amp;lvl=3&amp;lin=f&amp;keep=1&amp;srchmode=1&amp;unlock","Syngnathus acus")</f>
        <v>Syngnathus acus</v>
      </c>
      <c r="H128" t="s">
        <v>139</v>
      </c>
      <c r="I128" t="str">
        <f>HYPERLINK("http://www.ncbi.nlm.nih.gov/protein/XP_037125024.1","ryanodine receptor 1-like isoform X9")</f>
        <v>ryanodine receptor 1-like isoform X9</v>
      </c>
      <c r="J128">
        <v>8947.4</v>
      </c>
      <c r="K128" t="s">
        <v>19</v>
      </c>
      <c r="L128">
        <v>276</v>
      </c>
      <c r="M128">
        <v>9.75</v>
      </c>
      <c r="N128">
        <v>85.59</v>
      </c>
      <c r="O128" t="s">
        <v>19</v>
      </c>
      <c r="P128" t="s">
        <v>20</v>
      </c>
      <c r="Q128" t="s">
        <v>19</v>
      </c>
      <c r="R128" t="str">
        <f>HYPERLINK("https://cfpub.epa.gov/ecotox/explore.cfm?ncbi=161584","Explore in ECOTOX")</f>
        <v>Explore in ECOTOX</v>
      </c>
    </row>
    <row r="129" spans="1:18" x14ac:dyDescent="0.45">
      <c r="A129" t="s">
        <v>1264</v>
      </c>
      <c r="B129">
        <v>8</v>
      </c>
      <c r="C129" t="str">
        <f>HYPERLINK("http://www.ncbi.nlm.nih.gov/protein/XP_026227743.1","XP_026227743.1")</f>
        <v>XP_026227743.1</v>
      </c>
      <c r="D129">
        <v>40663</v>
      </c>
      <c r="E129" t="str">
        <f>HYPERLINK("http://www.ncbi.nlm.nih.gov/Taxonomy/Browser/wwwtax.cgi?mode=Info&amp;id=64144&amp;lvl=3&amp;lin=f&amp;keep=1&amp;srchmode=1&amp;unlock","64144")</f>
        <v>64144</v>
      </c>
      <c r="F129" t="s">
        <v>17</v>
      </c>
      <c r="G129" t="str">
        <f>HYPERLINK("http://www.ncbi.nlm.nih.gov/Taxonomy/Browser/wwwtax.cgi?mode=Info&amp;id=64144&amp;lvl=3&amp;lin=f&amp;keep=1&amp;srchmode=1&amp;unlock","Anabas testudineus")</f>
        <v>Anabas testudineus</v>
      </c>
      <c r="H129" t="s">
        <v>140</v>
      </c>
      <c r="I129" t="str">
        <f>HYPERLINK("http://www.ncbi.nlm.nih.gov/protein/XP_026227743.1","ryanodine receptor 1-like isoform X2")</f>
        <v>ryanodine receptor 1-like isoform X2</v>
      </c>
      <c r="J129">
        <v>8946.6299999999992</v>
      </c>
      <c r="K129" t="s">
        <v>19</v>
      </c>
      <c r="L129">
        <v>276</v>
      </c>
      <c r="M129">
        <v>9.75</v>
      </c>
      <c r="N129">
        <v>85.58</v>
      </c>
      <c r="O129" t="s">
        <v>19</v>
      </c>
      <c r="P129" t="s">
        <v>20</v>
      </c>
      <c r="Q129" t="s">
        <v>19</v>
      </c>
      <c r="R129" t="str">
        <f>HYPERLINK("https://cfpub.epa.gov/ecotox/explore.cfm?ncbi=64144","Explore in ECOTOX")</f>
        <v>Explore in ECOTOX</v>
      </c>
    </row>
    <row r="130" spans="1:18" x14ac:dyDescent="0.45">
      <c r="A130" t="s">
        <v>1264</v>
      </c>
      <c r="B130">
        <v>8</v>
      </c>
      <c r="C130" t="str">
        <f>HYPERLINK("http://www.ncbi.nlm.nih.gov/protein/XP_017273578.1","XP_017273578.1")</f>
        <v>XP_017273578.1</v>
      </c>
      <c r="D130">
        <v>43415</v>
      </c>
      <c r="E130" t="str">
        <f>HYPERLINK("http://www.ncbi.nlm.nih.gov/Taxonomy/Browser/wwwtax.cgi?mode=Info&amp;id=37003&amp;lvl=3&amp;lin=f&amp;keep=1&amp;srchmode=1&amp;unlock","37003")</f>
        <v>37003</v>
      </c>
      <c r="F130" t="s">
        <v>17</v>
      </c>
      <c r="G130" t="str">
        <f>HYPERLINK("http://www.ncbi.nlm.nih.gov/Taxonomy/Browser/wwwtax.cgi?mode=Info&amp;id=37003&amp;lvl=3&amp;lin=f&amp;keep=1&amp;srchmode=1&amp;unlock","Kryptolebias marmoratus")</f>
        <v>Kryptolebias marmoratus</v>
      </c>
      <c r="H130" t="s">
        <v>141</v>
      </c>
      <c r="I130" t="str">
        <f>HYPERLINK("http://www.ncbi.nlm.nih.gov/protein/XP_017273578.1","ryanodine receptor 1 isoform X4")</f>
        <v>ryanodine receptor 1 isoform X4</v>
      </c>
      <c r="J130">
        <v>8945.09</v>
      </c>
      <c r="K130" t="s">
        <v>19</v>
      </c>
      <c r="L130">
        <v>276</v>
      </c>
      <c r="M130">
        <v>9.75</v>
      </c>
      <c r="N130">
        <v>85.57</v>
      </c>
      <c r="O130" t="s">
        <v>19</v>
      </c>
      <c r="P130" t="s">
        <v>20</v>
      </c>
      <c r="Q130" t="s">
        <v>19</v>
      </c>
      <c r="R130" t="str">
        <f>HYPERLINK("https://cfpub.epa.gov/ecotox/explore.cfm?ncbi=37003","Explore in ECOTOX")</f>
        <v>Explore in ECOTOX</v>
      </c>
    </row>
    <row r="131" spans="1:18" x14ac:dyDescent="0.45">
      <c r="A131" t="s">
        <v>1264</v>
      </c>
      <c r="B131">
        <v>8</v>
      </c>
      <c r="C131" t="str">
        <f>HYPERLINK("http://www.ncbi.nlm.nih.gov/protein/XP_019729076.1","XP_019729076.1")</f>
        <v>XP_019729076.1</v>
      </c>
      <c r="D131">
        <v>42022</v>
      </c>
      <c r="E131" t="str">
        <f>HYPERLINK("http://www.ncbi.nlm.nih.gov/Taxonomy/Browser/wwwtax.cgi?mode=Info&amp;id=109280&amp;lvl=3&amp;lin=f&amp;keep=1&amp;srchmode=1&amp;unlock","109280")</f>
        <v>109280</v>
      </c>
      <c r="F131" t="s">
        <v>17</v>
      </c>
      <c r="G131" t="str">
        <f>HYPERLINK("http://www.ncbi.nlm.nih.gov/Taxonomy/Browser/wwwtax.cgi?mode=Info&amp;id=109280&amp;lvl=3&amp;lin=f&amp;keep=1&amp;srchmode=1&amp;unlock","Hippocampus comes")</f>
        <v>Hippocampus comes</v>
      </c>
      <c r="H131" t="s">
        <v>142</v>
      </c>
      <c r="I131" t="str">
        <f>HYPERLINK("http://www.ncbi.nlm.nih.gov/protein/XP_019729076.1","PREDICTED: ryanodine receptor 1-like isoform X6")</f>
        <v>PREDICTED: ryanodine receptor 1-like isoform X6</v>
      </c>
      <c r="J131">
        <v>8944.32</v>
      </c>
      <c r="K131" t="s">
        <v>19</v>
      </c>
      <c r="L131">
        <v>276</v>
      </c>
      <c r="M131">
        <v>9.75</v>
      </c>
      <c r="N131">
        <v>85.56</v>
      </c>
      <c r="O131" t="s">
        <v>19</v>
      </c>
      <c r="P131" t="s">
        <v>20</v>
      </c>
      <c r="Q131" t="s">
        <v>19</v>
      </c>
      <c r="R131" t="str">
        <f>HYPERLINK("https://cfpub.epa.gov/ecotox/explore.cfm?ncbi=109280","Explore in ECOTOX")</f>
        <v>Explore in ECOTOX</v>
      </c>
    </row>
    <row r="132" spans="1:18" x14ac:dyDescent="0.45">
      <c r="A132" t="s">
        <v>1264</v>
      </c>
      <c r="B132">
        <v>8</v>
      </c>
      <c r="C132" t="str">
        <f>HYPERLINK("http://www.ncbi.nlm.nih.gov/protein/XP_061154754.1","XP_061154754.1")</f>
        <v>XP_061154754.1</v>
      </c>
      <c r="D132">
        <v>41143</v>
      </c>
      <c r="E132" t="str">
        <f>HYPERLINK("http://www.ncbi.nlm.nih.gov/Taxonomy/Browser/wwwtax.cgi?mode=Info&amp;id=161592&amp;lvl=3&amp;lin=f&amp;keep=1&amp;srchmode=1&amp;unlock","161592")</f>
        <v>161592</v>
      </c>
      <c r="F132" t="s">
        <v>17</v>
      </c>
      <c r="G132" t="str">
        <f>HYPERLINK("http://www.ncbi.nlm.nih.gov/Taxonomy/Browser/wwwtax.cgi?mode=Info&amp;id=161592&amp;lvl=3&amp;lin=f&amp;keep=1&amp;srchmode=1&amp;unlock","Syngnathus typhle")</f>
        <v>Syngnathus typhle</v>
      </c>
      <c r="H132" t="s">
        <v>143</v>
      </c>
      <c r="I132" t="str">
        <f>HYPERLINK("http://www.ncbi.nlm.nih.gov/protein/XP_061154754.1","ryanodine receptor 1-like isoform X4")</f>
        <v>ryanodine receptor 1-like isoform X4</v>
      </c>
      <c r="J132">
        <v>8943.16</v>
      </c>
      <c r="K132" t="s">
        <v>19</v>
      </c>
      <c r="L132">
        <v>276</v>
      </c>
      <c r="M132">
        <v>9.75</v>
      </c>
      <c r="N132">
        <v>85.55</v>
      </c>
      <c r="O132" t="s">
        <v>19</v>
      </c>
      <c r="P132" t="s">
        <v>20</v>
      </c>
      <c r="Q132" t="s">
        <v>19</v>
      </c>
      <c r="R132" t="str">
        <f>HYPERLINK("https://cfpub.epa.gov/ecotox/explore.cfm?ncbi=161592","Explore in ECOTOX")</f>
        <v>Explore in ECOTOX</v>
      </c>
    </row>
    <row r="133" spans="1:18" x14ac:dyDescent="0.45">
      <c r="A133" t="s">
        <v>1264</v>
      </c>
      <c r="B133">
        <v>8</v>
      </c>
      <c r="C133" t="str">
        <f>HYPERLINK("http://www.ncbi.nlm.nih.gov/protein/XP_030602018.1","XP_030602018.1")</f>
        <v>XP_030602018.1</v>
      </c>
      <c r="D133">
        <v>41125</v>
      </c>
      <c r="E133" t="str">
        <f>HYPERLINK("http://www.ncbi.nlm.nih.gov/Taxonomy/Browser/wwwtax.cgi?mode=Info&amp;id=63155&amp;lvl=3&amp;lin=f&amp;keep=1&amp;srchmode=1&amp;unlock","63155")</f>
        <v>63155</v>
      </c>
      <c r="F133" t="s">
        <v>17</v>
      </c>
      <c r="G133" t="str">
        <f>HYPERLINK("http://www.ncbi.nlm.nih.gov/Taxonomy/Browser/wwwtax.cgi?mode=Info&amp;id=63155&amp;lvl=3&amp;lin=f&amp;keep=1&amp;srchmode=1&amp;unlock","Archocentrus centrarchus")</f>
        <v>Archocentrus centrarchus</v>
      </c>
      <c r="H133" t="s">
        <v>144</v>
      </c>
      <c r="I133" t="str">
        <f>HYPERLINK("http://www.ncbi.nlm.nih.gov/protein/XP_030602018.1","ryanodine receptor 1-like")</f>
        <v>ryanodine receptor 1-like</v>
      </c>
      <c r="J133">
        <v>8940.85</v>
      </c>
      <c r="K133" t="s">
        <v>19</v>
      </c>
      <c r="L133">
        <v>276</v>
      </c>
      <c r="M133">
        <v>9.75</v>
      </c>
      <c r="N133">
        <v>85.53</v>
      </c>
      <c r="O133" t="s">
        <v>19</v>
      </c>
      <c r="P133" t="s">
        <v>20</v>
      </c>
      <c r="Q133" t="s">
        <v>19</v>
      </c>
      <c r="R133" t="str">
        <f>HYPERLINK("https://cfpub.epa.gov/ecotox/explore.cfm?ncbi=63155","Explore in ECOTOX")</f>
        <v>Explore in ECOTOX</v>
      </c>
    </row>
    <row r="134" spans="1:18" x14ac:dyDescent="0.45">
      <c r="A134" t="s">
        <v>1264</v>
      </c>
      <c r="B134">
        <v>8</v>
      </c>
      <c r="C134" t="str">
        <f>HYPERLINK("http://www.ncbi.nlm.nih.gov/protein/XP_054899551.1","XP_054899551.1")</f>
        <v>XP_054899551.1</v>
      </c>
      <c r="D134">
        <v>41286</v>
      </c>
      <c r="E134" t="str">
        <f>HYPERLINK("http://www.ncbi.nlm.nih.gov/Taxonomy/Browser/wwwtax.cgi?mode=Info&amp;id=188132&amp;lvl=3&amp;lin=f&amp;keep=1&amp;srchmode=1&amp;unlock","188132")</f>
        <v>188132</v>
      </c>
      <c r="F134" t="s">
        <v>17</v>
      </c>
      <c r="G134" t="str">
        <f>HYPERLINK("http://www.ncbi.nlm.nih.gov/Taxonomy/Browser/wwwtax.cgi?mode=Info&amp;id=188132&amp;lvl=3&amp;lin=f&amp;keep=1&amp;srchmode=1&amp;unlock","Poeciliopsis prolifica")</f>
        <v>Poeciliopsis prolifica</v>
      </c>
      <c r="H134" t="s">
        <v>145</v>
      </c>
      <c r="I134" t="str">
        <f>HYPERLINK("http://www.ncbi.nlm.nih.gov/protein/XP_054899551.1","ryanodine receptor 1-like isoform X3")</f>
        <v>ryanodine receptor 1-like isoform X3</v>
      </c>
      <c r="J134">
        <v>8940.08</v>
      </c>
      <c r="K134" t="s">
        <v>19</v>
      </c>
      <c r="L134">
        <v>276</v>
      </c>
      <c r="M134">
        <v>9.75</v>
      </c>
      <c r="N134">
        <v>85.52</v>
      </c>
      <c r="O134" t="s">
        <v>19</v>
      </c>
      <c r="P134" t="s">
        <v>20</v>
      </c>
      <c r="Q134" t="s">
        <v>19</v>
      </c>
      <c r="R134" t="str">
        <f>HYPERLINK("https://cfpub.epa.gov/ecotox/explore.cfm?ncbi=188132","Explore in ECOTOX")</f>
        <v>Explore in ECOTOX</v>
      </c>
    </row>
    <row r="135" spans="1:18" x14ac:dyDescent="0.45">
      <c r="A135" t="s">
        <v>1264</v>
      </c>
      <c r="B135">
        <v>8</v>
      </c>
      <c r="C135" t="str">
        <f>HYPERLINK("http://www.ncbi.nlm.nih.gov/protein/XP_052376859.1","XP_052376859.1")</f>
        <v>XP_052376859.1</v>
      </c>
      <c r="D135">
        <v>116232</v>
      </c>
      <c r="E135" t="str">
        <f>HYPERLINK("http://www.ncbi.nlm.nih.gov/Taxonomy/Browser/wwwtax.cgi?mode=Info&amp;id=8018&amp;lvl=3&amp;lin=f&amp;keep=1&amp;srchmode=1&amp;unlock","8018")</f>
        <v>8018</v>
      </c>
      <c r="F135" t="s">
        <v>17</v>
      </c>
      <c r="G135" t="str">
        <f>HYPERLINK("http://www.ncbi.nlm.nih.gov/Taxonomy/Browser/wwwtax.cgi?mode=Info&amp;id=8018&amp;lvl=3&amp;lin=f&amp;keep=1&amp;srchmode=1&amp;unlock","Oncorhynchus keta")</f>
        <v>Oncorhynchus keta</v>
      </c>
      <c r="H135" t="s">
        <v>146</v>
      </c>
      <c r="I135" t="str">
        <f>HYPERLINK("http://www.ncbi.nlm.nih.gov/protein/XP_052376859.1","ryanodine receptor 1-like isoform X1")</f>
        <v>ryanodine receptor 1-like isoform X1</v>
      </c>
      <c r="J135">
        <v>8934.2999999999993</v>
      </c>
      <c r="K135" t="s">
        <v>19</v>
      </c>
      <c r="L135">
        <v>276</v>
      </c>
      <c r="M135">
        <v>9.75</v>
      </c>
      <c r="N135">
        <v>85.46</v>
      </c>
      <c r="O135" t="s">
        <v>19</v>
      </c>
      <c r="P135" t="s">
        <v>20</v>
      </c>
      <c r="Q135" t="s">
        <v>19</v>
      </c>
      <c r="R135" t="str">
        <f>HYPERLINK("https://cfpub.epa.gov/ecotox/explore.cfm?ncbi=8018","Explore in ECOTOX")</f>
        <v>Explore in ECOTOX</v>
      </c>
    </row>
    <row r="136" spans="1:18" x14ac:dyDescent="0.45">
      <c r="A136" t="s">
        <v>1264</v>
      </c>
      <c r="B136">
        <v>8</v>
      </c>
      <c r="C136" t="str">
        <f>HYPERLINK("http://www.ncbi.nlm.nih.gov/protein/XP_034034973.1","XP_034034973.1")</f>
        <v>XP_034034973.1</v>
      </c>
      <c r="D136">
        <v>36365</v>
      </c>
      <c r="E136" t="str">
        <f>HYPERLINK("http://www.ncbi.nlm.nih.gov/Taxonomy/Browser/wwwtax.cgi?mode=Info&amp;id=390379&amp;lvl=3&amp;lin=f&amp;keep=1&amp;srchmode=1&amp;unlock","390379")</f>
        <v>390379</v>
      </c>
      <c r="F136" t="s">
        <v>17</v>
      </c>
      <c r="G136" t="str">
        <f>HYPERLINK("http://www.ncbi.nlm.nih.gov/Taxonomy/Browser/wwwtax.cgi?mode=Info&amp;id=390379&amp;lvl=3&amp;lin=f&amp;keep=1&amp;srchmode=1&amp;unlock","Thalassophryne amazonica")</f>
        <v>Thalassophryne amazonica</v>
      </c>
      <c r="H136" t="s">
        <v>147</v>
      </c>
      <c r="I136" t="str">
        <f>HYPERLINK("http://www.ncbi.nlm.nih.gov/protein/XP_034034973.1","ryanodine receptor 1-like")</f>
        <v>ryanodine receptor 1-like</v>
      </c>
      <c r="J136">
        <v>8931.99</v>
      </c>
      <c r="K136" t="s">
        <v>19</v>
      </c>
      <c r="L136">
        <v>276</v>
      </c>
      <c r="M136">
        <v>9.75</v>
      </c>
      <c r="N136">
        <v>85.44</v>
      </c>
      <c r="O136" t="s">
        <v>19</v>
      </c>
      <c r="P136" t="s">
        <v>20</v>
      </c>
      <c r="Q136" t="s">
        <v>19</v>
      </c>
      <c r="R136" t="str">
        <f>HYPERLINK("https://cfpub.epa.gov/ecotox/explore.cfm?ncbi=390379","Explore in ECOTOX")</f>
        <v>Explore in ECOTOX</v>
      </c>
    </row>
    <row r="137" spans="1:18" x14ac:dyDescent="0.45">
      <c r="A137" t="s">
        <v>1264</v>
      </c>
      <c r="B137">
        <v>8</v>
      </c>
      <c r="C137" t="str">
        <f>HYPERLINK("http://www.ncbi.nlm.nih.gov/protein/XP_043995826.1","XP_043995826.1")</f>
        <v>XP_043995826.1</v>
      </c>
      <c r="D137">
        <v>68845</v>
      </c>
      <c r="E137" t="str">
        <f>HYPERLINK("http://www.ncbi.nlm.nih.gov/Taxonomy/Browser/wwwtax.cgi?mode=Info&amp;id=33528&amp;lvl=3&amp;lin=f&amp;keep=1&amp;srchmode=1&amp;unlock","33528")</f>
        <v>33528</v>
      </c>
      <c r="F137" t="s">
        <v>17</v>
      </c>
      <c r="G137" t="str">
        <f>HYPERLINK("http://www.ncbi.nlm.nih.gov/Taxonomy/Browser/wwwtax.cgi?mode=Info&amp;id=33528&amp;lvl=3&amp;lin=f&amp;keep=1&amp;srchmode=1&amp;unlock","Gambusia affinis")</f>
        <v>Gambusia affinis</v>
      </c>
      <c r="H137" t="s">
        <v>148</v>
      </c>
      <c r="I137" t="str">
        <f>HYPERLINK("http://www.ncbi.nlm.nih.gov/protein/XP_043995826.1","ryanodine receptor 1-like isoform X4")</f>
        <v>ryanodine receptor 1-like isoform X4</v>
      </c>
      <c r="J137">
        <v>8922.75</v>
      </c>
      <c r="K137" t="s">
        <v>19</v>
      </c>
      <c r="L137">
        <v>276</v>
      </c>
      <c r="M137">
        <v>9.75</v>
      </c>
      <c r="N137">
        <v>85.35</v>
      </c>
      <c r="O137" t="s">
        <v>19</v>
      </c>
      <c r="P137" t="s">
        <v>20</v>
      </c>
      <c r="Q137" t="s">
        <v>19</v>
      </c>
      <c r="R137" t="str">
        <f>HYPERLINK("https://cfpub.epa.gov/ecotox/explore.cfm?ncbi=33528","Explore in ECOTOX")</f>
        <v>Explore in ECOTOX</v>
      </c>
    </row>
    <row r="138" spans="1:18" x14ac:dyDescent="0.45">
      <c r="A138" t="s">
        <v>1264</v>
      </c>
      <c r="B138">
        <v>8</v>
      </c>
      <c r="C138" t="str">
        <f>HYPERLINK("http://www.ncbi.nlm.nih.gov/protein/XP_055791062.1","XP_055791062.1")</f>
        <v>XP_055791062.1</v>
      </c>
      <c r="D138">
        <v>83509</v>
      </c>
      <c r="E138" t="str">
        <f>HYPERLINK("http://www.ncbi.nlm.nih.gov/Taxonomy/Browser/wwwtax.cgi?mode=Info&amp;id=8038&amp;lvl=3&amp;lin=f&amp;keep=1&amp;srchmode=1&amp;unlock","8038")</f>
        <v>8038</v>
      </c>
      <c r="F138" t="s">
        <v>17</v>
      </c>
      <c r="G138" t="str">
        <f>HYPERLINK("http://www.ncbi.nlm.nih.gov/Taxonomy/Browser/wwwtax.cgi?mode=Info&amp;id=8038&amp;lvl=3&amp;lin=f&amp;keep=1&amp;srchmode=1&amp;unlock","Salvelinus fontinalis")</f>
        <v>Salvelinus fontinalis</v>
      </c>
      <c r="H138" t="s">
        <v>149</v>
      </c>
      <c r="I138" t="str">
        <f>HYPERLINK("http://www.ncbi.nlm.nih.gov/protein/XP_055791062.1","ryanodine receptor 1-like")</f>
        <v>ryanodine receptor 1-like</v>
      </c>
      <c r="J138">
        <v>8918.1299999999992</v>
      </c>
      <c r="K138" t="s">
        <v>19</v>
      </c>
      <c r="L138">
        <v>276</v>
      </c>
      <c r="M138">
        <v>9.75</v>
      </c>
      <c r="N138">
        <v>85.31</v>
      </c>
      <c r="O138" t="s">
        <v>19</v>
      </c>
      <c r="P138" t="s">
        <v>20</v>
      </c>
      <c r="Q138" t="s">
        <v>19</v>
      </c>
      <c r="R138" t="str">
        <f>HYPERLINK("https://cfpub.epa.gov/ecotox/explore.cfm?ncbi=8038","Explore in ECOTOX")</f>
        <v>Explore in ECOTOX</v>
      </c>
    </row>
    <row r="139" spans="1:18" x14ac:dyDescent="0.45">
      <c r="A139" t="s">
        <v>1264</v>
      </c>
      <c r="B139">
        <v>8</v>
      </c>
      <c r="C139" t="str">
        <f>HYPERLINK("http://www.ncbi.nlm.nih.gov/protein/XP_029625730.1","XP_029625730.1")</f>
        <v>XP_029625730.1</v>
      </c>
      <c r="D139">
        <v>88731</v>
      </c>
      <c r="E139" t="str">
        <f>HYPERLINK("http://www.ncbi.nlm.nih.gov/Taxonomy/Browser/wwwtax.cgi?mode=Info&amp;id=8032&amp;lvl=3&amp;lin=f&amp;keep=1&amp;srchmode=1&amp;unlock","8032")</f>
        <v>8032</v>
      </c>
      <c r="F139" t="s">
        <v>17</v>
      </c>
      <c r="G139" t="str">
        <f>HYPERLINK("http://www.ncbi.nlm.nih.gov/Taxonomy/Browser/wwwtax.cgi?mode=Info&amp;id=8032&amp;lvl=3&amp;lin=f&amp;keep=1&amp;srchmode=1&amp;unlock","Salmo trutta")</f>
        <v>Salmo trutta</v>
      </c>
      <c r="H139" t="s">
        <v>150</v>
      </c>
      <c r="I139" t="str">
        <f>HYPERLINK("http://www.ncbi.nlm.nih.gov/protein/XP_029625730.1","ryanodine receptor 1-like")</f>
        <v>ryanodine receptor 1-like</v>
      </c>
      <c r="J139">
        <v>8916.2000000000007</v>
      </c>
      <c r="K139" t="s">
        <v>19</v>
      </c>
      <c r="L139">
        <v>276</v>
      </c>
      <c r="M139">
        <v>9.75</v>
      </c>
      <c r="N139">
        <v>85.29</v>
      </c>
      <c r="O139" t="s">
        <v>19</v>
      </c>
      <c r="P139" t="s">
        <v>20</v>
      </c>
      <c r="Q139" t="s">
        <v>19</v>
      </c>
      <c r="R139" t="str">
        <f>HYPERLINK("https://cfpub.epa.gov/ecotox/explore.cfm?ncbi=8032","Explore in ECOTOX")</f>
        <v>Explore in ECOTOX</v>
      </c>
    </row>
    <row r="140" spans="1:18" x14ac:dyDescent="0.45">
      <c r="A140" t="s">
        <v>1264</v>
      </c>
      <c r="B140">
        <v>8</v>
      </c>
      <c r="C140" t="str">
        <f>HYPERLINK("http://www.ncbi.nlm.nih.gov/protein/XP_041864732.1","XP_041864732.1")</f>
        <v>XP_041864732.1</v>
      </c>
      <c r="D140">
        <v>45815</v>
      </c>
      <c r="E140" t="str">
        <f>HYPERLINK("http://www.ncbi.nlm.nih.gov/Taxonomy/Browser/wwwtax.cgi?mode=Info&amp;id=1250792&amp;lvl=3&amp;lin=f&amp;keep=1&amp;srchmode=1&amp;unlock","1250792")</f>
        <v>1250792</v>
      </c>
      <c r="F140" t="s">
        <v>17</v>
      </c>
      <c r="G140" t="str">
        <f>HYPERLINK("http://www.ncbi.nlm.nih.gov/Taxonomy/Browser/wwwtax.cgi?mode=Info&amp;id=1250792&amp;lvl=3&amp;lin=f&amp;keep=1&amp;srchmode=1&amp;unlock","Melanotaenia boesemani")</f>
        <v>Melanotaenia boesemani</v>
      </c>
      <c r="H140" t="s">
        <v>151</v>
      </c>
      <c r="I140" t="str">
        <f>HYPERLINK("http://www.ncbi.nlm.nih.gov/protein/XP_041864732.1","ryanodine receptor 1-like")</f>
        <v>ryanodine receptor 1-like</v>
      </c>
      <c r="J140">
        <v>8915.82</v>
      </c>
      <c r="K140" t="s">
        <v>19</v>
      </c>
      <c r="L140">
        <v>276</v>
      </c>
      <c r="M140">
        <v>9.75</v>
      </c>
      <c r="N140">
        <v>85.29</v>
      </c>
      <c r="O140" t="s">
        <v>19</v>
      </c>
      <c r="P140" t="s">
        <v>20</v>
      </c>
      <c r="Q140" t="s">
        <v>19</v>
      </c>
      <c r="R140" t="str">
        <f>HYPERLINK("https://cfpub.epa.gov/ecotox/explore.cfm?ncbi=1250792","Explore in ECOTOX")</f>
        <v>Explore in ECOTOX</v>
      </c>
    </row>
    <row r="141" spans="1:18" x14ac:dyDescent="0.45">
      <c r="A141" t="s">
        <v>1264</v>
      </c>
      <c r="B141">
        <v>8</v>
      </c>
      <c r="C141" t="str">
        <f>HYPERLINK("http://www.ncbi.nlm.nih.gov/protein/XP_056296451.1","XP_056296451.1")</f>
        <v>XP_056296451.1</v>
      </c>
      <c r="D141">
        <v>39439</v>
      </c>
      <c r="E141" t="str">
        <f>HYPERLINK("http://www.ncbi.nlm.nih.gov/Taxonomy/Browser/wwwtax.cgi?mode=Info&amp;id=2059687&amp;lvl=3&amp;lin=f&amp;keep=1&amp;srchmode=1&amp;unlock","2059687")</f>
        <v>2059687</v>
      </c>
      <c r="F141" t="s">
        <v>17</v>
      </c>
      <c r="G141" t="str">
        <f>HYPERLINK("http://www.ncbi.nlm.nih.gov/Taxonomy/Browser/wwwtax.cgi?mode=Info&amp;id=2059687&amp;lvl=3&amp;lin=f&amp;keep=1&amp;srchmode=1&amp;unlock","Pseudoliparis swirei")</f>
        <v>Pseudoliparis swirei</v>
      </c>
      <c r="H141" t="s">
        <v>152</v>
      </c>
      <c r="I141" t="str">
        <f>HYPERLINK("http://www.ncbi.nlm.nih.gov/protein/XP_056296451.1","ryanodine receptor 1-like isoform X4")</f>
        <v>ryanodine receptor 1-like isoform X4</v>
      </c>
      <c r="J141">
        <v>8913.1200000000008</v>
      </c>
      <c r="K141" t="s">
        <v>19</v>
      </c>
      <c r="L141">
        <v>276</v>
      </c>
      <c r="M141">
        <v>9.75</v>
      </c>
      <c r="N141">
        <v>85.26</v>
      </c>
      <c r="O141" t="s">
        <v>19</v>
      </c>
      <c r="P141" t="s">
        <v>20</v>
      </c>
      <c r="Q141" t="s">
        <v>19</v>
      </c>
      <c r="R141" t="str">
        <f>HYPERLINK("https://cfpub.epa.gov/ecotox/explore.cfm?ncbi=2059687","Explore in ECOTOX")</f>
        <v>Explore in ECOTOX</v>
      </c>
    </row>
    <row r="142" spans="1:18" x14ac:dyDescent="0.45">
      <c r="A142" t="s">
        <v>1264</v>
      </c>
      <c r="B142">
        <v>8</v>
      </c>
      <c r="C142" t="str">
        <f>HYPERLINK("http://www.ncbi.nlm.nih.gov/protein/XP_030010543.1","XP_030010543.1")</f>
        <v>XP_030010543.1</v>
      </c>
      <c r="D142">
        <v>42356</v>
      </c>
      <c r="E142" t="str">
        <f>HYPERLINK("http://www.ncbi.nlm.nih.gov/Taxonomy/Browser/wwwtax.cgi?mode=Info&amp;id=375764&amp;lvl=3&amp;lin=f&amp;keep=1&amp;srchmode=1&amp;unlock","375764")</f>
        <v>375764</v>
      </c>
      <c r="F142" t="s">
        <v>17</v>
      </c>
      <c r="G142" t="str">
        <f>HYPERLINK("http://www.ncbi.nlm.nih.gov/Taxonomy/Browser/wwwtax.cgi?mode=Info&amp;id=375764&amp;lvl=3&amp;lin=f&amp;keep=1&amp;srchmode=1&amp;unlock","Sphaeramia orbicularis")</f>
        <v>Sphaeramia orbicularis</v>
      </c>
      <c r="H142" t="s">
        <v>153</v>
      </c>
      <c r="I142" t="str">
        <f>HYPERLINK("http://www.ncbi.nlm.nih.gov/protein/XP_030010543.1","ryanodine receptor 1-like")</f>
        <v>ryanodine receptor 1-like</v>
      </c>
      <c r="J142">
        <v>8909.65</v>
      </c>
      <c r="K142" t="s">
        <v>19</v>
      </c>
      <c r="L142">
        <v>276</v>
      </c>
      <c r="M142">
        <v>9.75</v>
      </c>
      <c r="N142">
        <v>85.23</v>
      </c>
      <c r="O142" t="s">
        <v>19</v>
      </c>
      <c r="P142" t="s">
        <v>20</v>
      </c>
      <c r="Q142" t="s">
        <v>19</v>
      </c>
      <c r="R142" t="str">
        <f>HYPERLINK("https://cfpub.epa.gov/ecotox/explore.cfm?ncbi=375764","Explore in ECOTOX")</f>
        <v>Explore in ECOTOX</v>
      </c>
    </row>
    <row r="143" spans="1:18" x14ac:dyDescent="0.45">
      <c r="A143" t="s">
        <v>1264</v>
      </c>
      <c r="B143">
        <v>8</v>
      </c>
      <c r="C143" t="str">
        <f>HYPERLINK("http://www.ncbi.nlm.nih.gov/protein/AAB58117.1","AAB58117.1")</f>
        <v>AAB58117.1</v>
      </c>
      <c r="D143">
        <v>199</v>
      </c>
      <c r="E143" t="str">
        <f>HYPERLINK("http://www.ncbi.nlm.nih.gov/Taxonomy/Browser/wwwtax.cgi?mode=Info&amp;id=13604&amp;lvl=3&amp;lin=f&amp;keep=1&amp;srchmode=1&amp;unlock","13604")</f>
        <v>13604</v>
      </c>
      <c r="F143" t="s">
        <v>17</v>
      </c>
      <c r="G143" t="str">
        <f>HYPERLINK("http://www.ncbi.nlm.nih.gov/Taxonomy/Browser/wwwtax.cgi?mode=Info&amp;id=13604&amp;lvl=3&amp;lin=f&amp;keep=1&amp;srchmode=1&amp;unlock","Makaira nigricans")</f>
        <v>Makaira nigricans</v>
      </c>
      <c r="H143" t="s">
        <v>154</v>
      </c>
      <c r="I143" t="str">
        <f>HYPERLINK("http://www.ncbi.nlm.nih.gov/protein/AAB58117.1","ryanodine receptor RyR1 isoform")</f>
        <v>ryanodine receptor RyR1 isoform</v>
      </c>
      <c r="J143">
        <v>8908.8799999999992</v>
      </c>
      <c r="K143" t="s">
        <v>19</v>
      </c>
      <c r="L143">
        <v>276</v>
      </c>
      <c r="M143">
        <v>9.75</v>
      </c>
      <c r="N143">
        <v>85.22</v>
      </c>
      <c r="O143" t="s">
        <v>19</v>
      </c>
      <c r="P143" t="s">
        <v>20</v>
      </c>
      <c r="Q143" t="s">
        <v>19</v>
      </c>
      <c r="R143" t="str">
        <f>HYPERLINK("https://cfpub.epa.gov/ecotox/explore.cfm?ncbi=13604","Explore in ECOTOX")</f>
        <v>Explore in ECOTOX</v>
      </c>
    </row>
    <row r="144" spans="1:18" x14ac:dyDescent="0.45">
      <c r="A144" t="s">
        <v>1264</v>
      </c>
      <c r="B144">
        <v>8</v>
      </c>
      <c r="C144" t="str">
        <f>HYPERLINK("http://www.ncbi.nlm.nih.gov/protein/XP_045546032.1","XP_045546032.1")</f>
        <v>XP_045546032.1</v>
      </c>
      <c r="D144">
        <v>111662</v>
      </c>
      <c r="E144" t="str">
        <f>HYPERLINK("http://www.ncbi.nlm.nih.gov/Taxonomy/Browser/wwwtax.cgi?mode=Info&amp;id=8030&amp;lvl=3&amp;lin=f&amp;keep=1&amp;srchmode=1&amp;unlock","8030")</f>
        <v>8030</v>
      </c>
      <c r="F144" t="s">
        <v>17</v>
      </c>
      <c r="G144" t="str">
        <f>HYPERLINK("http://www.ncbi.nlm.nih.gov/Taxonomy/Browser/wwwtax.cgi?mode=Info&amp;id=8030&amp;lvl=3&amp;lin=f&amp;keep=1&amp;srchmode=1&amp;unlock","Salmo salar")</f>
        <v>Salmo salar</v>
      </c>
      <c r="H144" t="s">
        <v>155</v>
      </c>
      <c r="I144" t="str">
        <f>HYPERLINK("http://www.ncbi.nlm.nih.gov/protein/XP_045546032.1","ryanodine receptor 1 isoform X4")</f>
        <v>ryanodine receptor 1 isoform X4</v>
      </c>
      <c r="J144">
        <v>8902.7199999999993</v>
      </c>
      <c r="K144" t="s">
        <v>19</v>
      </c>
      <c r="L144">
        <v>276</v>
      </c>
      <c r="M144">
        <v>9.75</v>
      </c>
      <c r="N144">
        <v>85.16</v>
      </c>
      <c r="O144" t="s">
        <v>19</v>
      </c>
      <c r="P144" t="s">
        <v>20</v>
      </c>
      <c r="Q144" t="s">
        <v>19</v>
      </c>
      <c r="R144" t="str">
        <f>HYPERLINK("https://cfpub.epa.gov/ecotox/explore.cfm?ncbi=8030","Explore in ECOTOX")</f>
        <v>Explore in ECOTOX</v>
      </c>
    </row>
    <row r="145" spans="1:18" x14ac:dyDescent="0.45">
      <c r="A145" t="s">
        <v>1264</v>
      </c>
      <c r="B145">
        <v>8</v>
      </c>
      <c r="C145" t="str">
        <f>HYPERLINK("http://www.ncbi.nlm.nih.gov/protein/KAK0137365.1","KAK0137365.1")</f>
        <v>KAK0137365.1</v>
      </c>
      <c r="D145">
        <v>26145</v>
      </c>
      <c r="E145" t="str">
        <f>HYPERLINK("http://www.ncbi.nlm.nih.gov/Taxonomy/Browser/wwwtax.cgi?mode=Info&amp;id=89951&amp;lvl=3&amp;lin=f&amp;keep=1&amp;srchmode=1&amp;unlock","89951")</f>
        <v>89951</v>
      </c>
      <c r="F145" t="s">
        <v>17</v>
      </c>
      <c r="G145" t="str">
        <f>HYPERLINK("http://www.ncbi.nlm.nih.gov/Taxonomy/Browser/wwwtax.cgi?mode=Info&amp;id=89951&amp;lvl=3&amp;lin=f&amp;keep=1&amp;srchmode=1&amp;unlock","Merluccius polli")</f>
        <v>Merluccius polli</v>
      </c>
      <c r="H145" t="s">
        <v>156</v>
      </c>
      <c r="I145" t="str">
        <f>HYPERLINK("http://www.ncbi.nlm.nih.gov/protein/KAK0137365.1","Ryanodine receptor 2")</f>
        <v>Ryanodine receptor 2</v>
      </c>
      <c r="J145">
        <v>8902.7199999999993</v>
      </c>
      <c r="K145" t="s">
        <v>19</v>
      </c>
      <c r="L145">
        <v>276</v>
      </c>
      <c r="M145">
        <v>9.75</v>
      </c>
      <c r="N145">
        <v>85.16</v>
      </c>
      <c r="O145" t="s">
        <v>19</v>
      </c>
      <c r="P145" t="s">
        <v>20</v>
      </c>
      <c r="Q145" t="s">
        <v>19</v>
      </c>
      <c r="R145" t="str">
        <f>HYPERLINK("https://cfpub.epa.gov/ecotox/explore.cfm?ncbi=89951","Explore in ECOTOX")</f>
        <v>Explore in ECOTOX</v>
      </c>
    </row>
    <row r="146" spans="1:18" x14ac:dyDescent="0.45">
      <c r="A146" t="s">
        <v>1264</v>
      </c>
      <c r="B146">
        <v>8</v>
      </c>
      <c r="C146" t="str">
        <f>HYPERLINK("http://www.ncbi.nlm.nih.gov/protein/XP_020454374.1","XP_020454374.1")</f>
        <v>XP_020454374.1</v>
      </c>
      <c r="D146">
        <v>41130</v>
      </c>
      <c r="E146" t="str">
        <f>HYPERLINK("http://www.ncbi.nlm.nih.gov/Taxonomy/Browser/wwwtax.cgi?mode=Info&amp;id=43700&amp;lvl=3&amp;lin=f&amp;keep=1&amp;srchmode=1&amp;unlock","43700")</f>
        <v>43700</v>
      </c>
      <c r="F146" t="s">
        <v>17</v>
      </c>
      <c r="G146" t="str">
        <f>HYPERLINK("http://www.ncbi.nlm.nih.gov/Taxonomy/Browser/wwwtax.cgi?mode=Info&amp;id=43700&amp;lvl=3&amp;lin=f&amp;keep=1&amp;srchmode=1&amp;unlock","Monopterus albus")</f>
        <v>Monopterus albus</v>
      </c>
      <c r="H146" t="s">
        <v>157</v>
      </c>
      <c r="I146" t="str">
        <f>HYPERLINK("http://www.ncbi.nlm.nih.gov/protein/XP_020454374.1","LOW QUALITY PROTEIN: ryanodine receptor 1-like")</f>
        <v>LOW QUALITY PROTEIN: ryanodine receptor 1-like</v>
      </c>
      <c r="J146">
        <v>8900.02</v>
      </c>
      <c r="K146" t="s">
        <v>19</v>
      </c>
      <c r="L146">
        <v>276</v>
      </c>
      <c r="M146">
        <v>9.75</v>
      </c>
      <c r="N146">
        <v>85.14</v>
      </c>
      <c r="O146" t="s">
        <v>19</v>
      </c>
      <c r="P146" t="s">
        <v>20</v>
      </c>
      <c r="Q146" t="s">
        <v>19</v>
      </c>
      <c r="R146" t="str">
        <f>HYPERLINK("https://cfpub.epa.gov/ecotox/explore.cfm?ncbi=43700","Explore in ECOTOX")</f>
        <v>Explore in ECOTOX</v>
      </c>
    </row>
    <row r="147" spans="1:18" x14ac:dyDescent="0.45">
      <c r="A147" t="s">
        <v>1264</v>
      </c>
      <c r="B147">
        <v>8</v>
      </c>
      <c r="C147" t="str">
        <f>HYPERLINK("http://www.ncbi.nlm.nih.gov/protein/XP_036824122.1","XP_036824122.1")</f>
        <v>XP_036824122.1</v>
      </c>
      <c r="D147">
        <v>150927</v>
      </c>
      <c r="E147" t="str">
        <f>HYPERLINK("http://www.ncbi.nlm.nih.gov/Taxonomy/Browser/wwwtax.cgi?mode=Info&amp;id=8022&amp;lvl=3&amp;lin=f&amp;keep=1&amp;srchmode=1&amp;unlock","8022")</f>
        <v>8022</v>
      </c>
      <c r="F147" t="s">
        <v>17</v>
      </c>
      <c r="G147" t="str">
        <f>HYPERLINK("http://www.ncbi.nlm.nih.gov/Taxonomy/Browser/wwwtax.cgi?mode=Info&amp;id=8022&amp;lvl=3&amp;lin=f&amp;keep=1&amp;srchmode=1&amp;unlock","Oncorhynchus mykiss")</f>
        <v>Oncorhynchus mykiss</v>
      </c>
      <c r="H147" t="s">
        <v>158</v>
      </c>
      <c r="I147" t="str">
        <f>HYPERLINK("http://www.ncbi.nlm.nih.gov/protein/XP_036824122.1","ryanodine receptor 1-like")</f>
        <v>ryanodine receptor 1-like</v>
      </c>
      <c r="J147">
        <v>8898.1</v>
      </c>
      <c r="K147" t="s">
        <v>19</v>
      </c>
      <c r="L147">
        <v>276</v>
      </c>
      <c r="M147">
        <v>9.75</v>
      </c>
      <c r="N147">
        <v>85.12</v>
      </c>
      <c r="O147" t="s">
        <v>19</v>
      </c>
      <c r="P147" t="s">
        <v>20</v>
      </c>
      <c r="Q147" t="s">
        <v>19</v>
      </c>
      <c r="R147" t="str">
        <f>HYPERLINK("https://cfpub.epa.gov/ecotox/explore.cfm?ncbi=8022","Explore in ECOTOX")</f>
        <v>Explore in ECOTOX</v>
      </c>
    </row>
    <row r="148" spans="1:18" x14ac:dyDescent="0.45">
      <c r="A148" t="s">
        <v>1264</v>
      </c>
      <c r="B148">
        <v>8</v>
      </c>
      <c r="C148" t="str">
        <f>HYPERLINK("http://www.ncbi.nlm.nih.gov/protein/XP_046173098.1","XP_046173098.1")</f>
        <v>XP_046173098.1</v>
      </c>
      <c r="D148">
        <v>81040</v>
      </c>
      <c r="E148" t="str">
        <f>HYPERLINK("http://www.ncbi.nlm.nih.gov/Taxonomy/Browser/wwwtax.cgi?mode=Info&amp;id=8017&amp;lvl=3&amp;lin=f&amp;keep=1&amp;srchmode=1&amp;unlock","8017")</f>
        <v>8017</v>
      </c>
      <c r="F148" t="s">
        <v>17</v>
      </c>
      <c r="G148" t="str">
        <f>HYPERLINK("http://www.ncbi.nlm.nih.gov/Taxonomy/Browser/wwwtax.cgi?mode=Info&amp;id=8017&amp;lvl=3&amp;lin=f&amp;keep=1&amp;srchmode=1&amp;unlock","Oncorhynchus gorbuscha")</f>
        <v>Oncorhynchus gorbuscha</v>
      </c>
      <c r="H148" t="s">
        <v>159</v>
      </c>
      <c r="I148" t="str">
        <f>HYPERLINK("http://www.ncbi.nlm.nih.gov/protein/XP_046173098.1","ryanodine receptor 1-like")</f>
        <v>ryanodine receptor 1-like</v>
      </c>
      <c r="J148">
        <v>8896.17</v>
      </c>
      <c r="K148" t="s">
        <v>19</v>
      </c>
      <c r="L148">
        <v>276</v>
      </c>
      <c r="M148">
        <v>9.75</v>
      </c>
      <c r="N148">
        <v>85.1</v>
      </c>
      <c r="O148" t="s">
        <v>19</v>
      </c>
      <c r="P148" t="s">
        <v>20</v>
      </c>
      <c r="Q148" t="s">
        <v>19</v>
      </c>
      <c r="R148" t="str">
        <f>HYPERLINK("https://cfpub.epa.gov/ecotox/explore.cfm?ncbi=8017","Explore in ECOTOX")</f>
        <v>Explore in ECOTOX</v>
      </c>
    </row>
    <row r="149" spans="1:18" x14ac:dyDescent="0.45">
      <c r="A149" t="s">
        <v>1264</v>
      </c>
      <c r="B149">
        <v>8</v>
      </c>
      <c r="C149" t="str">
        <f>HYPERLINK("http://www.ncbi.nlm.nih.gov/protein/XP_033954441.1","XP_033954441.1")</f>
        <v>XP_033954441.1</v>
      </c>
      <c r="D149">
        <v>38014</v>
      </c>
      <c r="E149" t="str">
        <f>HYPERLINK("http://www.ncbi.nlm.nih.gov/Taxonomy/Browser/wwwtax.cgi?mode=Info&amp;id=52239&amp;lvl=3&amp;lin=f&amp;keep=1&amp;srchmode=1&amp;unlock","52239")</f>
        <v>52239</v>
      </c>
      <c r="F149" t="s">
        <v>17</v>
      </c>
      <c r="G149" t="str">
        <f>HYPERLINK("http://www.ncbi.nlm.nih.gov/Taxonomy/Browser/wwwtax.cgi?mode=Info&amp;id=52239&amp;lvl=3&amp;lin=f&amp;keep=1&amp;srchmode=1&amp;unlock","Pseudochaenichthys georgianus")</f>
        <v>Pseudochaenichthys georgianus</v>
      </c>
      <c r="H149" t="s">
        <v>160</v>
      </c>
      <c r="I149" t="str">
        <f>HYPERLINK("http://www.ncbi.nlm.nih.gov/protein/XP_033954441.1","ryanodine receptor 1-like isoform X7")</f>
        <v>ryanodine receptor 1-like isoform X7</v>
      </c>
      <c r="J149">
        <v>8895.01</v>
      </c>
      <c r="K149" t="s">
        <v>19</v>
      </c>
      <c r="L149">
        <v>276</v>
      </c>
      <c r="M149">
        <v>9.75</v>
      </c>
      <c r="N149">
        <v>85.09</v>
      </c>
      <c r="O149" t="s">
        <v>19</v>
      </c>
      <c r="P149" t="s">
        <v>20</v>
      </c>
      <c r="Q149" t="s">
        <v>19</v>
      </c>
      <c r="R149" t="str">
        <f>HYPERLINK("https://cfpub.epa.gov/ecotox/explore.cfm?ncbi=52239","Explore in ECOTOX")</f>
        <v>Explore in ECOTOX</v>
      </c>
    </row>
    <row r="150" spans="1:18" x14ac:dyDescent="0.45">
      <c r="A150" t="s">
        <v>1264</v>
      </c>
      <c r="B150">
        <v>8</v>
      </c>
      <c r="C150" t="str">
        <f>HYPERLINK("http://www.ncbi.nlm.nih.gov/protein/XP_034055762.1","XP_034055762.1")</f>
        <v>XP_034055762.1</v>
      </c>
      <c r="D150">
        <v>45873</v>
      </c>
      <c r="E150" t="str">
        <f>HYPERLINK("http://www.ncbi.nlm.nih.gov/Taxonomy/Browser/wwwtax.cgi?mode=Info&amp;id=8218&amp;lvl=3&amp;lin=f&amp;keep=1&amp;srchmode=1&amp;unlock","8218")</f>
        <v>8218</v>
      </c>
      <c r="F150" t="s">
        <v>17</v>
      </c>
      <c r="G150" t="str">
        <f>HYPERLINK("http://www.ncbi.nlm.nih.gov/Taxonomy/Browser/wwwtax.cgi?mode=Info&amp;id=8218&amp;lvl=3&amp;lin=f&amp;keep=1&amp;srchmode=1&amp;unlock","Gymnodraco acuticeps")</f>
        <v>Gymnodraco acuticeps</v>
      </c>
      <c r="H150" t="s">
        <v>161</v>
      </c>
      <c r="I150" t="str">
        <f>HYPERLINK("http://www.ncbi.nlm.nih.gov/protein/XP_034055762.1","LOW QUALITY PROTEIN: ryanodine receptor 1-like")</f>
        <v>LOW QUALITY PROTEIN: ryanodine receptor 1-like</v>
      </c>
      <c r="J150">
        <v>8893.4699999999993</v>
      </c>
      <c r="K150" t="s">
        <v>19</v>
      </c>
      <c r="L150">
        <v>276</v>
      </c>
      <c r="M150">
        <v>9.75</v>
      </c>
      <c r="N150">
        <v>85.07</v>
      </c>
      <c r="O150" t="s">
        <v>19</v>
      </c>
      <c r="P150" t="s">
        <v>20</v>
      </c>
      <c r="Q150" t="s">
        <v>19</v>
      </c>
      <c r="R150" t="str">
        <f>HYPERLINK("https://cfpub.epa.gov/ecotox/explore.cfm?ncbi=8218","Explore in ECOTOX")</f>
        <v>Explore in ECOTOX</v>
      </c>
    </row>
    <row r="151" spans="1:18" x14ac:dyDescent="0.45">
      <c r="A151" t="s">
        <v>1264</v>
      </c>
      <c r="B151">
        <v>8</v>
      </c>
      <c r="C151" t="str">
        <f>HYPERLINK("http://www.ncbi.nlm.nih.gov/protein/XP_029304871.1","XP_029304871.1")</f>
        <v>XP_029304871.1</v>
      </c>
      <c r="D151">
        <v>37869</v>
      </c>
      <c r="E151" t="str">
        <f>HYPERLINK("http://www.ncbi.nlm.nih.gov/Taxonomy/Browser/wwwtax.cgi?mode=Info&amp;id=56716&amp;lvl=3&amp;lin=f&amp;keep=1&amp;srchmode=1&amp;unlock","56716")</f>
        <v>56716</v>
      </c>
      <c r="F151" t="s">
        <v>17</v>
      </c>
      <c r="G151" t="str">
        <f>HYPERLINK("http://www.ncbi.nlm.nih.gov/Taxonomy/Browser/wwwtax.cgi?mode=Info&amp;id=56716&amp;lvl=3&amp;lin=f&amp;keep=1&amp;srchmode=1&amp;unlock","Cottoperca gobio")</f>
        <v>Cottoperca gobio</v>
      </c>
      <c r="H151" t="s">
        <v>162</v>
      </c>
      <c r="I151" t="str">
        <f>HYPERLINK("http://www.ncbi.nlm.nih.gov/protein/XP_029304871.1","ryanodine receptor 1-like")</f>
        <v>ryanodine receptor 1-like</v>
      </c>
      <c r="J151">
        <v>8893.09</v>
      </c>
      <c r="K151" t="s">
        <v>19</v>
      </c>
      <c r="L151">
        <v>276</v>
      </c>
      <c r="M151">
        <v>9.75</v>
      </c>
      <c r="N151">
        <v>85.07</v>
      </c>
      <c r="O151" t="s">
        <v>19</v>
      </c>
      <c r="P151" t="s">
        <v>20</v>
      </c>
      <c r="Q151" t="s">
        <v>19</v>
      </c>
      <c r="R151" t="str">
        <f>HYPERLINK("https://cfpub.epa.gov/ecotox/explore.cfm?ncbi=56716","Explore in ECOTOX")</f>
        <v>Explore in ECOTOX</v>
      </c>
    </row>
    <row r="152" spans="1:18" x14ac:dyDescent="0.45">
      <c r="A152" t="s">
        <v>1264</v>
      </c>
      <c r="B152">
        <v>8</v>
      </c>
      <c r="C152" t="str">
        <f>HYPERLINK("http://www.ncbi.nlm.nih.gov/protein/XP_029476707.1","XP_029476707.1")</f>
        <v>XP_029476707.1</v>
      </c>
      <c r="D152">
        <v>68886</v>
      </c>
      <c r="E152" t="str">
        <f>HYPERLINK("http://www.ncbi.nlm.nih.gov/Taxonomy/Browser/wwwtax.cgi?mode=Info&amp;id=8023&amp;lvl=3&amp;lin=f&amp;keep=1&amp;srchmode=1&amp;unlock","8023")</f>
        <v>8023</v>
      </c>
      <c r="F152" t="s">
        <v>17</v>
      </c>
      <c r="G152" t="str">
        <f>HYPERLINK("http://www.ncbi.nlm.nih.gov/Taxonomy/Browser/wwwtax.cgi?mode=Info&amp;id=8023&amp;lvl=3&amp;lin=f&amp;keep=1&amp;srchmode=1&amp;unlock","Oncorhynchus nerka")</f>
        <v>Oncorhynchus nerka</v>
      </c>
      <c r="H152" t="s">
        <v>163</v>
      </c>
      <c r="I152" t="str">
        <f>HYPERLINK("http://www.ncbi.nlm.nih.gov/protein/XP_029476707.1","ryanodine receptor 1-like")</f>
        <v>ryanodine receptor 1-like</v>
      </c>
      <c r="J152">
        <v>8890.39</v>
      </c>
      <c r="K152" t="s">
        <v>19</v>
      </c>
      <c r="L152">
        <v>276</v>
      </c>
      <c r="M152">
        <v>9.75</v>
      </c>
      <c r="N152">
        <v>85.04</v>
      </c>
      <c r="O152" t="s">
        <v>19</v>
      </c>
      <c r="P152" t="s">
        <v>20</v>
      </c>
      <c r="Q152" t="s">
        <v>19</v>
      </c>
      <c r="R152" t="str">
        <f>HYPERLINK("https://cfpub.epa.gov/ecotox/explore.cfm?ncbi=8023","Explore in ECOTOX")</f>
        <v>Explore in ECOTOX</v>
      </c>
    </row>
    <row r="153" spans="1:18" x14ac:dyDescent="0.45">
      <c r="A153" t="s">
        <v>1264</v>
      </c>
      <c r="B153">
        <v>8</v>
      </c>
      <c r="C153" t="str">
        <f>HYPERLINK("http://www.ncbi.nlm.nih.gov/protein/XP_031664931.1","XP_031664931.1")</f>
        <v>XP_031664931.1</v>
      </c>
      <c r="D153">
        <v>89618</v>
      </c>
      <c r="E153" t="str">
        <f>HYPERLINK("http://www.ncbi.nlm.nih.gov/Taxonomy/Browser/wwwtax.cgi?mode=Info&amp;id=8019&amp;lvl=3&amp;lin=f&amp;keep=1&amp;srchmode=1&amp;unlock","8019")</f>
        <v>8019</v>
      </c>
      <c r="F153" t="s">
        <v>17</v>
      </c>
      <c r="G153" t="str">
        <f>HYPERLINK("http://www.ncbi.nlm.nih.gov/Taxonomy/Browser/wwwtax.cgi?mode=Info&amp;id=8019&amp;lvl=3&amp;lin=f&amp;keep=1&amp;srchmode=1&amp;unlock","Oncorhynchus kisutch")</f>
        <v>Oncorhynchus kisutch</v>
      </c>
      <c r="H153" t="s">
        <v>164</v>
      </c>
      <c r="I153" t="str">
        <f>HYPERLINK("http://www.ncbi.nlm.nih.gov/protein/XP_031664931.1","ryanodine receptor 1-like")</f>
        <v>ryanodine receptor 1-like</v>
      </c>
      <c r="J153">
        <v>8875.3700000000008</v>
      </c>
      <c r="K153" t="s">
        <v>19</v>
      </c>
      <c r="L153">
        <v>276</v>
      </c>
      <c r="M153">
        <v>9.75</v>
      </c>
      <c r="N153">
        <v>84.9</v>
      </c>
      <c r="O153" t="s">
        <v>19</v>
      </c>
      <c r="P153" t="s">
        <v>20</v>
      </c>
      <c r="Q153" t="s">
        <v>19</v>
      </c>
      <c r="R153" t="str">
        <f>HYPERLINK("https://cfpub.epa.gov/ecotox/explore.cfm?ncbi=8019","Explore in ECOTOX")</f>
        <v>Explore in ECOTOX</v>
      </c>
    </row>
    <row r="154" spans="1:18" x14ac:dyDescent="0.45">
      <c r="A154" t="s">
        <v>1264</v>
      </c>
      <c r="B154">
        <v>8</v>
      </c>
      <c r="C154" t="str">
        <f>HYPERLINK("http://www.ncbi.nlm.nih.gov/protein/XP_030216349.1","XP_030216349.1")</f>
        <v>XP_030216349.1</v>
      </c>
      <c r="D154">
        <v>47359</v>
      </c>
      <c r="E154" t="str">
        <f>HYPERLINK("http://www.ncbi.nlm.nih.gov/Taxonomy/Browser/wwwtax.cgi?mode=Info&amp;id=8049&amp;lvl=3&amp;lin=f&amp;keep=1&amp;srchmode=1&amp;unlock","8049")</f>
        <v>8049</v>
      </c>
      <c r="F154" t="s">
        <v>17</v>
      </c>
      <c r="G154" t="str">
        <f>HYPERLINK("http://www.ncbi.nlm.nih.gov/Taxonomy/Browser/wwwtax.cgi?mode=Info&amp;id=8049&amp;lvl=3&amp;lin=f&amp;keep=1&amp;srchmode=1&amp;unlock","Gadus morhua")</f>
        <v>Gadus morhua</v>
      </c>
      <c r="H154" t="s">
        <v>165</v>
      </c>
      <c r="I154" t="str">
        <f>HYPERLINK("http://www.ncbi.nlm.nih.gov/protein/XP_030216349.1","ryanodine receptor 1-like")</f>
        <v>ryanodine receptor 1-like</v>
      </c>
      <c r="J154">
        <v>8870.75</v>
      </c>
      <c r="K154" t="s">
        <v>19</v>
      </c>
      <c r="L154">
        <v>276</v>
      </c>
      <c r="M154">
        <v>9.75</v>
      </c>
      <c r="N154">
        <v>84.86</v>
      </c>
      <c r="O154" t="s">
        <v>19</v>
      </c>
      <c r="P154" t="s">
        <v>20</v>
      </c>
      <c r="Q154" t="s">
        <v>19</v>
      </c>
      <c r="R154" t="str">
        <f>HYPERLINK("https://cfpub.epa.gov/ecotox/explore.cfm?ncbi=8049","Explore in ECOTOX")</f>
        <v>Explore in ECOTOX</v>
      </c>
    </row>
    <row r="155" spans="1:18" x14ac:dyDescent="0.45">
      <c r="A155" t="s">
        <v>1264</v>
      </c>
      <c r="B155">
        <v>8</v>
      </c>
      <c r="C155" t="str">
        <f>HYPERLINK("http://www.ncbi.nlm.nih.gov/protein/XP_013858586.1","XP_013858586.1")</f>
        <v>XP_013858586.1</v>
      </c>
      <c r="D155">
        <v>35359</v>
      </c>
      <c r="E155" t="str">
        <f>HYPERLINK("http://www.ncbi.nlm.nih.gov/Taxonomy/Browser/wwwtax.cgi?mode=Info&amp;id=52670&amp;lvl=3&amp;lin=f&amp;keep=1&amp;srchmode=1&amp;unlock","52670")</f>
        <v>52670</v>
      </c>
      <c r="F155" t="s">
        <v>17</v>
      </c>
      <c r="G155" t="str">
        <f>HYPERLINK("http://www.ncbi.nlm.nih.gov/Taxonomy/Browser/wwwtax.cgi?mode=Info&amp;id=52670&amp;lvl=3&amp;lin=f&amp;keep=1&amp;srchmode=1&amp;unlock","Austrofundulus limnaeus")</f>
        <v>Austrofundulus limnaeus</v>
      </c>
      <c r="H155" t="s">
        <v>166</v>
      </c>
      <c r="I155" t="str">
        <f>HYPERLINK("http://www.ncbi.nlm.nih.gov/protein/XP_013858586.1","PREDICTED: LOW QUALITY PROTEIN: ryanodine receptor 1-like")</f>
        <v>PREDICTED: LOW QUALITY PROTEIN: ryanodine receptor 1-like</v>
      </c>
      <c r="J155">
        <v>8866.1200000000008</v>
      </c>
      <c r="K155" t="s">
        <v>19</v>
      </c>
      <c r="L155">
        <v>276</v>
      </c>
      <c r="M155">
        <v>9.75</v>
      </c>
      <c r="N155">
        <v>84.81</v>
      </c>
      <c r="O155" t="s">
        <v>19</v>
      </c>
      <c r="P155" t="s">
        <v>20</v>
      </c>
      <c r="Q155" t="s">
        <v>19</v>
      </c>
      <c r="R155" t="str">
        <f>HYPERLINK("https://cfpub.epa.gov/ecotox/explore.cfm?ncbi=52670","Explore in ECOTOX")</f>
        <v>Explore in ECOTOX</v>
      </c>
    </row>
    <row r="156" spans="1:18" x14ac:dyDescent="0.45">
      <c r="A156" t="s">
        <v>1264</v>
      </c>
      <c r="B156">
        <v>8</v>
      </c>
      <c r="C156" t="str">
        <f>HYPERLINK("http://www.ncbi.nlm.nih.gov/protein/XP_033995736.1","XP_033995736.1")</f>
        <v>XP_033995736.1</v>
      </c>
      <c r="D156">
        <v>41311</v>
      </c>
      <c r="E156" t="str">
        <f>HYPERLINK("http://www.ncbi.nlm.nih.gov/Taxonomy/Browser/wwwtax.cgi?mode=Info&amp;id=40690&amp;lvl=3&amp;lin=f&amp;keep=1&amp;srchmode=1&amp;unlock","40690")</f>
        <v>40690</v>
      </c>
      <c r="F156" t="s">
        <v>17</v>
      </c>
      <c r="G156" t="str">
        <f>HYPERLINK("http://www.ncbi.nlm.nih.gov/Taxonomy/Browser/wwwtax.cgi?mode=Info&amp;id=40690&amp;lvl=3&amp;lin=f&amp;keep=1&amp;srchmode=1&amp;unlock","Trematomus bernacchii")</f>
        <v>Trematomus bernacchii</v>
      </c>
      <c r="H156" t="s">
        <v>167</v>
      </c>
      <c r="I156" t="str">
        <f>HYPERLINK("http://www.ncbi.nlm.nih.gov/protein/XP_033995736.1","LOW QUALITY PROTEIN: ryanodine receptor 1-like")</f>
        <v>LOW QUALITY PROTEIN: ryanodine receptor 1-like</v>
      </c>
      <c r="J156">
        <v>8863.0400000000009</v>
      </c>
      <c r="K156" t="s">
        <v>19</v>
      </c>
      <c r="L156">
        <v>276</v>
      </c>
      <c r="M156">
        <v>9.75</v>
      </c>
      <c r="N156">
        <v>84.78</v>
      </c>
      <c r="O156" t="s">
        <v>19</v>
      </c>
      <c r="P156" t="s">
        <v>20</v>
      </c>
      <c r="Q156" t="s">
        <v>19</v>
      </c>
      <c r="R156" t="str">
        <f>HYPERLINK("https://cfpub.epa.gov/ecotox/explore.cfm?ncbi=40690","Explore in ECOTOX")</f>
        <v>Explore in ECOTOX</v>
      </c>
    </row>
    <row r="157" spans="1:18" x14ac:dyDescent="0.45">
      <c r="A157" t="s">
        <v>1264</v>
      </c>
      <c r="B157">
        <v>8</v>
      </c>
      <c r="C157" t="str">
        <f>HYPERLINK("http://www.ncbi.nlm.nih.gov/protein/XP_059912711.1","XP_059912711.1")</f>
        <v>XP_059912711.1</v>
      </c>
      <c r="D157">
        <v>42356</v>
      </c>
      <c r="E157" t="str">
        <f>HYPERLINK("http://www.ncbi.nlm.nih.gov/Taxonomy/Browser/wwwtax.cgi?mode=Info&amp;id=80720&amp;lvl=3&amp;lin=f&amp;keep=1&amp;srchmode=1&amp;unlock","80720")</f>
        <v>80720</v>
      </c>
      <c r="F157" t="s">
        <v>17</v>
      </c>
      <c r="G157" t="str">
        <f>HYPERLINK("http://www.ncbi.nlm.nih.gov/Taxonomy/Browser/wwwtax.cgi?mode=Info&amp;id=80720&amp;lvl=3&amp;lin=f&amp;keep=1&amp;srchmode=1&amp;unlock","Gadus macrocephalus")</f>
        <v>Gadus macrocephalus</v>
      </c>
      <c r="H157" t="s">
        <v>168</v>
      </c>
      <c r="I157" t="str">
        <f>HYPERLINK("http://www.ncbi.nlm.nih.gov/protein/XP_059912711.1","ryanodine receptor 1-like isoform X8")</f>
        <v>ryanodine receptor 1-like isoform X8</v>
      </c>
      <c r="J157">
        <v>8853.0300000000007</v>
      </c>
      <c r="K157" t="s">
        <v>19</v>
      </c>
      <c r="L157">
        <v>276</v>
      </c>
      <c r="M157">
        <v>9.75</v>
      </c>
      <c r="N157">
        <v>84.69</v>
      </c>
      <c r="O157" t="s">
        <v>19</v>
      </c>
      <c r="P157" t="s">
        <v>20</v>
      </c>
      <c r="Q157" t="s">
        <v>19</v>
      </c>
      <c r="R157" t="str">
        <f>HYPERLINK("https://cfpub.epa.gov/ecotox/explore.cfm?ncbi=80720","Explore in ECOTOX")</f>
        <v>Explore in ECOTOX</v>
      </c>
    </row>
    <row r="158" spans="1:18" x14ac:dyDescent="0.45">
      <c r="A158" t="s">
        <v>1264</v>
      </c>
      <c r="B158">
        <v>8</v>
      </c>
      <c r="C158" t="str">
        <f>HYPERLINK("http://www.ncbi.nlm.nih.gov/protein/KAK1800599.1","KAK1800599.1")</f>
        <v>KAK1800599.1</v>
      </c>
      <c r="D158">
        <v>23160</v>
      </c>
      <c r="E158" t="str">
        <f>HYPERLINK("http://www.ncbi.nlm.nih.gov/Taxonomy/Browser/wwwtax.cgi?mode=Info&amp;id=2609070&amp;lvl=3&amp;lin=f&amp;keep=1&amp;srchmode=1&amp;unlock","2609070")</f>
        <v>2609070</v>
      </c>
      <c r="F158" t="s">
        <v>17</v>
      </c>
      <c r="G158" t="str">
        <f>HYPERLINK("http://www.ncbi.nlm.nih.gov/Taxonomy/Browser/wwwtax.cgi?mode=Info&amp;id=2609070&amp;lvl=3&amp;lin=f&amp;keep=1&amp;srchmode=1&amp;unlock","Electrophorus voltai")</f>
        <v>Electrophorus voltai</v>
      </c>
      <c r="H158" t="s">
        <v>169</v>
      </c>
      <c r="I158" t="str">
        <f>HYPERLINK("http://www.ncbi.nlm.nih.gov/protein/KAK1800599.1","hypothetical protein P4O66_005812, partial")</f>
        <v>hypothetical protein P4O66_005812, partial</v>
      </c>
      <c r="J158">
        <v>8836.85</v>
      </c>
      <c r="K158" t="s">
        <v>22</v>
      </c>
      <c r="L158">
        <v>276</v>
      </c>
      <c r="M158">
        <v>9.75</v>
      </c>
      <c r="N158">
        <v>84.53</v>
      </c>
      <c r="O158" t="s">
        <v>19</v>
      </c>
      <c r="P158" t="s">
        <v>20</v>
      </c>
      <c r="Q158" t="s">
        <v>19</v>
      </c>
      <c r="R158" t="str">
        <f>HYPERLINK("https://cfpub.epa.gov/ecotox/explore.cfm?ncbi=2609070","Explore in ECOTOX")</f>
        <v>Explore in ECOTOX</v>
      </c>
    </row>
    <row r="159" spans="1:18" x14ac:dyDescent="0.45">
      <c r="A159" t="s">
        <v>1264</v>
      </c>
      <c r="B159">
        <v>8</v>
      </c>
      <c r="C159" t="str">
        <f>HYPERLINK("http://www.ncbi.nlm.nih.gov/protein/KAJ8402182.1","KAJ8402182.1")</f>
        <v>KAJ8402182.1</v>
      </c>
      <c r="D159">
        <v>44185</v>
      </c>
      <c r="E159" t="str">
        <f>HYPERLINK("http://www.ncbi.nlm.nih.gov/Taxonomy/Browser/wwwtax.cgi?mode=Info&amp;id=143900&amp;lvl=3&amp;lin=f&amp;keep=1&amp;srchmode=1&amp;unlock","143900")</f>
        <v>143900</v>
      </c>
      <c r="F159" t="s">
        <v>17</v>
      </c>
      <c r="G159" t="str">
        <f>HYPERLINK("http://www.ncbi.nlm.nih.gov/Taxonomy/Browser/wwwtax.cgi?mode=Info&amp;id=143900&amp;lvl=3&amp;lin=f&amp;keep=1&amp;srchmode=1&amp;unlock","Aldrovandia affinis")</f>
        <v>Aldrovandia affinis</v>
      </c>
      <c r="H159" t="s">
        <v>170</v>
      </c>
      <c r="I159" t="str">
        <f>HYPERLINK("http://www.ncbi.nlm.nih.gov/protein/KAJ8402182.1","hypothetical protein AAFF_G00370470")</f>
        <v>hypothetical protein AAFF_G00370470</v>
      </c>
      <c r="J159">
        <v>8831.84</v>
      </c>
      <c r="K159" t="s">
        <v>19</v>
      </c>
      <c r="L159">
        <v>276</v>
      </c>
      <c r="M159">
        <v>9.75</v>
      </c>
      <c r="N159">
        <v>84.48</v>
      </c>
      <c r="O159" t="s">
        <v>19</v>
      </c>
      <c r="P159" t="s">
        <v>20</v>
      </c>
      <c r="Q159" t="s">
        <v>19</v>
      </c>
      <c r="R159" t="str">
        <f>HYPERLINK("https://cfpub.epa.gov/ecotox/explore.cfm?ncbi=143900","Explore in ECOTOX")</f>
        <v>Explore in ECOTOX</v>
      </c>
    </row>
    <row r="160" spans="1:18" x14ac:dyDescent="0.45">
      <c r="A160" t="s">
        <v>1264</v>
      </c>
      <c r="B160">
        <v>8</v>
      </c>
      <c r="C160" t="str">
        <f>HYPERLINK("http://www.ncbi.nlm.nih.gov/protein/XP_010795570.1","XP_010795570.1")</f>
        <v>XP_010795570.1</v>
      </c>
      <c r="D160">
        <v>32366</v>
      </c>
      <c r="E160" t="str">
        <f>HYPERLINK("http://www.ncbi.nlm.nih.gov/Taxonomy/Browser/wwwtax.cgi?mode=Info&amp;id=8208&amp;lvl=3&amp;lin=f&amp;keep=1&amp;srchmode=1&amp;unlock","8208")</f>
        <v>8208</v>
      </c>
      <c r="F160" t="s">
        <v>17</v>
      </c>
      <c r="G160" t="str">
        <f>HYPERLINK("http://www.ncbi.nlm.nih.gov/Taxonomy/Browser/wwwtax.cgi?mode=Info&amp;id=8208&amp;lvl=3&amp;lin=f&amp;keep=1&amp;srchmode=1&amp;unlock","Notothenia coriiceps")</f>
        <v>Notothenia coriiceps</v>
      </c>
      <c r="H160" t="s">
        <v>171</v>
      </c>
      <c r="I160" t="str">
        <f>HYPERLINK("http://www.ncbi.nlm.nih.gov/protein/XP_010795570.1","PREDICTED: ryanodine receptor 1, partial")</f>
        <v>PREDICTED: ryanodine receptor 1, partial</v>
      </c>
      <c r="J160">
        <v>8830.2999999999993</v>
      </c>
      <c r="K160" t="s">
        <v>19</v>
      </c>
      <c r="L160">
        <v>276</v>
      </c>
      <c r="M160">
        <v>9.75</v>
      </c>
      <c r="N160">
        <v>84.47</v>
      </c>
      <c r="O160" t="s">
        <v>19</v>
      </c>
      <c r="P160" t="s">
        <v>20</v>
      </c>
      <c r="Q160" t="s">
        <v>19</v>
      </c>
      <c r="R160" t="str">
        <f>HYPERLINK("https://cfpub.epa.gov/ecotox/explore.cfm?ncbi=8208","Explore in ECOTOX")</f>
        <v>Explore in ECOTOX</v>
      </c>
    </row>
    <row r="161" spans="1:18" x14ac:dyDescent="0.45">
      <c r="A161" t="s">
        <v>1264</v>
      </c>
      <c r="B161">
        <v>8</v>
      </c>
      <c r="C161" t="str">
        <f>HYPERLINK("http://www.ncbi.nlm.nih.gov/protein/XP_046717448.1","XP_046717448.1")</f>
        <v>XP_046717448.1</v>
      </c>
      <c r="D161">
        <v>91563</v>
      </c>
      <c r="E161" t="str">
        <f>HYPERLINK("http://www.ncbi.nlm.nih.gov/Taxonomy/Browser/wwwtax.cgi?mode=Info&amp;id=175797&amp;lvl=3&amp;lin=f&amp;keep=1&amp;srchmode=1&amp;unlock","175797")</f>
        <v>175797</v>
      </c>
      <c r="F161" t="s">
        <v>17</v>
      </c>
      <c r="G161" t="str">
        <f>HYPERLINK("http://www.ncbi.nlm.nih.gov/Taxonomy/Browser/wwwtax.cgi?mode=Info&amp;id=175797&amp;lvl=3&amp;lin=f&amp;keep=1&amp;srchmode=1&amp;unlock","Silurus meridionalis")</f>
        <v>Silurus meridionalis</v>
      </c>
      <c r="H161" t="s">
        <v>172</v>
      </c>
      <c r="I161" t="str">
        <f>HYPERLINK("http://www.ncbi.nlm.nih.gov/protein/XP_046717448.1","ryanodine receptor 1")</f>
        <v>ryanodine receptor 1</v>
      </c>
      <c r="J161">
        <v>8769.44</v>
      </c>
      <c r="K161" t="s">
        <v>19</v>
      </c>
      <c r="L161">
        <v>276</v>
      </c>
      <c r="M161">
        <v>9.75</v>
      </c>
      <c r="N161">
        <v>83.89</v>
      </c>
      <c r="O161" t="s">
        <v>19</v>
      </c>
      <c r="P161" t="s">
        <v>20</v>
      </c>
      <c r="Q161" t="s">
        <v>19</v>
      </c>
      <c r="R161" t="str">
        <f>HYPERLINK("https://cfpub.epa.gov/ecotox/explore.cfm?ncbi=175797","Explore in ECOTOX")</f>
        <v>Explore in ECOTOX</v>
      </c>
    </row>
    <row r="162" spans="1:18" x14ac:dyDescent="0.45">
      <c r="A162" t="s">
        <v>1264</v>
      </c>
      <c r="B162">
        <v>8</v>
      </c>
      <c r="C162" t="str">
        <f>HYPERLINK("http://www.ncbi.nlm.nih.gov/protein/KAI3373148.1","KAI3373148.1")</f>
        <v>KAI3373148.1</v>
      </c>
      <c r="D162">
        <v>26944</v>
      </c>
      <c r="E162" t="str">
        <f>HYPERLINK("http://www.ncbi.nlm.nih.gov/Taxonomy/Browser/wwwtax.cgi?mode=Info&amp;id=214431&amp;lvl=3&amp;lin=f&amp;keep=1&amp;srchmode=1&amp;unlock","214431")</f>
        <v>214431</v>
      </c>
      <c r="F162" t="s">
        <v>17</v>
      </c>
      <c r="G162" t="str">
        <f>HYPERLINK("http://www.ncbi.nlm.nih.gov/Taxonomy/Browser/wwwtax.cgi?mode=Info&amp;id=214431&amp;lvl=3&amp;lin=f&amp;keep=1&amp;srchmode=1&amp;unlock","Scortum barcoo")</f>
        <v>Scortum barcoo</v>
      </c>
      <c r="H162" t="s">
        <v>173</v>
      </c>
      <c r="I162" t="str">
        <f>HYPERLINK("http://www.ncbi.nlm.nih.gov/protein/KAI3373148.1","hypothetical protein L3Q82_006477")</f>
        <v>hypothetical protein L3Q82_006477</v>
      </c>
      <c r="J162">
        <v>8749.02</v>
      </c>
      <c r="K162" t="s">
        <v>19</v>
      </c>
      <c r="L162">
        <v>276</v>
      </c>
      <c r="M162">
        <v>9.75</v>
      </c>
      <c r="N162">
        <v>83.69</v>
      </c>
      <c r="O162" t="s">
        <v>19</v>
      </c>
      <c r="P162" t="s">
        <v>20</v>
      </c>
      <c r="Q162" t="s">
        <v>19</v>
      </c>
      <c r="R162" t="str">
        <f>HYPERLINK("https://cfpub.epa.gov/ecotox/explore.cfm?ncbi=214431","Explore in ECOTOX")</f>
        <v>Explore in ECOTOX</v>
      </c>
    </row>
    <row r="163" spans="1:18" x14ac:dyDescent="0.45">
      <c r="A163" t="s">
        <v>1264</v>
      </c>
      <c r="B163">
        <v>8</v>
      </c>
      <c r="C163" t="str">
        <f>HYPERLINK("http://www.ncbi.nlm.nih.gov/protein/KAI4813945.1","KAI4813945.1")</f>
        <v>KAI4813945.1</v>
      </c>
      <c r="D163">
        <v>39982</v>
      </c>
      <c r="E163" t="str">
        <f>HYPERLINK("http://www.ncbi.nlm.nih.gov/Taxonomy/Browser/wwwtax.cgi?mode=Info&amp;id=36190&amp;lvl=3&amp;lin=f&amp;keep=1&amp;srchmode=1&amp;unlock","36190")</f>
        <v>36190</v>
      </c>
      <c r="F163" t="s">
        <v>17</v>
      </c>
      <c r="G163" t="str">
        <f>HYPERLINK("http://www.ncbi.nlm.nih.gov/Taxonomy/Browser/wwwtax.cgi?mode=Info&amp;id=36190&amp;lvl=3&amp;lin=f&amp;keep=1&amp;srchmode=1&amp;unlock","Chaenocephalus aceratus")</f>
        <v>Chaenocephalus aceratus</v>
      </c>
      <c r="H163" t="s">
        <v>174</v>
      </c>
      <c r="I163" t="str">
        <f>HYPERLINK("http://www.ncbi.nlm.nih.gov/protein/KAI4813945.1","hypothetical protein KUCAC02_003163, partial")</f>
        <v>hypothetical protein KUCAC02_003163, partial</v>
      </c>
      <c r="J163">
        <v>8724.76</v>
      </c>
      <c r="K163" t="s">
        <v>19</v>
      </c>
      <c r="L163">
        <v>276</v>
      </c>
      <c r="M163">
        <v>9.75</v>
      </c>
      <c r="N163">
        <v>83.46</v>
      </c>
      <c r="O163" t="s">
        <v>19</v>
      </c>
      <c r="P163" t="s">
        <v>20</v>
      </c>
      <c r="Q163" t="s">
        <v>19</v>
      </c>
      <c r="R163" t="str">
        <f>HYPERLINK("https://cfpub.epa.gov/ecotox/explore.cfm?ncbi=36190","Explore in ECOTOX")</f>
        <v>Explore in ECOTOX</v>
      </c>
    </row>
    <row r="164" spans="1:18" x14ac:dyDescent="0.45">
      <c r="A164" t="s">
        <v>1264</v>
      </c>
      <c r="B164">
        <v>8</v>
      </c>
      <c r="C164" t="str">
        <f>HYPERLINK("http://www.ncbi.nlm.nih.gov/protein/KAF7670288.1","KAF7670288.1")</f>
        <v>KAF7670288.1</v>
      </c>
      <c r="D164">
        <v>29676</v>
      </c>
      <c r="E164" t="str">
        <f>HYPERLINK("http://www.ncbi.nlm.nih.gov/Taxonomy/Browser/wwwtax.cgi?mode=Info&amp;id=670423&amp;lvl=3&amp;lin=f&amp;keep=1&amp;srchmode=1&amp;unlock","670423")</f>
        <v>670423</v>
      </c>
      <c r="F164" t="s">
        <v>17</v>
      </c>
      <c r="G164" t="str">
        <f>HYPERLINK("http://www.ncbi.nlm.nih.gov/Taxonomy/Browser/wwwtax.cgi?mode=Info&amp;id=670423&amp;lvl=3&amp;lin=f&amp;keep=1&amp;srchmode=1&amp;unlock","Lucifuga dentata")</f>
        <v>Lucifuga dentata</v>
      </c>
      <c r="H164" t="s">
        <v>175</v>
      </c>
      <c r="I164" t="str">
        <f>HYPERLINK("http://www.ncbi.nlm.nih.gov/protein/KAF7670288.1","hypothetical protein LDENG_00299830")</f>
        <v>hypothetical protein LDENG_00299830</v>
      </c>
      <c r="J164">
        <v>8695.48</v>
      </c>
      <c r="K164" t="s">
        <v>19</v>
      </c>
      <c r="L164">
        <v>276</v>
      </c>
      <c r="M164">
        <v>9.75</v>
      </c>
      <c r="N164">
        <v>83.18</v>
      </c>
      <c r="O164" t="s">
        <v>19</v>
      </c>
      <c r="P164" t="s">
        <v>20</v>
      </c>
      <c r="Q164" t="s">
        <v>19</v>
      </c>
      <c r="R164" t="str">
        <f>HYPERLINK("https://cfpub.epa.gov/ecotox/explore.cfm?ncbi=670423","Explore in ECOTOX")</f>
        <v>Explore in ECOTOX</v>
      </c>
    </row>
    <row r="165" spans="1:18" x14ac:dyDescent="0.45">
      <c r="A165" t="s">
        <v>1264</v>
      </c>
      <c r="B165">
        <v>8</v>
      </c>
      <c r="C165" t="str">
        <f>HYPERLINK("http://www.ncbi.nlm.nih.gov/protein/TRY98673.1","TRY98673.1")</f>
        <v>TRY98673.1</v>
      </c>
      <c r="D165">
        <v>35342</v>
      </c>
      <c r="E165" t="str">
        <f>HYPERLINK("http://www.ncbi.nlm.nih.gov/Taxonomy/Browser/wwwtax.cgi?mode=Info&amp;id=623744&amp;lvl=3&amp;lin=f&amp;keep=1&amp;srchmode=1&amp;unlock","623744")</f>
        <v>623744</v>
      </c>
      <c r="F165" t="s">
        <v>17</v>
      </c>
      <c r="G165" t="str">
        <f>HYPERLINK("http://www.ncbi.nlm.nih.gov/Taxonomy/Browser/wwwtax.cgi?mode=Info&amp;id=623744&amp;lvl=3&amp;lin=f&amp;keep=1&amp;srchmode=1&amp;unlock","Danionella translucida")</f>
        <v>Danionella translucida</v>
      </c>
      <c r="H165" t="s">
        <v>21</v>
      </c>
      <c r="I165" t="str">
        <f>HYPERLINK("http://www.ncbi.nlm.nih.gov/protein/TRY98673.1","hypothetical protein DNTS_033428")</f>
        <v>hypothetical protein DNTS_033428</v>
      </c>
      <c r="J165">
        <v>8679.2999999999993</v>
      </c>
      <c r="K165" t="s">
        <v>22</v>
      </c>
      <c r="L165">
        <v>276</v>
      </c>
      <c r="M165">
        <v>9.75</v>
      </c>
      <c r="N165">
        <v>83.02</v>
      </c>
      <c r="O165" t="s">
        <v>19</v>
      </c>
      <c r="P165" t="s">
        <v>20</v>
      </c>
      <c r="Q165" t="s">
        <v>19</v>
      </c>
      <c r="R165" t="str">
        <f>HYPERLINK("https://cfpub.epa.gov/ecotox/explore.cfm?ncbi=623744","Explore in ECOTOX")</f>
        <v>Explore in ECOTOX</v>
      </c>
    </row>
    <row r="166" spans="1:18" x14ac:dyDescent="0.45">
      <c r="A166" t="s">
        <v>1264</v>
      </c>
      <c r="B166">
        <v>8</v>
      </c>
      <c r="C166" t="str">
        <f>HYPERLINK("http://www.ncbi.nlm.nih.gov/protein/MCI4387918.1","MCI4387918.1")</f>
        <v>MCI4387918.1</v>
      </c>
      <c r="D166">
        <v>22058</v>
      </c>
      <c r="E166" t="str">
        <f>HYPERLINK("http://www.ncbi.nlm.nih.gov/Taxonomy/Browser/wwwtax.cgi?mode=Info&amp;id=30993&amp;lvl=3&amp;lin=f&amp;keep=1&amp;srchmode=1&amp;unlock","30993")</f>
        <v>30993</v>
      </c>
      <c r="F166" t="s">
        <v>17</v>
      </c>
      <c r="G166" t="str">
        <f>HYPERLINK("http://www.ncbi.nlm.nih.gov/Taxonomy/Browser/wwwtax.cgi?mode=Info&amp;id=30993&amp;lvl=3&amp;lin=f&amp;keep=1&amp;srchmode=1&amp;unlock","Pangasianodon gigas")</f>
        <v>Pangasianodon gigas</v>
      </c>
      <c r="H166" t="s">
        <v>176</v>
      </c>
      <c r="I166" t="str">
        <f>HYPERLINK("http://www.ncbi.nlm.nih.gov/protein/MCI4387918.1","hypothetical protein")</f>
        <v>hypothetical protein</v>
      </c>
      <c r="J166">
        <v>8661.9699999999993</v>
      </c>
      <c r="K166" t="s">
        <v>19</v>
      </c>
      <c r="L166">
        <v>276</v>
      </c>
      <c r="M166">
        <v>9.75</v>
      </c>
      <c r="N166">
        <v>82.86</v>
      </c>
      <c r="O166" t="s">
        <v>19</v>
      </c>
      <c r="P166" t="s">
        <v>20</v>
      </c>
      <c r="Q166" t="s">
        <v>19</v>
      </c>
      <c r="R166" t="str">
        <f>HYPERLINK("https://cfpub.epa.gov/ecotox/explore.cfm?ncbi=30993","Explore in ECOTOX")</f>
        <v>Explore in ECOTOX</v>
      </c>
    </row>
    <row r="167" spans="1:18" x14ac:dyDescent="0.45">
      <c r="A167" t="s">
        <v>1264</v>
      </c>
      <c r="B167">
        <v>8</v>
      </c>
      <c r="C167" t="str">
        <f>HYPERLINK("http://www.ncbi.nlm.nih.gov/protein/XP_012824470.1","XP_012824470.1")</f>
        <v>XP_012824470.1</v>
      </c>
      <c r="D167">
        <v>122869</v>
      </c>
      <c r="E167" t="str">
        <f>HYPERLINK("http://www.ncbi.nlm.nih.gov/Taxonomy/Browser/wwwtax.cgi?mode=Info&amp;id=8364&amp;lvl=3&amp;lin=f&amp;keep=1&amp;srchmode=1&amp;unlock","8364")</f>
        <v>8364</v>
      </c>
      <c r="F167" t="s">
        <v>177</v>
      </c>
      <c r="G167" t="str">
        <f>HYPERLINK("http://www.ncbi.nlm.nih.gov/Taxonomy/Browser/wwwtax.cgi?mode=Info&amp;id=8364&amp;lvl=3&amp;lin=f&amp;keep=1&amp;srchmode=1&amp;unlock","Xenopus tropicalis")</f>
        <v>Xenopus tropicalis</v>
      </c>
      <c r="H167" t="s">
        <v>178</v>
      </c>
      <c r="I167" t="str">
        <f>HYPERLINK("http://www.ncbi.nlm.nih.gov/protein/XP_012824470.1","ryanodine receptor 1 isoform X5")</f>
        <v>ryanodine receptor 1 isoform X5</v>
      </c>
      <c r="J167">
        <v>8356.51</v>
      </c>
      <c r="K167" t="s">
        <v>19</v>
      </c>
      <c r="L167">
        <v>276</v>
      </c>
      <c r="M167">
        <v>9.75</v>
      </c>
      <c r="N167">
        <v>79.94</v>
      </c>
      <c r="O167" t="s">
        <v>19</v>
      </c>
      <c r="P167" t="s">
        <v>20</v>
      </c>
      <c r="Q167" t="s">
        <v>19</v>
      </c>
      <c r="R167" t="str">
        <f>HYPERLINK("https://cfpub.epa.gov/ecotox/explore.cfm?ncbi=8364","Explore in ECOTOX")</f>
        <v>Explore in ECOTOX</v>
      </c>
    </row>
    <row r="168" spans="1:18" x14ac:dyDescent="0.45">
      <c r="A168" t="s">
        <v>1264</v>
      </c>
      <c r="B168">
        <v>8</v>
      </c>
      <c r="C168" t="str">
        <f>HYPERLINK("http://www.ncbi.nlm.nih.gov/protein/XP_014349200.1","XP_014349200.1")</f>
        <v>XP_014349200.1</v>
      </c>
      <c r="D168">
        <v>34481</v>
      </c>
      <c r="E168" t="str">
        <f>HYPERLINK("http://www.ncbi.nlm.nih.gov/Taxonomy/Browser/wwwtax.cgi?mode=Info&amp;id=7897&amp;lvl=3&amp;lin=f&amp;keep=1&amp;srchmode=1&amp;unlock","7897")</f>
        <v>7897</v>
      </c>
      <c r="F168" t="s">
        <v>179</v>
      </c>
      <c r="G168" t="str">
        <f>HYPERLINK("http://www.ncbi.nlm.nih.gov/Taxonomy/Browser/wwwtax.cgi?mode=Info&amp;id=7897&amp;lvl=3&amp;lin=f&amp;keep=1&amp;srchmode=1&amp;unlock","Latimeria chalumnae")</f>
        <v>Latimeria chalumnae</v>
      </c>
      <c r="H168" t="s">
        <v>180</v>
      </c>
      <c r="I168" t="str">
        <f>HYPERLINK("http://www.ncbi.nlm.nih.gov/protein/XP_014349200.1","PREDICTED: ryanodine receptor 1")</f>
        <v>PREDICTED: ryanodine receptor 1</v>
      </c>
      <c r="J168">
        <v>8318.3700000000008</v>
      </c>
      <c r="K168" t="s">
        <v>19</v>
      </c>
      <c r="L168">
        <v>276</v>
      </c>
      <c r="M168">
        <v>9.75</v>
      </c>
      <c r="N168">
        <v>79.569999999999993</v>
      </c>
      <c r="O168" t="s">
        <v>19</v>
      </c>
      <c r="P168" t="s">
        <v>20</v>
      </c>
      <c r="Q168" t="s">
        <v>19</v>
      </c>
      <c r="R168" t="str">
        <f>HYPERLINK("https://cfpub.epa.gov/ecotox/explore.cfm?ncbi=7897","Explore in ECOTOX")</f>
        <v>Explore in ECOTOX</v>
      </c>
    </row>
    <row r="169" spans="1:18" x14ac:dyDescent="0.45">
      <c r="A169" t="s">
        <v>1264</v>
      </c>
      <c r="B169">
        <v>8</v>
      </c>
      <c r="C169" t="str">
        <f>HYPERLINK("http://www.ncbi.nlm.nih.gov/protein/XP_040298295.1","XP_040298295.1")</f>
        <v>XP_040298295.1</v>
      </c>
      <c r="D169">
        <v>38457</v>
      </c>
      <c r="E169" t="str">
        <f>HYPERLINK("http://www.ncbi.nlm.nih.gov/Taxonomy/Browser/wwwtax.cgi?mode=Info&amp;id=8384&amp;lvl=3&amp;lin=f&amp;keep=1&amp;srchmode=1&amp;unlock","8384")</f>
        <v>8384</v>
      </c>
      <c r="F169" t="s">
        <v>177</v>
      </c>
      <c r="G169" t="str">
        <f>HYPERLINK("http://www.ncbi.nlm.nih.gov/Taxonomy/Browser/wwwtax.cgi?mode=Info&amp;id=8384&amp;lvl=3&amp;lin=f&amp;keep=1&amp;srchmode=1&amp;unlock","Bufo bufo")</f>
        <v>Bufo bufo</v>
      </c>
      <c r="H169" t="s">
        <v>181</v>
      </c>
      <c r="I169" t="str">
        <f>HYPERLINK("http://www.ncbi.nlm.nih.gov/protein/XP_040298295.1","ryanodine receptor 1 isoform X4")</f>
        <v>ryanodine receptor 1 isoform X4</v>
      </c>
      <c r="J169">
        <v>8317.99</v>
      </c>
      <c r="K169" t="s">
        <v>19</v>
      </c>
      <c r="L169">
        <v>276</v>
      </c>
      <c r="M169">
        <v>9.75</v>
      </c>
      <c r="N169">
        <v>79.569999999999993</v>
      </c>
      <c r="O169" t="s">
        <v>19</v>
      </c>
      <c r="P169" t="s">
        <v>20</v>
      </c>
      <c r="Q169" t="s">
        <v>19</v>
      </c>
      <c r="R169" t="str">
        <f>HYPERLINK("https://cfpub.epa.gov/ecotox/explore.cfm?ncbi=8384","Explore in ECOTOX")</f>
        <v>Explore in ECOTOX</v>
      </c>
    </row>
    <row r="170" spans="1:18" x14ac:dyDescent="0.45">
      <c r="A170" t="s">
        <v>1264</v>
      </c>
      <c r="B170">
        <v>8</v>
      </c>
      <c r="C170" t="str">
        <f>HYPERLINK("http://www.ncbi.nlm.nih.gov/protein/KAJ1108777.1","KAJ1108777.1")</f>
        <v>KAJ1108777.1</v>
      </c>
      <c r="D170">
        <v>139820</v>
      </c>
      <c r="E170" t="str">
        <f>HYPERLINK("http://www.ncbi.nlm.nih.gov/Taxonomy/Browser/wwwtax.cgi?mode=Info&amp;id=8319&amp;lvl=3&amp;lin=f&amp;keep=1&amp;srchmode=1&amp;unlock","8319")</f>
        <v>8319</v>
      </c>
      <c r="F170" t="s">
        <v>177</v>
      </c>
      <c r="G170" t="str">
        <f>HYPERLINK("http://www.ncbi.nlm.nih.gov/Taxonomy/Browser/wwwtax.cgi?mode=Info&amp;id=8319&amp;lvl=3&amp;lin=f&amp;keep=1&amp;srchmode=1&amp;unlock","Pleurodeles waltl")</f>
        <v>Pleurodeles waltl</v>
      </c>
      <c r="H170" t="s">
        <v>182</v>
      </c>
      <c r="I170" t="str">
        <f>HYPERLINK("http://www.ncbi.nlm.nih.gov/protein/KAJ1108777.1","hypothetical protein NDU88_006147")</f>
        <v>hypothetical protein NDU88_006147</v>
      </c>
      <c r="J170">
        <v>8303.73</v>
      </c>
      <c r="K170" t="s">
        <v>19</v>
      </c>
      <c r="L170">
        <v>276</v>
      </c>
      <c r="M170">
        <v>9.75</v>
      </c>
      <c r="N170">
        <v>79.430000000000007</v>
      </c>
      <c r="O170" t="s">
        <v>19</v>
      </c>
      <c r="P170" t="s">
        <v>20</v>
      </c>
      <c r="Q170" t="s">
        <v>19</v>
      </c>
      <c r="R170" t="str">
        <f>HYPERLINK("https://cfpub.epa.gov/ecotox/explore.cfm?ncbi=8319","Explore in ECOTOX")</f>
        <v>Explore in ECOTOX</v>
      </c>
    </row>
    <row r="171" spans="1:18" x14ac:dyDescent="0.45">
      <c r="A171" t="s">
        <v>1264</v>
      </c>
      <c r="B171">
        <v>8</v>
      </c>
      <c r="C171" t="str">
        <f>HYPERLINK("http://www.ncbi.nlm.nih.gov/protein/XP_053328496.1","XP_053328496.1")</f>
        <v>XP_053328496.1</v>
      </c>
      <c r="D171">
        <v>27882</v>
      </c>
      <c r="E171" t="str">
        <f>HYPERLINK("http://www.ncbi.nlm.nih.gov/Taxonomy/Browser/wwwtax.cgi?mode=Info&amp;id=233779&amp;lvl=3&amp;lin=f&amp;keep=1&amp;srchmode=1&amp;unlock","233779")</f>
        <v>233779</v>
      </c>
      <c r="F171" t="s">
        <v>177</v>
      </c>
      <c r="G171" t="str">
        <f>HYPERLINK("http://www.ncbi.nlm.nih.gov/Taxonomy/Browser/wwwtax.cgi?mode=Info&amp;id=233779&amp;lvl=3&amp;lin=f&amp;keep=1&amp;srchmode=1&amp;unlock","Spea bombifrons")</f>
        <v>Spea bombifrons</v>
      </c>
      <c r="H171" t="s">
        <v>183</v>
      </c>
      <c r="I171" t="str">
        <f>HYPERLINK("http://www.ncbi.nlm.nih.gov/protein/XP_053328496.1","ryanodine receptor 1 isoform X4")</f>
        <v>ryanodine receptor 1 isoform X4</v>
      </c>
      <c r="J171">
        <v>8302.9599999999991</v>
      </c>
      <c r="K171" t="s">
        <v>19</v>
      </c>
      <c r="L171">
        <v>276</v>
      </c>
      <c r="M171">
        <v>9.75</v>
      </c>
      <c r="N171">
        <v>79.42</v>
      </c>
      <c r="O171" t="s">
        <v>19</v>
      </c>
      <c r="P171" t="s">
        <v>20</v>
      </c>
      <c r="Q171" t="s">
        <v>19</v>
      </c>
      <c r="R171" t="str">
        <f>HYPERLINK("https://cfpub.epa.gov/ecotox/explore.cfm?ncbi=233779","Explore in ECOTOX")</f>
        <v>Explore in ECOTOX</v>
      </c>
    </row>
    <row r="172" spans="1:18" x14ac:dyDescent="0.45">
      <c r="A172" t="s">
        <v>1264</v>
      </c>
      <c r="B172">
        <v>8</v>
      </c>
      <c r="C172" t="str">
        <f>HYPERLINK("http://www.ncbi.nlm.nih.gov/protein/XP_018085773.1","XP_018085773.1")</f>
        <v>XP_018085773.1</v>
      </c>
      <c r="D172">
        <v>147175</v>
      </c>
      <c r="E172" t="str">
        <f>HYPERLINK("http://www.ncbi.nlm.nih.gov/Taxonomy/Browser/wwwtax.cgi?mode=Info&amp;id=8355&amp;lvl=3&amp;lin=f&amp;keep=1&amp;srchmode=1&amp;unlock","8355")</f>
        <v>8355</v>
      </c>
      <c r="F172" t="s">
        <v>177</v>
      </c>
      <c r="G172" t="str">
        <f>HYPERLINK("http://www.ncbi.nlm.nih.gov/Taxonomy/Browser/wwwtax.cgi?mode=Info&amp;id=8355&amp;lvl=3&amp;lin=f&amp;keep=1&amp;srchmode=1&amp;unlock","Xenopus laevis")</f>
        <v>Xenopus laevis</v>
      </c>
      <c r="H172" t="s">
        <v>184</v>
      </c>
      <c r="I172" t="str">
        <f>HYPERLINK("http://www.ncbi.nlm.nih.gov/protein/XP_018085773.1","ryanodine receptor 1 isoform X4")</f>
        <v>ryanodine receptor 1 isoform X4</v>
      </c>
      <c r="J172">
        <v>8293.7199999999993</v>
      </c>
      <c r="K172" t="s">
        <v>19</v>
      </c>
      <c r="L172">
        <v>276</v>
      </c>
      <c r="M172">
        <v>9.75</v>
      </c>
      <c r="N172">
        <v>79.34</v>
      </c>
      <c r="O172" t="s">
        <v>19</v>
      </c>
      <c r="P172" t="s">
        <v>20</v>
      </c>
      <c r="Q172" t="s">
        <v>19</v>
      </c>
      <c r="R172" t="str">
        <f>HYPERLINK("https://cfpub.epa.gov/ecotox/explore.cfm?ncbi=8355","Explore in ECOTOX")</f>
        <v>Explore in ECOTOX</v>
      </c>
    </row>
    <row r="173" spans="1:18" x14ac:dyDescent="0.45">
      <c r="A173" t="s">
        <v>1264</v>
      </c>
      <c r="B173">
        <v>8</v>
      </c>
      <c r="C173" t="str">
        <f>HYPERLINK("http://www.ncbi.nlm.nih.gov/protein/XP_042167153.1","XP_042167153.1")</f>
        <v>XP_042167153.1</v>
      </c>
      <c r="D173">
        <v>83228</v>
      </c>
      <c r="E173" t="str">
        <f>HYPERLINK("http://www.ncbi.nlm.nih.gov/Taxonomy/Browser/wwwtax.cgi?mode=Info&amp;id=74940&amp;lvl=3&amp;lin=f&amp;keep=1&amp;srchmode=1&amp;unlock","74940")</f>
        <v>74940</v>
      </c>
      <c r="F173" t="s">
        <v>17</v>
      </c>
      <c r="G173" t="str">
        <f>HYPERLINK("http://www.ncbi.nlm.nih.gov/Taxonomy/Browser/wwwtax.cgi?mode=Info&amp;id=74940&amp;lvl=3&amp;lin=f&amp;keep=1&amp;srchmode=1&amp;unlock","Oncorhynchus tshawytscha")</f>
        <v>Oncorhynchus tshawytscha</v>
      </c>
      <c r="H173" t="s">
        <v>185</v>
      </c>
      <c r="I173" t="str">
        <f>HYPERLINK("http://www.ncbi.nlm.nih.gov/protein/XP_042167153.1","ryanodine receptor 1-like")</f>
        <v>ryanodine receptor 1-like</v>
      </c>
      <c r="J173">
        <v>8284.09</v>
      </c>
      <c r="K173" t="s">
        <v>19</v>
      </c>
      <c r="L173">
        <v>276</v>
      </c>
      <c r="M173">
        <v>9.75</v>
      </c>
      <c r="N173">
        <v>79.239999999999995</v>
      </c>
      <c r="O173" t="s">
        <v>19</v>
      </c>
      <c r="P173" t="s">
        <v>20</v>
      </c>
      <c r="Q173" t="s">
        <v>19</v>
      </c>
      <c r="R173" t="str">
        <f>HYPERLINK("https://cfpub.epa.gov/ecotox/explore.cfm?ncbi=74940","Explore in ECOTOX")</f>
        <v>Explore in ECOTOX</v>
      </c>
    </row>
    <row r="174" spans="1:18" x14ac:dyDescent="0.45">
      <c r="A174" t="s">
        <v>1264</v>
      </c>
      <c r="B174">
        <v>8</v>
      </c>
      <c r="C174" t="str">
        <f>HYPERLINK("http://www.ncbi.nlm.nih.gov/protein/XP_044161856.1","XP_044161856.1")</f>
        <v>XP_044161856.1</v>
      </c>
      <c r="D174">
        <v>39196</v>
      </c>
      <c r="E174" t="str">
        <f>HYPERLINK("http://www.ncbi.nlm.nih.gov/Taxonomy/Browser/wwwtax.cgi?mode=Info&amp;id=30331&amp;lvl=3&amp;lin=f&amp;keep=1&amp;srchmode=1&amp;unlock","30331")</f>
        <v>30331</v>
      </c>
      <c r="F174" t="s">
        <v>177</v>
      </c>
      <c r="G174" t="str">
        <f>HYPERLINK("http://www.ncbi.nlm.nih.gov/Taxonomy/Browser/wwwtax.cgi?mode=Info&amp;id=30331&amp;lvl=3&amp;lin=f&amp;keep=1&amp;srchmode=1&amp;unlock","Bufo gargarizans")</f>
        <v>Bufo gargarizans</v>
      </c>
      <c r="H174" t="s">
        <v>186</v>
      </c>
      <c r="I174" t="str">
        <f>HYPERLINK("http://www.ncbi.nlm.nih.gov/protein/XP_044161856.1","LOW QUALITY PROTEIN: ryanodine receptor 1")</f>
        <v>LOW QUALITY PROTEIN: ryanodine receptor 1</v>
      </c>
      <c r="J174">
        <v>8283.7000000000007</v>
      </c>
      <c r="K174" t="s">
        <v>19</v>
      </c>
      <c r="L174">
        <v>276</v>
      </c>
      <c r="M174">
        <v>9.75</v>
      </c>
      <c r="N174">
        <v>79.239999999999995</v>
      </c>
      <c r="O174" t="s">
        <v>19</v>
      </c>
      <c r="P174" t="s">
        <v>20</v>
      </c>
      <c r="Q174" t="s">
        <v>19</v>
      </c>
      <c r="R174" t="str">
        <f>HYPERLINK("https://cfpub.epa.gov/ecotox/explore.cfm?ncbi=30331","Explore in ECOTOX")</f>
        <v>Explore in ECOTOX</v>
      </c>
    </row>
    <row r="175" spans="1:18" x14ac:dyDescent="0.45">
      <c r="A175" t="s">
        <v>1264</v>
      </c>
      <c r="B175">
        <v>8</v>
      </c>
      <c r="C175" t="str">
        <f>HYPERLINK("http://www.ncbi.nlm.nih.gov/protein/XP_053577595.1","XP_053577595.1")</f>
        <v>XP_053577595.1</v>
      </c>
      <c r="D175">
        <v>33803</v>
      </c>
      <c r="E175" t="str">
        <f>HYPERLINK("http://www.ncbi.nlm.nih.gov/Taxonomy/Browser/wwwtax.cgi?mode=Info&amp;id=8345&amp;lvl=3&amp;lin=f&amp;keep=1&amp;srchmode=1&amp;unlock","8345")</f>
        <v>8345</v>
      </c>
      <c r="F175" t="s">
        <v>177</v>
      </c>
      <c r="G175" t="str">
        <f>HYPERLINK("http://www.ncbi.nlm.nih.gov/Taxonomy/Browser/wwwtax.cgi?mode=Info&amp;id=8345&amp;lvl=3&amp;lin=f&amp;keep=1&amp;srchmode=1&amp;unlock","Bombina bombina")</f>
        <v>Bombina bombina</v>
      </c>
      <c r="H175" t="s">
        <v>187</v>
      </c>
      <c r="I175" t="str">
        <f>HYPERLINK("http://www.ncbi.nlm.nih.gov/protein/XP_053577595.1","LOW QUALITY PROTEIN: ryanodine receptor 1")</f>
        <v>LOW QUALITY PROTEIN: ryanodine receptor 1</v>
      </c>
      <c r="J175">
        <v>8242.49</v>
      </c>
      <c r="K175" t="s">
        <v>19</v>
      </c>
      <c r="L175">
        <v>276</v>
      </c>
      <c r="M175">
        <v>9.75</v>
      </c>
      <c r="N175">
        <v>78.849999999999994</v>
      </c>
      <c r="O175" t="s">
        <v>19</v>
      </c>
      <c r="P175" t="s">
        <v>20</v>
      </c>
      <c r="Q175" t="s">
        <v>19</v>
      </c>
      <c r="R175" t="str">
        <f>HYPERLINK("https://cfpub.epa.gov/ecotox/explore.cfm?ncbi=8345","Explore in ECOTOX")</f>
        <v>Explore in ECOTOX</v>
      </c>
    </row>
    <row r="176" spans="1:18" x14ac:dyDescent="0.45">
      <c r="A176" t="s">
        <v>1264</v>
      </c>
      <c r="B176">
        <v>8</v>
      </c>
      <c r="C176" t="str">
        <f>HYPERLINK("http://www.ncbi.nlm.nih.gov/protein/KAG8448852.1","KAG8448852.1")</f>
        <v>KAG8448852.1</v>
      </c>
      <c r="D176">
        <v>28057</v>
      </c>
      <c r="E176" t="str">
        <f>HYPERLINK("http://www.ncbi.nlm.nih.gov/Taxonomy/Browser/wwwtax.cgi?mode=Info&amp;id=247094&amp;lvl=3&amp;lin=f&amp;keep=1&amp;srchmode=1&amp;unlock","247094")</f>
        <v>247094</v>
      </c>
      <c r="F176" t="s">
        <v>177</v>
      </c>
      <c r="G176" t="str">
        <f>HYPERLINK("http://www.ncbi.nlm.nih.gov/Taxonomy/Browser/wwwtax.cgi?mode=Info&amp;id=247094&amp;lvl=3&amp;lin=f&amp;keep=1&amp;srchmode=1&amp;unlock","Hymenochirus boettgeri")</f>
        <v>Hymenochirus boettgeri</v>
      </c>
      <c r="H176" t="s">
        <v>188</v>
      </c>
      <c r="I176" t="str">
        <f>HYPERLINK("http://www.ncbi.nlm.nih.gov/protein/KAG8448852.1","hypothetical protein GDO86_015793")</f>
        <v>hypothetical protein GDO86_015793</v>
      </c>
      <c r="J176">
        <v>8235.5499999999993</v>
      </c>
      <c r="K176" t="s">
        <v>19</v>
      </c>
      <c r="L176">
        <v>276</v>
      </c>
      <c r="M176">
        <v>9.75</v>
      </c>
      <c r="N176">
        <v>78.78</v>
      </c>
      <c r="O176" t="s">
        <v>19</v>
      </c>
      <c r="P176" t="s">
        <v>20</v>
      </c>
      <c r="Q176" t="s">
        <v>19</v>
      </c>
      <c r="R176" t="str">
        <f>HYPERLINK("https://cfpub.epa.gov/ecotox/explore.cfm?ncbi=247094","Explore in ECOTOX")</f>
        <v>Explore in ECOTOX</v>
      </c>
    </row>
    <row r="177" spans="1:18" x14ac:dyDescent="0.45">
      <c r="A177" t="s">
        <v>1264</v>
      </c>
      <c r="B177">
        <v>8</v>
      </c>
      <c r="C177" t="str">
        <f>HYPERLINK("http://www.ncbi.nlm.nih.gov/protein/XP_033809943.1","XP_033809943.1")</f>
        <v>XP_033809943.1</v>
      </c>
      <c r="D177">
        <v>50058</v>
      </c>
      <c r="E177" t="str">
        <f>HYPERLINK("http://www.ncbi.nlm.nih.gov/Taxonomy/Browser/wwwtax.cgi?mode=Info&amp;id=260995&amp;lvl=3&amp;lin=f&amp;keep=1&amp;srchmode=1&amp;unlock","260995")</f>
        <v>260995</v>
      </c>
      <c r="F177" t="s">
        <v>177</v>
      </c>
      <c r="G177" t="str">
        <f>HYPERLINK("http://www.ncbi.nlm.nih.gov/Taxonomy/Browser/wwwtax.cgi?mode=Info&amp;id=260995&amp;lvl=3&amp;lin=f&amp;keep=1&amp;srchmode=1&amp;unlock","Geotrypetes seraphini")</f>
        <v>Geotrypetes seraphini</v>
      </c>
      <c r="H177" t="s">
        <v>189</v>
      </c>
      <c r="I177" t="str">
        <f>HYPERLINK("http://www.ncbi.nlm.nih.gov/protein/XP_033809943.1","ryanodine receptor 1 isoform X6")</f>
        <v>ryanodine receptor 1 isoform X6</v>
      </c>
      <c r="J177">
        <v>8203.9699999999993</v>
      </c>
      <c r="K177" t="s">
        <v>19</v>
      </c>
      <c r="L177">
        <v>276</v>
      </c>
      <c r="M177">
        <v>9.75</v>
      </c>
      <c r="N177">
        <v>78.48</v>
      </c>
      <c r="O177" t="s">
        <v>19</v>
      </c>
      <c r="P177" t="s">
        <v>20</v>
      </c>
      <c r="Q177" t="s">
        <v>19</v>
      </c>
      <c r="R177" t="str">
        <f>HYPERLINK("https://cfpub.epa.gov/ecotox/explore.cfm?ncbi=260995","Explore in ECOTOX")</f>
        <v>Explore in ECOTOX</v>
      </c>
    </row>
    <row r="178" spans="1:18" x14ac:dyDescent="0.45">
      <c r="A178" t="s">
        <v>1264</v>
      </c>
      <c r="B178">
        <v>8</v>
      </c>
      <c r="C178" t="str">
        <f>HYPERLINK("http://www.ncbi.nlm.nih.gov/protein/BAA04646.1","BAA04646.1")</f>
        <v>BAA04646.1</v>
      </c>
      <c r="D178">
        <v>30283</v>
      </c>
      <c r="E178" t="str">
        <f>HYPERLINK("http://www.ncbi.nlm.nih.gov/Taxonomy/Browser/wwwtax.cgi?mode=Info&amp;id=8400&amp;lvl=3&amp;lin=f&amp;keep=1&amp;srchmode=1&amp;unlock","8400")</f>
        <v>8400</v>
      </c>
      <c r="F178" t="s">
        <v>177</v>
      </c>
      <c r="G178" t="str">
        <f>HYPERLINK("http://www.ncbi.nlm.nih.gov/Taxonomy/Browser/wwwtax.cgi?mode=Info&amp;id=8400&amp;lvl=3&amp;lin=f&amp;keep=1&amp;srchmode=1&amp;unlock","Aquarana catesbeiana")</f>
        <v>Aquarana catesbeiana</v>
      </c>
      <c r="H178" t="s">
        <v>190</v>
      </c>
      <c r="I178" t="str">
        <f>HYPERLINK("http://www.ncbi.nlm.nih.gov/protein/BAA04646.1","ryanodine receptor alpha isoform")</f>
        <v>ryanodine receptor alpha isoform</v>
      </c>
      <c r="J178">
        <v>8201.27</v>
      </c>
      <c r="K178" t="s">
        <v>19</v>
      </c>
      <c r="L178">
        <v>276</v>
      </c>
      <c r="M178">
        <v>9.75</v>
      </c>
      <c r="N178">
        <v>78.45</v>
      </c>
      <c r="O178" t="s">
        <v>19</v>
      </c>
      <c r="P178" t="s">
        <v>20</v>
      </c>
      <c r="Q178" t="s">
        <v>19</v>
      </c>
      <c r="R178" t="str">
        <f>HYPERLINK("https://cfpub.epa.gov/ecotox/explore.cfm?ncbi=8400","Explore in ECOTOX")</f>
        <v>Explore in ECOTOX</v>
      </c>
    </row>
    <row r="179" spans="1:18" x14ac:dyDescent="0.45">
      <c r="A179" t="s">
        <v>1264</v>
      </c>
      <c r="B179">
        <v>8</v>
      </c>
      <c r="C179" t="str">
        <f>HYPERLINK("http://www.ncbi.nlm.nih.gov/protein/XP_040179239.1","XP_040179239.1")</f>
        <v>XP_040179239.1</v>
      </c>
      <c r="D179">
        <v>42589</v>
      </c>
      <c r="E179" t="str">
        <f>HYPERLINK("http://www.ncbi.nlm.nih.gov/Taxonomy/Browser/wwwtax.cgi?mode=Info&amp;id=8407&amp;lvl=3&amp;lin=f&amp;keep=1&amp;srchmode=1&amp;unlock","8407")</f>
        <v>8407</v>
      </c>
      <c r="F179" t="s">
        <v>177</v>
      </c>
      <c r="G179" t="str">
        <f>HYPERLINK("http://www.ncbi.nlm.nih.gov/Taxonomy/Browser/wwwtax.cgi?mode=Info&amp;id=8407&amp;lvl=3&amp;lin=f&amp;keep=1&amp;srchmode=1&amp;unlock","Rana temporaria")</f>
        <v>Rana temporaria</v>
      </c>
      <c r="H179" t="s">
        <v>191</v>
      </c>
      <c r="I179" t="str">
        <f>HYPERLINK("http://www.ncbi.nlm.nih.gov/protein/XP_040179239.1","ryanodine receptor 1 isoform X8")</f>
        <v>ryanodine receptor 1 isoform X8</v>
      </c>
      <c r="J179">
        <v>8194.34</v>
      </c>
      <c r="K179" t="s">
        <v>19</v>
      </c>
      <c r="L179">
        <v>276</v>
      </c>
      <c r="M179">
        <v>9.75</v>
      </c>
      <c r="N179">
        <v>78.39</v>
      </c>
      <c r="O179" t="s">
        <v>19</v>
      </c>
      <c r="P179" t="s">
        <v>20</v>
      </c>
      <c r="Q179" t="s">
        <v>19</v>
      </c>
      <c r="R179" t="str">
        <f>HYPERLINK("https://cfpub.epa.gov/ecotox/explore.cfm?ncbi=8407","Explore in ECOTOX")</f>
        <v>Explore in ECOTOX</v>
      </c>
    </row>
    <row r="180" spans="1:18" x14ac:dyDescent="0.45">
      <c r="A180" t="s">
        <v>1264</v>
      </c>
      <c r="B180">
        <v>8</v>
      </c>
      <c r="C180" t="str">
        <f>HYPERLINK("http://www.ncbi.nlm.nih.gov/protein/XP_044290863.1","XP_044290863.1")</f>
        <v>XP_044290863.1</v>
      </c>
      <c r="D180">
        <v>57848</v>
      </c>
      <c r="E180" t="str">
        <f>HYPERLINK("http://www.ncbi.nlm.nih.gov/Taxonomy/Browser/wwwtax.cgi?mode=Info&amp;id=61221&amp;lvl=3&amp;lin=f&amp;keep=1&amp;srchmode=1&amp;unlock","61221")</f>
        <v>61221</v>
      </c>
      <c r="F180" t="s">
        <v>192</v>
      </c>
      <c r="G180" t="str">
        <f>HYPERLINK("http://www.ncbi.nlm.nih.gov/Taxonomy/Browser/wwwtax.cgi?mode=Info&amp;id=61221&amp;lvl=3&amp;lin=f&amp;keep=1&amp;srchmode=1&amp;unlock","Varanus komodoensis")</f>
        <v>Varanus komodoensis</v>
      </c>
      <c r="H180" t="s">
        <v>193</v>
      </c>
      <c r="I180" t="str">
        <f>HYPERLINK("http://www.ncbi.nlm.nih.gov/protein/XP_044290863.1","ryanodine receptor 1")</f>
        <v>ryanodine receptor 1</v>
      </c>
      <c r="J180">
        <v>8185.48</v>
      </c>
      <c r="K180" t="s">
        <v>19</v>
      </c>
      <c r="L180">
        <v>276</v>
      </c>
      <c r="M180">
        <v>9.75</v>
      </c>
      <c r="N180">
        <v>78.3</v>
      </c>
      <c r="O180" t="s">
        <v>19</v>
      </c>
      <c r="P180" t="s">
        <v>20</v>
      </c>
      <c r="Q180" t="s">
        <v>19</v>
      </c>
      <c r="R180" t="str">
        <f>HYPERLINK("https://cfpub.epa.gov/ecotox/explore.cfm?ncbi=61221","Explore in ECOTOX")</f>
        <v>Explore in ECOTOX</v>
      </c>
    </row>
    <row r="181" spans="1:18" x14ac:dyDescent="0.45">
      <c r="A181" t="s">
        <v>1264</v>
      </c>
      <c r="B181">
        <v>8</v>
      </c>
      <c r="C181" t="str">
        <f>HYPERLINK("http://www.ncbi.nlm.nih.gov/protein/XP_008118153.1","XP_008118153.1")</f>
        <v>XP_008118153.1</v>
      </c>
      <c r="D181">
        <v>35714</v>
      </c>
      <c r="E181" t="str">
        <f>HYPERLINK("http://www.ncbi.nlm.nih.gov/Taxonomy/Browser/wwwtax.cgi?mode=Info&amp;id=28377&amp;lvl=3&amp;lin=f&amp;keep=1&amp;srchmode=1&amp;unlock","28377")</f>
        <v>28377</v>
      </c>
      <c r="F181" t="s">
        <v>192</v>
      </c>
      <c r="G181" t="str">
        <f>HYPERLINK("http://www.ncbi.nlm.nih.gov/Taxonomy/Browser/wwwtax.cgi?mode=Info&amp;id=28377&amp;lvl=3&amp;lin=f&amp;keep=1&amp;srchmode=1&amp;unlock","Anolis carolinensis")</f>
        <v>Anolis carolinensis</v>
      </c>
      <c r="H181" t="s">
        <v>194</v>
      </c>
      <c r="I181" t="str">
        <f>HYPERLINK("http://www.ncbi.nlm.nih.gov/protein/XP_008118153.1","PREDICTED: ryanodine receptor 1")</f>
        <v>PREDICTED: ryanodine receptor 1</v>
      </c>
      <c r="J181">
        <v>8161.98</v>
      </c>
      <c r="K181" t="s">
        <v>19</v>
      </c>
      <c r="L181">
        <v>276</v>
      </c>
      <c r="M181">
        <v>9.75</v>
      </c>
      <c r="N181">
        <v>78.08</v>
      </c>
      <c r="O181" t="s">
        <v>19</v>
      </c>
      <c r="P181" t="s">
        <v>20</v>
      </c>
      <c r="Q181" t="s">
        <v>19</v>
      </c>
      <c r="R181" t="str">
        <f>HYPERLINK("https://cfpub.epa.gov/ecotox/explore.cfm?ncbi=28377","Explore in ECOTOX")</f>
        <v>Explore in ECOTOX</v>
      </c>
    </row>
    <row r="182" spans="1:18" x14ac:dyDescent="0.45">
      <c r="A182" t="s">
        <v>1264</v>
      </c>
      <c r="B182">
        <v>8</v>
      </c>
      <c r="C182" t="str">
        <f>HYPERLINK("http://www.ncbi.nlm.nih.gov/protein/XP_041035090.1","XP_041035090.1")</f>
        <v>XP_041035090.1</v>
      </c>
      <c r="D182">
        <v>44666</v>
      </c>
      <c r="E182" t="str">
        <f>HYPERLINK("http://www.ncbi.nlm.nih.gov/Taxonomy/Browser/wwwtax.cgi?mode=Info&amp;id=13397&amp;lvl=3&amp;lin=f&amp;keep=1&amp;srchmode=1&amp;unlock","13397")</f>
        <v>13397</v>
      </c>
      <c r="F182" t="s">
        <v>195</v>
      </c>
      <c r="G182" t="str">
        <f>HYPERLINK("http://www.ncbi.nlm.nih.gov/Taxonomy/Browser/wwwtax.cgi?mode=Info&amp;id=13397&amp;lvl=3&amp;lin=f&amp;keep=1&amp;srchmode=1&amp;unlock","Carcharodon carcharias")</f>
        <v>Carcharodon carcharias</v>
      </c>
      <c r="H182" t="s">
        <v>196</v>
      </c>
      <c r="I182" t="str">
        <f>HYPERLINK("http://www.ncbi.nlm.nih.gov/protein/XP_041035090.1","ryanodine receptor 1-like")</f>
        <v>ryanodine receptor 1-like</v>
      </c>
      <c r="J182">
        <v>8160.82</v>
      </c>
      <c r="K182" t="s">
        <v>19</v>
      </c>
      <c r="L182">
        <v>276</v>
      </c>
      <c r="M182">
        <v>9.75</v>
      </c>
      <c r="N182">
        <v>78.06</v>
      </c>
      <c r="O182" t="s">
        <v>19</v>
      </c>
      <c r="P182" t="s">
        <v>20</v>
      </c>
      <c r="Q182" t="s">
        <v>19</v>
      </c>
      <c r="R182" t="str">
        <f>HYPERLINK("https://cfpub.epa.gov/ecotox/explore.cfm?ncbi=13397","Explore in ECOTOX")</f>
        <v>Explore in ECOTOX</v>
      </c>
    </row>
    <row r="183" spans="1:18" x14ac:dyDescent="0.45">
      <c r="A183" t="s">
        <v>1264</v>
      </c>
      <c r="B183">
        <v>8</v>
      </c>
      <c r="C183" t="str">
        <f>HYPERLINK("http://www.ncbi.nlm.nih.gov/protein/XP_053257794.1","XP_053257794.1")</f>
        <v>XP_053257794.1</v>
      </c>
      <c r="D183">
        <v>51575</v>
      </c>
      <c r="E183" t="str">
        <f>HYPERLINK("http://www.ncbi.nlm.nih.gov/Taxonomy/Browser/wwwtax.cgi?mode=Info&amp;id=65483&amp;lvl=3&amp;lin=f&amp;keep=1&amp;srchmode=1&amp;unlock","65483")</f>
        <v>65483</v>
      </c>
      <c r="F183" t="s">
        <v>192</v>
      </c>
      <c r="G183" t="str">
        <f>HYPERLINK("http://www.ncbi.nlm.nih.gov/Taxonomy/Browser/wwwtax.cgi?mode=Info&amp;id=65483&amp;lvl=3&amp;lin=f&amp;keep=1&amp;srchmode=1&amp;unlock","Podarcis raffonei")</f>
        <v>Podarcis raffonei</v>
      </c>
      <c r="H183" t="s">
        <v>197</v>
      </c>
      <c r="I183" t="str">
        <f>HYPERLINK("http://www.ncbi.nlm.nih.gov/protein/XP_053257794.1","ryanodine receptor 1 isoform X12")</f>
        <v>ryanodine receptor 1 isoform X12</v>
      </c>
      <c r="J183">
        <v>8159.67</v>
      </c>
      <c r="K183" t="s">
        <v>19</v>
      </c>
      <c r="L183">
        <v>276</v>
      </c>
      <c r="M183">
        <v>9.75</v>
      </c>
      <c r="N183">
        <v>78.05</v>
      </c>
      <c r="O183" t="s">
        <v>19</v>
      </c>
      <c r="P183" t="s">
        <v>20</v>
      </c>
      <c r="Q183" t="s">
        <v>19</v>
      </c>
      <c r="R183" t="str">
        <f>HYPERLINK("https://cfpub.epa.gov/ecotox/explore.cfm?ncbi=65483","Explore in ECOTOX")</f>
        <v>Explore in ECOTOX</v>
      </c>
    </row>
    <row r="184" spans="1:18" x14ac:dyDescent="0.45">
      <c r="A184" t="s">
        <v>1264</v>
      </c>
      <c r="B184">
        <v>8</v>
      </c>
      <c r="C184" t="str">
        <f>HYPERLINK("http://www.ncbi.nlm.nih.gov/protein/XP_042294949.1","XP_042294949.1")</f>
        <v>XP_042294949.1</v>
      </c>
      <c r="D184">
        <v>43845</v>
      </c>
      <c r="E184" t="str">
        <f>HYPERLINK("http://www.ncbi.nlm.nih.gov/Taxonomy/Browser/wwwtax.cgi?mode=Info&amp;id=8520&amp;lvl=3&amp;lin=f&amp;keep=1&amp;srchmode=1&amp;unlock","8520")</f>
        <v>8520</v>
      </c>
      <c r="F184" t="s">
        <v>192</v>
      </c>
      <c r="G184" t="str">
        <f>HYPERLINK("http://www.ncbi.nlm.nih.gov/Taxonomy/Browser/wwwtax.cgi?mode=Info&amp;id=8520&amp;lvl=3&amp;lin=f&amp;keep=1&amp;srchmode=1&amp;unlock","Sceloporus undulatus")</f>
        <v>Sceloporus undulatus</v>
      </c>
      <c r="H184" t="s">
        <v>198</v>
      </c>
      <c r="I184" t="str">
        <f>HYPERLINK("http://www.ncbi.nlm.nih.gov/protein/XP_042294949.1","ryanodine receptor 1 isoform X5")</f>
        <v>ryanodine receptor 1 isoform X5</v>
      </c>
      <c r="J184">
        <v>8158.13</v>
      </c>
      <c r="K184" t="s">
        <v>19</v>
      </c>
      <c r="L184">
        <v>276</v>
      </c>
      <c r="M184">
        <v>9.75</v>
      </c>
      <c r="N184">
        <v>78.040000000000006</v>
      </c>
      <c r="O184" t="s">
        <v>19</v>
      </c>
      <c r="P184" t="s">
        <v>20</v>
      </c>
      <c r="Q184" t="s">
        <v>19</v>
      </c>
      <c r="R184" t="str">
        <f>HYPERLINK("https://cfpub.epa.gov/ecotox/explore.cfm?ncbi=8520","Explore in ECOTOX")</f>
        <v>Explore in ECOTOX</v>
      </c>
    </row>
    <row r="185" spans="1:18" x14ac:dyDescent="0.45">
      <c r="A185" t="s">
        <v>1264</v>
      </c>
      <c r="B185">
        <v>8</v>
      </c>
      <c r="C185" t="str">
        <f>HYPERLINK("http://www.ncbi.nlm.nih.gov/protein/XP_060131532.1","XP_060131532.1")</f>
        <v>XP_060131532.1</v>
      </c>
      <c r="D185">
        <v>70511</v>
      </c>
      <c r="E185" t="str">
        <f>HYPERLINK("http://www.ncbi.nlm.nih.gov/Taxonomy/Browser/wwwtax.cgi?mode=Info&amp;id=8524&amp;lvl=3&amp;lin=f&amp;keep=1&amp;srchmode=1&amp;unlock","8524")</f>
        <v>8524</v>
      </c>
      <c r="F185" t="s">
        <v>192</v>
      </c>
      <c r="G185" t="str">
        <f>HYPERLINK("http://www.ncbi.nlm.nih.gov/Taxonomy/Browser/wwwtax.cgi?mode=Info&amp;id=8524&amp;lvl=3&amp;lin=f&amp;keep=1&amp;srchmode=1&amp;unlock","Zootoca vivipara")</f>
        <v>Zootoca vivipara</v>
      </c>
      <c r="H185" t="s">
        <v>199</v>
      </c>
      <c r="I185" t="str">
        <f>HYPERLINK("http://www.ncbi.nlm.nih.gov/protein/XP_060131532.1","ryanodine receptor 1 isoform X5")</f>
        <v>ryanodine receptor 1 isoform X5</v>
      </c>
      <c r="J185">
        <v>8146.57</v>
      </c>
      <c r="K185" t="s">
        <v>19</v>
      </c>
      <c r="L185">
        <v>276</v>
      </c>
      <c r="M185">
        <v>9.75</v>
      </c>
      <c r="N185">
        <v>77.930000000000007</v>
      </c>
      <c r="O185" t="s">
        <v>19</v>
      </c>
      <c r="P185" t="s">
        <v>20</v>
      </c>
      <c r="Q185" t="s">
        <v>19</v>
      </c>
      <c r="R185" t="str">
        <f>HYPERLINK("https://cfpub.epa.gov/ecotox/explore.cfm?ncbi=8524","Explore in ECOTOX")</f>
        <v>Explore in ECOTOX</v>
      </c>
    </row>
    <row r="186" spans="1:18" x14ac:dyDescent="0.45">
      <c r="A186" t="s">
        <v>1264</v>
      </c>
      <c r="B186">
        <v>8</v>
      </c>
      <c r="C186" t="str">
        <f>HYPERLINK("http://www.ncbi.nlm.nih.gov/protein/CAI5780823.1","CAI5780823.1")</f>
        <v>CAI5780823.1</v>
      </c>
      <c r="D186">
        <v>38743</v>
      </c>
      <c r="E186" t="str">
        <f>HYPERLINK("http://www.ncbi.nlm.nih.gov/Taxonomy/Browser/wwwtax.cgi?mode=Info&amp;id=74358&amp;lvl=3&amp;lin=f&amp;keep=1&amp;srchmode=1&amp;unlock","74358")</f>
        <v>74358</v>
      </c>
      <c r="F186" t="s">
        <v>192</v>
      </c>
      <c r="G186" t="str">
        <f>HYPERLINK("http://www.ncbi.nlm.nih.gov/Taxonomy/Browser/wwwtax.cgi?mode=Info&amp;id=74358&amp;lvl=3&amp;lin=f&amp;keep=1&amp;srchmode=1&amp;unlock","Podarcis lilfordi")</f>
        <v>Podarcis lilfordi</v>
      </c>
      <c r="H186" t="s">
        <v>200</v>
      </c>
      <c r="I186" t="str">
        <f>HYPERLINK("http://www.ncbi.nlm.nih.gov/protein/CAI5780823.1","ryanodine receptor 1 isoform X5")</f>
        <v>ryanodine receptor 1 isoform X5</v>
      </c>
      <c r="J186">
        <v>8144.65</v>
      </c>
      <c r="K186" t="s">
        <v>19</v>
      </c>
      <c r="L186">
        <v>276</v>
      </c>
      <c r="M186">
        <v>9.75</v>
      </c>
      <c r="N186">
        <v>77.91</v>
      </c>
      <c r="O186" t="s">
        <v>19</v>
      </c>
      <c r="P186" t="s">
        <v>20</v>
      </c>
      <c r="Q186" t="s">
        <v>19</v>
      </c>
      <c r="R186" t="str">
        <f>HYPERLINK("https://cfpub.epa.gov/ecotox/explore.cfm?ncbi=74358","Explore in ECOTOX")</f>
        <v>Explore in ECOTOX</v>
      </c>
    </row>
    <row r="187" spans="1:18" x14ac:dyDescent="0.45">
      <c r="A187" t="s">
        <v>1264</v>
      </c>
      <c r="B187">
        <v>8</v>
      </c>
      <c r="C187" t="str">
        <f>HYPERLINK("http://www.ncbi.nlm.nih.gov/protein/XP_048085674.1","XP_048085674.1")</f>
        <v>XP_048085674.1</v>
      </c>
      <c r="D187">
        <v>70070</v>
      </c>
      <c r="E187" t="str">
        <f>HYPERLINK("http://www.ncbi.nlm.nih.gov/Taxonomy/Browser/wwwtax.cgi?mode=Info&amp;id=278164&amp;lvl=3&amp;lin=f&amp;keep=1&amp;srchmode=1&amp;unlock","278164")</f>
        <v>278164</v>
      </c>
      <c r="F187" t="s">
        <v>17</v>
      </c>
      <c r="G187" t="str">
        <f>HYPERLINK("http://www.ncbi.nlm.nih.gov/Taxonomy/Browser/wwwtax.cgi?mode=Info&amp;id=278164&amp;lvl=3&amp;lin=f&amp;keep=1&amp;srchmode=1&amp;unlock","Alosa alosa")</f>
        <v>Alosa alosa</v>
      </c>
      <c r="H187" t="s">
        <v>201</v>
      </c>
      <c r="I187" t="str">
        <f>HYPERLINK("http://www.ncbi.nlm.nih.gov/protein/XP_048085674.1","LOW QUALITY PROTEIN: ryanodine receptor 1-like")</f>
        <v>LOW QUALITY PROTEIN: ryanodine receptor 1-like</v>
      </c>
      <c r="J187">
        <v>8143.49</v>
      </c>
      <c r="K187" t="s">
        <v>19</v>
      </c>
      <c r="L187">
        <v>276</v>
      </c>
      <c r="M187">
        <v>9.75</v>
      </c>
      <c r="N187">
        <v>77.900000000000006</v>
      </c>
      <c r="O187" t="s">
        <v>19</v>
      </c>
      <c r="P187" t="s">
        <v>20</v>
      </c>
      <c r="Q187" t="s">
        <v>19</v>
      </c>
      <c r="R187" t="str">
        <f>HYPERLINK("https://cfpub.epa.gov/ecotox/explore.cfm?ncbi=278164","Explore in ECOTOX")</f>
        <v>Explore in ECOTOX</v>
      </c>
    </row>
    <row r="188" spans="1:18" x14ac:dyDescent="0.45">
      <c r="A188" t="s">
        <v>1264</v>
      </c>
      <c r="B188">
        <v>8</v>
      </c>
      <c r="C188" t="str">
        <f>HYPERLINK("http://www.ncbi.nlm.nih.gov/protein/XP_051900377.1","XP_051900377.1")</f>
        <v>XP_051900377.1</v>
      </c>
      <c r="D188">
        <v>37228</v>
      </c>
      <c r="E188" t="str">
        <f>HYPERLINK("http://www.ncbi.nlm.nih.gov/Taxonomy/Browser/wwwtax.cgi?mode=Info&amp;id=685728&amp;lvl=3&amp;lin=f&amp;keep=1&amp;srchmode=1&amp;unlock","685728")</f>
        <v>685728</v>
      </c>
      <c r="F188" t="s">
        <v>195</v>
      </c>
      <c r="G188" t="str">
        <f>HYPERLINK("http://www.ncbi.nlm.nih.gov/Taxonomy/Browser/wwwtax.cgi?mode=Info&amp;id=685728&amp;lvl=3&amp;lin=f&amp;keep=1&amp;srchmode=1&amp;unlock","Pristis pectinata")</f>
        <v>Pristis pectinata</v>
      </c>
      <c r="H188" t="s">
        <v>202</v>
      </c>
      <c r="I188" t="str">
        <f>HYPERLINK("http://www.ncbi.nlm.nih.gov/protein/XP_051900377.1","ryanodine receptor 1-like isoform X9")</f>
        <v>ryanodine receptor 1-like isoform X9</v>
      </c>
      <c r="J188">
        <v>8134.25</v>
      </c>
      <c r="K188" t="s">
        <v>19</v>
      </c>
      <c r="L188">
        <v>276</v>
      </c>
      <c r="M188">
        <v>9.75</v>
      </c>
      <c r="N188">
        <v>77.81</v>
      </c>
      <c r="O188" t="s">
        <v>19</v>
      </c>
      <c r="P188" t="s">
        <v>20</v>
      </c>
      <c r="Q188" t="s">
        <v>19</v>
      </c>
      <c r="R188" t="str">
        <f>HYPERLINK("https://cfpub.epa.gov/ecotox/explore.cfm?ncbi=685728","Explore in ECOTOX")</f>
        <v>Explore in ECOTOX</v>
      </c>
    </row>
    <row r="189" spans="1:18" x14ac:dyDescent="0.45">
      <c r="A189" t="s">
        <v>1264</v>
      </c>
      <c r="B189">
        <v>8</v>
      </c>
      <c r="C189" t="str">
        <f>HYPERLINK("http://www.ncbi.nlm.nih.gov/protein/XP_050784275.1","XP_050784275.1")</f>
        <v>XP_050784275.1</v>
      </c>
      <c r="D189">
        <v>53772</v>
      </c>
      <c r="E189" t="str">
        <f>HYPERLINK("http://www.ncbi.nlm.nih.gov/Taxonomy/Browser/wwwtax.cgi?mode=Info&amp;id=286002&amp;lvl=3&amp;lin=f&amp;keep=1&amp;srchmode=1&amp;unlock","286002")</f>
        <v>286002</v>
      </c>
      <c r="F189" t="s">
        <v>203</v>
      </c>
      <c r="G189" t="str">
        <f>HYPERLINK("http://www.ncbi.nlm.nih.gov/Taxonomy/Browser/wwwtax.cgi?mode=Info&amp;id=286002&amp;lvl=3&amp;lin=f&amp;keep=1&amp;srchmode=1&amp;unlock","Gopherus flavomarginatus")</f>
        <v>Gopherus flavomarginatus</v>
      </c>
      <c r="H189" t="s">
        <v>204</v>
      </c>
      <c r="I189" t="str">
        <f>HYPERLINK("http://www.ncbi.nlm.nih.gov/protein/XP_050784275.1","ryanodine receptor 1 isoform X3")</f>
        <v>ryanodine receptor 1 isoform X3</v>
      </c>
      <c r="J189">
        <v>8133.47</v>
      </c>
      <c r="K189" t="s">
        <v>19</v>
      </c>
      <c r="L189">
        <v>276</v>
      </c>
      <c r="M189">
        <v>9.75</v>
      </c>
      <c r="N189">
        <v>77.8</v>
      </c>
      <c r="O189" t="s">
        <v>19</v>
      </c>
      <c r="P189" t="s">
        <v>20</v>
      </c>
      <c r="Q189" t="s">
        <v>19</v>
      </c>
      <c r="R189" t="str">
        <f>HYPERLINK("https://cfpub.epa.gov/ecotox/explore.cfm?ncbi=286002","Explore in ECOTOX")</f>
        <v>Explore in ECOTOX</v>
      </c>
    </row>
    <row r="190" spans="1:18" x14ac:dyDescent="0.45">
      <c r="A190" t="s">
        <v>1264</v>
      </c>
      <c r="B190">
        <v>8</v>
      </c>
      <c r="C190" t="str">
        <f>HYPERLINK("http://www.ncbi.nlm.nih.gov/protein/XP_060711939.1","XP_060711939.1")</f>
        <v>XP_060711939.1</v>
      </c>
      <c r="D190">
        <v>36593</v>
      </c>
      <c r="E190" t="str">
        <f>HYPERLINK("http://www.ncbi.nlm.nih.gov/Taxonomy/Browser/wwwtax.cgi?mode=Info&amp;id=170820&amp;lvl=3&amp;lin=f&amp;keep=1&amp;srchmode=1&amp;unlock","170820")</f>
        <v>170820</v>
      </c>
      <c r="F190" t="s">
        <v>195</v>
      </c>
      <c r="G190" t="str">
        <f>HYPERLINK("http://www.ncbi.nlm.nih.gov/Taxonomy/Browser/wwwtax.cgi?mode=Info&amp;id=170820&amp;lvl=3&amp;lin=f&amp;keep=1&amp;srchmode=1&amp;unlock","Hemiscyllium ocellatum")</f>
        <v>Hemiscyllium ocellatum</v>
      </c>
      <c r="H190" t="s">
        <v>205</v>
      </c>
      <c r="I190" t="str">
        <f>HYPERLINK("http://www.ncbi.nlm.nih.gov/protein/XP_060711939.1","ryanodine receptor 1-like isoform X6")</f>
        <v>ryanodine receptor 1-like isoform X6</v>
      </c>
      <c r="J190">
        <v>8126.16</v>
      </c>
      <c r="K190" t="s">
        <v>19</v>
      </c>
      <c r="L190">
        <v>276</v>
      </c>
      <c r="M190">
        <v>9.75</v>
      </c>
      <c r="N190">
        <v>77.73</v>
      </c>
      <c r="O190" t="s">
        <v>19</v>
      </c>
      <c r="P190" t="s">
        <v>20</v>
      </c>
      <c r="Q190" t="s">
        <v>19</v>
      </c>
      <c r="R190" t="str">
        <f>HYPERLINK("https://cfpub.epa.gov/ecotox/explore.cfm?ncbi=170820","Explore in ECOTOX")</f>
        <v>Explore in ECOTOX</v>
      </c>
    </row>
    <row r="191" spans="1:18" x14ac:dyDescent="0.45">
      <c r="A191" t="s">
        <v>1264</v>
      </c>
      <c r="B191">
        <v>8</v>
      </c>
      <c r="C191" t="str">
        <f>HYPERLINK("http://www.ncbi.nlm.nih.gov/protein/XP_033014367.1","XP_033014367.1")</f>
        <v>XP_033014367.1</v>
      </c>
      <c r="D191">
        <v>39501</v>
      </c>
      <c r="E191" t="str">
        <f>HYPERLINK("http://www.ncbi.nlm.nih.gov/Taxonomy/Browser/wwwtax.cgi?mode=Info&amp;id=80427&amp;lvl=3&amp;lin=f&amp;keep=1&amp;srchmode=1&amp;unlock","80427")</f>
        <v>80427</v>
      </c>
      <c r="F191" t="s">
        <v>192</v>
      </c>
      <c r="G191" t="str">
        <f>HYPERLINK("http://www.ncbi.nlm.nih.gov/Taxonomy/Browser/wwwtax.cgi?mode=Info&amp;id=80427&amp;lvl=3&amp;lin=f&amp;keep=1&amp;srchmode=1&amp;unlock","Lacerta agilis")</f>
        <v>Lacerta agilis</v>
      </c>
      <c r="H191" t="s">
        <v>206</v>
      </c>
      <c r="I191" t="str">
        <f>HYPERLINK("http://www.ncbi.nlm.nih.gov/protein/XP_033014367.1","ryanodine receptor 1 isoform X5")</f>
        <v>ryanodine receptor 1 isoform X5</v>
      </c>
      <c r="J191">
        <v>8123.84</v>
      </c>
      <c r="K191" t="s">
        <v>19</v>
      </c>
      <c r="L191">
        <v>276</v>
      </c>
      <c r="M191">
        <v>9.75</v>
      </c>
      <c r="N191">
        <v>77.709999999999994</v>
      </c>
      <c r="O191" t="s">
        <v>19</v>
      </c>
      <c r="P191" t="s">
        <v>20</v>
      </c>
      <c r="Q191" t="s">
        <v>19</v>
      </c>
      <c r="R191" t="str">
        <f>HYPERLINK("https://cfpub.epa.gov/ecotox/explore.cfm?ncbi=80427","Explore in ECOTOX")</f>
        <v>Explore in ECOTOX</v>
      </c>
    </row>
    <row r="192" spans="1:18" x14ac:dyDescent="0.45">
      <c r="A192" t="s">
        <v>1264</v>
      </c>
      <c r="B192">
        <v>8</v>
      </c>
      <c r="C192" t="str">
        <f>HYPERLINK("http://www.ncbi.nlm.nih.gov/protein/XP_054854999.1","XP_054854999.1")</f>
        <v>XP_054854999.1</v>
      </c>
      <c r="D192">
        <v>34377</v>
      </c>
      <c r="E192" t="str">
        <f>HYPERLINK("http://www.ncbi.nlm.nih.gov/Taxonomy/Browser/wwwtax.cgi?mode=Info&amp;id=481883&amp;lvl=3&amp;lin=f&amp;keep=1&amp;srchmode=1&amp;unlock","481883")</f>
        <v>481883</v>
      </c>
      <c r="F192" t="s">
        <v>192</v>
      </c>
      <c r="G192" t="str">
        <f>HYPERLINK("http://www.ncbi.nlm.nih.gov/Taxonomy/Browser/wwwtax.cgi?mode=Info&amp;id=481883&amp;lvl=3&amp;lin=f&amp;keep=1&amp;srchmode=1&amp;unlock","Eublepharis macularius")</f>
        <v>Eublepharis macularius</v>
      </c>
      <c r="H192" t="s">
        <v>207</v>
      </c>
      <c r="I192" t="str">
        <f>HYPERLINK("http://www.ncbi.nlm.nih.gov/protein/XP_054854999.1","ryanodine receptor 1 isoform X6")</f>
        <v>ryanodine receptor 1 isoform X6</v>
      </c>
      <c r="J192">
        <v>8123.07</v>
      </c>
      <c r="K192" t="s">
        <v>19</v>
      </c>
      <c r="L192">
        <v>276</v>
      </c>
      <c r="M192">
        <v>9.75</v>
      </c>
      <c r="N192">
        <v>77.7</v>
      </c>
      <c r="O192" t="s">
        <v>19</v>
      </c>
      <c r="P192" t="s">
        <v>20</v>
      </c>
      <c r="Q192" t="s">
        <v>19</v>
      </c>
      <c r="R192" t="str">
        <f>HYPERLINK("https://cfpub.epa.gov/ecotox/explore.cfm?ncbi=481883","Explore in ECOTOX")</f>
        <v>Explore in ECOTOX</v>
      </c>
    </row>
    <row r="193" spans="1:18" x14ac:dyDescent="0.45">
      <c r="A193" t="s">
        <v>1264</v>
      </c>
      <c r="B193">
        <v>8</v>
      </c>
      <c r="C193" t="str">
        <f>HYPERLINK("http://www.ncbi.nlm.nih.gov/protein/XP_039225161.1","XP_039225161.1")</f>
        <v>XP_039225161.1</v>
      </c>
      <c r="D193">
        <v>51713</v>
      </c>
      <c r="E193" t="str">
        <f>HYPERLINK("http://www.ncbi.nlm.nih.gov/Taxonomy/Browser/wwwtax.cgi?mode=Info&amp;id=88082&amp;lvl=3&amp;lin=f&amp;keep=1&amp;srchmode=1&amp;unlock","88082")</f>
        <v>88082</v>
      </c>
      <c r="F193" t="s">
        <v>192</v>
      </c>
      <c r="G193" t="str">
        <f>HYPERLINK("http://www.ncbi.nlm.nih.gov/Taxonomy/Browser/wwwtax.cgi?mode=Info&amp;id=88082&amp;lvl=3&amp;lin=f&amp;keep=1&amp;srchmode=1&amp;unlock","Crotalus tigris")</f>
        <v>Crotalus tigris</v>
      </c>
      <c r="H193" t="s">
        <v>208</v>
      </c>
      <c r="I193" t="str">
        <f>HYPERLINK("http://www.ncbi.nlm.nih.gov/protein/XP_039225161.1","ryanodine receptor 1 isoform X6")</f>
        <v>ryanodine receptor 1 isoform X6</v>
      </c>
      <c r="J193">
        <v>8116.53</v>
      </c>
      <c r="K193" t="s">
        <v>19</v>
      </c>
      <c r="L193">
        <v>276</v>
      </c>
      <c r="M193">
        <v>9.75</v>
      </c>
      <c r="N193">
        <v>77.64</v>
      </c>
      <c r="O193" t="s">
        <v>19</v>
      </c>
      <c r="P193" t="s">
        <v>20</v>
      </c>
      <c r="Q193" t="s">
        <v>19</v>
      </c>
      <c r="R193" t="str">
        <f>HYPERLINK("https://cfpub.epa.gov/ecotox/explore.cfm?ncbi=88082","Explore in ECOTOX")</f>
        <v>Explore in ECOTOX</v>
      </c>
    </row>
    <row r="194" spans="1:18" x14ac:dyDescent="0.45">
      <c r="A194" t="s">
        <v>1264</v>
      </c>
      <c r="B194">
        <v>8</v>
      </c>
      <c r="C194" t="str">
        <f>HYPERLINK("http://www.ncbi.nlm.nih.gov/protein/GCB71703.1","GCB71703.1")</f>
        <v>GCB71703.1</v>
      </c>
      <c r="D194">
        <v>27785</v>
      </c>
      <c r="E194" t="str">
        <f>HYPERLINK("http://www.ncbi.nlm.nih.gov/Taxonomy/Browser/wwwtax.cgi?mode=Info&amp;id=75743&amp;lvl=3&amp;lin=f&amp;keep=1&amp;srchmode=1&amp;unlock","75743")</f>
        <v>75743</v>
      </c>
      <c r="F194" t="s">
        <v>195</v>
      </c>
      <c r="G194" t="str">
        <f>HYPERLINK("http://www.ncbi.nlm.nih.gov/Taxonomy/Browser/wwwtax.cgi?mode=Info&amp;id=75743&amp;lvl=3&amp;lin=f&amp;keep=1&amp;srchmode=1&amp;unlock","Scyliorhinus torazame")</f>
        <v>Scyliorhinus torazame</v>
      </c>
      <c r="H194" t="s">
        <v>209</v>
      </c>
      <c r="I194" t="str">
        <f>HYPERLINK("http://www.ncbi.nlm.nih.gov/protein/GCB71703.1","hypothetical protein")</f>
        <v>hypothetical protein</v>
      </c>
      <c r="J194">
        <v>8106.9</v>
      </c>
      <c r="K194" t="s">
        <v>19</v>
      </c>
      <c r="L194">
        <v>276</v>
      </c>
      <c r="M194">
        <v>9.75</v>
      </c>
      <c r="N194">
        <v>77.55</v>
      </c>
      <c r="O194" t="s">
        <v>19</v>
      </c>
      <c r="P194" t="s">
        <v>20</v>
      </c>
      <c r="Q194" t="s">
        <v>19</v>
      </c>
      <c r="R194" t="str">
        <f>HYPERLINK("https://cfpub.epa.gov/ecotox/explore.cfm?ncbi=75743","Explore in ECOTOX")</f>
        <v>Explore in ECOTOX</v>
      </c>
    </row>
    <row r="195" spans="1:18" x14ac:dyDescent="0.45">
      <c r="A195" t="s">
        <v>1264</v>
      </c>
      <c r="B195">
        <v>8</v>
      </c>
      <c r="C195" t="str">
        <f>HYPERLINK("http://www.ncbi.nlm.nih.gov/protein/XP_007909258.1","XP_007909258.1")</f>
        <v>XP_007909258.1</v>
      </c>
      <c r="D195">
        <v>34835</v>
      </c>
      <c r="E195" t="str">
        <f>HYPERLINK("http://www.ncbi.nlm.nih.gov/Taxonomy/Browser/wwwtax.cgi?mode=Info&amp;id=7868&amp;lvl=3&amp;lin=f&amp;keep=1&amp;srchmode=1&amp;unlock","7868")</f>
        <v>7868</v>
      </c>
      <c r="F195" t="s">
        <v>195</v>
      </c>
      <c r="G195" t="str">
        <f>HYPERLINK("http://www.ncbi.nlm.nih.gov/Taxonomy/Browser/wwwtax.cgi?mode=Info&amp;id=7868&amp;lvl=3&amp;lin=f&amp;keep=1&amp;srchmode=1&amp;unlock","Callorhinchus milii")</f>
        <v>Callorhinchus milii</v>
      </c>
      <c r="H195" t="s">
        <v>210</v>
      </c>
      <c r="I195" t="str">
        <f>HYPERLINK("http://www.ncbi.nlm.nih.gov/protein/XP_007909258.1","ryanodine receptor 1 isoform X4")</f>
        <v>ryanodine receptor 1 isoform X4</v>
      </c>
      <c r="J195">
        <v>8100.35</v>
      </c>
      <c r="K195" t="s">
        <v>19</v>
      </c>
      <c r="L195">
        <v>276</v>
      </c>
      <c r="M195">
        <v>9.75</v>
      </c>
      <c r="N195">
        <v>77.489999999999995</v>
      </c>
      <c r="O195" t="s">
        <v>19</v>
      </c>
      <c r="P195" t="s">
        <v>20</v>
      </c>
      <c r="Q195" t="s">
        <v>19</v>
      </c>
      <c r="R195" t="str">
        <f>HYPERLINK("https://cfpub.epa.gov/ecotox/explore.cfm?ncbi=7868","Explore in ECOTOX")</f>
        <v>Explore in ECOTOX</v>
      </c>
    </row>
    <row r="196" spans="1:18" x14ac:dyDescent="0.45">
      <c r="A196" t="s">
        <v>1264</v>
      </c>
      <c r="B196">
        <v>8</v>
      </c>
      <c r="C196" t="str">
        <f>HYPERLINK("http://www.ncbi.nlm.nih.gov/protein/XP_053866185.1","XP_053866185.1")</f>
        <v>XP_053866185.1</v>
      </c>
      <c r="D196">
        <v>44760</v>
      </c>
      <c r="E196" t="str">
        <f>HYPERLINK("http://www.ncbi.nlm.nih.gov/Taxonomy/Browser/wwwtax.cgi?mode=Info&amp;id=2991368&amp;lvl=3&amp;lin=f&amp;keep=1&amp;srchmode=1&amp;unlock","2991368")</f>
        <v>2991368</v>
      </c>
      <c r="F196" t="s">
        <v>203</v>
      </c>
      <c r="G196" t="str">
        <f>HYPERLINK("http://www.ncbi.nlm.nih.gov/Taxonomy/Browser/wwwtax.cgi?mode=Info&amp;id=2991368&amp;lvl=3&amp;lin=f&amp;keep=1&amp;srchmode=1&amp;unlock","Malaclemys terrapin pileata")</f>
        <v>Malaclemys terrapin pileata</v>
      </c>
      <c r="H196" t="s">
        <v>211</v>
      </c>
      <c r="I196" t="str">
        <f>HYPERLINK("http://www.ncbi.nlm.nih.gov/protein/XP_053866185.1","ryanodine receptor 1 isoform X3")</f>
        <v>ryanodine receptor 1 isoform X3</v>
      </c>
      <c r="J196">
        <v>8096.5</v>
      </c>
      <c r="K196" t="s">
        <v>19</v>
      </c>
      <c r="L196">
        <v>276</v>
      </c>
      <c r="M196">
        <v>9.75</v>
      </c>
      <c r="N196">
        <v>77.45</v>
      </c>
      <c r="O196" t="s">
        <v>19</v>
      </c>
      <c r="P196" t="s">
        <v>20</v>
      </c>
      <c r="Q196" t="s">
        <v>19</v>
      </c>
      <c r="R196" t="str">
        <f>HYPERLINK("https://cfpub.epa.gov/ecotox/explore.cfm?ncbi=2991368","Explore in ECOTOX")</f>
        <v>Explore in ECOTOX</v>
      </c>
    </row>
    <row r="197" spans="1:18" x14ac:dyDescent="0.45">
      <c r="A197" t="s">
        <v>1264</v>
      </c>
      <c r="B197">
        <v>8</v>
      </c>
      <c r="C197" t="str">
        <f>HYPERLINK("http://www.ncbi.nlm.nih.gov/protein/XP_059497000.1","XP_059497000.1")</f>
        <v>XP_059497000.1</v>
      </c>
      <c r="D197">
        <v>50732</v>
      </c>
      <c r="E197" t="str">
        <f>HYPERLINK("http://www.ncbi.nlm.nih.gov/Taxonomy/Browser/wwwtax.cgi?mode=Info&amp;id=3053191&amp;lvl=3&amp;lin=f&amp;keep=1&amp;srchmode=1&amp;unlock","3053191")</f>
        <v>3053191</v>
      </c>
      <c r="F197" t="s">
        <v>195</v>
      </c>
      <c r="G197" t="str">
        <f>HYPERLINK("http://www.ncbi.nlm.nih.gov/Taxonomy/Browser/wwwtax.cgi?mode=Info&amp;id=3053191&amp;lvl=3&amp;lin=f&amp;keep=1&amp;srchmode=1&amp;unlock","Stegostoma tigrinum")</f>
        <v>Stegostoma tigrinum</v>
      </c>
      <c r="H197" t="s">
        <v>212</v>
      </c>
      <c r="I197" t="str">
        <f>HYPERLINK("http://www.ncbi.nlm.nih.gov/protein/XP_059497000.1","ryanodine receptor 1-like isoform X3")</f>
        <v>ryanodine receptor 1-like isoform X3</v>
      </c>
      <c r="J197">
        <v>8096.11</v>
      </c>
      <c r="K197" t="s">
        <v>19</v>
      </c>
      <c r="L197">
        <v>276</v>
      </c>
      <c r="M197">
        <v>9.75</v>
      </c>
      <c r="N197">
        <v>77.45</v>
      </c>
      <c r="O197" t="s">
        <v>19</v>
      </c>
      <c r="P197" t="s">
        <v>20</v>
      </c>
      <c r="Q197" t="s">
        <v>19</v>
      </c>
      <c r="R197" t="str">
        <f>HYPERLINK("https://cfpub.epa.gov/ecotox/explore.cfm?ncbi=3053191","Explore in ECOTOX")</f>
        <v>Explore in ECOTOX</v>
      </c>
    </row>
    <row r="198" spans="1:18" x14ac:dyDescent="0.45">
      <c r="A198" t="s">
        <v>1264</v>
      </c>
      <c r="B198">
        <v>8</v>
      </c>
      <c r="C198" t="str">
        <f>HYPERLINK("http://www.ncbi.nlm.nih.gov/protein/KAJ7303922.1","KAJ7303922.1")</f>
        <v>KAJ7303922.1</v>
      </c>
      <c r="D198">
        <v>20655</v>
      </c>
      <c r="E198" t="str">
        <f>HYPERLINK("http://www.ncbi.nlm.nih.gov/Taxonomy/Browser/wwwtax.cgi?mode=Info&amp;id=171643&amp;lvl=3&amp;lin=f&amp;keep=1&amp;srchmode=1&amp;unlock","171643")</f>
        <v>171643</v>
      </c>
      <c r="F198" t="s">
        <v>192</v>
      </c>
      <c r="G198" t="str">
        <f>HYPERLINK("http://www.ncbi.nlm.nih.gov/Taxonomy/Browser/wwwtax.cgi?mode=Info&amp;id=171643&amp;lvl=3&amp;lin=f&amp;keep=1&amp;srchmode=1&amp;unlock","Phrynocephalus forsythii")</f>
        <v>Phrynocephalus forsythii</v>
      </c>
      <c r="H198" t="s">
        <v>213</v>
      </c>
      <c r="I198" t="str">
        <f>HYPERLINK("http://www.ncbi.nlm.nih.gov/protein/KAJ7303922.1","hypothetical protein JRQ81_011434")</f>
        <v>hypothetical protein JRQ81_011434</v>
      </c>
      <c r="J198">
        <v>8095.34</v>
      </c>
      <c r="K198" t="s">
        <v>19</v>
      </c>
      <c r="L198">
        <v>276</v>
      </c>
      <c r="M198">
        <v>9.75</v>
      </c>
      <c r="N198">
        <v>77.44</v>
      </c>
      <c r="O198" t="s">
        <v>19</v>
      </c>
      <c r="P198" t="s">
        <v>20</v>
      </c>
      <c r="Q198" t="s">
        <v>19</v>
      </c>
      <c r="R198" t="str">
        <f>HYPERLINK("https://cfpub.epa.gov/ecotox/explore.cfm?ncbi=171643","Explore in ECOTOX")</f>
        <v>Explore in ECOTOX</v>
      </c>
    </row>
    <row r="199" spans="1:18" x14ac:dyDescent="0.45">
      <c r="A199" t="s">
        <v>1264</v>
      </c>
      <c r="B199">
        <v>8</v>
      </c>
      <c r="C199" t="str">
        <f>HYPERLINK("http://www.ncbi.nlm.nih.gov/protein/XP_059575348.1","XP_059575348.1")</f>
        <v>XP_059575348.1</v>
      </c>
      <c r="D199">
        <v>80366</v>
      </c>
      <c r="E199" t="str">
        <f>HYPERLINK("http://www.ncbi.nlm.nih.gov/Taxonomy/Browser/wwwtax.cgi?mode=Info&amp;id=8496&amp;lvl=3&amp;lin=f&amp;keep=1&amp;srchmode=1&amp;unlock","8496")</f>
        <v>8496</v>
      </c>
      <c r="F199" t="s">
        <v>214</v>
      </c>
      <c r="G199" t="str">
        <f>HYPERLINK("http://www.ncbi.nlm.nih.gov/Taxonomy/Browser/wwwtax.cgi?mode=Info&amp;id=8496&amp;lvl=3&amp;lin=f&amp;keep=1&amp;srchmode=1&amp;unlock","Alligator mississippiensis")</f>
        <v>Alligator mississippiensis</v>
      </c>
      <c r="H199" t="s">
        <v>215</v>
      </c>
      <c r="I199" t="str">
        <f>HYPERLINK("http://www.ncbi.nlm.nih.gov/protein/XP_059575348.1","ryanodine receptor 1 isoform X5")</f>
        <v>ryanodine receptor 1 isoform X5</v>
      </c>
      <c r="J199">
        <v>8089.18</v>
      </c>
      <c r="K199" t="s">
        <v>19</v>
      </c>
      <c r="L199">
        <v>276</v>
      </c>
      <c r="M199">
        <v>9.75</v>
      </c>
      <c r="N199">
        <v>77.38</v>
      </c>
      <c r="O199" t="s">
        <v>19</v>
      </c>
      <c r="P199" t="s">
        <v>20</v>
      </c>
      <c r="Q199" t="s">
        <v>19</v>
      </c>
      <c r="R199" t="str">
        <f>HYPERLINK("https://cfpub.epa.gov/ecotox/explore.cfm?ncbi=8496","Explore in ECOTOX")</f>
        <v>Explore in ECOTOX</v>
      </c>
    </row>
    <row r="200" spans="1:18" x14ac:dyDescent="0.45">
      <c r="A200" t="s">
        <v>1264</v>
      </c>
      <c r="B200">
        <v>8</v>
      </c>
      <c r="C200" t="str">
        <f>HYPERLINK("http://www.ncbi.nlm.nih.gov/protein/XP_032083668.1","XP_032083668.1")</f>
        <v>XP_032083668.1</v>
      </c>
      <c r="D200">
        <v>30930</v>
      </c>
      <c r="E200" t="str">
        <f>HYPERLINK("http://www.ncbi.nlm.nih.gov/Taxonomy/Browser/wwwtax.cgi?mode=Info&amp;id=35005&amp;lvl=3&amp;lin=f&amp;keep=1&amp;srchmode=1&amp;unlock","35005")</f>
        <v>35005</v>
      </c>
      <c r="F200" t="s">
        <v>192</v>
      </c>
      <c r="G200" t="str">
        <f>HYPERLINK("http://www.ncbi.nlm.nih.gov/Taxonomy/Browser/wwwtax.cgi?mode=Info&amp;id=35005&amp;lvl=3&amp;lin=f&amp;keep=1&amp;srchmode=1&amp;unlock","Thamnophis elegans")</f>
        <v>Thamnophis elegans</v>
      </c>
      <c r="H200" t="s">
        <v>216</v>
      </c>
      <c r="I200" t="str">
        <f>HYPERLINK("http://www.ncbi.nlm.nih.gov/protein/XP_032083668.1","LOW QUALITY PROTEIN: ryanodine receptor 1")</f>
        <v>LOW QUALITY PROTEIN: ryanodine receptor 1</v>
      </c>
      <c r="J200">
        <v>8088.02</v>
      </c>
      <c r="K200" t="s">
        <v>19</v>
      </c>
      <c r="L200">
        <v>276</v>
      </c>
      <c r="M200">
        <v>9.75</v>
      </c>
      <c r="N200">
        <v>77.37</v>
      </c>
      <c r="O200" t="s">
        <v>19</v>
      </c>
      <c r="P200" t="s">
        <v>20</v>
      </c>
      <c r="Q200" t="s">
        <v>19</v>
      </c>
      <c r="R200" t="str">
        <f>HYPERLINK("https://cfpub.epa.gov/ecotox/explore.cfm?ncbi=35005","Explore in ECOTOX")</f>
        <v>Explore in ECOTOX</v>
      </c>
    </row>
    <row r="201" spans="1:18" x14ac:dyDescent="0.45">
      <c r="A201" t="s">
        <v>1264</v>
      </c>
      <c r="B201">
        <v>8</v>
      </c>
      <c r="C201" t="str">
        <f>HYPERLINK("http://www.ncbi.nlm.nih.gov/protein/XP_056703572.1","XP_056703572.1")</f>
        <v>XP_056703572.1</v>
      </c>
      <c r="D201">
        <v>23805</v>
      </c>
      <c r="E201" t="str">
        <f>HYPERLINK("http://www.ncbi.nlm.nih.gov/Taxonomy/Browser/wwwtax.cgi?mode=Info&amp;id=460621&amp;lvl=3&amp;lin=f&amp;keep=1&amp;srchmode=1&amp;unlock","460621")</f>
        <v>460621</v>
      </c>
      <c r="F201" t="s">
        <v>192</v>
      </c>
      <c r="G201" t="str">
        <f>HYPERLINK("http://www.ncbi.nlm.nih.gov/Taxonomy/Browser/wwwtax.cgi?mode=Info&amp;id=460621&amp;lvl=3&amp;lin=f&amp;keep=1&amp;srchmode=1&amp;unlock","Euleptes europaea")</f>
        <v>Euleptes europaea</v>
      </c>
      <c r="H201" t="s">
        <v>217</v>
      </c>
      <c r="I201" t="str">
        <f>HYPERLINK("http://www.ncbi.nlm.nih.gov/protein/XP_056703572.1","ryanodine receptor 1")</f>
        <v>ryanodine receptor 1</v>
      </c>
      <c r="J201">
        <v>8085.71</v>
      </c>
      <c r="K201" t="s">
        <v>19</v>
      </c>
      <c r="L201">
        <v>276</v>
      </c>
      <c r="M201">
        <v>9.75</v>
      </c>
      <c r="N201">
        <v>77.349999999999994</v>
      </c>
      <c r="O201" t="s">
        <v>19</v>
      </c>
      <c r="P201" t="s">
        <v>20</v>
      </c>
      <c r="Q201" t="s">
        <v>19</v>
      </c>
      <c r="R201" t="str">
        <f>HYPERLINK("https://cfpub.epa.gov/ecotox/explore.cfm?ncbi=460621","Explore in ECOTOX")</f>
        <v>Explore in ECOTOX</v>
      </c>
    </row>
    <row r="202" spans="1:18" x14ac:dyDescent="0.45">
      <c r="A202" t="s">
        <v>1264</v>
      </c>
      <c r="B202">
        <v>8</v>
      </c>
      <c r="C202" t="str">
        <f>HYPERLINK("http://www.ncbi.nlm.nih.gov/protein/XP_043357346.1","XP_043357346.1")</f>
        <v>XP_043357346.1</v>
      </c>
      <c r="D202">
        <v>61243</v>
      </c>
      <c r="E202" t="str">
        <f>HYPERLINK("http://www.ncbi.nlm.nih.gov/Taxonomy/Browser/wwwtax.cgi?mode=Info&amp;id=27794&amp;lvl=3&amp;lin=f&amp;keep=1&amp;srchmode=1&amp;unlock","27794")</f>
        <v>27794</v>
      </c>
      <c r="F202" t="s">
        <v>203</v>
      </c>
      <c r="G202" t="str">
        <f>HYPERLINK("http://www.ncbi.nlm.nih.gov/Taxonomy/Browser/wwwtax.cgi?mode=Info&amp;id=27794&amp;lvl=3&amp;lin=f&amp;keep=1&amp;srchmode=1&amp;unlock","Dermochelys coriacea")</f>
        <v>Dermochelys coriacea</v>
      </c>
      <c r="H202" t="s">
        <v>218</v>
      </c>
      <c r="I202" t="str">
        <f>HYPERLINK("http://www.ncbi.nlm.nih.gov/protein/XP_043357346.1","LOW QUALITY PROTEIN: ryanodine receptor 1")</f>
        <v>LOW QUALITY PROTEIN: ryanodine receptor 1</v>
      </c>
      <c r="J202">
        <v>8066.45</v>
      </c>
      <c r="K202" t="s">
        <v>19</v>
      </c>
      <c r="L202">
        <v>276</v>
      </c>
      <c r="M202">
        <v>9.75</v>
      </c>
      <c r="N202">
        <v>77.16</v>
      </c>
      <c r="O202" t="s">
        <v>19</v>
      </c>
      <c r="P202" t="s">
        <v>20</v>
      </c>
      <c r="Q202" t="s">
        <v>19</v>
      </c>
      <c r="R202" t="str">
        <f>HYPERLINK("https://cfpub.epa.gov/ecotox/explore.cfm?ncbi=27794","Explore in ECOTOX")</f>
        <v>Explore in ECOTOX</v>
      </c>
    </row>
    <row r="203" spans="1:18" x14ac:dyDescent="0.45">
      <c r="A203" t="s">
        <v>1264</v>
      </c>
      <c r="B203">
        <v>8</v>
      </c>
      <c r="C203" t="str">
        <f>HYPERLINK("http://www.ncbi.nlm.nih.gov/protein/XP_038642015.1","XP_038642015.1")</f>
        <v>XP_038642015.1</v>
      </c>
      <c r="D203">
        <v>50176</v>
      </c>
      <c r="E203" t="str">
        <f>HYPERLINK("http://www.ncbi.nlm.nih.gov/Taxonomy/Browser/wwwtax.cgi?mode=Info&amp;id=7830&amp;lvl=3&amp;lin=f&amp;keep=1&amp;srchmode=1&amp;unlock","7830")</f>
        <v>7830</v>
      </c>
      <c r="F203" t="s">
        <v>195</v>
      </c>
      <c r="G203" t="str">
        <f>HYPERLINK("http://www.ncbi.nlm.nih.gov/Taxonomy/Browser/wwwtax.cgi?mode=Info&amp;id=7830&amp;lvl=3&amp;lin=f&amp;keep=1&amp;srchmode=1&amp;unlock","Scyliorhinus canicula")</f>
        <v>Scyliorhinus canicula</v>
      </c>
      <c r="H203" t="s">
        <v>219</v>
      </c>
      <c r="I203" t="str">
        <f>HYPERLINK("http://www.ncbi.nlm.nih.gov/protein/XP_038642015.1","ryanodine receptor 1-like")</f>
        <v>ryanodine receptor 1-like</v>
      </c>
      <c r="J203">
        <v>8065.29</v>
      </c>
      <c r="K203" t="s">
        <v>19</v>
      </c>
      <c r="L203">
        <v>276</v>
      </c>
      <c r="M203">
        <v>9.75</v>
      </c>
      <c r="N203">
        <v>77.150000000000006</v>
      </c>
      <c r="O203" t="s">
        <v>19</v>
      </c>
      <c r="P203" t="s">
        <v>20</v>
      </c>
      <c r="Q203" t="s">
        <v>19</v>
      </c>
      <c r="R203" t="str">
        <f>HYPERLINK("https://cfpub.epa.gov/ecotox/explore.cfm?ncbi=7830","Explore in ECOTOX")</f>
        <v>Explore in ECOTOX</v>
      </c>
    </row>
    <row r="204" spans="1:18" x14ac:dyDescent="0.45">
      <c r="A204" t="s">
        <v>1264</v>
      </c>
      <c r="B204">
        <v>8</v>
      </c>
      <c r="C204" t="str">
        <f>HYPERLINK("http://www.ncbi.nlm.nih.gov/protein/XP_060113494.1","XP_060113494.1")</f>
        <v>XP_060113494.1</v>
      </c>
      <c r="D204">
        <v>35418</v>
      </c>
      <c r="E204" t="str">
        <f>HYPERLINK("http://www.ncbi.nlm.nih.gov/Taxonomy/Browser/wwwtax.cgi?mode=Info&amp;id=13085&amp;lvl=3&amp;lin=f&amp;keep=1&amp;srchmode=1&amp;unlock","13085")</f>
        <v>13085</v>
      </c>
      <c r="F204" t="s">
        <v>192</v>
      </c>
      <c r="G204" t="str">
        <f>HYPERLINK("http://www.ncbi.nlm.nih.gov/Taxonomy/Browser/wwwtax.cgi?mode=Info&amp;id=13085&amp;lvl=3&amp;lin=f&amp;keep=1&amp;srchmode=1&amp;unlock","Heteronotia binoei")</f>
        <v>Heteronotia binoei</v>
      </c>
      <c r="H204" t="s">
        <v>220</v>
      </c>
      <c r="I204" t="str">
        <f>HYPERLINK("http://www.ncbi.nlm.nih.gov/protein/XP_060113494.1","ryanodine receptor 1")</f>
        <v>ryanodine receptor 1</v>
      </c>
      <c r="J204">
        <v>8064.14</v>
      </c>
      <c r="K204" t="s">
        <v>19</v>
      </c>
      <c r="L204">
        <v>276</v>
      </c>
      <c r="M204">
        <v>9.75</v>
      </c>
      <c r="N204">
        <v>77.14</v>
      </c>
      <c r="O204" t="s">
        <v>19</v>
      </c>
      <c r="P204" t="s">
        <v>20</v>
      </c>
      <c r="Q204" t="s">
        <v>19</v>
      </c>
      <c r="R204" t="str">
        <f>HYPERLINK("https://cfpub.epa.gov/ecotox/explore.cfm?ncbi=13085","Explore in ECOTOX")</f>
        <v>Explore in ECOTOX</v>
      </c>
    </row>
    <row r="205" spans="1:18" x14ac:dyDescent="0.45">
      <c r="A205" t="s">
        <v>1264</v>
      </c>
      <c r="B205">
        <v>8</v>
      </c>
      <c r="C205" t="str">
        <f>HYPERLINK("http://www.ncbi.nlm.nih.gov/protein/XP_039365861.1","XP_039365861.1")</f>
        <v>XP_039365861.1</v>
      </c>
      <c r="D205">
        <v>67726</v>
      </c>
      <c r="E205" t="str">
        <f>HYPERLINK("http://www.ncbi.nlm.nih.gov/Taxonomy/Browser/wwwtax.cgi?mode=Info&amp;id=260615&amp;lvl=3&amp;lin=f&amp;keep=1&amp;srchmode=1&amp;unlock","260615")</f>
        <v>260615</v>
      </c>
      <c r="F205" t="s">
        <v>203</v>
      </c>
      <c r="G205" t="str">
        <f>HYPERLINK("http://www.ncbi.nlm.nih.gov/Taxonomy/Browser/wwwtax.cgi?mode=Info&amp;id=260615&amp;lvl=3&amp;lin=f&amp;keep=1&amp;srchmode=1&amp;unlock","Mauremys reevesii")</f>
        <v>Mauremys reevesii</v>
      </c>
      <c r="H205" t="s">
        <v>221</v>
      </c>
      <c r="I205" t="str">
        <f>HYPERLINK("http://www.ncbi.nlm.nih.gov/protein/XP_039365861.1","LOW QUALITY PROTEIN: ryanodine receptor 1")</f>
        <v>LOW QUALITY PROTEIN: ryanodine receptor 1</v>
      </c>
      <c r="J205">
        <v>8054.89</v>
      </c>
      <c r="K205" t="s">
        <v>19</v>
      </c>
      <c r="L205">
        <v>276</v>
      </c>
      <c r="M205">
        <v>9.75</v>
      </c>
      <c r="N205">
        <v>77.05</v>
      </c>
      <c r="O205" t="s">
        <v>19</v>
      </c>
      <c r="P205" t="s">
        <v>20</v>
      </c>
      <c r="Q205" t="s">
        <v>19</v>
      </c>
      <c r="R205" t="str">
        <f>HYPERLINK("https://cfpub.epa.gov/ecotox/explore.cfm?ncbi=260615","Explore in ECOTOX")</f>
        <v>Explore in ECOTOX</v>
      </c>
    </row>
    <row r="206" spans="1:18" x14ac:dyDescent="0.45">
      <c r="A206" t="s">
        <v>1264</v>
      </c>
      <c r="B206">
        <v>8</v>
      </c>
      <c r="C206" t="str">
        <f>HYPERLINK("http://www.ncbi.nlm.nih.gov/protein/XP_044843943.1","XP_044843943.1")</f>
        <v>XP_044843943.1</v>
      </c>
      <c r="D206">
        <v>78394</v>
      </c>
      <c r="E206" t="str">
        <f>HYPERLINK("http://www.ncbi.nlm.nih.gov/Taxonomy/Browser/wwwtax.cgi?mode=Info&amp;id=74926&amp;lvl=3&amp;lin=f&amp;keep=1&amp;srchmode=1&amp;unlock","74926")</f>
        <v>74926</v>
      </c>
      <c r="F206" t="s">
        <v>203</v>
      </c>
      <c r="G206" t="str">
        <f>HYPERLINK("http://www.ncbi.nlm.nih.gov/Taxonomy/Browser/wwwtax.cgi?mode=Info&amp;id=74926&amp;lvl=3&amp;lin=f&amp;keep=1&amp;srchmode=1&amp;unlock","Mauremys mutica")</f>
        <v>Mauremys mutica</v>
      </c>
      <c r="H206" t="s">
        <v>222</v>
      </c>
      <c r="I206" t="str">
        <f>HYPERLINK("http://www.ncbi.nlm.nih.gov/protein/XP_044843943.1","LOW QUALITY PROTEIN: ryanodine receptor 1-like")</f>
        <v>LOW QUALITY PROTEIN: ryanodine receptor 1-like</v>
      </c>
      <c r="J206">
        <v>8048.73</v>
      </c>
      <c r="K206" t="s">
        <v>19</v>
      </c>
      <c r="L206">
        <v>276</v>
      </c>
      <c r="M206">
        <v>9.75</v>
      </c>
      <c r="N206">
        <v>76.989999999999995</v>
      </c>
      <c r="O206" t="s">
        <v>19</v>
      </c>
      <c r="P206" t="s">
        <v>20</v>
      </c>
      <c r="Q206" t="s">
        <v>19</v>
      </c>
      <c r="R206" t="str">
        <f>HYPERLINK("https://cfpub.epa.gov/ecotox/explore.cfm?ncbi=74926","Explore in ECOTOX")</f>
        <v>Explore in ECOTOX</v>
      </c>
    </row>
    <row r="207" spans="1:18" x14ac:dyDescent="0.45">
      <c r="A207" t="s">
        <v>1264</v>
      </c>
      <c r="B207">
        <v>8</v>
      </c>
      <c r="C207" t="str">
        <f>HYPERLINK("http://www.ncbi.nlm.nih.gov/protein/XP_028597893.1","XP_028597893.1")</f>
        <v>XP_028597893.1</v>
      </c>
      <c r="D207">
        <v>51309</v>
      </c>
      <c r="E207" t="str">
        <f>HYPERLINK("http://www.ncbi.nlm.nih.gov/Taxonomy/Browser/wwwtax.cgi?mode=Info&amp;id=64176&amp;lvl=3&amp;lin=f&amp;keep=1&amp;srchmode=1&amp;unlock","64176")</f>
        <v>64176</v>
      </c>
      <c r="F207" t="s">
        <v>192</v>
      </c>
      <c r="G207" t="str">
        <f>HYPERLINK("http://www.ncbi.nlm.nih.gov/Taxonomy/Browser/wwwtax.cgi?mode=Info&amp;id=64176&amp;lvl=3&amp;lin=f&amp;keep=1&amp;srchmode=1&amp;unlock","Podarcis muralis")</f>
        <v>Podarcis muralis</v>
      </c>
      <c r="H207" t="s">
        <v>223</v>
      </c>
      <c r="I207" t="str">
        <f>HYPERLINK("http://www.ncbi.nlm.nih.gov/protein/XP_028597893.1","ryanodine receptor 1 isoform X12")</f>
        <v>ryanodine receptor 1 isoform X12</v>
      </c>
      <c r="J207">
        <v>8045.26</v>
      </c>
      <c r="K207" t="s">
        <v>19</v>
      </c>
      <c r="L207">
        <v>276</v>
      </c>
      <c r="M207">
        <v>9.75</v>
      </c>
      <c r="N207">
        <v>76.959999999999994</v>
      </c>
      <c r="O207" t="s">
        <v>19</v>
      </c>
      <c r="P207" t="s">
        <v>20</v>
      </c>
      <c r="Q207" t="s">
        <v>19</v>
      </c>
      <c r="R207" t="str">
        <f>HYPERLINK("https://cfpub.epa.gov/ecotox/explore.cfm?ncbi=64176","Explore in ECOTOX")</f>
        <v>Explore in ECOTOX</v>
      </c>
    </row>
    <row r="208" spans="1:18" x14ac:dyDescent="0.45">
      <c r="A208" t="s">
        <v>1264</v>
      </c>
      <c r="B208">
        <v>8</v>
      </c>
      <c r="C208" t="str">
        <f>HYPERLINK("http://www.ncbi.nlm.nih.gov/protein/XP_059807293.1","XP_059807293.1")</f>
        <v>XP_059807293.1</v>
      </c>
      <c r="D208">
        <v>51018</v>
      </c>
      <c r="E208" t="str">
        <f>HYPERLINK("http://www.ncbi.nlm.nih.gov/Taxonomy/Browser/wwwtax.cgi?mode=Info&amp;id=79690&amp;lvl=3&amp;lin=f&amp;keep=1&amp;srchmode=1&amp;unlock","79690")</f>
        <v>79690</v>
      </c>
      <c r="F208" t="s">
        <v>195</v>
      </c>
      <c r="G208" t="str">
        <f>HYPERLINK("http://www.ncbi.nlm.nih.gov/Taxonomy/Browser/wwwtax.cgi?mode=Info&amp;id=79690&amp;lvl=3&amp;lin=f&amp;keep=1&amp;srchmode=1&amp;unlock","Hypanus sabinus")</f>
        <v>Hypanus sabinus</v>
      </c>
      <c r="H208" t="s">
        <v>224</v>
      </c>
      <c r="I208" t="str">
        <f>HYPERLINK("http://www.ncbi.nlm.nih.gov/protein/XP_059807293.1","ryanodine receptor 1-like")</f>
        <v>ryanodine receptor 1-like</v>
      </c>
      <c r="J208">
        <v>8044.49</v>
      </c>
      <c r="K208" t="s">
        <v>19</v>
      </c>
      <c r="L208">
        <v>276</v>
      </c>
      <c r="M208">
        <v>9.75</v>
      </c>
      <c r="N208">
        <v>76.95</v>
      </c>
      <c r="O208" t="s">
        <v>19</v>
      </c>
      <c r="P208" t="s">
        <v>20</v>
      </c>
      <c r="Q208" t="s">
        <v>19</v>
      </c>
      <c r="R208" t="str">
        <f>HYPERLINK("https://cfpub.epa.gov/ecotox/explore.cfm?ncbi=79690","Explore in ECOTOX")</f>
        <v>Explore in ECOTOX</v>
      </c>
    </row>
    <row r="209" spans="1:18" x14ac:dyDescent="0.45">
      <c r="A209" t="s">
        <v>1264</v>
      </c>
      <c r="B209">
        <v>8</v>
      </c>
      <c r="C209" t="str">
        <f>HYPERLINK("http://www.ncbi.nlm.nih.gov/protein/XP_055519807.1","XP_055519807.1")</f>
        <v>XP_055519807.1</v>
      </c>
      <c r="D209">
        <v>36580</v>
      </c>
      <c r="E209" t="str">
        <f>HYPERLINK("http://www.ncbi.nlm.nih.gov/Taxonomy/Browser/wwwtax.cgi?mode=Info&amp;id=7782&amp;lvl=3&amp;lin=f&amp;keep=1&amp;srchmode=1&amp;unlock","7782")</f>
        <v>7782</v>
      </c>
      <c r="F209" t="s">
        <v>195</v>
      </c>
      <c r="G209" t="str">
        <f>HYPERLINK("http://www.ncbi.nlm.nih.gov/Taxonomy/Browser/wwwtax.cgi?mode=Info&amp;id=7782&amp;lvl=3&amp;lin=f&amp;keep=1&amp;srchmode=1&amp;unlock","Leucoraja erinacea")</f>
        <v>Leucoraja erinacea</v>
      </c>
      <c r="H209" t="s">
        <v>225</v>
      </c>
      <c r="I209" t="str">
        <f>HYPERLINK("http://www.ncbi.nlm.nih.gov/protein/XP_055519807.1","ryanodine receptor 1-like isoform X3")</f>
        <v>ryanodine receptor 1-like isoform X3</v>
      </c>
      <c r="J209">
        <v>8030.24</v>
      </c>
      <c r="K209" t="s">
        <v>19</v>
      </c>
      <c r="L209">
        <v>276</v>
      </c>
      <c r="M209">
        <v>9.75</v>
      </c>
      <c r="N209">
        <v>76.819999999999993</v>
      </c>
      <c r="O209" t="s">
        <v>19</v>
      </c>
      <c r="P209" t="s">
        <v>20</v>
      </c>
      <c r="Q209" t="s">
        <v>19</v>
      </c>
      <c r="R209" t="str">
        <f>HYPERLINK("https://cfpub.epa.gov/ecotox/explore.cfm?ncbi=7782","Explore in ECOTOX")</f>
        <v>Explore in ECOTOX</v>
      </c>
    </row>
    <row r="210" spans="1:18" x14ac:dyDescent="0.45">
      <c r="A210" t="s">
        <v>1264</v>
      </c>
      <c r="B210">
        <v>8</v>
      </c>
      <c r="C210" t="str">
        <f>HYPERLINK("http://www.ncbi.nlm.nih.gov/protein/XP_032870473.1","XP_032870473.1")</f>
        <v>XP_032870473.1</v>
      </c>
      <c r="D210">
        <v>38972</v>
      </c>
      <c r="E210" t="str">
        <f>HYPERLINK("http://www.ncbi.nlm.nih.gov/Taxonomy/Browser/wwwtax.cgi?mode=Info&amp;id=386614&amp;lvl=3&amp;lin=f&amp;keep=1&amp;srchmode=1&amp;unlock","386614")</f>
        <v>386614</v>
      </c>
      <c r="F210" t="s">
        <v>195</v>
      </c>
      <c r="G210" t="str">
        <f>HYPERLINK("http://www.ncbi.nlm.nih.gov/Taxonomy/Browser/wwwtax.cgi?mode=Info&amp;id=386614&amp;lvl=3&amp;lin=f&amp;keep=1&amp;srchmode=1&amp;unlock","Amblyraja radiata")</f>
        <v>Amblyraja radiata</v>
      </c>
      <c r="H210" t="s">
        <v>226</v>
      </c>
      <c r="I210" t="str">
        <f>HYPERLINK("http://www.ncbi.nlm.nih.gov/protein/XP_032870473.1","ryanodine receptor 1 isoform X6")</f>
        <v>ryanodine receptor 1 isoform X6</v>
      </c>
      <c r="J210">
        <v>8020.23</v>
      </c>
      <c r="K210" t="s">
        <v>19</v>
      </c>
      <c r="L210">
        <v>276</v>
      </c>
      <c r="M210">
        <v>9.75</v>
      </c>
      <c r="N210">
        <v>76.72</v>
      </c>
      <c r="O210" t="s">
        <v>19</v>
      </c>
      <c r="P210" t="s">
        <v>20</v>
      </c>
      <c r="Q210" t="s">
        <v>19</v>
      </c>
      <c r="R210" t="str">
        <f>HYPERLINK("https://cfpub.epa.gov/ecotox/explore.cfm?ncbi=386614","Explore in ECOTOX")</f>
        <v>Explore in ECOTOX</v>
      </c>
    </row>
    <row r="211" spans="1:18" x14ac:dyDescent="0.45">
      <c r="A211" t="s">
        <v>1264</v>
      </c>
      <c r="B211">
        <v>8</v>
      </c>
      <c r="C211" t="str">
        <f>HYPERLINK("http://www.ncbi.nlm.nih.gov/protein/XP_048689483.1","XP_048689483.1")</f>
        <v>XP_048689483.1</v>
      </c>
      <c r="D211">
        <v>54936</v>
      </c>
      <c r="E211" t="str">
        <f>HYPERLINK("http://www.ncbi.nlm.nih.gov/Taxonomy/Browser/wwwtax.cgi?mode=Info&amp;id=8467&amp;lvl=3&amp;lin=f&amp;keep=1&amp;srchmode=1&amp;unlock","8467")</f>
        <v>8467</v>
      </c>
      <c r="F211" t="s">
        <v>203</v>
      </c>
      <c r="G211" t="str">
        <f>HYPERLINK("http://www.ncbi.nlm.nih.gov/Taxonomy/Browser/wwwtax.cgi?mode=Info&amp;id=8467&amp;lvl=3&amp;lin=f&amp;keep=1&amp;srchmode=1&amp;unlock","Caretta caretta")</f>
        <v>Caretta caretta</v>
      </c>
      <c r="H211" t="s">
        <v>227</v>
      </c>
      <c r="I211" t="str">
        <f>HYPERLINK("http://www.ncbi.nlm.nih.gov/protein/XP_048689483.1","ryanodine receptor 1")</f>
        <v>ryanodine receptor 1</v>
      </c>
      <c r="J211">
        <v>8016.76</v>
      </c>
      <c r="K211" t="s">
        <v>19</v>
      </c>
      <c r="L211">
        <v>276</v>
      </c>
      <c r="M211">
        <v>9.75</v>
      </c>
      <c r="N211">
        <v>76.69</v>
      </c>
      <c r="O211" t="s">
        <v>19</v>
      </c>
      <c r="P211" t="s">
        <v>20</v>
      </c>
      <c r="Q211" t="s">
        <v>19</v>
      </c>
      <c r="R211" t="str">
        <f>HYPERLINK("https://cfpub.epa.gov/ecotox/explore.cfm?ncbi=8467","Explore in ECOTOX")</f>
        <v>Explore in ECOTOX</v>
      </c>
    </row>
    <row r="212" spans="1:18" x14ac:dyDescent="0.45">
      <c r="A212" t="s">
        <v>1264</v>
      </c>
      <c r="B212">
        <v>8</v>
      </c>
      <c r="C212" t="str">
        <f>HYPERLINK("http://www.ncbi.nlm.nih.gov/protein/XP_048474189.1","XP_048474189.1")</f>
        <v>XP_048474189.1</v>
      </c>
      <c r="D212">
        <v>36927</v>
      </c>
      <c r="E212" t="str">
        <f>HYPERLINK("http://www.ncbi.nlm.nih.gov/Taxonomy/Browser/wwwtax.cgi?mode=Info&amp;id=259920&amp;lvl=3&amp;lin=f&amp;keep=1&amp;srchmode=1&amp;unlock","259920")</f>
        <v>259920</v>
      </c>
      <c r="F212" t="s">
        <v>195</v>
      </c>
      <c r="G212" t="str">
        <f>HYPERLINK("http://www.ncbi.nlm.nih.gov/Taxonomy/Browser/wwwtax.cgi?mode=Info&amp;id=259920&amp;lvl=3&amp;lin=f&amp;keep=1&amp;srchmode=1&amp;unlock","Rhincodon typus")</f>
        <v>Rhincodon typus</v>
      </c>
      <c r="H212" t="s">
        <v>228</v>
      </c>
      <c r="I212" t="str">
        <f>HYPERLINK("http://www.ncbi.nlm.nih.gov/protein/XP_048474189.1","ryanodine receptor 1-like")</f>
        <v>ryanodine receptor 1-like</v>
      </c>
      <c r="J212">
        <v>8005.2</v>
      </c>
      <c r="K212" t="s">
        <v>19</v>
      </c>
      <c r="L212">
        <v>276</v>
      </c>
      <c r="M212">
        <v>9.75</v>
      </c>
      <c r="N212">
        <v>76.58</v>
      </c>
      <c r="O212" t="s">
        <v>19</v>
      </c>
      <c r="P212" t="s">
        <v>20</v>
      </c>
      <c r="Q212" t="s">
        <v>19</v>
      </c>
      <c r="R212" t="str">
        <f>HYPERLINK("https://cfpub.epa.gov/ecotox/explore.cfm?ncbi=259920","Explore in ECOTOX")</f>
        <v>Explore in ECOTOX</v>
      </c>
    </row>
    <row r="213" spans="1:18" x14ac:dyDescent="0.45">
      <c r="A213" t="s">
        <v>1264</v>
      </c>
      <c r="B213">
        <v>8</v>
      </c>
      <c r="C213" t="str">
        <f>HYPERLINK("http://www.ncbi.nlm.nih.gov/protein/GCC36439.1","GCC36439.1")</f>
        <v>GCC36439.1</v>
      </c>
      <c r="D213">
        <v>33658</v>
      </c>
      <c r="E213" t="str">
        <f>HYPERLINK("http://www.ncbi.nlm.nih.gov/Taxonomy/Browser/wwwtax.cgi?mode=Info&amp;id=137246&amp;lvl=3&amp;lin=f&amp;keep=1&amp;srchmode=1&amp;unlock","137246")</f>
        <v>137246</v>
      </c>
      <c r="F213" t="s">
        <v>195</v>
      </c>
      <c r="G213" t="str">
        <f>HYPERLINK("http://www.ncbi.nlm.nih.gov/Taxonomy/Browser/wwwtax.cgi?mode=Info&amp;id=137246&amp;lvl=3&amp;lin=f&amp;keep=1&amp;srchmode=1&amp;unlock","Chiloscyllium punctatum")</f>
        <v>Chiloscyllium punctatum</v>
      </c>
      <c r="H213" t="s">
        <v>229</v>
      </c>
      <c r="I213" t="str">
        <f>HYPERLINK("http://www.ncbi.nlm.nih.gov/protein/GCC36439.1","hypothetical protein")</f>
        <v>hypothetical protein</v>
      </c>
      <c r="J213">
        <v>8000.97</v>
      </c>
      <c r="K213" t="s">
        <v>22</v>
      </c>
      <c r="L213">
        <v>276</v>
      </c>
      <c r="M213">
        <v>9.75</v>
      </c>
      <c r="N213">
        <v>76.540000000000006</v>
      </c>
      <c r="O213" t="s">
        <v>19</v>
      </c>
      <c r="P213" t="s">
        <v>20</v>
      </c>
      <c r="Q213" t="s">
        <v>19</v>
      </c>
      <c r="R213" t="str">
        <f>HYPERLINK("https://cfpub.epa.gov/ecotox/explore.cfm?ncbi=137246","Explore in ECOTOX")</f>
        <v>Explore in ECOTOX</v>
      </c>
    </row>
    <row r="214" spans="1:18" x14ac:dyDescent="0.45">
      <c r="A214" t="s">
        <v>1264</v>
      </c>
      <c r="B214">
        <v>8</v>
      </c>
      <c r="C214" t="str">
        <f>HYPERLINK("http://www.ncbi.nlm.nih.gov/protein/XP_044523323.1","XP_044523323.1")</f>
        <v>XP_044523323.1</v>
      </c>
      <c r="D214">
        <v>29091</v>
      </c>
      <c r="E214" t="str">
        <f>HYPERLINK("http://www.ncbi.nlm.nih.gov/Taxonomy/Browser/wwwtax.cgi?mode=Info&amp;id=191870&amp;lvl=3&amp;lin=f&amp;keep=1&amp;srchmode=1&amp;unlock","191870")</f>
        <v>191870</v>
      </c>
      <c r="F214" t="s">
        <v>96</v>
      </c>
      <c r="G214" t="str">
        <f>HYPERLINK("http://www.ncbi.nlm.nih.gov/Taxonomy/Browser/wwwtax.cgi?mode=Info&amp;id=191870&amp;lvl=3&amp;lin=f&amp;keep=1&amp;srchmode=1&amp;unlock","Gracilinanus agilis")</f>
        <v>Gracilinanus agilis</v>
      </c>
      <c r="H214" t="s">
        <v>230</v>
      </c>
      <c r="I214" t="str">
        <f>HYPERLINK("http://www.ncbi.nlm.nih.gov/protein/XP_044523323.1","ryanodine receptor 1 isoform X1")</f>
        <v>ryanodine receptor 1 isoform X1</v>
      </c>
      <c r="J214">
        <v>7717.84</v>
      </c>
      <c r="K214" t="s">
        <v>19</v>
      </c>
      <c r="L214">
        <v>276</v>
      </c>
      <c r="M214">
        <v>9.75</v>
      </c>
      <c r="N214">
        <v>73.83</v>
      </c>
      <c r="O214" t="s">
        <v>19</v>
      </c>
      <c r="P214" t="s">
        <v>20</v>
      </c>
      <c r="Q214" t="s">
        <v>19</v>
      </c>
      <c r="R214" t="str">
        <f>HYPERLINK("https://cfpub.epa.gov/ecotox/explore.cfm?ncbi=191870","Explore in ECOTOX")</f>
        <v>Explore in ECOTOX</v>
      </c>
    </row>
    <row r="215" spans="1:18" x14ac:dyDescent="0.45">
      <c r="A215" t="s">
        <v>1264</v>
      </c>
      <c r="B215">
        <v>8</v>
      </c>
      <c r="C215" t="str">
        <f>HYPERLINK("http://www.ncbi.nlm.nih.gov/protein/XP_030621081.1","XP_030621081.1")</f>
        <v>XP_030621081.1</v>
      </c>
      <c r="D215">
        <v>30218</v>
      </c>
      <c r="E215" t="str">
        <f>HYPERLINK("http://www.ncbi.nlm.nih.gov/Taxonomy/Browser/wwwtax.cgi?mode=Info&amp;id=29144&amp;lvl=3&amp;lin=f&amp;keep=1&amp;srchmode=1&amp;unlock","29144")</f>
        <v>29144</v>
      </c>
      <c r="F215" t="s">
        <v>17</v>
      </c>
      <c r="G215" t="str">
        <f>HYPERLINK("http://www.ncbi.nlm.nih.gov/Taxonomy/Browser/wwwtax.cgi?mode=Info&amp;id=29144&amp;lvl=3&amp;lin=f&amp;keep=1&amp;srchmode=1&amp;unlock","Chanos chanos")</f>
        <v>Chanos chanos</v>
      </c>
      <c r="H215" t="s">
        <v>231</v>
      </c>
      <c r="I215" t="str">
        <f>HYPERLINK("http://www.ncbi.nlm.nih.gov/protein/XP_030621081.1","ryanodine receptor 1")</f>
        <v>ryanodine receptor 1</v>
      </c>
      <c r="J215">
        <v>7685.1</v>
      </c>
      <c r="K215" t="s">
        <v>22</v>
      </c>
      <c r="L215">
        <v>276</v>
      </c>
      <c r="M215">
        <v>9.75</v>
      </c>
      <c r="N215">
        <v>73.510000000000005</v>
      </c>
      <c r="O215" t="s">
        <v>19</v>
      </c>
      <c r="P215" t="s">
        <v>20</v>
      </c>
      <c r="Q215" t="s">
        <v>19</v>
      </c>
      <c r="R215" t="str">
        <f>HYPERLINK("https://cfpub.epa.gov/ecotox/explore.cfm?ncbi=29144","Explore in ECOTOX")</f>
        <v>Explore in ECOTOX</v>
      </c>
    </row>
    <row r="216" spans="1:18" x14ac:dyDescent="0.45">
      <c r="A216" t="s">
        <v>1264</v>
      </c>
      <c r="B216">
        <v>8</v>
      </c>
      <c r="C216" t="str">
        <f>HYPERLINK("http://www.ncbi.nlm.nih.gov/protein/XP_023656371.1","XP_023656371.1")</f>
        <v>XP_023656371.1</v>
      </c>
      <c r="D216">
        <v>55302</v>
      </c>
      <c r="E216" t="str">
        <f>HYPERLINK("http://www.ncbi.nlm.nih.gov/Taxonomy/Browser/wwwtax.cgi?mode=Info&amp;id=1676925&amp;lvl=3&amp;lin=f&amp;keep=1&amp;srchmode=1&amp;unlock","1676925")</f>
        <v>1676925</v>
      </c>
      <c r="F216" t="s">
        <v>17</v>
      </c>
      <c r="G216" t="str">
        <f>HYPERLINK("http://www.ncbi.nlm.nih.gov/Taxonomy/Browser/wwwtax.cgi?mode=Info&amp;id=1676925&amp;lvl=3&amp;lin=f&amp;keep=1&amp;srchmode=1&amp;unlock","Paramormyrops kingsleyae")</f>
        <v>Paramormyrops kingsleyae</v>
      </c>
      <c r="H216" t="s">
        <v>79</v>
      </c>
      <c r="I216" t="str">
        <f>HYPERLINK("http://www.ncbi.nlm.nih.gov/protein/XP_023656371.1","ryanodine receptor 1-like")</f>
        <v>ryanodine receptor 1-like</v>
      </c>
      <c r="J216">
        <v>7601.9</v>
      </c>
      <c r="K216" t="s">
        <v>19</v>
      </c>
      <c r="L216">
        <v>276</v>
      </c>
      <c r="M216">
        <v>9.75</v>
      </c>
      <c r="N216">
        <v>72.72</v>
      </c>
      <c r="O216" t="s">
        <v>19</v>
      </c>
      <c r="P216" t="s">
        <v>20</v>
      </c>
      <c r="Q216" t="s">
        <v>19</v>
      </c>
      <c r="R216" t="str">
        <f>HYPERLINK("https://cfpub.epa.gov/ecotox/explore.cfm?ncbi=1676925","Explore in ECOTOX")</f>
        <v>Explore in ECOTOX</v>
      </c>
    </row>
    <row r="217" spans="1:18" x14ac:dyDescent="0.45">
      <c r="A217" t="s">
        <v>1264</v>
      </c>
      <c r="B217">
        <v>8</v>
      </c>
      <c r="C217" t="str">
        <f>HYPERLINK("http://www.ncbi.nlm.nih.gov/protein/XP_030400335.1","XP_030400335.1")</f>
        <v>XP_030400335.1</v>
      </c>
      <c r="D217">
        <v>50866</v>
      </c>
      <c r="E217" t="str">
        <f>HYPERLINK("http://www.ncbi.nlm.nih.gov/Taxonomy/Browser/wwwtax.cgi?mode=Info&amp;id=1825980&amp;lvl=3&amp;lin=f&amp;keep=1&amp;srchmode=1&amp;unlock","1825980")</f>
        <v>1825980</v>
      </c>
      <c r="F217" t="s">
        <v>203</v>
      </c>
      <c r="G217" t="str">
        <f>HYPERLINK("http://www.ncbi.nlm.nih.gov/Taxonomy/Browser/wwwtax.cgi?mode=Info&amp;id=1825980&amp;lvl=3&amp;lin=f&amp;keep=1&amp;srchmode=1&amp;unlock","Gopherus evgoodei")</f>
        <v>Gopherus evgoodei</v>
      </c>
      <c r="H217" t="s">
        <v>232</v>
      </c>
      <c r="I217" t="str">
        <f>HYPERLINK("http://www.ncbi.nlm.nih.gov/protein/XP_030400335.1","ryanodine receptor 1")</f>
        <v>ryanodine receptor 1</v>
      </c>
      <c r="J217">
        <v>7466.69</v>
      </c>
      <c r="K217" t="s">
        <v>19</v>
      </c>
      <c r="L217">
        <v>276</v>
      </c>
      <c r="M217">
        <v>9.75</v>
      </c>
      <c r="N217">
        <v>71.42</v>
      </c>
      <c r="O217" t="s">
        <v>19</v>
      </c>
      <c r="P217" t="s">
        <v>20</v>
      </c>
      <c r="Q217" t="s">
        <v>19</v>
      </c>
      <c r="R217" t="str">
        <f>HYPERLINK("https://cfpub.epa.gov/ecotox/explore.cfm?ncbi=1825980","Explore in ECOTOX")</f>
        <v>Explore in ECOTOX</v>
      </c>
    </row>
    <row r="218" spans="1:18" x14ac:dyDescent="0.45">
      <c r="A218" t="s">
        <v>1264</v>
      </c>
      <c r="B218">
        <v>8</v>
      </c>
      <c r="C218" t="str">
        <f>HYPERLINK("http://www.ncbi.nlm.nih.gov/protein/XP_061452426.1","XP_061452426.1")</f>
        <v>XP_061452426.1</v>
      </c>
      <c r="D218">
        <v>58517</v>
      </c>
      <c r="E218" t="str">
        <f>HYPERLINK("http://www.ncbi.nlm.nih.gov/Taxonomy/Browser/wwwtax.cgi?mode=Info&amp;id=261503&amp;lvl=3&amp;lin=f&amp;keep=1&amp;srchmode=1&amp;unlock","261503")</f>
        <v>261503</v>
      </c>
      <c r="F218" t="s">
        <v>192</v>
      </c>
      <c r="G218" t="str">
        <f>HYPERLINK("http://www.ncbi.nlm.nih.gov/Taxonomy/Browser/wwwtax.cgi?mode=Info&amp;id=261503&amp;lvl=3&amp;lin=f&amp;keep=1&amp;srchmode=1&amp;unlock","Rhineura floridana")</f>
        <v>Rhineura floridana</v>
      </c>
      <c r="H218" t="s">
        <v>233</v>
      </c>
      <c r="I218" t="str">
        <f>HYPERLINK("http://www.ncbi.nlm.nih.gov/protein/XP_061452426.1","ryanodine receptor 1 isoform X4")</f>
        <v>ryanodine receptor 1 isoform X4</v>
      </c>
      <c r="J218">
        <v>7398.9</v>
      </c>
      <c r="K218" t="s">
        <v>19</v>
      </c>
      <c r="L218">
        <v>276</v>
      </c>
      <c r="M218">
        <v>9.75</v>
      </c>
      <c r="N218">
        <v>70.78</v>
      </c>
      <c r="O218" t="s">
        <v>19</v>
      </c>
      <c r="P218" t="s">
        <v>20</v>
      </c>
      <c r="Q218" t="s">
        <v>19</v>
      </c>
      <c r="R218" t="str">
        <f>HYPERLINK("https://cfpub.epa.gov/ecotox/explore.cfm?ncbi=261503","Explore in ECOTOX")</f>
        <v>Explore in ECOTOX</v>
      </c>
    </row>
    <row r="219" spans="1:18" x14ac:dyDescent="0.45">
      <c r="A219" t="s">
        <v>1264</v>
      </c>
      <c r="B219">
        <v>8</v>
      </c>
      <c r="C219" t="str">
        <f>HYPERLINK("http://www.ncbi.nlm.nih.gov/protein/KAG9348369.1","KAG9348369.1")</f>
        <v>KAG9348369.1</v>
      </c>
      <c r="D219">
        <v>28330</v>
      </c>
      <c r="E219" t="str">
        <f>HYPERLINK("http://www.ncbi.nlm.nih.gov/Taxonomy/Browser/wwwtax.cgi?mode=Info&amp;id=121402&amp;lvl=3&amp;lin=f&amp;keep=1&amp;srchmode=1&amp;unlock","121402")</f>
        <v>121402</v>
      </c>
      <c r="F219" t="s">
        <v>17</v>
      </c>
      <c r="G219" t="str">
        <f>HYPERLINK("http://www.ncbi.nlm.nih.gov/Taxonomy/Browser/wwwtax.cgi?mode=Info&amp;id=121402&amp;lvl=3&amp;lin=f&amp;keep=1&amp;srchmode=1&amp;unlock","Albula glossodonta")</f>
        <v>Albula glossodonta</v>
      </c>
      <c r="H219" t="s">
        <v>234</v>
      </c>
      <c r="I219" t="str">
        <f>HYPERLINK("http://www.ncbi.nlm.nih.gov/protein/KAG9348369.1","hypothetical protein JZ751_002104, partial")</f>
        <v>hypothetical protein JZ751_002104, partial</v>
      </c>
      <c r="J219">
        <v>7166.62</v>
      </c>
      <c r="K219" t="s">
        <v>19</v>
      </c>
      <c r="L219">
        <v>276</v>
      </c>
      <c r="M219">
        <v>9.75</v>
      </c>
      <c r="N219">
        <v>68.55</v>
      </c>
      <c r="O219" t="s">
        <v>19</v>
      </c>
      <c r="P219" t="s">
        <v>20</v>
      </c>
      <c r="Q219" t="s">
        <v>19</v>
      </c>
      <c r="R219" t="str">
        <f>HYPERLINK("https://cfpub.epa.gov/ecotox/explore.cfm?ncbi=121402","Explore in ECOTOX")</f>
        <v>Explore in ECOTOX</v>
      </c>
    </row>
    <row r="220" spans="1:18" x14ac:dyDescent="0.45">
      <c r="A220" t="s">
        <v>1264</v>
      </c>
      <c r="B220">
        <v>8</v>
      </c>
      <c r="C220" t="str">
        <f>HYPERLINK("http://www.ncbi.nlm.nih.gov/protein/ROL54263.1","ROL54263.1")</f>
        <v>ROL54263.1</v>
      </c>
      <c r="D220">
        <v>23913</v>
      </c>
      <c r="E220" t="str">
        <f>HYPERLINK("http://www.ncbi.nlm.nih.gov/Taxonomy/Browser/wwwtax.cgi?mode=Info&amp;id=495550&amp;lvl=3&amp;lin=f&amp;keep=1&amp;srchmode=1&amp;unlock","495550")</f>
        <v>495550</v>
      </c>
      <c r="F220" t="s">
        <v>17</v>
      </c>
      <c r="G220" t="str">
        <f>HYPERLINK("http://www.ncbi.nlm.nih.gov/Taxonomy/Browser/wwwtax.cgi?mode=Info&amp;id=495550&amp;lvl=3&amp;lin=f&amp;keep=1&amp;srchmode=1&amp;unlock","Anabarilius grahami")</f>
        <v>Anabarilius grahami</v>
      </c>
      <c r="H220" t="s">
        <v>21</v>
      </c>
      <c r="I220" t="str">
        <f>HYPERLINK("http://www.ncbi.nlm.nih.gov/protein/ROL54263.1","Ryanodine receptor 3")</f>
        <v>Ryanodine receptor 3</v>
      </c>
      <c r="J220">
        <v>7133.11</v>
      </c>
      <c r="K220" t="s">
        <v>22</v>
      </c>
      <c r="L220">
        <v>276</v>
      </c>
      <c r="M220">
        <v>9.75</v>
      </c>
      <c r="N220">
        <v>68.23</v>
      </c>
      <c r="O220" t="s">
        <v>19</v>
      </c>
      <c r="P220" t="s">
        <v>20</v>
      </c>
      <c r="Q220" t="s">
        <v>19</v>
      </c>
      <c r="R220" t="str">
        <f>HYPERLINK("https://cfpub.epa.gov/ecotox/explore.cfm?ncbi=495550","Explore in ECOTOX")</f>
        <v>Explore in ECOTOX</v>
      </c>
    </row>
    <row r="221" spans="1:18" x14ac:dyDescent="0.45">
      <c r="A221" t="s">
        <v>1264</v>
      </c>
      <c r="B221">
        <v>8</v>
      </c>
      <c r="C221" t="str">
        <f>HYPERLINK("http://www.ncbi.nlm.nih.gov/protein/KAJ3591316.1","KAJ3591316.1")</f>
        <v>KAJ3591316.1</v>
      </c>
      <c r="D221">
        <v>34688</v>
      </c>
      <c r="E221" t="str">
        <f>HYPERLINK("http://www.ncbi.nlm.nih.gov/Taxonomy/Browser/wwwtax.cgi?mode=Info&amp;id=630683&amp;lvl=3&amp;lin=f&amp;keep=1&amp;srchmode=1&amp;unlock","630683")</f>
        <v>630683</v>
      </c>
      <c r="F221" t="s">
        <v>17</v>
      </c>
      <c r="G221" t="str">
        <f>HYPERLINK("http://www.ncbi.nlm.nih.gov/Taxonomy/Browser/wwwtax.cgi?mode=Info&amp;id=630683&amp;lvl=3&amp;lin=f&amp;keep=1&amp;srchmode=1&amp;unlock","Muraenolepis orangiensis")</f>
        <v>Muraenolepis orangiensis</v>
      </c>
      <c r="H221" t="s">
        <v>235</v>
      </c>
      <c r="I221" t="str">
        <f>HYPERLINK("http://www.ncbi.nlm.nih.gov/protein/KAJ3591316.1","hypothetical protein NHX12_009262, partial")</f>
        <v>hypothetical protein NHX12_009262, partial</v>
      </c>
      <c r="J221">
        <v>6954.76</v>
      </c>
      <c r="K221" t="s">
        <v>22</v>
      </c>
      <c r="L221">
        <v>276</v>
      </c>
      <c r="M221">
        <v>9.75</v>
      </c>
      <c r="N221">
        <v>66.53</v>
      </c>
      <c r="O221" t="s">
        <v>19</v>
      </c>
      <c r="P221" t="s">
        <v>20</v>
      </c>
      <c r="Q221" t="s">
        <v>19</v>
      </c>
      <c r="R221" t="str">
        <f>HYPERLINK("https://cfpub.epa.gov/ecotox/explore.cfm?ncbi=630683","Explore in ECOTOX")</f>
        <v>Explore in ECOTOX</v>
      </c>
    </row>
    <row r="222" spans="1:18" x14ac:dyDescent="0.45">
      <c r="A222" t="s">
        <v>1264</v>
      </c>
      <c r="B222">
        <v>8</v>
      </c>
      <c r="C222" t="str">
        <f>HYPERLINK("http://www.ncbi.nlm.nih.gov/protein/XP_043930092.1","XP_043930092.1")</f>
        <v>XP_043930092.1</v>
      </c>
      <c r="D222">
        <v>37426</v>
      </c>
      <c r="E222" t="str">
        <f>HYPERLINK("http://www.ncbi.nlm.nih.gov/Taxonomy/Browser/wwwtax.cgi?mode=Info&amp;id=7888&amp;lvl=3&amp;lin=f&amp;keep=1&amp;srchmode=1&amp;unlock","7888")</f>
        <v>7888</v>
      </c>
      <c r="F222" t="s">
        <v>236</v>
      </c>
      <c r="G222" t="str">
        <f>HYPERLINK("http://www.ncbi.nlm.nih.gov/Taxonomy/Browser/wwwtax.cgi?mode=Info&amp;id=7888&amp;lvl=3&amp;lin=f&amp;keep=1&amp;srchmode=1&amp;unlock","Protopterus annectens")</f>
        <v>Protopterus annectens</v>
      </c>
      <c r="H222" t="s">
        <v>237</v>
      </c>
      <c r="I222" t="str">
        <f>HYPERLINK("http://www.ncbi.nlm.nih.gov/protein/XP_043930092.1","ryanodine receptor 3")</f>
        <v>ryanodine receptor 3</v>
      </c>
      <c r="J222">
        <v>6944.75</v>
      </c>
      <c r="K222" t="s">
        <v>22</v>
      </c>
      <c r="L222">
        <v>276</v>
      </c>
      <c r="M222">
        <v>9.75</v>
      </c>
      <c r="N222">
        <v>66.430000000000007</v>
      </c>
      <c r="O222" t="s">
        <v>19</v>
      </c>
      <c r="P222" t="s">
        <v>20</v>
      </c>
      <c r="Q222" t="s">
        <v>19</v>
      </c>
      <c r="R222" t="str">
        <f>HYPERLINK("https://cfpub.epa.gov/ecotox/explore.cfm?ncbi=7888","Explore in ECOTOX")</f>
        <v>Explore in ECOTOX</v>
      </c>
    </row>
    <row r="223" spans="1:18" x14ac:dyDescent="0.45">
      <c r="A223" t="s">
        <v>1264</v>
      </c>
      <c r="B223">
        <v>8</v>
      </c>
      <c r="C223" t="str">
        <f>HYPERLINK("http://www.ncbi.nlm.nih.gov/protein/XP_043551507.1","XP_043551507.1")</f>
        <v>XP_043551507.1</v>
      </c>
      <c r="D223">
        <v>47810</v>
      </c>
      <c r="E223" t="str">
        <f>HYPERLINK("http://www.ncbi.nlm.nih.gov/Taxonomy/Browser/wwwtax.cgi?mode=Info&amp;id=36176&amp;lvl=3&amp;lin=f&amp;keep=1&amp;srchmode=1&amp;unlock","36176")</f>
        <v>36176</v>
      </c>
      <c r="F223" t="s">
        <v>195</v>
      </c>
      <c r="G223" t="str">
        <f>HYPERLINK("http://www.ncbi.nlm.nih.gov/Taxonomy/Browser/wwwtax.cgi?mode=Info&amp;id=36176&amp;lvl=3&amp;lin=f&amp;keep=1&amp;srchmode=1&amp;unlock","Chiloscyllium plagiosum")</f>
        <v>Chiloscyllium plagiosum</v>
      </c>
      <c r="H223" t="s">
        <v>238</v>
      </c>
      <c r="I223" t="str">
        <f>HYPERLINK("http://www.ncbi.nlm.nih.gov/protein/XP_043551507.1","ryanodine receptor 2")</f>
        <v>ryanodine receptor 2</v>
      </c>
      <c r="J223">
        <v>6940.51</v>
      </c>
      <c r="K223" t="s">
        <v>22</v>
      </c>
      <c r="L223">
        <v>276</v>
      </c>
      <c r="M223">
        <v>9.75</v>
      </c>
      <c r="N223">
        <v>66.39</v>
      </c>
      <c r="O223" t="s">
        <v>19</v>
      </c>
      <c r="P223" t="s">
        <v>20</v>
      </c>
      <c r="Q223" t="s">
        <v>19</v>
      </c>
      <c r="R223" t="str">
        <f>HYPERLINK("https://cfpub.epa.gov/ecotox/explore.cfm?ncbi=36176","Explore in ECOTOX")</f>
        <v>Explore in ECOTOX</v>
      </c>
    </row>
    <row r="224" spans="1:18" x14ac:dyDescent="0.45">
      <c r="A224" t="s">
        <v>1264</v>
      </c>
      <c r="B224">
        <v>8</v>
      </c>
      <c r="C224" t="str">
        <f>HYPERLINK("http://www.ncbi.nlm.nih.gov/protein/GLD46825.1","GLD46825.1")</f>
        <v>GLD46825.1</v>
      </c>
      <c r="D224">
        <v>30118</v>
      </c>
      <c r="E224" t="str">
        <f>HYPERLINK("http://www.ncbi.nlm.nih.gov/Taxonomy/Browser/wwwtax.cgi?mode=Info&amp;id=270547&amp;lvl=3&amp;lin=f&amp;keep=1&amp;srchmode=1&amp;unlock","270547")</f>
        <v>270547</v>
      </c>
      <c r="F224" t="s">
        <v>17</v>
      </c>
      <c r="G224" t="str">
        <f>HYPERLINK("http://www.ncbi.nlm.nih.gov/Taxonomy/Browser/wwwtax.cgi?mode=Info&amp;id=270547&amp;lvl=3&amp;lin=f&amp;keep=1&amp;srchmode=1&amp;unlock","Lates japonicus")</f>
        <v>Lates japonicus</v>
      </c>
      <c r="H224" t="s">
        <v>239</v>
      </c>
      <c r="I224" t="str">
        <f>HYPERLINK("http://www.ncbi.nlm.nih.gov/protein/GLD46825.1","ryanodine receptor 1-like protein")</f>
        <v>ryanodine receptor 1-like protein</v>
      </c>
      <c r="J224">
        <v>6908.54</v>
      </c>
      <c r="K224" t="s">
        <v>22</v>
      </c>
      <c r="L224">
        <v>276</v>
      </c>
      <c r="M224">
        <v>9.75</v>
      </c>
      <c r="N224">
        <v>66.09</v>
      </c>
      <c r="O224" t="s">
        <v>19</v>
      </c>
      <c r="P224" t="s">
        <v>20</v>
      </c>
      <c r="Q224" t="s">
        <v>19</v>
      </c>
      <c r="R224" t="str">
        <f>HYPERLINK("https://cfpub.epa.gov/ecotox/explore.cfm?ncbi=270547","Explore in ECOTOX")</f>
        <v>Explore in ECOTOX</v>
      </c>
    </row>
    <row r="225" spans="1:18" x14ac:dyDescent="0.45">
      <c r="A225" t="s">
        <v>1264</v>
      </c>
      <c r="B225">
        <v>8</v>
      </c>
      <c r="C225" t="str">
        <f>HYPERLINK("http://www.ncbi.nlm.nih.gov/protein/XP_015218328.1","XP_015218328.1")</f>
        <v>XP_015218328.1</v>
      </c>
      <c r="D225">
        <v>41888</v>
      </c>
      <c r="E225" t="str">
        <f>HYPERLINK("http://www.ncbi.nlm.nih.gov/Taxonomy/Browser/wwwtax.cgi?mode=Info&amp;id=7918&amp;lvl=3&amp;lin=f&amp;keep=1&amp;srchmode=1&amp;unlock","7918")</f>
        <v>7918</v>
      </c>
      <c r="F225" t="s">
        <v>17</v>
      </c>
      <c r="G225" t="str">
        <f>HYPERLINK("http://www.ncbi.nlm.nih.gov/Taxonomy/Browser/wwwtax.cgi?mode=Info&amp;id=7918&amp;lvl=3&amp;lin=f&amp;keep=1&amp;srchmode=1&amp;unlock","Lepisosteus oculatus")</f>
        <v>Lepisosteus oculatus</v>
      </c>
      <c r="H225" t="s">
        <v>240</v>
      </c>
      <c r="I225" t="str">
        <f>HYPERLINK("http://www.ncbi.nlm.nih.gov/protein/XP_015218328.1","PREDICTED: ryanodine receptor 2 isoform X9")</f>
        <v>PREDICTED: ryanodine receptor 2 isoform X9</v>
      </c>
      <c r="J225">
        <v>6897.75</v>
      </c>
      <c r="K225" t="s">
        <v>22</v>
      </c>
      <c r="L225">
        <v>276</v>
      </c>
      <c r="M225">
        <v>9.75</v>
      </c>
      <c r="N225">
        <v>65.98</v>
      </c>
      <c r="O225" t="s">
        <v>19</v>
      </c>
      <c r="P225" t="s">
        <v>20</v>
      </c>
      <c r="Q225" t="s">
        <v>19</v>
      </c>
      <c r="R225" t="str">
        <f>HYPERLINK("https://cfpub.epa.gov/ecotox/explore.cfm?ncbi=7918","Explore in ECOTOX")</f>
        <v>Explore in ECOTOX</v>
      </c>
    </row>
    <row r="226" spans="1:18" x14ac:dyDescent="0.45">
      <c r="A226" t="s">
        <v>1264</v>
      </c>
      <c r="B226">
        <v>8</v>
      </c>
      <c r="C226" t="str">
        <f>HYPERLINK("http://www.ncbi.nlm.nih.gov/protein/XP_040524431.1","XP_040524431.1")</f>
        <v>XP_040524431.1</v>
      </c>
      <c r="D226">
        <v>150505</v>
      </c>
      <c r="E226" t="str">
        <f>HYPERLINK("http://www.ncbi.nlm.nih.gov/Taxonomy/Browser/wwwtax.cgi?mode=Info&amp;id=9031&amp;lvl=3&amp;lin=f&amp;keep=1&amp;srchmode=1&amp;unlock","9031")</f>
        <v>9031</v>
      </c>
      <c r="F226" t="s">
        <v>241</v>
      </c>
      <c r="G226" t="str">
        <f>HYPERLINK("http://www.ncbi.nlm.nih.gov/Taxonomy/Browser/wwwtax.cgi?mode=Info&amp;id=9031&amp;lvl=3&amp;lin=f&amp;keep=1&amp;srchmode=1&amp;unlock","Gallus gallus")</f>
        <v>Gallus gallus</v>
      </c>
      <c r="H226" t="s">
        <v>242</v>
      </c>
      <c r="I226" t="str">
        <f>HYPERLINK("http://www.ncbi.nlm.nih.gov/protein/XP_040524431.1","ryanodine receptor 2 isoform X12")</f>
        <v>ryanodine receptor 2 isoform X12</v>
      </c>
      <c r="J226">
        <v>6890.82</v>
      </c>
      <c r="K226" t="s">
        <v>22</v>
      </c>
      <c r="L226">
        <v>276</v>
      </c>
      <c r="M226">
        <v>9.75</v>
      </c>
      <c r="N226">
        <v>65.92</v>
      </c>
      <c r="O226" t="s">
        <v>19</v>
      </c>
      <c r="P226" t="s">
        <v>20</v>
      </c>
      <c r="Q226" t="s">
        <v>19</v>
      </c>
      <c r="R226" t="str">
        <f>HYPERLINK("https://cfpub.epa.gov/ecotox/explore.cfm?ncbi=9031","Explore in ECOTOX")</f>
        <v>Explore in ECOTOX</v>
      </c>
    </row>
    <row r="227" spans="1:18" x14ac:dyDescent="0.45">
      <c r="A227" t="s">
        <v>1264</v>
      </c>
      <c r="B227">
        <v>8</v>
      </c>
      <c r="C227" t="str">
        <f>HYPERLINK("http://www.ncbi.nlm.nih.gov/protein/XP_021246752.1","XP_021246752.1")</f>
        <v>XP_021246752.1</v>
      </c>
      <c r="D227">
        <v>43424</v>
      </c>
      <c r="E227" t="str">
        <f>HYPERLINK("http://www.ncbi.nlm.nih.gov/Taxonomy/Browser/wwwtax.cgi?mode=Info&amp;id=8996&amp;lvl=3&amp;lin=f&amp;keep=1&amp;srchmode=1&amp;unlock","8996")</f>
        <v>8996</v>
      </c>
      <c r="F227" t="s">
        <v>241</v>
      </c>
      <c r="G227" t="str">
        <f>HYPERLINK("http://www.ncbi.nlm.nih.gov/Taxonomy/Browser/wwwtax.cgi?mode=Info&amp;id=8996&amp;lvl=3&amp;lin=f&amp;keep=1&amp;srchmode=1&amp;unlock","Numida meleagris")</f>
        <v>Numida meleagris</v>
      </c>
      <c r="H227" t="s">
        <v>243</v>
      </c>
      <c r="I227" t="str">
        <f>HYPERLINK("http://www.ncbi.nlm.nih.gov/protein/XP_021246752.1","ryanodine receptor 2 isoform X7")</f>
        <v>ryanodine receptor 2 isoform X7</v>
      </c>
      <c r="J227">
        <v>6883.89</v>
      </c>
      <c r="K227" t="s">
        <v>22</v>
      </c>
      <c r="L227">
        <v>276</v>
      </c>
      <c r="M227">
        <v>9.75</v>
      </c>
      <c r="N227">
        <v>65.849999999999994</v>
      </c>
      <c r="O227" t="s">
        <v>19</v>
      </c>
      <c r="P227" t="s">
        <v>20</v>
      </c>
      <c r="Q227" t="s">
        <v>19</v>
      </c>
      <c r="R227" t="str">
        <f>HYPERLINK("https://cfpub.epa.gov/ecotox/explore.cfm?ncbi=8996","Explore in ECOTOX")</f>
        <v>Explore in ECOTOX</v>
      </c>
    </row>
    <row r="228" spans="1:18" x14ac:dyDescent="0.45">
      <c r="A228" t="s">
        <v>1264</v>
      </c>
      <c r="B228">
        <v>8</v>
      </c>
      <c r="C228" t="str">
        <f>HYPERLINK("http://www.ncbi.nlm.nih.gov/protein/XP_041603418.1","XP_041603418.1")</f>
        <v>XP_041603418.1</v>
      </c>
      <c r="D228">
        <v>52976</v>
      </c>
      <c r="E228" t="str">
        <f>HYPERLINK("http://www.ncbi.nlm.nih.gov/Taxonomy/Browser/wwwtax.cgi?mode=Info&amp;id=494514&amp;lvl=3&amp;lin=f&amp;keep=1&amp;srchmode=1&amp;unlock","494514")</f>
        <v>494514</v>
      </c>
      <c r="F228" t="s">
        <v>96</v>
      </c>
      <c r="G228" t="str">
        <f>HYPERLINK("http://www.ncbi.nlm.nih.gov/Taxonomy/Browser/wwwtax.cgi?mode=Info&amp;id=494514&amp;lvl=3&amp;lin=f&amp;keep=1&amp;srchmode=1&amp;unlock","Vulpes lagopus")</f>
        <v>Vulpes lagopus</v>
      </c>
      <c r="H228" t="s">
        <v>244</v>
      </c>
      <c r="I228" t="str">
        <f>HYPERLINK("http://www.ncbi.nlm.nih.gov/protein/XP_041603418.1","ryanodine receptor 2 isoform X7")</f>
        <v>ryanodine receptor 2 isoform X7</v>
      </c>
      <c r="J228">
        <v>6877.72</v>
      </c>
      <c r="K228" t="s">
        <v>22</v>
      </c>
      <c r="L228">
        <v>276</v>
      </c>
      <c r="M228">
        <v>9.75</v>
      </c>
      <c r="N228">
        <v>65.790000000000006</v>
      </c>
      <c r="O228" t="s">
        <v>19</v>
      </c>
      <c r="P228" t="s">
        <v>20</v>
      </c>
      <c r="Q228" t="s">
        <v>19</v>
      </c>
      <c r="R228" t="str">
        <f>HYPERLINK("https://cfpub.epa.gov/ecotox/explore.cfm?ncbi=494514","Explore in ECOTOX")</f>
        <v>Explore in ECOTOX</v>
      </c>
    </row>
    <row r="229" spans="1:18" x14ac:dyDescent="0.45">
      <c r="A229" t="s">
        <v>1264</v>
      </c>
      <c r="B229">
        <v>8</v>
      </c>
      <c r="C229" t="str">
        <f>HYPERLINK("http://www.ncbi.nlm.nih.gov/protein/XP_031448184.1","XP_031448184.1")</f>
        <v>XP_031448184.1</v>
      </c>
      <c r="D229">
        <v>29436</v>
      </c>
      <c r="E229" t="str">
        <f>HYPERLINK("http://www.ncbi.nlm.nih.gov/Taxonomy/Browser/wwwtax.cgi?mode=Info&amp;id=9054&amp;lvl=3&amp;lin=f&amp;keep=1&amp;srchmode=1&amp;unlock","9054")</f>
        <v>9054</v>
      </c>
      <c r="F229" t="s">
        <v>241</v>
      </c>
      <c r="G229" t="str">
        <f>HYPERLINK("http://www.ncbi.nlm.nih.gov/Taxonomy/Browser/wwwtax.cgi?mode=Info&amp;id=9054&amp;lvl=3&amp;lin=f&amp;keep=1&amp;srchmode=1&amp;unlock","Phasianus colchicus")</f>
        <v>Phasianus colchicus</v>
      </c>
      <c r="H229" t="s">
        <v>245</v>
      </c>
      <c r="I229" t="str">
        <f>HYPERLINK("http://www.ncbi.nlm.nih.gov/protein/XP_031448184.1","ryanodine receptor 2")</f>
        <v>ryanodine receptor 2</v>
      </c>
      <c r="J229">
        <v>6874.64</v>
      </c>
      <c r="K229" t="s">
        <v>22</v>
      </c>
      <c r="L229">
        <v>276</v>
      </c>
      <c r="M229">
        <v>9.75</v>
      </c>
      <c r="N229">
        <v>65.760000000000005</v>
      </c>
      <c r="O229" t="s">
        <v>19</v>
      </c>
      <c r="P229" t="s">
        <v>20</v>
      </c>
      <c r="Q229" t="s">
        <v>19</v>
      </c>
      <c r="R229" t="str">
        <f>HYPERLINK("https://cfpub.epa.gov/ecotox/explore.cfm?ncbi=9054","Explore in ECOTOX")</f>
        <v>Explore in ECOTOX</v>
      </c>
    </row>
    <row r="230" spans="1:18" x14ac:dyDescent="0.45">
      <c r="A230" t="s">
        <v>1264</v>
      </c>
      <c r="B230">
        <v>8</v>
      </c>
      <c r="C230" t="str">
        <f>HYPERLINK("http://www.ncbi.nlm.nih.gov/protein/XP_038343237.1","XP_038343237.1")</f>
        <v>XP_038343237.1</v>
      </c>
      <c r="D230">
        <v>198466</v>
      </c>
      <c r="E230" t="str">
        <f>HYPERLINK("http://www.ncbi.nlm.nih.gov/Taxonomy/Browser/wwwtax.cgi?mode=Info&amp;id=9615&amp;lvl=3&amp;lin=f&amp;keep=1&amp;srchmode=1&amp;unlock","9615")</f>
        <v>9615</v>
      </c>
      <c r="F230" t="s">
        <v>96</v>
      </c>
      <c r="G230" t="str">
        <f>HYPERLINK("http://www.ncbi.nlm.nih.gov/Taxonomy/Browser/wwwtax.cgi?mode=Info&amp;id=9615&amp;lvl=3&amp;lin=f&amp;keep=1&amp;srchmode=1&amp;unlock","Canis lupus familiaris")</f>
        <v>Canis lupus familiaris</v>
      </c>
      <c r="H230" t="s">
        <v>246</v>
      </c>
      <c r="I230" t="str">
        <f>HYPERLINK("http://www.ncbi.nlm.nih.gov/protein/XP_038343237.1","ryanodine receptor 2 isoform X13")</f>
        <v>ryanodine receptor 2 isoform X13</v>
      </c>
      <c r="J230">
        <v>6873.87</v>
      </c>
      <c r="K230" t="s">
        <v>22</v>
      </c>
      <c r="L230">
        <v>276</v>
      </c>
      <c r="M230">
        <v>9.75</v>
      </c>
      <c r="N230">
        <v>65.75</v>
      </c>
      <c r="O230" t="s">
        <v>19</v>
      </c>
      <c r="P230" t="s">
        <v>20</v>
      </c>
      <c r="Q230" t="s">
        <v>19</v>
      </c>
      <c r="R230" t="str">
        <f>HYPERLINK("https://cfpub.epa.gov/ecotox/explore.cfm?ncbi=9615","Explore in ECOTOX")</f>
        <v>Explore in ECOTOX</v>
      </c>
    </row>
    <row r="231" spans="1:18" x14ac:dyDescent="0.45">
      <c r="A231" t="s">
        <v>1264</v>
      </c>
      <c r="B231">
        <v>8</v>
      </c>
      <c r="C231" t="str">
        <f>HYPERLINK("http://www.ncbi.nlm.nih.gov/protein/XP_032537665.1","XP_032537665.1")</f>
        <v>XP_032537665.1</v>
      </c>
      <c r="D231">
        <v>39420</v>
      </c>
      <c r="E231" t="str">
        <f>HYPERLINK("http://www.ncbi.nlm.nih.gov/Taxonomy/Browser/wwwtax.cgi?mode=Info&amp;id=296741&amp;lvl=3&amp;lin=f&amp;keep=1&amp;srchmode=1&amp;unlock","296741")</f>
        <v>296741</v>
      </c>
      <c r="F231" t="s">
        <v>241</v>
      </c>
      <c r="G231" t="str">
        <f>HYPERLINK("http://www.ncbi.nlm.nih.gov/Taxonomy/Browser/wwwtax.cgi?mode=Info&amp;id=296741&amp;lvl=3&amp;lin=f&amp;keep=1&amp;srchmode=1&amp;unlock","Chiroxiphia lanceolata")</f>
        <v>Chiroxiphia lanceolata</v>
      </c>
      <c r="H231" t="s">
        <v>247</v>
      </c>
      <c r="I231" t="str">
        <f>HYPERLINK("http://www.ncbi.nlm.nih.gov/protein/XP_032537665.1","ryanodine receptor 2 isoform X7")</f>
        <v>ryanodine receptor 2 isoform X7</v>
      </c>
      <c r="J231">
        <v>6873.1</v>
      </c>
      <c r="K231" t="s">
        <v>22</v>
      </c>
      <c r="L231">
        <v>276</v>
      </c>
      <c r="M231">
        <v>9.75</v>
      </c>
      <c r="N231">
        <v>65.75</v>
      </c>
      <c r="O231" t="s">
        <v>19</v>
      </c>
      <c r="P231" t="s">
        <v>20</v>
      </c>
      <c r="Q231" t="s">
        <v>19</v>
      </c>
      <c r="R231" t="str">
        <f>HYPERLINK("https://cfpub.epa.gov/ecotox/explore.cfm?ncbi=296741","Explore in ECOTOX")</f>
        <v>Explore in ECOTOX</v>
      </c>
    </row>
    <row r="232" spans="1:18" x14ac:dyDescent="0.45">
      <c r="A232" t="s">
        <v>1264</v>
      </c>
      <c r="B232">
        <v>8</v>
      </c>
      <c r="C232" t="str">
        <f>HYPERLINK("http://www.ncbi.nlm.nih.gov/protein/XP_060609854.1","XP_060609854.1")</f>
        <v>XP_060609854.1</v>
      </c>
      <c r="D232">
        <v>35822</v>
      </c>
      <c r="E232" t="str">
        <f>HYPERLINK("http://www.ncbi.nlm.nih.gov/Taxonomy/Browser/wwwtax.cgi?mode=Info&amp;id=2962859&amp;lvl=3&amp;lin=f&amp;keep=1&amp;srchmode=1&amp;unlock","2962859")</f>
        <v>2962859</v>
      </c>
      <c r="F232" t="s">
        <v>192</v>
      </c>
      <c r="G232" t="str">
        <f>HYPERLINK("http://www.ncbi.nlm.nih.gov/Taxonomy/Browser/wwwtax.cgi?mode=Info&amp;id=2962859&amp;lvl=3&amp;lin=f&amp;keep=1&amp;srchmode=1&amp;unlock","Anolis sagrei ordinatus")</f>
        <v>Anolis sagrei ordinatus</v>
      </c>
      <c r="H232" t="s">
        <v>248</v>
      </c>
      <c r="I232" t="str">
        <f>HYPERLINK("http://www.ncbi.nlm.nih.gov/protein/XP_060609854.1","ryanodine receptor 2")</f>
        <v>ryanodine receptor 2</v>
      </c>
      <c r="J232">
        <v>6872.33</v>
      </c>
      <c r="K232" t="s">
        <v>22</v>
      </c>
      <c r="L232">
        <v>276</v>
      </c>
      <c r="M232">
        <v>9.75</v>
      </c>
      <c r="N232">
        <v>65.739999999999995</v>
      </c>
      <c r="O232" t="s">
        <v>19</v>
      </c>
      <c r="P232" t="s">
        <v>20</v>
      </c>
      <c r="Q232" t="s">
        <v>19</v>
      </c>
      <c r="R232" t="str">
        <f>HYPERLINK("https://cfpub.epa.gov/ecotox/explore.cfm?ncbi=2962859","Explore in ECOTOX")</f>
        <v>Explore in ECOTOX</v>
      </c>
    </row>
    <row r="233" spans="1:18" x14ac:dyDescent="0.45">
      <c r="A233" t="s">
        <v>1264</v>
      </c>
      <c r="B233">
        <v>8</v>
      </c>
      <c r="C233" t="str">
        <f>HYPERLINK("http://www.ncbi.nlm.nih.gov/protein/XP_045393233.1","XP_045393233.1")</f>
        <v>XP_045393233.1</v>
      </c>
      <c r="D233">
        <v>45772</v>
      </c>
      <c r="E233" t="str">
        <f>HYPERLINK("http://www.ncbi.nlm.nih.gov/Taxonomy/Browser/wwwtax.cgi?mode=Info&amp;id=9447&amp;lvl=3&amp;lin=f&amp;keep=1&amp;srchmode=1&amp;unlock","9447")</f>
        <v>9447</v>
      </c>
      <c r="F233" t="s">
        <v>96</v>
      </c>
      <c r="G233" t="str">
        <f>HYPERLINK("http://www.ncbi.nlm.nih.gov/Taxonomy/Browser/wwwtax.cgi?mode=Info&amp;id=9447&amp;lvl=3&amp;lin=f&amp;keep=1&amp;srchmode=1&amp;unlock","Lemur catta")</f>
        <v>Lemur catta</v>
      </c>
      <c r="H233" t="s">
        <v>249</v>
      </c>
      <c r="I233" t="str">
        <f>HYPERLINK("http://www.ncbi.nlm.nih.gov/protein/XP_045393233.1","ryanodine receptor 2 isoform X2")</f>
        <v>ryanodine receptor 2 isoform X2</v>
      </c>
      <c r="J233">
        <v>6871.18</v>
      </c>
      <c r="K233" t="s">
        <v>22</v>
      </c>
      <c r="L233">
        <v>276</v>
      </c>
      <c r="M233">
        <v>9.75</v>
      </c>
      <c r="N233">
        <v>65.73</v>
      </c>
      <c r="O233" t="s">
        <v>19</v>
      </c>
      <c r="P233" t="s">
        <v>20</v>
      </c>
      <c r="Q233" t="s">
        <v>19</v>
      </c>
      <c r="R233" t="str">
        <f>HYPERLINK("https://cfpub.epa.gov/ecotox/explore.cfm?ncbi=9447","Explore in ECOTOX")</f>
        <v>Explore in ECOTOX</v>
      </c>
    </row>
    <row r="234" spans="1:18" x14ac:dyDescent="0.45">
      <c r="A234" t="s">
        <v>1264</v>
      </c>
      <c r="B234">
        <v>8</v>
      </c>
      <c r="C234" t="str">
        <f>HYPERLINK("http://www.ncbi.nlm.nih.gov/protein/XP_054018263.1","XP_054018263.1")</f>
        <v>XP_054018263.1</v>
      </c>
      <c r="D234">
        <v>37780</v>
      </c>
      <c r="E234" t="str">
        <f>HYPERLINK("http://www.ncbi.nlm.nih.gov/Taxonomy/Browser/wwwtax.cgi?mode=Info&amp;id=118200&amp;lvl=3&amp;lin=f&amp;keep=1&amp;srchmode=1&amp;unlock","118200")</f>
        <v>118200</v>
      </c>
      <c r="F234" t="s">
        <v>241</v>
      </c>
      <c r="G234" t="str">
        <f>HYPERLINK("http://www.ncbi.nlm.nih.gov/Taxonomy/Browser/wwwtax.cgi?mode=Info&amp;id=118200&amp;lvl=3&amp;lin=f&amp;keep=1&amp;srchmode=1&amp;unlock","Dryobates pubescens")</f>
        <v>Dryobates pubescens</v>
      </c>
      <c r="H234" t="s">
        <v>250</v>
      </c>
      <c r="I234" t="str">
        <f>HYPERLINK("http://www.ncbi.nlm.nih.gov/protein/XP_054018263.1","ryanodine receptor 2")</f>
        <v>ryanodine receptor 2</v>
      </c>
      <c r="J234">
        <v>6870.79</v>
      </c>
      <c r="K234" t="s">
        <v>22</v>
      </c>
      <c r="L234">
        <v>276</v>
      </c>
      <c r="M234">
        <v>9.75</v>
      </c>
      <c r="N234">
        <v>65.72</v>
      </c>
      <c r="O234" t="s">
        <v>19</v>
      </c>
      <c r="P234" t="s">
        <v>20</v>
      </c>
      <c r="Q234" t="s">
        <v>19</v>
      </c>
      <c r="R234" t="str">
        <f>HYPERLINK("https://cfpub.epa.gov/ecotox/explore.cfm?ncbi=118200","Explore in ECOTOX")</f>
        <v>Explore in ECOTOX</v>
      </c>
    </row>
    <row r="235" spans="1:18" x14ac:dyDescent="0.45">
      <c r="A235" t="s">
        <v>1264</v>
      </c>
      <c r="B235">
        <v>8</v>
      </c>
      <c r="C235" t="str">
        <f>HYPERLINK("http://www.ncbi.nlm.nih.gov/protein/XP_053156275.1","XP_053156275.1")</f>
        <v>XP_053156275.1</v>
      </c>
      <c r="D235">
        <v>71289</v>
      </c>
      <c r="E235" t="str">
        <f>HYPERLINK("http://www.ncbi.nlm.nih.gov/Taxonomy/Browser/wwwtax.cgi?mode=Info&amp;id=884348&amp;lvl=3&amp;lin=f&amp;keep=1&amp;srchmode=1&amp;unlock","884348")</f>
        <v>884348</v>
      </c>
      <c r="F235" t="s">
        <v>192</v>
      </c>
      <c r="G235" t="str">
        <f>HYPERLINK("http://www.ncbi.nlm.nih.gov/Taxonomy/Browser/wwwtax.cgi?mode=Info&amp;id=884348&amp;lvl=3&amp;lin=f&amp;keep=1&amp;srchmode=1&amp;unlock","Hemicordylus capensis")</f>
        <v>Hemicordylus capensis</v>
      </c>
      <c r="H235" t="s">
        <v>251</v>
      </c>
      <c r="I235" t="str">
        <f>HYPERLINK("http://www.ncbi.nlm.nih.gov/protein/XP_053156275.1","ryanodine receptor 2 isoform X14")</f>
        <v>ryanodine receptor 2 isoform X14</v>
      </c>
      <c r="J235">
        <v>6870.02</v>
      </c>
      <c r="K235" t="s">
        <v>22</v>
      </c>
      <c r="L235">
        <v>276</v>
      </c>
      <c r="M235">
        <v>9.75</v>
      </c>
      <c r="N235">
        <v>65.72</v>
      </c>
      <c r="O235" t="s">
        <v>19</v>
      </c>
      <c r="P235" t="s">
        <v>20</v>
      </c>
      <c r="Q235" t="s">
        <v>19</v>
      </c>
      <c r="R235" t="str">
        <f>HYPERLINK("https://cfpub.epa.gov/ecotox/explore.cfm?ncbi=884348","Explore in ECOTOX")</f>
        <v>Explore in ECOTOX</v>
      </c>
    </row>
    <row r="236" spans="1:18" x14ac:dyDescent="0.45">
      <c r="A236" t="s">
        <v>1264</v>
      </c>
      <c r="B236">
        <v>8</v>
      </c>
      <c r="C236" t="str">
        <f>HYPERLINK("http://www.ncbi.nlm.nih.gov/protein/XP_027513057.1","XP_027513057.1")</f>
        <v>XP_027513057.1</v>
      </c>
      <c r="D236">
        <v>39234</v>
      </c>
      <c r="E236" t="str">
        <f>HYPERLINK("http://www.ncbi.nlm.nih.gov/Taxonomy/Browser/wwwtax.cgi?mode=Info&amp;id=415028&amp;lvl=3&amp;lin=f&amp;keep=1&amp;srchmode=1&amp;unlock","415028")</f>
        <v>415028</v>
      </c>
      <c r="F236" t="s">
        <v>241</v>
      </c>
      <c r="G236" t="str">
        <f>HYPERLINK("http://www.ncbi.nlm.nih.gov/Taxonomy/Browser/wwwtax.cgi?mode=Info&amp;id=415028&amp;lvl=3&amp;lin=f&amp;keep=1&amp;srchmode=1&amp;unlock","Corapipo altera")</f>
        <v>Corapipo altera</v>
      </c>
      <c r="H236" t="s">
        <v>252</v>
      </c>
      <c r="I236" t="str">
        <f>HYPERLINK("http://www.ncbi.nlm.nih.gov/protein/XP_027513057.1","ryanodine receptor 2 isoform X4")</f>
        <v>ryanodine receptor 2 isoform X4</v>
      </c>
      <c r="J236">
        <v>6867.32</v>
      </c>
      <c r="K236" t="s">
        <v>22</v>
      </c>
      <c r="L236">
        <v>276</v>
      </c>
      <c r="M236">
        <v>9.75</v>
      </c>
      <c r="N236">
        <v>65.69</v>
      </c>
      <c r="O236" t="s">
        <v>19</v>
      </c>
      <c r="P236" t="s">
        <v>20</v>
      </c>
      <c r="Q236" t="s">
        <v>19</v>
      </c>
      <c r="R236" t="str">
        <f>HYPERLINK("https://cfpub.epa.gov/ecotox/explore.cfm?ncbi=415028","Explore in ECOTOX")</f>
        <v>Explore in ECOTOX</v>
      </c>
    </row>
    <row r="237" spans="1:18" x14ac:dyDescent="0.45">
      <c r="A237" t="s">
        <v>1264</v>
      </c>
      <c r="B237">
        <v>8</v>
      </c>
      <c r="C237" t="str">
        <f>HYPERLINK("http://www.ncbi.nlm.nih.gov/protein/XP_042134150.1","XP_042134150.1")</f>
        <v>XP_042134150.1</v>
      </c>
      <c r="D237">
        <v>54287</v>
      </c>
      <c r="E237" t="str">
        <f>HYPERLINK("http://www.ncbi.nlm.nih.gov/Taxonomy/Browser/wwwtax.cgi?mode=Info&amp;id=230844&amp;lvl=3&amp;lin=f&amp;keep=1&amp;srchmode=1&amp;unlock","230844")</f>
        <v>230844</v>
      </c>
      <c r="F237" t="s">
        <v>96</v>
      </c>
      <c r="G237" t="str">
        <f>HYPERLINK("http://www.ncbi.nlm.nih.gov/Taxonomy/Browser/wwwtax.cgi?mode=Info&amp;id=230844&amp;lvl=3&amp;lin=f&amp;keep=1&amp;srchmode=1&amp;unlock","Peromyscus maniculatus bairdii")</f>
        <v>Peromyscus maniculatus bairdii</v>
      </c>
      <c r="H237" t="s">
        <v>253</v>
      </c>
      <c r="I237" t="str">
        <f>HYPERLINK("http://www.ncbi.nlm.nih.gov/protein/XP_042134150.1","ryanodine receptor 2 isoform X5")</f>
        <v>ryanodine receptor 2 isoform X5</v>
      </c>
      <c r="J237">
        <v>6866.94</v>
      </c>
      <c r="K237" t="s">
        <v>22</v>
      </c>
      <c r="L237">
        <v>276</v>
      </c>
      <c r="M237">
        <v>9.75</v>
      </c>
      <c r="N237">
        <v>65.69</v>
      </c>
      <c r="O237" t="s">
        <v>19</v>
      </c>
      <c r="P237" t="s">
        <v>20</v>
      </c>
      <c r="Q237" t="s">
        <v>19</v>
      </c>
      <c r="R237" t="str">
        <f>HYPERLINK("https://cfpub.epa.gov/ecotox/explore.cfm?ncbi=230844","Explore in ECOTOX")</f>
        <v>Explore in ECOTOX</v>
      </c>
    </row>
    <row r="238" spans="1:18" x14ac:dyDescent="0.45">
      <c r="A238" t="s">
        <v>1264</v>
      </c>
      <c r="B238">
        <v>8</v>
      </c>
      <c r="C238" t="str">
        <f>HYPERLINK("http://www.ncbi.nlm.nih.gov/protein/XP_055164967.1","XP_055164967.1")</f>
        <v>XP_055164967.1</v>
      </c>
      <c r="D238">
        <v>73430</v>
      </c>
      <c r="E238" t="str">
        <f>HYPERLINK("http://www.ncbi.nlm.nih.gov/Taxonomy/Browser/wwwtax.cgi?mode=Info&amp;id=34880&amp;lvl=3&amp;lin=f&amp;keep=1&amp;srchmode=1&amp;unlock","34880")</f>
        <v>34880</v>
      </c>
      <c r="F238" t="s">
        <v>96</v>
      </c>
      <c r="G238" t="str">
        <f>HYPERLINK("http://www.ncbi.nlm.nih.gov/Taxonomy/Browser/wwwtax.cgi?mode=Info&amp;id=34880&amp;lvl=3&amp;lin=f&amp;keep=1&amp;srchmode=1&amp;unlock","Nyctereutes procyonoides")</f>
        <v>Nyctereutes procyonoides</v>
      </c>
      <c r="H238" t="s">
        <v>254</v>
      </c>
      <c r="I238" t="str">
        <f>HYPERLINK("http://www.ncbi.nlm.nih.gov/protein/XP_055164967.1","ryanodine receptor 2")</f>
        <v>ryanodine receptor 2</v>
      </c>
      <c r="J238">
        <v>6866.55</v>
      </c>
      <c r="K238" t="s">
        <v>22</v>
      </c>
      <c r="L238">
        <v>276</v>
      </c>
      <c r="M238">
        <v>9.75</v>
      </c>
      <c r="N238">
        <v>65.680000000000007</v>
      </c>
      <c r="O238" t="s">
        <v>19</v>
      </c>
      <c r="P238" t="s">
        <v>20</v>
      </c>
      <c r="Q238" t="s">
        <v>19</v>
      </c>
      <c r="R238" t="str">
        <f>HYPERLINK("https://cfpub.epa.gov/ecotox/explore.cfm?ncbi=34880","Explore in ECOTOX")</f>
        <v>Explore in ECOTOX</v>
      </c>
    </row>
    <row r="239" spans="1:18" x14ac:dyDescent="0.45">
      <c r="A239" t="s">
        <v>1264</v>
      </c>
      <c r="B239">
        <v>8</v>
      </c>
      <c r="C239" t="str">
        <f>HYPERLINK("http://www.ncbi.nlm.nih.gov/protein/XP_048341616.1","XP_048341616.1")</f>
        <v>XP_048341616.1</v>
      </c>
      <c r="D239">
        <v>38376</v>
      </c>
      <c r="E239" t="str">
        <f>HYPERLINK("http://www.ncbi.nlm.nih.gov/Taxonomy/Browser/wwwtax.cgi?mode=Info&amp;id=933632&amp;lvl=3&amp;lin=f&amp;keep=1&amp;srchmode=1&amp;unlock","933632")</f>
        <v>933632</v>
      </c>
      <c r="F239" t="s">
        <v>192</v>
      </c>
      <c r="G239" t="str">
        <f>HYPERLINK("http://www.ncbi.nlm.nih.gov/Taxonomy/Browser/wwwtax.cgi?mode=Info&amp;id=933632&amp;lvl=3&amp;lin=f&amp;keep=1&amp;srchmode=1&amp;unlock","Sphaerodactylus townsendi")</f>
        <v>Sphaerodactylus townsendi</v>
      </c>
      <c r="H239" t="s">
        <v>255</v>
      </c>
      <c r="I239" t="str">
        <f>HYPERLINK("http://www.ncbi.nlm.nih.gov/protein/XP_048341616.1","ryanodine receptor 2")</f>
        <v>ryanodine receptor 2</v>
      </c>
      <c r="J239">
        <v>6866.17</v>
      </c>
      <c r="K239" t="s">
        <v>22</v>
      </c>
      <c r="L239">
        <v>276</v>
      </c>
      <c r="M239">
        <v>9.75</v>
      </c>
      <c r="N239">
        <v>65.680000000000007</v>
      </c>
      <c r="O239" t="s">
        <v>19</v>
      </c>
      <c r="P239" t="s">
        <v>20</v>
      </c>
      <c r="Q239" t="s">
        <v>19</v>
      </c>
      <c r="R239" t="str">
        <f>HYPERLINK("https://cfpub.epa.gov/ecotox/explore.cfm?ncbi=933632","Explore in ECOTOX")</f>
        <v>Explore in ECOTOX</v>
      </c>
    </row>
    <row r="240" spans="1:18" x14ac:dyDescent="0.45">
      <c r="A240" t="s">
        <v>1264</v>
      </c>
      <c r="B240">
        <v>8</v>
      </c>
      <c r="C240" t="str">
        <f>HYPERLINK("http://www.ncbi.nlm.nih.gov/protein/XP_036043834.1","XP_036043834.1")</f>
        <v>XP_036043834.1</v>
      </c>
      <c r="D240">
        <v>43283</v>
      </c>
      <c r="E240" t="str">
        <f>HYPERLINK("http://www.ncbi.nlm.nih.gov/Taxonomy/Browser/wwwtax.cgi?mode=Info&amp;id=38674&amp;lvl=3&amp;lin=f&amp;keep=1&amp;srchmode=1&amp;unlock","38674")</f>
        <v>38674</v>
      </c>
      <c r="F240" t="s">
        <v>96</v>
      </c>
      <c r="G240" t="str">
        <f>HYPERLINK("http://www.ncbi.nlm.nih.gov/Taxonomy/Browser/wwwtax.cgi?mode=Info&amp;id=38674&amp;lvl=3&amp;lin=f&amp;keep=1&amp;srchmode=1&amp;unlock","Onychomys torridus")</f>
        <v>Onychomys torridus</v>
      </c>
      <c r="H240" t="s">
        <v>256</v>
      </c>
      <c r="I240" t="str">
        <f>HYPERLINK("http://www.ncbi.nlm.nih.gov/protein/XP_036043834.1","ryanodine receptor 2 isoform X7")</f>
        <v>ryanodine receptor 2 isoform X7</v>
      </c>
      <c r="J240">
        <v>6865.78</v>
      </c>
      <c r="K240" t="s">
        <v>22</v>
      </c>
      <c r="L240">
        <v>276</v>
      </c>
      <c r="M240">
        <v>9.75</v>
      </c>
      <c r="N240">
        <v>65.680000000000007</v>
      </c>
      <c r="O240" t="s">
        <v>19</v>
      </c>
      <c r="P240" t="s">
        <v>20</v>
      </c>
      <c r="Q240" t="s">
        <v>19</v>
      </c>
      <c r="R240" t="str">
        <f>HYPERLINK("https://cfpub.epa.gov/ecotox/explore.cfm?ncbi=38674","Explore in ECOTOX")</f>
        <v>Explore in ECOTOX</v>
      </c>
    </row>
    <row r="241" spans="1:18" x14ac:dyDescent="0.45">
      <c r="A241" t="s">
        <v>1264</v>
      </c>
      <c r="B241">
        <v>8</v>
      </c>
      <c r="C241" t="str">
        <f>HYPERLINK("http://www.ncbi.nlm.nih.gov/protein/XP_040453819.1","XP_040453819.1")</f>
        <v>XP_040453819.1</v>
      </c>
      <c r="D241">
        <v>41477</v>
      </c>
      <c r="E241" t="str">
        <f>HYPERLINK("http://www.ncbi.nlm.nih.gov/Taxonomy/Browser/wwwtax.cgi?mode=Info&amp;id=148594&amp;lvl=3&amp;lin=f&amp;keep=1&amp;srchmode=1&amp;unlock","148594")</f>
        <v>148594</v>
      </c>
      <c r="F241" t="s">
        <v>241</v>
      </c>
      <c r="G241" t="str">
        <f>HYPERLINK("http://www.ncbi.nlm.nih.gov/Taxonomy/Browser/wwwtax.cgi?mode=Info&amp;id=148594&amp;lvl=3&amp;lin=f&amp;keep=1&amp;srchmode=1&amp;unlock","Falco naumanni")</f>
        <v>Falco naumanni</v>
      </c>
      <c r="H241" t="s">
        <v>257</v>
      </c>
      <c r="I241" t="str">
        <f>HYPERLINK("http://www.ncbi.nlm.nih.gov/protein/XP_040453819.1","ryanodine receptor 2 isoform X10")</f>
        <v>ryanodine receptor 2 isoform X10</v>
      </c>
      <c r="J241">
        <v>6863.47</v>
      </c>
      <c r="K241" t="s">
        <v>22</v>
      </c>
      <c r="L241">
        <v>276</v>
      </c>
      <c r="M241">
        <v>9.75</v>
      </c>
      <c r="N241">
        <v>65.650000000000006</v>
      </c>
      <c r="O241" t="s">
        <v>19</v>
      </c>
      <c r="P241" t="s">
        <v>20</v>
      </c>
      <c r="Q241" t="s">
        <v>19</v>
      </c>
      <c r="R241" t="str">
        <f>HYPERLINK("https://cfpub.epa.gov/ecotox/explore.cfm?ncbi=148594","Explore in ECOTOX")</f>
        <v>Explore in ECOTOX</v>
      </c>
    </row>
    <row r="242" spans="1:18" x14ac:dyDescent="0.45">
      <c r="A242" t="s">
        <v>1264</v>
      </c>
      <c r="B242">
        <v>8</v>
      </c>
      <c r="C242" t="str">
        <f>HYPERLINK("http://www.ncbi.nlm.nih.gov/protein/XP_045007929.1","XP_045007929.1")</f>
        <v>XP_045007929.1</v>
      </c>
      <c r="D242">
        <v>45184</v>
      </c>
      <c r="E242" t="str">
        <f>HYPERLINK("http://www.ncbi.nlm.nih.gov/Taxonomy/Browser/wwwtax.cgi?mode=Info&amp;id=51337&amp;lvl=3&amp;lin=f&amp;keep=1&amp;srchmode=1&amp;unlock","51337")</f>
        <v>51337</v>
      </c>
      <c r="F242" t="s">
        <v>96</v>
      </c>
      <c r="G242" t="str">
        <f>HYPERLINK("http://www.ncbi.nlm.nih.gov/Taxonomy/Browser/wwwtax.cgi?mode=Info&amp;id=51337&amp;lvl=3&amp;lin=f&amp;keep=1&amp;srchmode=1&amp;unlock","Jaculus jaculus")</f>
        <v>Jaculus jaculus</v>
      </c>
      <c r="H242" t="s">
        <v>258</v>
      </c>
      <c r="I242" t="str">
        <f>HYPERLINK("http://www.ncbi.nlm.nih.gov/protein/XP_045007929.1","ryanodine receptor 2 isoform X2")</f>
        <v>ryanodine receptor 2 isoform X2</v>
      </c>
      <c r="J242">
        <v>6863.47</v>
      </c>
      <c r="K242" t="s">
        <v>22</v>
      </c>
      <c r="L242">
        <v>276</v>
      </c>
      <c r="M242">
        <v>9.75</v>
      </c>
      <c r="N242">
        <v>65.650000000000006</v>
      </c>
      <c r="O242" t="s">
        <v>19</v>
      </c>
      <c r="P242" t="s">
        <v>20</v>
      </c>
      <c r="Q242" t="s">
        <v>19</v>
      </c>
      <c r="R242" t="str">
        <f>HYPERLINK("https://cfpub.epa.gov/ecotox/explore.cfm?ncbi=51337","Explore in ECOTOX")</f>
        <v>Explore in ECOTOX</v>
      </c>
    </row>
    <row r="243" spans="1:18" x14ac:dyDescent="0.45">
      <c r="A243" t="s">
        <v>1264</v>
      </c>
      <c r="B243">
        <v>8</v>
      </c>
      <c r="C243" t="str">
        <f>HYPERLINK("http://www.ncbi.nlm.nih.gov/protein/XP_048964697.1","XP_048964697.1")</f>
        <v>XP_048964697.1</v>
      </c>
      <c r="D243">
        <v>74773</v>
      </c>
      <c r="E243" t="str">
        <f>HYPERLINK("http://www.ncbi.nlm.nih.gov/Taxonomy/Browser/wwwtax.cgi?mode=Info&amp;id=286419&amp;lvl=3&amp;lin=f&amp;keep=1&amp;srchmode=1&amp;unlock","286419")</f>
        <v>286419</v>
      </c>
      <c r="F243" t="s">
        <v>96</v>
      </c>
      <c r="G243" t="str">
        <f>HYPERLINK("http://www.ncbi.nlm.nih.gov/Taxonomy/Browser/wwwtax.cgi?mode=Info&amp;id=286419&amp;lvl=3&amp;lin=f&amp;keep=1&amp;srchmode=1&amp;unlock","Canis lupus dingo")</f>
        <v>Canis lupus dingo</v>
      </c>
      <c r="H243" t="s">
        <v>259</v>
      </c>
      <c r="I243" t="str">
        <f>HYPERLINK("http://www.ncbi.nlm.nih.gov/protein/XP_048964697.1","ryanodine receptor 2")</f>
        <v>ryanodine receptor 2</v>
      </c>
      <c r="J243">
        <v>6863.09</v>
      </c>
      <c r="K243" t="s">
        <v>22</v>
      </c>
      <c r="L243">
        <v>276</v>
      </c>
      <c r="M243">
        <v>9.75</v>
      </c>
      <c r="N243">
        <v>65.650000000000006</v>
      </c>
      <c r="O243" t="s">
        <v>19</v>
      </c>
      <c r="P243" t="s">
        <v>20</v>
      </c>
      <c r="Q243" t="s">
        <v>19</v>
      </c>
      <c r="R243" t="str">
        <f>HYPERLINK("https://cfpub.epa.gov/ecotox/explore.cfm?ncbi=286419","Explore in ECOTOX")</f>
        <v>Explore in ECOTOX</v>
      </c>
    </row>
    <row r="244" spans="1:18" x14ac:dyDescent="0.45">
      <c r="A244" t="s">
        <v>1264</v>
      </c>
      <c r="B244">
        <v>8</v>
      </c>
      <c r="C244" t="str">
        <f>HYPERLINK("http://www.ncbi.nlm.nih.gov/protein/XP_035136422.2","XP_035136422.2")</f>
        <v>XP_035136422.2</v>
      </c>
      <c r="D244">
        <v>85703</v>
      </c>
      <c r="E244" t="str">
        <f>HYPERLINK("http://www.ncbi.nlm.nih.gov/Taxonomy/Browser/wwwtax.cgi?mode=Info&amp;id=9483&amp;lvl=3&amp;lin=f&amp;keep=1&amp;srchmode=1&amp;unlock","9483")</f>
        <v>9483</v>
      </c>
      <c r="F244" t="s">
        <v>96</v>
      </c>
      <c r="G244" t="str">
        <f>HYPERLINK("http://www.ncbi.nlm.nih.gov/Taxonomy/Browser/wwwtax.cgi?mode=Info&amp;id=9483&amp;lvl=3&amp;lin=f&amp;keep=1&amp;srchmode=1&amp;unlock","Callithrix jacchus")</f>
        <v>Callithrix jacchus</v>
      </c>
      <c r="H244" t="s">
        <v>260</v>
      </c>
      <c r="I244" t="str">
        <f>HYPERLINK("http://www.ncbi.nlm.nih.gov/protein/XP_035136422.2","ryanodine receptor 2 isoform X17")</f>
        <v>ryanodine receptor 2 isoform X17</v>
      </c>
      <c r="J244">
        <v>6862.7</v>
      </c>
      <c r="K244" t="s">
        <v>22</v>
      </c>
      <c r="L244">
        <v>276</v>
      </c>
      <c r="M244">
        <v>9.75</v>
      </c>
      <c r="N244">
        <v>65.650000000000006</v>
      </c>
      <c r="O244" t="s">
        <v>19</v>
      </c>
      <c r="P244" t="s">
        <v>20</v>
      </c>
      <c r="Q244" t="s">
        <v>19</v>
      </c>
      <c r="R244" t="str">
        <f>HYPERLINK("https://cfpub.epa.gov/ecotox/explore.cfm?ncbi=9483","Explore in ECOTOX")</f>
        <v>Explore in ECOTOX</v>
      </c>
    </row>
    <row r="245" spans="1:18" x14ac:dyDescent="0.45">
      <c r="A245" t="s">
        <v>1264</v>
      </c>
      <c r="B245">
        <v>8</v>
      </c>
      <c r="C245" t="str">
        <f>HYPERLINK("http://www.ncbi.nlm.nih.gov/protein/XP_049724508.1","XP_049724508.1")</f>
        <v>XP_049724508.1</v>
      </c>
      <c r="D245">
        <v>53723</v>
      </c>
      <c r="E245" t="str">
        <f>HYPERLINK("http://www.ncbi.nlm.nih.gov/Taxonomy/Browser/wwwtax.cgi?mode=Info&amp;id=99487&amp;lvl=3&amp;lin=f&amp;keep=1&amp;srchmode=1&amp;unlock","99487")</f>
        <v>99487</v>
      </c>
      <c r="F245" t="s">
        <v>96</v>
      </c>
      <c r="G245" t="str">
        <f>HYPERLINK("http://www.ncbi.nlm.nih.gov/Taxonomy/Browser/wwwtax.cgi?mode=Info&amp;id=99487&amp;lvl=3&amp;lin=f&amp;keep=1&amp;srchmode=1&amp;unlock","Elephas maximus indicus")</f>
        <v>Elephas maximus indicus</v>
      </c>
      <c r="H245" t="s">
        <v>261</v>
      </c>
      <c r="I245" t="str">
        <f>HYPERLINK("http://www.ncbi.nlm.nih.gov/protein/XP_049724508.1","ryanodine receptor 2 isoform X3")</f>
        <v>ryanodine receptor 2 isoform X3</v>
      </c>
      <c r="J245">
        <v>6861.55</v>
      </c>
      <c r="K245" t="s">
        <v>22</v>
      </c>
      <c r="L245">
        <v>276</v>
      </c>
      <c r="M245">
        <v>9.75</v>
      </c>
      <c r="N245">
        <v>65.64</v>
      </c>
      <c r="O245" t="s">
        <v>19</v>
      </c>
      <c r="P245" t="s">
        <v>20</v>
      </c>
      <c r="Q245" t="s">
        <v>19</v>
      </c>
      <c r="R245" t="str">
        <f>HYPERLINK("https://cfpub.epa.gov/ecotox/explore.cfm?ncbi=99487","Explore in ECOTOX")</f>
        <v>Explore in ECOTOX</v>
      </c>
    </row>
    <row r="246" spans="1:18" x14ac:dyDescent="0.45">
      <c r="A246" t="s">
        <v>1264</v>
      </c>
      <c r="B246">
        <v>8</v>
      </c>
      <c r="C246" t="str">
        <f>HYPERLINK("http://www.ncbi.nlm.nih.gov/protein/XP_049644991.1","XP_049644991.1")</f>
        <v>XP_049644991.1</v>
      </c>
      <c r="D246">
        <v>26655</v>
      </c>
      <c r="E246" t="str">
        <f>HYPERLINK("http://www.ncbi.nlm.nih.gov/Taxonomy/Browser/wwwtax.cgi?mode=Info&amp;id=109475&amp;lvl=3&amp;lin=f&amp;keep=1&amp;srchmode=1&amp;unlock","109475")</f>
        <v>109475</v>
      </c>
      <c r="F246" t="s">
        <v>96</v>
      </c>
      <c r="G246" t="str">
        <f>HYPERLINK("http://www.ncbi.nlm.nih.gov/Taxonomy/Browser/wwwtax.cgi?mode=Info&amp;id=109475&amp;lvl=3&amp;lin=f&amp;keep=1&amp;srchmode=1&amp;unlock","Suncus etruscus")</f>
        <v>Suncus etruscus</v>
      </c>
      <c r="H246" t="s">
        <v>262</v>
      </c>
      <c r="I246" t="str">
        <f>HYPERLINK("http://www.ncbi.nlm.nih.gov/protein/XP_049644991.1","ryanodine receptor 2")</f>
        <v>ryanodine receptor 2</v>
      </c>
      <c r="J246">
        <v>6861.55</v>
      </c>
      <c r="K246" t="s">
        <v>22</v>
      </c>
      <c r="L246">
        <v>276</v>
      </c>
      <c r="M246">
        <v>9.75</v>
      </c>
      <c r="N246">
        <v>65.64</v>
      </c>
      <c r="O246" t="s">
        <v>19</v>
      </c>
      <c r="P246" t="s">
        <v>20</v>
      </c>
      <c r="Q246" t="s">
        <v>19</v>
      </c>
      <c r="R246" t="str">
        <f>HYPERLINK("https://cfpub.epa.gov/ecotox/explore.cfm?ncbi=109475","Explore in ECOTOX")</f>
        <v>Explore in ECOTOX</v>
      </c>
    </row>
    <row r="247" spans="1:18" x14ac:dyDescent="0.45">
      <c r="A247" t="s">
        <v>1264</v>
      </c>
      <c r="B247">
        <v>8</v>
      </c>
      <c r="C247" t="str">
        <f>HYPERLINK("http://www.ncbi.nlm.nih.gov/protein/XP_037247428.1","XP_037247428.1")</f>
        <v>XP_037247428.1</v>
      </c>
      <c r="D247">
        <v>41451</v>
      </c>
      <c r="E247" t="str">
        <f>HYPERLINK("http://www.ncbi.nlm.nih.gov/Taxonomy/Browser/wwwtax.cgi?mode=Info&amp;id=120794&amp;lvl=3&amp;lin=f&amp;keep=1&amp;srchmode=1&amp;unlock","120794")</f>
        <v>120794</v>
      </c>
      <c r="F247" t="s">
        <v>241</v>
      </c>
      <c r="G247" t="str">
        <f>HYPERLINK("http://www.ncbi.nlm.nih.gov/Taxonomy/Browser/wwwtax.cgi?mode=Info&amp;id=120794&amp;lvl=3&amp;lin=f&amp;keep=1&amp;srchmode=1&amp;unlock","Falco rusticolus")</f>
        <v>Falco rusticolus</v>
      </c>
      <c r="H247" t="s">
        <v>263</v>
      </c>
      <c r="I247" t="str">
        <f>HYPERLINK("http://www.ncbi.nlm.nih.gov/protein/XP_037247428.1","ryanodine receptor 2 isoform X11")</f>
        <v>ryanodine receptor 2 isoform X11</v>
      </c>
      <c r="J247">
        <v>6861.16</v>
      </c>
      <c r="K247" t="s">
        <v>22</v>
      </c>
      <c r="L247">
        <v>276</v>
      </c>
      <c r="M247">
        <v>9.75</v>
      </c>
      <c r="N247">
        <v>65.63</v>
      </c>
      <c r="O247" t="s">
        <v>19</v>
      </c>
      <c r="P247" t="s">
        <v>20</v>
      </c>
      <c r="Q247" t="s">
        <v>19</v>
      </c>
      <c r="R247" t="str">
        <f>HYPERLINK("https://cfpub.epa.gov/ecotox/explore.cfm?ncbi=120794","Explore in ECOTOX")</f>
        <v>Explore in ECOTOX</v>
      </c>
    </row>
    <row r="248" spans="1:18" x14ac:dyDescent="0.45">
      <c r="A248" t="s">
        <v>1264</v>
      </c>
      <c r="B248">
        <v>8</v>
      </c>
      <c r="C248" t="str">
        <f>HYPERLINK("http://www.ncbi.nlm.nih.gov/protein/XP_056200299.1","XP_056200299.1")</f>
        <v>XP_056200299.1</v>
      </c>
      <c r="D248">
        <v>41514</v>
      </c>
      <c r="E248" t="str">
        <f>HYPERLINK("http://www.ncbi.nlm.nih.gov/Taxonomy/Browser/wwwtax.cgi?mode=Info&amp;id=345155&amp;lvl=3&amp;lin=f&amp;keep=1&amp;srchmode=1&amp;unlock","345155")</f>
        <v>345155</v>
      </c>
      <c r="F248" t="s">
        <v>241</v>
      </c>
      <c r="G248" t="str">
        <f>HYPERLINK("http://www.ncbi.nlm.nih.gov/Taxonomy/Browser/wwwtax.cgi?mode=Info&amp;id=345155&amp;lvl=3&amp;lin=f&amp;keep=1&amp;srchmode=1&amp;unlock","Falco biarmicus")</f>
        <v>Falco biarmicus</v>
      </c>
      <c r="H248" t="s">
        <v>264</v>
      </c>
      <c r="I248" t="str">
        <f>HYPERLINK("http://www.ncbi.nlm.nih.gov/protein/XP_056200299.1","ryanodine receptor 2 isoform X4")</f>
        <v>ryanodine receptor 2 isoform X4</v>
      </c>
      <c r="J248">
        <v>6861.16</v>
      </c>
      <c r="K248" t="s">
        <v>22</v>
      </c>
      <c r="L248">
        <v>276</v>
      </c>
      <c r="M248">
        <v>9.75</v>
      </c>
      <c r="N248">
        <v>65.63</v>
      </c>
      <c r="O248" t="s">
        <v>19</v>
      </c>
      <c r="P248" t="s">
        <v>20</v>
      </c>
      <c r="Q248" t="s">
        <v>19</v>
      </c>
      <c r="R248" t="str">
        <f>HYPERLINK("https://cfpub.epa.gov/ecotox/explore.cfm?ncbi=345155","Explore in ECOTOX")</f>
        <v>Explore in ECOTOX</v>
      </c>
    </row>
    <row r="249" spans="1:18" x14ac:dyDescent="0.45">
      <c r="A249" t="s">
        <v>1264</v>
      </c>
      <c r="B249">
        <v>8</v>
      </c>
      <c r="C249" t="str">
        <f>HYPERLINK("http://www.ncbi.nlm.nih.gov/protein/XP_055570648.1","XP_055570648.1")</f>
        <v>XP_055570648.1</v>
      </c>
      <c r="D249">
        <v>43129</v>
      </c>
      <c r="E249" t="str">
        <f>HYPERLINK("http://www.ncbi.nlm.nih.gov/Taxonomy/Browser/wwwtax.cgi?mode=Info&amp;id=345164&amp;lvl=3&amp;lin=f&amp;keep=1&amp;srchmode=1&amp;unlock","345164")</f>
        <v>345164</v>
      </c>
      <c r="F249" t="s">
        <v>241</v>
      </c>
      <c r="G249" t="str">
        <f>HYPERLINK("http://www.ncbi.nlm.nih.gov/Taxonomy/Browser/wwwtax.cgi?mode=Info&amp;id=345164&amp;lvl=3&amp;lin=f&amp;keep=1&amp;srchmode=1&amp;unlock","Falco cherrug")</f>
        <v>Falco cherrug</v>
      </c>
      <c r="H249" t="s">
        <v>265</v>
      </c>
      <c r="I249" t="str">
        <f>HYPERLINK("http://www.ncbi.nlm.nih.gov/protein/XP_055570648.1","ryanodine receptor 2 isoform X4")</f>
        <v>ryanodine receptor 2 isoform X4</v>
      </c>
      <c r="J249">
        <v>6861.16</v>
      </c>
      <c r="K249" t="s">
        <v>22</v>
      </c>
      <c r="L249">
        <v>276</v>
      </c>
      <c r="M249">
        <v>9.75</v>
      </c>
      <c r="N249">
        <v>65.63</v>
      </c>
      <c r="O249" t="s">
        <v>19</v>
      </c>
      <c r="P249" t="s">
        <v>20</v>
      </c>
      <c r="Q249" t="s">
        <v>19</v>
      </c>
      <c r="R249" t="str">
        <f>HYPERLINK("https://cfpub.epa.gov/ecotox/explore.cfm?ncbi=345164","Explore in ECOTOX")</f>
        <v>Explore in ECOTOX</v>
      </c>
    </row>
    <row r="250" spans="1:18" x14ac:dyDescent="0.45">
      <c r="A250" t="s">
        <v>1264</v>
      </c>
      <c r="B250">
        <v>8</v>
      </c>
      <c r="C250" t="str">
        <f>HYPERLINK("http://www.ncbi.nlm.nih.gov/protein/XP_042651771.1","XP_042651771.1")</f>
        <v>XP_042651771.1</v>
      </c>
      <c r="D250">
        <v>53398</v>
      </c>
      <c r="E250" t="str">
        <f>HYPERLINK("http://www.ncbi.nlm.nih.gov/Taxonomy/Browser/wwwtax.cgi?mode=Info&amp;id=56313&amp;lvl=3&amp;lin=f&amp;keep=1&amp;srchmode=1&amp;unlock","56313")</f>
        <v>56313</v>
      </c>
      <c r="F250" t="s">
        <v>241</v>
      </c>
      <c r="G250" t="str">
        <f>HYPERLINK("http://www.ncbi.nlm.nih.gov/Taxonomy/Browser/wwwtax.cgi?mode=Info&amp;id=56313&amp;lvl=3&amp;lin=f&amp;keep=1&amp;srchmode=1&amp;unlock","Tyto alba")</f>
        <v>Tyto alba</v>
      </c>
      <c r="H250" t="s">
        <v>266</v>
      </c>
      <c r="I250" t="str">
        <f>HYPERLINK("http://www.ncbi.nlm.nih.gov/protein/XP_042651771.1","ryanodine receptor 2 isoform X7")</f>
        <v>ryanodine receptor 2 isoform X7</v>
      </c>
      <c r="J250">
        <v>6859.23</v>
      </c>
      <c r="K250" t="s">
        <v>22</v>
      </c>
      <c r="L250">
        <v>276</v>
      </c>
      <c r="M250">
        <v>9.75</v>
      </c>
      <c r="N250">
        <v>65.61</v>
      </c>
      <c r="O250" t="s">
        <v>19</v>
      </c>
      <c r="P250" t="s">
        <v>20</v>
      </c>
      <c r="Q250" t="s">
        <v>19</v>
      </c>
      <c r="R250" t="str">
        <f>HYPERLINK("https://cfpub.epa.gov/ecotox/explore.cfm?ncbi=56313","Explore in ECOTOX")</f>
        <v>Explore in ECOTOX</v>
      </c>
    </row>
    <row r="251" spans="1:18" x14ac:dyDescent="0.45">
      <c r="A251" t="s">
        <v>1264</v>
      </c>
      <c r="B251">
        <v>8</v>
      </c>
      <c r="C251" t="str">
        <f>HYPERLINK("http://www.ncbi.nlm.nih.gov/protein/XP_055667060.1","XP_055667060.1")</f>
        <v>XP_055667060.1</v>
      </c>
      <c r="D251">
        <v>42171</v>
      </c>
      <c r="E251" t="str">
        <f>HYPERLINK("http://www.ncbi.nlm.nih.gov/Taxonomy/Browser/wwwtax.cgi?mode=Info&amp;id=8954&amp;lvl=3&amp;lin=f&amp;keep=1&amp;srchmode=1&amp;unlock","8954")</f>
        <v>8954</v>
      </c>
      <c r="F251" t="s">
        <v>241</v>
      </c>
      <c r="G251" t="str">
        <f>HYPERLINK("http://www.ncbi.nlm.nih.gov/Taxonomy/Browser/wwwtax.cgi?mode=Info&amp;id=8954&amp;lvl=3&amp;lin=f&amp;keep=1&amp;srchmode=1&amp;unlock","Falco peregrinus")</f>
        <v>Falco peregrinus</v>
      </c>
      <c r="H251" t="s">
        <v>267</v>
      </c>
      <c r="I251" t="str">
        <f>HYPERLINK("http://www.ncbi.nlm.nih.gov/protein/XP_055667060.1","ryanodine receptor 2 isoform X4")</f>
        <v>ryanodine receptor 2 isoform X4</v>
      </c>
      <c r="J251">
        <v>6858.85</v>
      </c>
      <c r="K251" t="s">
        <v>22</v>
      </c>
      <c r="L251">
        <v>276</v>
      </c>
      <c r="M251">
        <v>9.75</v>
      </c>
      <c r="N251">
        <v>65.61</v>
      </c>
      <c r="O251" t="s">
        <v>19</v>
      </c>
      <c r="P251" t="s">
        <v>20</v>
      </c>
      <c r="Q251" t="s">
        <v>19</v>
      </c>
      <c r="R251" t="str">
        <f>HYPERLINK("https://cfpub.epa.gov/ecotox/explore.cfm?ncbi=8954","Explore in ECOTOX")</f>
        <v>Explore in ECOTOX</v>
      </c>
    </row>
    <row r="252" spans="1:18" x14ac:dyDescent="0.45">
      <c r="A252" t="s">
        <v>1264</v>
      </c>
      <c r="B252">
        <v>8</v>
      </c>
      <c r="C252" t="str">
        <f>HYPERLINK("http://www.ncbi.nlm.nih.gov/protein/XP_061087166.1","XP_061087166.1")</f>
        <v>XP_061087166.1</v>
      </c>
      <c r="D252">
        <v>71858</v>
      </c>
      <c r="E252" t="str">
        <f>HYPERLINK("http://www.ncbi.nlm.nih.gov/Taxonomy/Browser/wwwtax.cgi?mode=Info&amp;id=82655&amp;lvl=3&amp;lin=f&amp;keep=1&amp;srchmode=1&amp;unlock","82655")</f>
        <v>82655</v>
      </c>
      <c r="F252" t="s">
        <v>17</v>
      </c>
      <c r="G252" t="str">
        <f>HYPERLINK("http://www.ncbi.nlm.nih.gov/Taxonomy/Browser/wwwtax.cgi?mode=Info&amp;id=82655&amp;lvl=3&amp;lin=f&amp;keep=1&amp;srchmode=1&amp;unlock","Conger conger")</f>
        <v>Conger conger</v>
      </c>
      <c r="H252" t="s">
        <v>268</v>
      </c>
      <c r="I252" t="str">
        <f>HYPERLINK("http://www.ncbi.nlm.nih.gov/protein/XP_061087166.1","ryanodine receptor 2-like")</f>
        <v>ryanodine receptor 2-like</v>
      </c>
      <c r="J252">
        <v>6857.69</v>
      </c>
      <c r="K252" t="s">
        <v>22</v>
      </c>
      <c r="L252">
        <v>276</v>
      </c>
      <c r="M252">
        <v>9.75</v>
      </c>
      <c r="N252">
        <v>65.599999999999994</v>
      </c>
      <c r="O252" t="s">
        <v>19</v>
      </c>
      <c r="P252" t="s">
        <v>20</v>
      </c>
      <c r="Q252" t="s">
        <v>19</v>
      </c>
      <c r="R252" t="str">
        <f>HYPERLINK("https://cfpub.epa.gov/ecotox/explore.cfm?ncbi=82655","Explore in ECOTOX")</f>
        <v>Explore in ECOTOX</v>
      </c>
    </row>
    <row r="253" spans="1:18" x14ac:dyDescent="0.45">
      <c r="A253" t="s">
        <v>1264</v>
      </c>
      <c r="B253">
        <v>8</v>
      </c>
      <c r="C253" t="str">
        <f>HYPERLINK("http://www.ncbi.nlm.nih.gov/protein/XP_027540478.1","XP_027540478.1")</f>
        <v>XP_027540478.1</v>
      </c>
      <c r="D253">
        <v>39505</v>
      </c>
      <c r="E253" t="str">
        <f>HYPERLINK("http://www.ncbi.nlm.nih.gov/Taxonomy/Browser/wwwtax.cgi?mode=Info&amp;id=114329&amp;lvl=3&amp;lin=f&amp;keep=1&amp;srchmode=1&amp;unlock","114329")</f>
        <v>114329</v>
      </c>
      <c r="F253" t="s">
        <v>241</v>
      </c>
      <c r="G253" t="str">
        <f>HYPERLINK("http://www.ncbi.nlm.nih.gov/Taxonomy/Browser/wwwtax.cgi?mode=Info&amp;id=114329&amp;lvl=3&amp;lin=f&amp;keep=1&amp;srchmode=1&amp;unlock","Neopelma chrysocephalum")</f>
        <v>Neopelma chrysocephalum</v>
      </c>
      <c r="H253" t="s">
        <v>269</v>
      </c>
      <c r="I253" t="str">
        <f>HYPERLINK("http://www.ncbi.nlm.nih.gov/protein/XP_027540478.1","ryanodine receptor 2 isoform X9")</f>
        <v>ryanodine receptor 2 isoform X9</v>
      </c>
      <c r="J253">
        <v>6856.54</v>
      </c>
      <c r="K253" t="s">
        <v>22</v>
      </c>
      <c r="L253">
        <v>276</v>
      </c>
      <c r="M253">
        <v>9.75</v>
      </c>
      <c r="N253">
        <v>65.59</v>
      </c>
      <c r="O253" t="s">
        <v>19</v>
      </c>
      <c r="P253" t="s">
        <v>20</v>
      </c>
      <c r="Q253" t="s">
        <v>19</v>
      </c>
      <c r="R253" t="str">
        <f>HYPERLINK("https://cfpub.epa.gov/ecotox/explore.cfm?ncbi=114329","Explore in ECOTOX")</f>
        <v>Explore in ECOTOX</v>
      </c>
    </row>
    <row r="254" spans="1:18" x14ac:dyDescent="0.45">
      <c r="A254" t="s">
        <v>1264</v>
      </c>
      <c r="B254">
        <v>8</v>
      </c>
      <c r="C254" t="str">
        <f>HYPERLINK("http://www.ncbi.nlm.nih.gov/protein/XP_032098322.1","XP_032098322.1")</f>
        <v>XP_032098322.1</v>
      </c>
      <c r="D254">
        <v>62543</v>
      </c>
      <c r="E254" t="str">
        <f>HYPERLINK("http://www.ncbi.nlm.nih.gov/Taxonomy/Browser/wwwtax.cgi?mode=Info&amp;id=9515&amp;lvl=3&amp;lin=f&amp;keep=1&amp;srchmode=1&amp;unlock","9515")</f>
        <v>9515</v>
      </c>
      <c r="F254" t="s">
        <v>96</v>
      </c>
      <c r="G254" t="str">
        <f>HYPERLINK("http://www.ncbi.nlm.nih.gov/Taxonomy/Browser/wwwtax.cgi?mode=Info&amp;id=9515&amp;lvl=3&amp;lin=f&amp;keep=1&amp;srchmode=1&amp;unlock","Sapajus apella")</f>
        <v>Sapajus apella</v>
      </c>
      <c r="H254" t="s">
        <v>270</v>
      </c>
      <c r="I254" t="str">
        <f>HYPERLINK("http://www.ncbi.nlm.nih.gov/protein/XP_032098322.1","ryanodine receptor 2 isoform X12")</f>
        <v>ryanodine receptor 2 isoform X12</v>
      </c>
      <c r="J254">
        <v>6855.38</v>
      </c>
      <c r="K254" t="s">
        <v>22</v>
      </c>
      <c r="L254">
        <v>276</v>
      </c>
      <c r="M254">
        <v>9.75</v>
      </c>
      <c r="N254">
        <v>65.58</v>
      </c>
      <c r="O254" t="s">
        <v>19</v>
      </c>
      <c r="P254" t="s">
        <v>20</v>
      </c>
      <c r="Q254" t="s">
        <v>19</v>
      </c>
      <c r="R254" t="str">
        <f>HYPERLINK("https://cfpub.epa.gov/ecotox/explore.cfm?ncbi=9515","Explore in ECOTOX")</f>
        <v>Explore in ECOTOX</v>
      </c>
    </row>
    <row r="255" spans="1:18" x14ac:dyDescent="0.45">
      <c r="A255" t="s">
        <v>1264</v>
      </c>
      <c r="B255">
        <v>8</v>
      </c>
      <c r="C255" t="str">
        <f>HYPERLINK("http://www.ncbi.nlm.nih.gov/protein/KAK2522537.1","KAK2522537.1")</f>
        <v>KAK2522537.1</v>
      </c>
      <c r="D255">
        <v>69178</v>
      </c>
      <c r="E255" t="str">
        <f>HYPERLINK("http://www.ncbi.nlm.nih.gov/Taxonomy/Browser/wwwtax.cgi?mode=Info&amp;id=8932&amp;lvl=3&amp;lin=f&amp;keep=1&amp;srchmode=1&amp;unlock","8932")</f>
        <v>8932</v>
      </c>
      <c r="F255" t="s">
        <v>241</v>
      </c>
      <c r="G255" t="str">
        <f>HYPERLINK("http://www.ncbi.nlm.nih.gov/Taxonomy/Browser/wwwtax.cgi?mode=Info&amp;id=8932&amp;lvl=3&amp;lin=f&amp;keep=1&amp;srchmode=1&amp;unlock","Columba livia")</f>
        <v>Columba livia</v>
      </c>
      <c r="H255" t="s">
        <v>271</v>
      </c>
      <c r="I255" t="str">
        <f>HYPERLINK("http://www.ncbi.nlm.nih.gov/protein/KAK2522537.1","Ryr2")</f>
        <v>Ryr2</v>
      </c>
      <c r="J255">
        <v>6855</v>
      </c>
      <c r="K255" t="s">
        <v>22</v>
      </c>
      <c r="L255">
        <v>276</v>
      </c>
      <c r="M255">
        <v>9.75</v>
      </c>
      <c r="N255">
        <v>65.569999999999993</v>
      </c>
      <c r="O255" t="s">
        <v>19</v>
      </c>
      <c r="P255" t="s">
        <v>20</v>
      </c>
      <c r="Q255" t="s">
        <v>19</v>
      </c>
      <c r="R255" t="str">
        <f>HYPERLINK("https://cfpub.epa.gov/ecotox/explore.cfm?ncbi=8932","Explore in ECOTOX")</f>
        <v>Explore in ECOTOX</v>
      </c>
    </row>
    <row r="256" spans="1:18" x14ac:dyDescent="0.45">
      <c r="A256" t="s">
        <v>1264</v>
      </c>
      <c r="B256">
        <v>8</v>
      </c>
      <c r="C256" t="str">
        <f>HYPERLINK("http://www.ncbi.nlm.nih.gov/protein/XP_034284175.1","XP_034284175.1")</f>
        <v>XP_034284175.1</v>
      </c>
      <c r="D256">
        <v>45202</v>
      </c>
      <c r="E256" t="str">
        <f>HYPERLINK("http://www.ncbi.nlm.nih.gov/Taxonomy/Browser/wwwtax.cgi?mode=Info&amp;id=94885&amp;lvl=3&amp;lin=f&amp;keep=1&amp;srchmode=1&amp;unlock","94885")</f>
        <v>94885</v>
      </c>
      <c r="F256" t="s">
        <v>192</v>
      </c>
      <c r="G256" t="str">
        <f>HYPERLINK("http://www.ncbi.nlm.nih.gov/Taxonomy/Browser/wwwtax.cgi?mode=Info&amp;id=94885&amp;lvl=3&amp;lin=f&amp;keep=1&amp;srchmode=1&amp;unlock","Pantherophis guttatus")</f>
        <v>Pantherophis guttatus</v>
      </c>
      <c r="H256" t="s">
        <v>272</v>
      </c>
      <c r="I256" t="str">
        <f>HYPERLINK("http://www.ncbi.nlm.nih.gov/protein/XP_034284175.1","ryanodine receptor 2 isoform X3")</f>
        <v>ryanodine receptor 2 isoform X3</v>
      </c>
      <c r="J256">
        <v>6855</v>
      </c>
      <c r="K256" t="s">
        <v>22</v>
      </c>
      <c r="L256">
        <v>276</v>
      </c>
      <c r="M256">
        <v>9.75</v>
      </c>
      <c r="N256">
        <v>65.569999999999993</v>
      </c>
      <c r="O256" t="s">
        <v>19</v>
      </c>
      <c r="P256" t="s">
        <v>20</v>
      </c>
      <c r="Q256" t="s">
        <v>19</v>
      </c>
      <c r="R256" t="str">
        <f>HYPERLINK("https://cfpub.epa.gov/ecotox/explore.cfm?ncbi=94885","Explore in ECOTOX")</f>
        <v>Explore in ECOTOX</v>
      </c>
    </row>
    <row r="257" spans="1:18" x14ac:dyDescent="0.45">
      <c r="A257" t="s">
        <v>1264</v>
      </c>
      <c r="B257">
        <v>8</v>
      </c>
      <c r="C257" t="str">
        <f>HYPERLINK("http://www.ncbi.nlm.nih.gov/protein/XP_034620938.1","XP_034620938.1")</f>
        <v>XP_034620938.1</v>
      </c>
      <c r="D257">
        <v>42405</v>
      </c>
      <c r="E257" t="str">
        <f>HYPERLINK("http://www.ncbi.nlm.nih.gov/Taxonomy/Browser/wwwtax.cgi?mode=Info&amp;id=31138&amp;lvl=3&amp;lin=f&amp;keep=1&amp;srchmode=1&amp;unlock","31138")</f>
        <v>31138</v>
      </c>
      <c r="F257" t="s">
        <v>203</v>
      </c>
      <c r="G257" t="str">
        <f>HYPERLINK("http://www.ncbi.nlm.nih.gov/Taxonomy/Browser/wwwtax.cgi?mode=Info&amp;id=31138&amp;lvl=3&amp;lin=f&amp;keep=1&amp;srchmode=1&amp;unlock","Trachemys scripta elegans")</f>
        <v>Trachemys scripta elegans</v>
      </c>
      <c r="H257" t="s">
        <v>273</v>
      </c>
      <c r="I257" t="str">
        <f>HYPERLINK("http://www.ncbi.nlm.nih.gov/protein/XP_034620938.1","ryanodine receptor 2 isoform X10")</f>
        <v>ryanodine receptor 2 isoform X10</v>
      </c>
      <c r="J257">
        <v>6853.46</v>
      </c>
      <c r="K257" t="s">
        <v>22</v>
      </c>
      <c r="L257">
        <v>276</v>
      </c>
      <c r="M257">
        <v>9.75</v>
      </c>
      <c r="N257">
        <v>65.56</v>
      </c>
      <c r="O257" t="s">
        <v>19</v>
      </c>
      <c r="P257" t="s">
        <v>20</v>
      </c>
      <c r="Q257" t="s">
        <v>19</v>
      </c>
      <c r="R257" t="str">
        <f>HYPERLINK("https://cfpub.epa.gov/ecotox/explore.cfm?ncbi=31138","Explore in ECOTOX")</f>
        <v>Explore in ECOTOX</v>
      </c>
    </row>
    <row r="258" spans="1:18" x14ac:dyDescent="0.45">
      <c r="A258" t="s">
        <v>1264</v>
      </c>
      <c r="B258">
        <v>8</v>
      </c>
      <c r="C258" t="str">
        <f>HYPERLINK("http://www.ncbi.nlm.nih.gov/protein/XP_043452148.1","XP_043452148.1")</f>
        <v>XP_043452148.1</v>
      </c>
      <c r="D258">
        <v>52244</v>
      </c>
      <c r="E258" t="str">
        <f>HYPERLINK("http://www.ncbi.nlm.nih.gov/Taxonomy/Browser/wwwtax.cgi?mode=Info&amp;id=37029&amp;lvl=3&amp;lin=f&amp;keep=1&amp;srchmode=1&amp;unlock","37029")</f>
        <v>37029</v>
      </c>
      <c r="F258" t="s">
        <v>96</v>
      </c>
      <c r="G258" t="str">
        <f>HYPERLINK("http://www.ncbi.nlm.nih.gov/Taxonomy/Browser/wwwtax.cgi?mode=Info&amp;id=37029&amp;lvl=3&amp;lin=f&amp;keep=1&amp;srchmode=1&amp;unlock","Prionailurus bengalensis")</f>
        <v>Prionailurus bengalensis</v>
      </c>
      <c r="H258" t="s">
        <v>274</v>
      </c>
      <c r="I258" t="str">
        <f>HYPERLINK("http://www.ncbi.nlm.nih.gov/protein/XP_043452148.1","ryanodine receptor 2 isoform X9")</f>
        <v>ryanodine receptor 2 isoform X9</v>
      </c>
      <c r="J258">
        <v>6853.46</v>
      </c>
      <c r="K258" t="s">
        <v>22</v>
      </c>
      <c r="L258">
        <v>276</v>
      </c>
      <c r="M258">
        <v>9.75</v>
      </c>
      <c r="N258">
        <v>65.56</v>
      </c>
      <c r="O258" t="s">
        <v>19</v>
      </c>
      <c r="P258" t="s">
        <v>20</v>
      </c>
      <c r="Q258" t="s">
        <v>19</v>
      </c>
      <c r="R258" t="str">
        <f>HYPERLINK("https://cfpub.epa.gov/ecotox/explore.cfm?ncbi=37029","Explore in ECOTOX")</f>
        <v>Explore in ECOTOX</v>
      </c>
    </row>
    <row r="259" spans="1:18" x14ac:dyDescent="0.45">
      <c r="A259" t="s">
        <v>1264</v>
      </c>
      <c r="B259">
        <v>8</v>
      </c>
      <c r="C259" t="str">
        <f>HYPERLINK("http://www.ncbi.nlm.nih.gov/protein/XP_042673854.1","XP_042673854.1")</f>
        <v>XP_042673854.1</v>
      </c>
      <c r="D259">
        <v>31606</v>
      </c>
      <c r="E259" t="str">
        <f>HYPERLINK("http://www.ncbi.nlm.nih.gov/Taxonomy/Browser/wwwtax.cgi?mode=Info&amp;id=9002&amp;lvl=3&amp;lin=f&amp;keep=1&amp;srchmode=1&amp;unlock","9002")</f>
        <v>9002</v>
      </c>
      <c r="F259" t="s">
        <v>241</v>
      </c>
      <c r="G259" t="str">
        <f>HYPERLINK("http://www.ncbi.nlm.nih.gov/Taxonomy/Browser/wwwtax.cgi?mode=Info&amp;id=9002&amp;lvl=3&amp;lin=f&amp;keep=1&amp;srchmode=1&amp;unlock","Centrocercus urophasianus")</f>
        <v>Centrocercus urophasianus</v>
      </c>
      <c r="H259" t="s">
        <v>275</v>
      </c>
      <c r="I259" t="str">
        <f>HYPERLINK("http://www.ncbi.nlm.nih.gov/protein/XP_042673854.1","ryanodine receptor 2")</f>
        <v>ryanodine receptor 2</v>
      </c>
      <c r="J259">
        <v>6853.07</v>
      </c>
      <c r="K259" t="s">
        <v>22</v>
      </c>
      <c r="L259">
        <v>276</v>
      </c>
      <c r="M259">
        <v>9.75</v>
      </c>
      <c r="N259">
        <v>65.56</v>
      </c>
      <c r="O259" t="s">
        <v>19</v>
      </c>
      <c r="P259" t="s">
        <v>20</v>
      </c>
      <c r="Q259" t="s">
        <v>19</v>
      </c>
      <c r="R259" t="str">
        <f>HYPERLINK("https://cfpub.epa.gov/ecotox/explore.cfm?ncbi=9002","Explore in ECOTOX")</f>
        <v>Explore in ECOTOX</v>
      </c>
    </row>
    <row r="260" spans="1:18" x14ac:dyDescent="0.45">
      <c r="A260" t="s">
        <v>1264</v>
      </c>
      <c r="B260">
        <v>8</v>
      </c>
      <c r="C260" t="str">
        <f>HYPERLINK("http://www.ncbi.nlm.nih.gov/protein/XP_039320144.1","XP_039320144.1")</f>
        <v>XP_039320144.1</v>
      </c>
      <c r="D260">
        <v>45637</v>
      </c>
      <c r="E260" t="str">
        <f>HYPERLINK("http://www.ncbi.nlm.nih.gov/Taxonomy/Browser/wwwtax.cgi?mode=Info&amp;id=39432&amp;lvl=3&amp;lin=f&amp;keep=1&amp;srchmode=1&amp;unlock","39432")</f>
        <v>39432</v>
      </c>
      <c r="F260" t="s">
        <v>96</v>
      </c>
      <c r="G260" t="str">
        <f>HYPERLINK("http://www.ncbi.nlm.nih.gov/Taxonomy/Browser/wwwtax.cgi?mode=Info&amp;id=39432&amp;lvl=3&amp;lin=f&amp;keep=1&amp;srchmode=1&amp;unlock","Saimiri boliviensis boliviensis")</f>
        <v>Saimiri boliviensis boliviensis</v>
      </c>
      <c r="H260" t="s">
        <v>276</v>
      </c>
      <c r="I260" t="str">
        <f>HYPERLINK("http://www.ncbi.nlm.nih.gov/protein/XP_039320144.1","ryanodine receptor 2 isoform X2")</f>
        <v>ryanodine receptor 2 isoform X2</v>
      </c>
      <c r="J260">
        <v>6851.92</v>
      </c>
      <c r="K260" t="s">
        <v>22</v>
      </c>
      <c r="L260">
        <v>276</v>
      </c>
      <c r="M260">
        <v>9.75</v>
      </c>
      <c r="N260">
        <v>65.540000000000006</v>
      </c>
      <c r="O260" t="s">
        <v>19</v>
      </c>
      <c r="P260" t="s">
        <v>20</v>
      </c>
      <c r="Q260" t="s">
        <v>19</v>
      </c>
      <c r="R260" t="str">
        <f>HYPERLINK("https://cfpub.epa.gov/ecotox/explore.cfm?ncbi=39432","Explore in ECOTOX")</f>
        <v>Explore in ECOTOX</v>
      </c>
    </row>
    <row r="261" spans="1:18" x14ac:dyDescent="0.45">
      <c r="A261" t="s">
        <v>1264</v>
      </c>
      <c r="B261">
        <v>8</v>
      </c>
      <c r="C261" t="str">
        <f>HYPERLINK("http://www.ncbi.nlm.nih.gov/protein/XP_057164469.1","XP_057164469.1")</f>
        <v>XP_057164469.1</v>
      </c>
      <c r="D261">
        <v>57563</v>
      </c>
      <c r="E261" t="str">
        <f>HYPERLINK("http://www.ncbi.nlm.nih.gov/Taxonomy/Browser/wwwtax.cgi?mode=Info&amp;id=9644&amp;lvl=3&amp;lin=f&amp;keep=1&amp;srchmode=1&amp;unlock","9644")</f>
        <v>9644</v>
      </c>
      <c r="F261" t="s">
        <v>96</v>
      </c>
      <c r="G261" t="str">
        <f>HYPERLINK("http://www.ncbi.nlm.nih.gov/Taxonomy/Browser/wwwtax.cgi?mode=Info&amp;id=9644&amp;lvl=3&amp;lin=f&amp;keep=1&amp;srchmode=1&amp;unlock","Ursus arctos")</f>
        <v>Ursus arctos</v>
      </c>
      <c r="H261" t="s">
        <v>277</v>
      </c>
      <c r="I261" t="str">
        <f>HYPERLINK("http://www.ncbi.nlm.nih.gov/protein/XP_057164469.1","ryanodine receptor 2 isoform X2")</f>
        <v>ryanodine receptor 2 isoform X2</v>
      </c>
      <c r="J261">
        <v>6851.92</v>
      </c>
      <c r="K261" t="s">
        <v>22</v>
      </c>
      <c r="L261">
        <v>276</v>
      </c>
      <c r="M261">
        <v>9.75</v>
      </c>
      <c r="N261">
        <v>65.540000000000006</v>
      </c>
      <c r="O261" t="s">
        <v>19</v>
      </c>
      <c r="P261" t="s">
        <v>20</v>
      </c>
      <c r="Q261" t="s">
        <v>19</v>
      </c>
      <c r="R261" t="str">
        <f>HYPERLINK("https://cfpub.epa.gov/ecotox/explore.cfm?ncbi=9644","Explore in ECOTOX")</f>
        <v>Explore in ECOTOX</v>
      </c>
    </row>
    <row r="262" spans="1:18" x14ac:dyDescent="0.45">
      <c r="A262" t="s">
        <v>1264</v>
      </c>
      <c r="B262">
        <v>8</v>
      </c>
      <c r="C262" t="str">
        <f>HYPERLINK("http://www.ncbi.nlm.nih.gov/protein/XP_051639729.1","XP_051639729.1")</f>
        <v>XP_051639729.1</v>
      </c>
      <c r="D262">
        <v>44983</v>
      </c>
      <c r="E262" t="str">
        <f>HYPERLINK("http://www.ncbi.nlm.nih.gov/Taxonomy/Browser/wwwtax.cgi?mode=Info&amp;id=415023&amp;lvl=3&amp;lin=f&amp;keep=1&amp;srchmode=1&amp;unlock","415023")</f>
        <v>415023</v>
      </c>
      <c r="F262" t="s">
        <v>241</v>
      </c>
      <c r="G262" t="str">
        <f>HYPERLINK("http://www.ncbi.nlm.nih.gov/Taxonomy/Browser/wwwtax.cgi?mode=Info&amp;id=415023&amp;lvl=3&amp;lin=f&amp;keep=1&amp;srchmode=1&amp;unlock","Manacus candei")</f>
        <v>Manacus candei</v>
      </c>
      <c r="H262" t="s">
        <v>278</v>
      </c>
      <c r="I262" t="str">
        <f>HYPERLINK("http://www.ncbi.nlm.nih.gov/protein/XP_051639729.1","ryanodine receptor 2 isoform X2")</f>
        <v>ryanodine receptor 2 isoform X2</v>
      </c>
      <c r="J262">
        <v>6851.92</v>
      </c>
      <c r="K262" t="s">
        <v>22</v>
      </c>
      <c r="L262">
        <v>276</v>
      </c>
      <c r="M262">
        <v>9.75</v>
      </c>
      <c r="N262">
        <v>65.540000000000006</v>
      </c>
      <c r="O262" t="s">
        <v>19</v>
      </c>
      <c r="P262" t="s">
        <v>20</v>
      </c>
      <c r="Q262" t="s">
        <v>19</v>
      </c>
      <c r="R262" t="str">
        <f>HYPERLINK("https://cfpub.epa.gov/ecotox/explore.cfm?ncbi=415023","Explore in ECOTOX")</f>
        <v>Explore in ECOTOX</v>
      </c>
    </row>
    <row r="263" spans="1:18" x14ac:dyDescent="0.45">
      <c r="A263" t="s">
        <v>1264</v>
      </c>
      <c r="B263">
        <v>8</v>
      </c>
      <c r="C263" t="str">
        <f>HYPERLINK("http://www.ncbi.nlm.nih.gov/protein/XP_033056058.1","XP_033056058.1")</f>
        <v>XP_033056058.1</v>
      </c>
      <c r="D263">
        <v>64511</v>
      </c>
      <c r="E263" t="str">
        <f>HYPERLINK("http://www.ncbi.nlm.nih.gov/Taxonomy/Browser/wwwtax.cgi?mode=Info&amp;id=54180&amp;lvl=3&amp;lin=f&amp;keep=1&amp;srchmode=1&amp;unlock","54180")</f>
        <v>54180</v>
      </c>
      <c r="F263" t="s">
        <v>96</v>
      </c>
      <c r="G263" t="str">
        <f>HYPERLINK("http://www.ncbi.nlm.nih.gov/Taxonomy/Browser/wwwtax.cgi?mode=Info&amp;id=54180&amp;lvl=3&amp;lin=f&amp;keep=1&amp;srchmode=1&amp;unlock","Trachypithecus francoisi")</f>
        <v>Trachypithecus francoisi</v>
      </c>
      <c r="H263" t="s">
        <v>279</v>
      </c>
      <c r="I263" t="str">
        <f>HYPERLINK("http://www.ncbi.nlm.nih.gov/protein/XP_033056058.1","ryanodine receptor 2 isoform X8")</f>
        <v>ryanodine receptor 2 isoform X8</v>
      </c>
      <c r="J263">
        <v>6851.92</v>
      </c>
      <c r="K263" t="s">
        <v>22</v>
      </c>
      <c r="L263">
        <v>276</v>
      </c>
      <c r="M263">
        <v>9.75</v>
      </c>
      <c r="N263">
        <v>65.540000000000006</v>
      </c>
      <c r="O263" t="s">
        <v>19</v>
      </c>
      <c r="P263" t="s">
        <v>20</v>
      </c>
      <c r="Q263" t="s">
        <v>19</v>
      </c>
      <c r="R263" t="str">
        <f>HYPERLINK("https://cfpub.epa.gov/ecotox/explore.cfm?ncbi=54180","Explore in ECOTOX")</f>
        <v>Explore in ECOTOX</v>
      </c>
    </row>
    <row r="264" spans="1:18" x14ac:dyDescent="0.45">
      <c r="A264" t="s">
        <v>1264</v>
      </c>
      <c r="B264">
        <v>8</v>
      </c>
      <c r="C264" t="str">
        <f>HYPERLINK("http://www.ncbi.nlm.nih.gov/protein/XP_028715489.1","XP_028715489.1")</f>
        <v>XP_028715489.1</v>
      </c>
      <c r="D264">
        <v>48587</v>
      </c>
      <c r="E264" t="str">
        <f>HYPERLINK("http://www.ncbi.nlm.nih.gov/Taxonomy/Browser/wwwtax.cgi?mode=Info&amp;id=10041&amp;lvl=3&amp;lin=f&amp;keep=1&amp;srchmode=1&amp;unlock","10041")</f>
        <v>10041</v>
      </c>
      <c r="F264" t="s">
        <v>96</v>
      </c>
      <c r="G264" t="str">
        <f>HYPERLINK("http://www.ncbi.nlm.nih.gov/Taxonomy/Browser/wwwtax.cgi?mode=Info&amp;id=10041&amp;lvl=3&amp;lin=f&amp;keep=1&amp;srchmode=1&amp;unlock","Peromyscus leucopus")</f>
        <v>Peromyscus leucopus</v>
      </c>
      <c r="H264" t="s">
        <v>280</v>
      </c>
      <c r="I264" t="str">
        <f>HYPERLINK("http://www.ncbi.nlm.nih.gov/protein/XP_028715489.1","LOW QUALITY PROTEIN: ryanodine receptor 2")</f>
        <v>LOW QUALITY PROTEIN: ryanodine receptor 2</v>
      </c>
      <c r="J264">
        <v>6851.15</v>
      </c>
      <c r="K264" t="s">
        <v>22</v>
      </c>
      <c r="L264">
        <v>276</v>
      </c>
      <c r="M264">
        <v>9.75</v>
      </c>
      <c r="N264">
        <v>65.540000000000006</v>
      </c>
      <c r="O264" t="s">
        <v>19</v>
      </c>
      <c r="P264" t="s">
        <v>20</v>
      </c>
      <c r="Q264" t="s">
        <v>19</v>
      </c>
      <c r="R264" t="str">
        <f>HYPERLINK("https://cfpub.epa.gov/ecotox/explore.cfm?ncbi=10041","Explore in ECOTOX")</f>
        <v>Explore in ECOTOX</v>
      </c>
    </row>
    <row r="265" spans="1:18" x14ac:dyDescent="0.45">
      <c r="A265" t="s">
        <v>1264</v>
      </c>
      <c r="B265">
        <v>8</v>
      </c>
      <c r="C265" t="str">
        <f>HYPERLINK("http://www.ncbi.nlm.nih.gov/protein/XP_045658294.1","XP_045658294.1")</f>
        <v>XP_045658294.1</v>
      </c>
      <c r="D265">
        <v>46324</v>
      </c>
      <c r="E265" t="str">
        <f>HYPERLINK("http://www.ncbi.nlm.nih.gov/Taxonomy/Browser/wwwtax.cgi?mode=Info&amp;id=9643&amp;lvl=3&amp;lin=f&amp;keep=1&amp;srchmode=1&amp;unlock","9643")</f>
        <v>9643</v>
      </c>
      <c r="F265" t="s">
        <v>96</v>
      </c>
      <c r="G265" t="str">
        <f>HYPERLINK("http://www.ncbi.nlm.nih.gov/Taxonomy/Browser/wwwtax.cgi?mode=Info&amp;id=9643&amp;lvl=3&amp;lin=f&amp;keep=1&amp;srchmode=1&amp;unlock","Ursus americanus")</f>
        <v>Ursus americanus</v>
      </c>
      <c r="H265" t="s">
        <v>281</v>
      </c>
      <c r="I265" t="str">
        <f>HYPERLINK("http://www.ncbi.nlm.nih.gov/protein/XP_045658294.1","ryanodine receptor 2")</f>
        <v>ryanodine receptor 2</v>
      </c>
      <c r="J265">
        <v>6851.15</v>
      </c>
      <c r="K265" t="s">
        <v>22</v>
      </c>
      <c r="L265">
        <v>276</v>
      </c>
      <c r="M265">
        <v>9.75</v>
      </c>
      <c r="N265">
        <v>65.540000000000006</v>
      </c>
      <c r="O265" t="s">
        <v>19</v>
      </c>
      <c r="P265" t="s">
        <v>20</v>
      </c>
      <c r="Q265" t="s">
        <v>19</v>
      </c>
      <c r="R265" t="str">
        <f>HYPERLINK("https://cfpub.epa.gov/ecotox/explore.cfm?ncbi=9643","Explore in ECOTOX")</f>
        <v>Explore in ECOTOX</v>
      </c>
    </row>
    <row r="266" spans="1:18" x14ac:dyDescent="0.45">
      <c r="A266" t="s">
        <v>1264</v>
      </c>
      <c r="B266">
        <v>8</v>
      </c>
      <c r="C266" t="str">
        <f>HYPERLINK("http://www.ncbi.nlm.nih.gov/protein/XP_035260546.1","XP_035260546.1")</f>
        <v>XP_035260546.1</v>
      </c>
      <c r="D266">
        <v>86970</v>
      </c>
      <c r="E266" t="str">
        <f>HYPERLINK("http://www.ncbi.nlm.nih.gov/Taxonomy/Browser/wwwtax.cgi?mode=Info&amp;id=7936&amp;lvl=3&amp;lin=f&amp;keep=1&amp;srchmode=1&amp;unlock","7936")</f>
        <v>7936</v>
      </c>
      <c r="F266" t="s">
        <v>17</v>
      </c>
      <c r="G266" t="str">
        <f>HYPERLINK("http://www.ncbi.nlm.nih.gov/Taxonomy/Browser/wwwtax.cgi?mode=Info&amp;id=7936&amp;lvl=3&amp;lin=f&amp;keep=1&amp;srchmode=1&amp;unlock","Anguilla anguilla")</f>
        <v>Anguilla anguilla</v>
      </c>
      <c r="H266" t="s">
        <v>282</v>
      </c>
      <c r="I266" t="str">
        <f>HYPERLINK("http://www.ncbi.nlm.nih.gov/protein/XP_035260546.1","ryanodine receptor 2 isoform X3")</f>
        <v>ryanodine receptor 2 isoform X3</v>
      </c>
      <c r="J266">
        <v>6851.15</v>
      </c>
      <c r="K266" t="s">
        <v>22</v>
      </c>
      <c r="L266">
        <v>276</v>
      </c>
      <c r="M266">
        <v>9.75</v>
      </c>
      <c r="N266">
        <v>65.540000000000006</v>
      </c>
      <c r="O266" t="s">
        <v>19</v>
      </c>
      <c r="P266" t="s">
        <v>20</v>
      </c>
      <c r="Q266" t="s">
        <v>19</v>
      </c>
      <c r="R266" t="str">
        <f>HYPERLINK("https://cfpub.epa.gov/ecotox/explore.cfm?ncbi=7936","Explore in ECOTOX")</f>
        <v>Explore in ECOTOX</v>
      </c>
    </row>
    <row r="267" spans="1:18" x14ac:dyDescent="0.45">
      <c r="A267" t="s">
        <v>1264</v>
      </c>
      <c r="B267">
        <v>8</v>
      </c>
      <c r="C267" t="str">
        <f>HYPERLINK("http://www.ncbi.nlm.nih.gov/protein/XP_040320835.1","XP_040320835.1")</f>
        <v>XP_040320835.1</v>
      </c>
      <c r="D267">
        <v>55681</v>
      </c>
      <c r="E267" t="str">
        <f>HYPERLINK("http://www.ncbi.nlm.nih.gov/Taxonomy/Browser/wwwtax.cgi?mode=Info&amp;id=1608482&amp;lvl=3&amp;lin=f&amp;keep=1&amp;srchmode=1&amp;unlock","1608482")</f>
        <v>1608482</v>
      </c>
      <c r="F267" t="s">
        <v>96</v>
      </c>
      <c r="G267" t="str">
        <f>HYPERLINK("http://www.ncbi.nlm.nih.gov/Taxonomy/Browser/wwwtax.cgi?mode=Info&amp;id=1608482&amp;lvl=3&amp;lin=f&amp;keep=1&amp;srchmode=1&amp;unlock","Puma yagouaroundi")</f>
        <v>Puma yagouaroundi</v>
      </c>
      <c r="H267" t="s">
        <v>283</v>
      </c>
      <c r="I267" t="str">
        <f>HYPERLINK("http://www.ncbi.nlm.nih.gov/protein/XP_040320835.1","ryanodine receptor 2 isoform X11")</f>
        <v>ryanodine receptor 2 isoform X11</v>
      </c>
      <c r="J267">
        <v>6850.76</v>
      </c>
      <c r="K267" t="s">
        <v>22</v>
      </c>
      <c r="L267">
        <v>276</v>
      </c>
      <c r="M267">
        <v>9.75</v>
      </c>
      <c r="N267">
        <v>65.53</v>
      </c>
      <c r="O267" t="s">
        <v>19</v>
      </c>
      <c r="P267" t="s">
        <v>20</v>
      </c>
      <c r="Q267" t="s">
        <v>19</v>
      </c>
      <c r="R267" t="str">
        <f>HYPERLINK("https://cfpub.epa.gov/ecotox/explore.cfm?ncbi=1608482","Explore in ECOTOX")</f>
        <v>Explore in ECOTOX</v>
      </c>
    </row>
    <row r="268" spans="1:18" x14ac:dyDescent="0.45">
      <c r="A268" t="s">
        <v>1264</v>
      </c>
      <c r="B268">
        <v>8</v>
      </c>
      <c r="C268" t="str">
        <f>HYPERLINK("http://www.ncbi.nlm.nih.gov/protein/XP_052584740.1","XP_052584740.1")</f>
        <v>XP_052584740.1</v>
      </c>
      <c r="D268">
        <v>51854</v>
      </c>
      <c r="E268" t="str">
        <f>HYPERLINK("http://www.ncbi.nlm.nih.gov/Taxonomy/Browser/wwwtax.cgi?mode=Info&amp;id=564181&amp;lvl=3&amp;lin=f&amp;keep=1&amp;srchmode=1&amp;unlock","564181")</f>
        <v>564181</v>
      </c>
      <c r="F268" t="s">
        <v>96</v>
      </c>
      <c r="G268" t="str">
        <f>HYPERLINK("http://www.ncbi.nlm.nih.gov/Taxonomy/Browser/wwwtax.cgi?mode=Info&amp;id=564181&amp;lvl=3&amp;lin=f&amp;keep=1&amp;srchmode=1&amp;unlock","Peromyscus californicus insignis")</f>
        <v>Peromyscus californicus insignis</v>
      </c>
      <c r="H268" t="s">
        <v>284</v>
      </c>
      <c r="I268" t="str">
        <f>HYPERLINK("http://www.ncbi.nlm.nih.gov/protein/XP_052584740.1","LOW QUALITY PROTEIN: ryanodine receptor 2")</f>
        <v>LOW QUALITY PROTEIN: ryanodine receptor 2</v>
      </c>
      <c r="J268">
        <v>6850.76</v>
      </c>
      <c r="K268" t="s">
        <v>22</v>
      </c>
      <c r="L268">
        <v>276</v>
      </c>
      <c r="M268">
        <v>9.75</v>
      </c>
      <c r="N268">
        <v>65.53</v>
      </c>
      <c r="O268" t="s">
        <v>19</v>
      </c>
      <c r="P268" t="s">
        <v>20</v>
      </c>
      <c r="Q268" t="s">
        <v>19</v>
      </c>
      <c r="R268" t="str">
        <f>HYPERLINK("https://cfpub.epa.gov/ecotox/explore.cfm?ncbi=564181","Explore in ECOTOX")</f>
        <v>Explore in ECOTOX</v>
      </c>
    </row>
    <row r="269" spans="1:18" x14ac:dyDescent="0.45">
      <c r="A269" t="s">
        <v>1264</v>
      </c>
      <c r="B269">
        <v>8</v>
      </c>
      <c r="C269" t="str">
        <f>HYPERLINK("http://www.ncbi.nlm.nih.gov/protein/XP_040611529.1","XP_040611529.1")</f>
        <v>XP_040611529.1</v>
      </c>
      <c r="D269">
        <v>54468</v>
      </c>
      <c r="E269" t="str">
        <f>HYPERLINK("http://www.ncbi.nlm.nih.gov/Taxonomy/Browser/wwwtax.cgi?mode=Info&amp;id=10036&amp;lvl=3&amp;lin=f&amp;keep=1&amp;srchmode=1&amp;unlock","10036")</f>
        <v>10036</v>
      </c>
      <c r="F269" t="s">
        <v>96</v>
      </c>
      <c r="G269" t="str">
        <f>HYPERLINK("http://www.ncbi.nlm.nih.gov/Taxonomy/Browser/wwwtax.cgi?mode=Info&amp;id=10036&amp;lvl=3&amp;lin=f&amp;keep=1&amp;srchmode=1&amp;unlock","Mesocricetus auratus")</f>
        <v>Mesocricetus auratus</v>
      </c>
      <c r="H269" t="s">
        <v>285</v>
      </c>
      <c r="I269" t="str">
        <f>HYPERLINK("http://www.ncbi.nlm.nih.gov/protein/XP_040611529.1","ryanodine receptor 2 isoform X9")</f>
        <v>ryanodine receptor 2 isoform X9</v>
      </c>
      <c r="J269">
        <v>6850.76</v>
      </c>
      <c r="K269" t="s">
        <v>22</v>
      </c>
      <c r="L269">
        <v>276</v>
      </c>
      <c r="M269">
        <v>9.75</v>
      </c>
      <c r="N269">
        <v>65.53</v>
      </c>
      <c r="O269" t="s">
        <v>19</v>
      </c>
      <c r="P269" t="s">
        <v>20</v>
      </c>
      <c r="Q269" t="s">
        <v>19</v>
      </c>
      <c r="R269" t="str">
        <f>HYPERLINK("https://cfpub.epa.gov/ecotox/explore.cfm?ncbi=10036","Explore in ECOTOX")</f>
        <v>Explore in ECOTOX</v>
      </c>
    </row>
    <row r="270" spans="1:18" x14ac:dyDescent="0.45">
      <c r="A270" t="s">
        <v>1264</v>
      </c>
      <c r="B270">
        <v>8</v>
      </c>
      <c r="C270" t="str">
        <f>HYPERLINK("http://www.ncbi.nlm.nih.gov/protein/XP_045293192.1","XP_045293192.1")</f>
        <v>XP_045293192.1</v>
      </c>
      <c r="D270">
        <v>67612</v>
      </c>
      <c r="E270" t="str">
        <f>HYPERLINK("http://www.ncbi.nlm.nih.gov/Taxonomy/Browser/wwwtax.cgi?mode=Info&amp;id=46844&amp;lvl=3&amp;lin=f&amp;keep=1&amp;srchmode=1&amp;unlock","46844")</f>
        <v>46844</v>
      </c>
      <c r="F270" t="s">
        <v>96</v>
      </c>
      <c r="G270" t="str">
        <f>HYPERLINK("http://www.ncbi.nlm.nih.gov/Taxonomy/Browser/wwwtax.cgi?mode=Info&amp;id=46844&amp;lvl=3&amp;lin=f&amp;keep=1&amp;srchmode=1&amp;unlock","Leopardus geoffroyi")</f>
        <v>Leopardus geoffroyi</v>
      </c>
      <c r="H270" t="s">
        <v>286</v>
      </c>
      <c r="I270" t="str">
        <f>HYPERLINK("http://www.ncbi.nlm.nih.gov/protein/XP_045293192.1","ryanodine receptor 2 isoform X9")</f>
        <v>ryanodine receptor 2 isoform X9</v>
      </c>
      <c r="J270">
        <v>6849.99</v>
      </c>
      <c r="K270" t="s">
        <v>22</v>
      </c>
      <c r="L270">
        <v>276</v>
      </c>
      <c r="M270">
        <v>9.75</v>
      </c>
      <c r="N270">
        <v>65.53</v>
      </c>
      <c r="O270" t="s">
        <v>19</v>
      </c>
      <c r="P270" t="s">
        <v>20</v>
      </c>
      <c r="Q270" t="s">
        <v>19</v>
      </c>
      <c r="R270" t="str">
        <f>HYPERLINK("https://cfpub.epa.gov/ecotox/explore.cfm?ncbi=46844","Explore in ECOTOX")</f>
        <v>Explore in ECOTOX</v>
      </c>
    </row>
    <row r="271" spans="1:18" x14ac:dyDescent="0.45">
      <c r="A271" t="s">
        <v>1264</v>
      </c>
      <c r="B271">
        <v>8</v>
      </c>
      <c r="C271" t="str">
        <f>HYPERLINK("http://www.ncbi.nlm.nih.gov/protein/XP_031213832.1","XP_031213832.1")</f>
        <v>XP_031213832.1</v>
      </c>
      <c r="D271">
        <v>54526</v>
      </c>
      <c r="E271" t="str">
        <f>HYPERLINK("http://www.ncbi.nlm.nih.gov/Taxonomy/Browser/wwwtax.cgi?mode=Info&amp;id=35658&amp;lvl=3&amp;lin=f&amp;keep=1&amp;srchmode=1&amp;unlock","35658")</f>
        <v>35658</v>
      </c>
      <c r="F271" t="s">
        <v>96</v>
      </c>
      <c r="G271" t="str">
        <f>HYPERLINK("http://www.ncbi.nlm.nih.gov/Taxonomy/Browser/wwwtax.cgi?mode=Info&amp;id=35658&amp;lvl=3&amp;lin=f&amp;keep=1&amp;srchmode=1&amp;unlock","Mastomys coucha")</f>
        <v>Mastomys coucha</v>
      </c>
      <c r="H271" t="s">
        <v>287</v>
      </c>
      <c r="I271" t="str">
        <f>HYPERLINK("http://www.ncbi.nlm.nih.gov/protein/XP_031213832.1","ryanodine receptor 2 isoform X4")</f>
        <v>ryanodine receptor 2 isoform X4</v>
      </c>
      <c r="J271">
        <v>6849.99</v>
      </c>
      <c r="K271" t="s">
        <v>22</v>
      </c>
      <c r="L271">
        <v>276</v>
      </c>
      <c r="M271">
        <v>9.75</v>
      </c>
      <c r="N271">
        <v>65.53</v>
      </c>
      <c r="O271" t="s">
        <v>19</v>
      </c>
      <c r="P271" t="s">
        <v>20</v>
      </c>
      <c r="Q271" t="s">
        <v>19</v>
      </c>
      <c r="R271" t="str">
        <f>HYPERLINK("https://cfpub.epa.gov/ecotox/explore.cfm?ncbi=35658","Explore in ECOTOX")</f>
        <v>Explore in ECOTOX</v>
      </c>
    </row>
    <row r="272" spans="1:18" x14ac:dyDescent="0.45">
      <c r="A272" t="s">
        <v>1264</v>
      </c>
      <c r="B272">
        <v>8</v>
      </c>
      <c r="C272" t="str">
        <f>HYPERLINK("http://www.ncbi.nlm.nih.gov/protein/XP_023096136.2","XP_023096136.2")</f>
        <v>XP_023096136.2</v>
      </c>
      <c r="D272">
        <v>74655</v>
      </c>
      <c r="E272" t="str">
        <f>HYPERLINK("http://www.ncbi.nlm.nih.gov/Taxonomy/Browser/wwwtax.cgi?mode=Info&amp;id=9685&amp;lvl=3&amp;lin=f&amp;keep=1&amp;srchmode=1&amp;unlock","9685")</f>
        <v>9685</v>
      </c>
      <c r="F272" t="s">
        <v>96</v>
      </c>
      <c r="G272" t="str">
        <f>HYPERLINK("http://www.ncbi.nlm.nih.gov/Taxonomy/Browser/wwwtax.cgi?mode=Info&amp;id=9685&amp;lvl=3&amp;lin=f&amp;keep=1&amp;srchmode=1&amp;unlock","Felis catus")</f>
        <v>Felis catus</v>
      </c>
      <c r="H272" t="s">
        <v>288</v>
      </c>
      <c r="I272" t="str">
        <f>HYPERLINK("http://www.ncbi.nlm.nih.gov/protein/XP_023096136.2","ryanodine receptor 2 isoform X9")</f>
        <v>ryanodine receptor 2 isoform X9</v>
      </c>
      <c r="J272">
        <v>6849.99</v>
      </c>
      <c r="K272" t="s">
        <v>22</v>
      </c>
      <c r="L272">
        <v>276</v>
      </c>
      <c r="M272">
        <v>9.75</v>
      </c>
      <c r="N272">
        <v>65.53</v>
      </c>
      <c r="O272" t="s">
        <v>19</v>
      </c>
      <c r="P272" t="s">
        <v>20</v>
      </c>
      <c r="Q272" t="s">
        <v>19</v>
      </c>
      <c r="R272" t="str">
        <f>HYPERLINK("https://cfpub.epa.gov/ecotox/explore.cfm?ncbi=9685","Explore in ECOTOX")</f>
        <v>Explore in ECOTOX</v>
      </c>
    </row>
    <row r="273" spans="1:18" x14ac:dyDescent="0.45">
      <c r="A273" t="s">
        <v>1264</v>
      </c>
      <c r="B273">
        <v>8</v>
      </c>
      <c r="C273" t="str">
        <f>HYPERLINK("http://www.ncbi.nlm.nih.gov/protein/XP_053766205.1","XP_053766205.1")</f>
        <v>XP_053766205.1</v>
      </c>
      <c r="D273">
        <v>57098</v>
      </c>
      <c r="E273" t="str">
        <f>HYPERLINK("http://www.ncbi.nlm.nih.gov/Taxonomy/Browser/wwwtax.cgi?mode=Info&amp;id=9691&amp;lvl=3&amp;lin=f&amp;keep=1&amp;srchmode=1&amp;unlock","9691")</f>
        <v>9691</v>
      </c>
      <c r="F273" t="s">
        <v>96</v>
      </c>
      <c r="G273" t="str">
        <f>HYPERLINK("http://www.ncbi.nlm.nih.gov/Taxonomy/Browser/wwwtax.cgi?mode=Info&amp;id=9691&amp;lvl=3&amp;lin=f&amp;keep=1&amp;srchmode=1&amp;unlock","Panthera pardus")</f>
        <v>Panthera pardus</v>
      </c>
      <c r="H273" t="s">
        <v>289</v>
      </c>
      <c r="I273" t="str">
        <f>HYPERLINK("http://www.ncbi.nlm.nih.gov/protein/XP_053766205.1","ryanodine receptor 2 isoform X7")</f>
        <v>ryanodine receptor 2 isoform X7</v>
      </c>
      <c r="J273">
        <v>6849.6</v>
      </c>
      <c r="K273" t="s">
        <v>22</v>
      </c>
      <c r="L273">
        <v>276</v>
      </c>
      <c r="M273">
        <v>9.75</v>
      </c>
      <c r="N273">
        <v>65.52</v>
      </c>
      <c r="O273" t="s">
        <v>19</v>
      </c>
      <c r="P273" t="s">
        <v>20</v>
      </c>
      <c r="Q273" t="s">
        <v>19</v>
      </c>
      <c r="R273" t="str">
        <f>HYPERLINK("https://cfpub.epa.gov/ecotox/explore.cfm?ncbi=9691","Explore in ECOTOX")</f>
        <v>Explore in ECOTOX</v>
      </c>
    </row>
    <row r="274" spans="1:18" x14ac:dyDescent="0.45">
      <c r="A274" t="s">
        <v>1264</v>
      </c>
      <c r="B274">
        <v>8</v>
      </c>
      <c r="C274" t="str">
        <f>HYPERLINK("http://www.ncbi.nlm.nih.gov/protein/XP_053461568.1","XP_053461568.1")</f>
        <v>XP_053461568.1</v>
      </c>
      <c r="D274">
        <v>56541</v>
      </c>
      <c r="E274" t="str">
        <f>HYPERLINK("http://www.ncbi.nlm.nih.gov/Taxonomy/Browser/wwwtax.cgi?mode=Info&amp;id=9470&amp;lvl=3&amp;lin=f&amp;keep=1&amp;srchmode=1&amp;unlock","9470")</f>
        <v>9470</v>
      </c>
      <c r="F274" t="s">
        <v>96</v>
      </c>
      <c r="G274" t="str">
        <f>HYPERLINK("http://www.ncbi.nlm.nih.gov/Taxonomy/Browser/wwwtax.cgi?mode=Info&amp;id=9470&amp;lvl=3&amp;lin=f&amp;keep=1&amp;srchmode=1&amp;unlock","Nycticebus coucang")</f>
        <v>Nycticebus coucang</v>
      </c>
      <c r="H274" t="s">
        <v>290</v>
      </c>
      <c r="I274" t="str">
        <f>HYPERLINK("http://www.ncbi.nlm.nih.gov/protein/XP_053461568.1","ryanodine receptor 2 isoform X3")</f>
        <v>ryanodine receptor 2 isoform X3</v>
      </c>
      <c r="J274">
        <v>6849.22</v>
      </c>
      <c r="K274" t="s">
        <v>22</v>
      </c>
      <c r="L274">
        <v>276</v>
      </c>
      <c r="M274">
        <v>9.75</v>
      </c>
      <c r="N274">
        <v>65.52</v>
      </c>
      <c r="O274" t="s">
        <v>19</v>
      </c>
      <c r="P274" t="s">
        <v>20</v>
      </c>
      <c r="Q274" t="s">
        <v>19</v>
      </c>
      <c r="R274" t="str">
        <f>HYPERLINK("https://cfpub.epa.gov/ecotox/explore.cfm?ncbi=9470","Explore in ECOTOX")</f>
        <v>Explore in ECOTOX</v>
      </c>
    </row>
    <row r="275" spans="1:18" x14ac:dyDescent="0.45">
      <c r="A275" t="s">
        <v>1264</v>
      </c>
      <c r="B275">
        <v>8</v>
      </c>
      <c r="C275" t="str">
        <f>HYPERLINK("http://www.ncbi.nlm.nih.gov/protein/XP_051007434.1","XP_051007434.1")</f>
        <v>XP_051007434.1</v>
      </c>
      <c r="D275">
        <v>33464</v>
      </c>
      <c r="E275" t="str">
        <f>HYPERLINK("http://www.ncbi.nlm.nih.gov/Taxonomy/Browser/wwwtax.cgi?mode=Info&amp;id=60746&amp;lvl=3&amp;lin=f&amp;keep=1&amp;srchmode=1&amp;unlock","60746")</f>
        <v>60746</v>
      </c>
      <c r="F275" t="s">
        <v>96</v>
      </c>
      <c r="G275" t="str">
        <f>HYPERLINK("http://www.ncbi.nlm.nih.gov/Taxonomy/Browser/wwwtax.cgi?mode=Info&amp;id=60746&amp;lvl=3&amp;lin=f&amp;keep=1&amp;srchmode=1&amp;unlock","Acomys russatus")</f>
        <v>Acomys russatus</v>
      </c>
      <c r="H275" t="s">
        <v>291</v>
      </c>
      <c r="I275" t="str">
        <f>HYPERLINK("http://www.ncbi.nlm.nih.gov/protein/XP_051007434.1","LOW QUALITY PROTEIN: ryanodine receptor 2")</f>
        <v>LOW QUALITY PROTEIN: ryanodine receptor 2</v>
      </c>
      <c r="J275">
        <v>6849.22</v>
      </c>
      <c r="K275" t="s">
        <v>22</v>
      </c>
      <c r="L275">
        <v>276</v>
      </c>
      <c r="M275">
        <v>9.75</v>
      </c>
      <c r="N275">
        <v>65.52</v>
      </c>
      <c r="O275" t="s">
        <v>19</v>
      </c>
      <c r="P275" t="s">
        <v>20</v>
      </c>
      <c r="Q275" t="s">
        <v>19</v>
      </c>
      <c r="R275" t="str">
        <f>HYPERLINK("https://cfpub.epa.gov/ecotox/explore.cfm?ncbi=60746","Explore in ECOTOX")</f>
        <v>Explore in ECOTOX</v>
      </c>
    </row>
    <row r="276" spans="1:18" x14ac:dyDescent="0.45">
      <c r="A276" t="s">
        <v>1264</v>
      </c>
      <c r="B276">
        <v>8</v>
      </c>
      <c r="C276" t="str">
        <f>HYPERLINK("http://www.ncbi.nlm.nih.gov/protein/XP_054675157.1","XP_054675157.1")</f>
        <v>XP_054675157.1</v>
      </c>
      <c r="D276">
        <v>62634</v>
      </c>
      <c r="E276" t="str">
        <f>HYPERLINK("http://www.ncbi.nlm.nih.gov/Taxonomy/Browser/wwwtax.cgi?mode=Info&amp;id=9117&amp;lvl=3&amp;lin=f&amp;keep=1&amp;srchmode=1&amp;unlock","9117")</f>
        <v>9117</v>
      </c>
      <c r="F276" t="s">
        <v>241</v>
      </c>
      <c r="G276" t="str">
        <f>HYPERLINK("http://www.ncbi.nlm.nih.gov/Taxonomy/Browser/wwwtax.cgi?mode=Info&amp;id=9117&amp;lvl=3&amp;lin=f&amp;keep=1&amp;srchmode=1&amp;unlock","Grus americana")</f>
        <v>Grus americana</v>
      </c>
      <c r="H276" t="s">
        <v>292</v>
      </c>
      <c r="I276" t="str">
        <f>HYPERLINK("http://www.ncbi.nlm.nih.gov/protein/XP_054675157.1","ryanodine receptor 2 isoform X6")</f>
        <v>ryanodine receptor 2 isoform X6</v>
      </c>
      <c r="J276">
        <v>6848.83</v>
      </c>
      <c r="K276" t="s">
        <v>22</v>
      </c>
      <c r="L276">
        <v>276</v>
      </c>
      <c r="M276">
        <v>9.75</v>
      </c>
      <c r="N276">
        <v>65.510000000000005</v>
      </c>
      <c r="O276" t="s">
        <v>19</v>
      </c>
      <c r="P276" t="s">
        <v>20</v>
      </c>
      <c r="Q276" t="s">
        <v>19</v>
      </c>
      <c r="R276" t="str">
        <f>HYPERLINK("https://cfpub.epa.gov/ecotox/explore.cfm?ncbi=9117","Explore in ECOTOX")</f>
        <v>Explore in ECOTOX</v>
      </c>
    </row>
    <row r="277" spans="1:18" x14ac:dyDescent="0.45">
      <c r="A277" t="s">
        <v>1264</v>
      </c>
      <c r="B277">
        <v>8</v>
      </c>
      <c r="C277" t="str">
        <f>HYPERLINK("http://www.ncbi.nlm.nih.gov/protein/XP_039594622.1","XP_039594622.1")</f>
        <v>XP_039594622.1</v>
      </c>
      <c r="D277">
        <v>64397</v>
      </c>
      <c r="E277" t="str">
        <f>HYPERLINK("http://www.ncbi.nlm.nih.gov/Taxonomy/Browser/wwwtax.cgi?mode=Info&amp;id=55291&amp;lvl=3&amp;lin=f&amp;keep=1&amp;srchmode=1&amp;unlock","55291")</f>
        <v>55291</v>
      </c>
      <c r="F277" t="s">
        <v>293</v>
      </c>
      <c r="G277" t="str">
        <f>HYPERLINK("http://www.ncbi.nlm.nih.gov/Taxonomy/Browser/wwwtax.cgi?mode=Info&amp;id=55291&amp;lvl=3&amp;lin=f&amp;keep=1&amp;srchmode=1&amp;unlock","Polypterus senegalus")</f>
        <v>Polypterus senegalus</v>
      </c>
      <c r="H277" t="s">
        <v>294</v>
      </c>
      <c r="I277" t="str">
        <f>HYPERLINK("http://www.ncbi.nlm.nih.gov/protein/XP_039594622.1","ryanodine receptor 2 isoform X3")</f>
        <v>ryanodine receptor 2 isoform X3</v>
      </c>
      <c r="J277">
        <v>6847.68</v>
      </c>
      <c r="K277" t="s">
        <v>22</v>
      </c>
      <c r="L277">
        <v>276</v>
      </c>
      <c r="M277">
        <v>9.75</v>
      </c>
      <c r="N277">
        <v>65.5</v>
      </c>
      <c r="O277" t="s">
        <v>19</v>
      </c>
      <c r="P277" t="s">
        <v>20</v>
      </c>
      <c r="Q277" t="s">
        <v>19</v>
      </c>
      <c r="R277" t="str">
        <f>HYPERLINK("https://cfpub.epa.gov/ecotox/explore.cfm?ncbi=55291","Explore in ECOTOX")</f>
        <v>Explore in ECOTOX</v>
      </c>
    </row>
    <row r="278" spans="1:18" x14ac:dyDescent="0.45">
      <c r="A278" t="s">
        <v>1264</v>
      </c>
      <c r="B278">
        <v>8</v>
      </c>
      <c r="C278" t="str">
        <f>HYPERLINK("http://www.ncbi.nlm.nih.gov/protein/NP_001177972.2","NP_001177972.2")</f>
        <v>NP_001177972.2</v>
      </c>
      <c r="D278">
        <v>158759</v>
      </c>
      <c r="E278" t="str">
        <f>HYPERLINK("http://www.ncbi.nlm.nih.gov/Taxonomy/Browser/wwwtax.cgi?mode=Info&amp;id=10116&amp;lvl=3&amp;lin=f&amp;keep=1&amp;srchmode=1&amp;unlock","10116")</f>
        <v>10116</v>
      </c>
      <c r="F278" t="s">
        <v>96</v>
      </c>
      <c r="G278" t="str">
        <f>HYPERLINK("http://www.ncbi.nlm.nih.gov/Taxonomy/Browser/wwwtax.cgi?mode=Info&amp;id=10116&amp;lvl=3&amp;lin=f&amp;keep=1&amp;srchmode=1&amp;unlock","Rattus norvegicus")</f>
        <v>Rattus norvegicus</v>
      </c>
      <c r="H278" t="s">
        <v>295</v>
      </c>
      <c r="I278" t="str">
        <f>HYPERLINK("http://www.ncbi.nlm.nih.gov/protein/NP_001177972.2","ryanodine receptor 2 isoform 2")</f>
        <v>ryanodine receptor 2 isoform 2</v>
      </c>
      <c r="J278">
        <v>6847.68</v>
      </c>
      <c r="K278" t="s">
        <v>22</v>
      </c>
      <c r="L278">
        <v>276</v>
      </c>
      <c r="M278">
        <v>9.75</v>
      </c>
      <c r="N278">
        <v>65.5</v>
      </c>
      <c r="O278" t="s">
        <v>19</v>
      </c>
      <c r="P278" t="s">
        <v>20</v>
      </c>
      <c r="Q278" t="s">
        <v>19</v>
      </c>
      <c r="R278" t="str">
        <f>HYPERLINK("https://cfpub.epa.gov/ecotox/explore.cfm?ncbi=10116","Explore in ECOTOX")</f>
        <v>Explore in ECOTOX</v>
      </c>
    </row>
    <row r="279" spans="1:18" x14ac:dyDescent="0.45">
      <c r="A279" t="s">
        <v>1264</v>
      </c>
      <c r="B279">
        <v>8</v>
      </c>
      <c r="C279" t="str">
        <f>HYPERLINK("http://www.ncbi.nlm.nih.gov/protein/XP_054049706.1","XP_054049706.1")</f>
        <v>XP_054049706.1</v>
      </c>
      <c r="D279">
        <v>58718</v>
      </c>
      <c r="E279" t="str">
        <f>HYPERLINK("http://www.ncbi.nlm.nih.gov/Taxonomy/Browser/wwwtax.cgi?mode=Info&amp;id=75485&amp;lvl=3&amp;lin=f&amp;keep=1&amp;srchmode=1&amp;unlock","75485")</f>
        <v>75485</v>
      </c>
      <c r="F279" t="s">
        <v>241</v>
      </c>
      <c r="G279" t="str">
        <f>HYPERLINK("http://www.ncbi.nlm.nih.gov/Taxonomy/Browser/wwwtax.cgi?mode=Info&amp;id=75485&amp;lvl=3&amp;lin=f&amp;keep=1&amp;srchmode=1&amp;unlock","Rissa tridactyla")</f>
        <v>Rissa tridactyla</v>
      </c>
      <c r="H279" t="s">
        <v>296</v>
      </c>
      <c r="I279" t="str">
        <f>HYPERLINK("http://www.ncbi.nlm.nih.gov/protein/XP_054049706.1","ryanodine receptor 2 isoform X2")</f>
        <v>ryanodine receptor 2 isoform X2</v>
      </c>
      <c r="J279">
        <v>6846.91</v>
      </c>
      <c r="K279" t="s">
        <v>22</v>
      </c>
      <c r="L279">
        <v>276</v>
      </c>
      <c r="M279">
        <v>9.75</v>
      </c>
      <c r="N279">
        <v>65.5</v>
      </c>
      <c r="O279" t="s">
        <v>19</v>
      </c>
      <c r="P279" t="s">
        <v>20</v>
      </c>
      <c r="Q279" t="s">
        <v>19</v>
      </c>
      <c r="R279" t="str">
        <f>HYPERLINK("https://cfpub.epa.gov/ecotox/explore.cfm?ncbi=75485","Explore in ECOTOX")</f>
        <v>Explore in ECOTOX</v>
      </c>
    </row>
    <row r="280" spans="1:18" x14ac:dyDescent="0.45">
      <c r="A280" t="s">
        <v>1264</v>
      </c>
      <c r="B280">
        <v>8</v>
      </c>
      <c r="C280" t="str">
        <f>HYPERLINK("http://www.ncbi.nlm.nih.gov/protein/XP_021789854.1","XP_021789854.1")</f>
        <v>XP_021789854.1</v>
      </c>
      <c r="D280">
        <v>73749</v>
      </c>
      <c r="E280" t="str">
        <f>HYPERLINK("http://www.ncbi.nlm.nih.gov/Taxonomy/Browser/wwwtax.cgi?mode=Info&amp;id=9555&amp;lvl=3&amp;lin=f&amp;keep=1&amp;srchmode=1&amp;unlock","9555")</f>
        <v>9555</v>
      </c>
      <c r="F280" t="s">
        <v>96</v>
      </c>
      <c r="G280" t="str">
        <f>HYPERLINK("http://www.ncbi.nlm.nih.gov/Taxonomy/Browser/wwwtax.cgi?mode=Info&amp;id=9555&amp;lvl=3&amp;lin=f&amp;keep=1&amp;srchmode=1&amp;unlock","Papio anubis")</f>
        <v>Papio anubis</v>
      </c>
      <c r="H280" t="s">
        <v>297</v>
      </c>
      <c r="I280" t="str">
        <f>HYPERLINK("http://www.ncbi.nlm.nih.gov/protein/XP_021789854.1","ryanodine receptor 2 isoform X13")</f>
        <v>ryanodine receptor 2 isoform X13</v>
      </c>
      <c r="J280">
        <v>6846.14</v>
      </c>
      <c r="K280" t="s">
        <v>22</v>
      </c>
      <c r="L280">
        <v>276</v>
      </c>
      <c r="M280">
        <v>9.75</v>
      </c>
      <c r="N280">
        <v>65.489999999999995</v>
      </c>
      <c r="O280" t="s">
        <v>19</v>
      </c>
      <c r="P280" t="s">
        <v>20</v>
      </c>
      <c r="Q280" t="s">
        <v>19</v>
      </c>
      <c r="R280" t="str">
        <f>HYPERLINK("https://cfpub.epa.gov/ecotox/explore.cfm?ncbi=9555","Explore in ECOTOX")</f>
        <v>Explore in ECOTOX</v>
      </c>
    </row>
    <row r="281" spans="1:18" x14ac:dyDescent="0.45">
      <c r="A281" t="s">
        <v>1264</v>
      </c>
      <c r="B281">
        <v>8</v>
      </c>
      <c r="C281" t="str">
        <f>HYPERLINK("http://www.ncbi.nlm.nih.gov/protein/XP_030668485.1","XP_030668485.1")</f>
        <v>XP_030668485.1</v>
      </c>
      <c r="D281">
        <v>51679</v>
      </c>
      <c r="E281" t="str">
        <f>HYPERLINK("http://www.ncbi.nlm.nih.gov/Taxonomy/Browser/wwwtax.cgi?mode=Info&amp;id=61853&amp;lvl=3&amp;lin=f&amp;keep=1&amp;srchmode=1&amp;unlock","61853")</f>
        <v>61853</v>
      </c>
      <c r="F281" t="s">
        <v>96</v>
      </c>
      <c r="G281" t="str">
        <f>HYPERLINK("http://www.ncbi.nlm.nih.gov/Taxonomy/Browser/wwwtax.cgi?mode=Info&amp;id=61853&amp;lvl=3&amp;lin=f&amp;keep=1&amp;srchmode=1&amp;unlock","Nomascus leucogenys")</f>
        <v>Nomascus leucogenys</v>
      </c>
      <c r="H281" t="s">
        <v>298</v>
      </c>
      <c r="I281" t="str">
        <f>HYPERLINK("http://www.ncbi.nlm.nih.gov/protein/XP_030668485.1","ryanodine receptor 2 isoform X2")</f>
        <v>ryanodine receptor 2 isoform X2</v>
      </c>
      <c r="J281">
        <v>6846.14</v>
      </c>
      <c r="K281" t="s">
        <v>22</v>
      </c>
      <c r="L281">
        <v>276</v>
      </c>
      <c r="M281">
        <v>9.75</v>
      </c>
      <c r="N281">
        <v>65.489999999999995</v>
      </c>
      <c r="O281" t="s">
        <v>19</v>
      </c>
      <c r="P281" t="s">
        <v>20</v>
      </c>
      <c r="Q281" t="s">
        <v>19</v>
      </c>
      <c r="R281" t="str">
        <f>HYPERLINK("https://cfpub.epa.gov/ecotox/explore.cfm?ncbi=61853","Explore in ECOTOX")</f>
        <v>Explore in ECOTOX</v>
      </c>
    </row>
    <row r="282" spans="1:18" x14ac:dyDescent="0.45">
      <c r="A282" t="s">
        <v>1264</v>
      </c>
      <c r="B282">
        <v>8</v>
      </c>
      <c r="C282" t="str">
        <f>HYPERLINK("http://www.ncbi.nlm.nih.gov/protein/XP_053918845.1","XP_053918845.1")</f>
        <v>XP_053918845.1</v>
      </c>
      <c r="D282">
        <v>57483</v>
      </c>
      <c r="E282" t="str">
        <f>HYPERLINK("http://www.ncbi.nlm.nih.gov/Taxonomy/Browser/wwwtax.cgi?mode=Info&amp;id=55661&amp;lvl=3&amp;lin=f&amp;keep=1&amp;srchmode=1&amp;unlock","55661")</f>
        <v>55661</v>
      </c>
      <c r="F282" t="s">
        <v>241</v>
      </c>
      <c r="G282" t="str">
        <f>HYPERLINK("http://www.ncbi.nlm.nih.gov/Taxonomy/Browser/wwwtax.cgi?mode=Info&amp;id=55661&amp;lvl=3&amp;lin=f&amp;keep=1&amp;srchmode=1&amp;unlock","Cuculus canorus")</f>
        <v>Cuculus canorus</v>
      </c>
      <c r="H282" t="s">
        <v>299</v>
      </c>
      <c r="I282" t="str">
        <f>HYPERLINK("http://www.ncbi.nlm.nih.gov/protein/XP_053918845.1","ryanodine receptor 2")</f>
        <v>ryanodine receptor 2</v>
      </c>
      <c r="J282">
        <v>6846.14</v>
      </c>
      <c r="K282" t="s">
        <v>22</v>
      </c>
      <c r="L282">
        <v>276</v>
      </c>
      <c r="M282">
        <v>9.75</v>
      </c>
      <c r="N282">
        <v>65.489999999999995</v>
      </c>
      <c r="O282" t="s">
        <v>19</v>
      </c>
      <c r="P282" t="s">
        <v>20</v>
      </c>
      <c r="Q282" t="s">
        <v>19</v>
      </c>
      <c r="R282" t="str">
        <f>HYPERLINK("https://cfpub.epa.gov/ecotox/explore.cfm?ncbi=55661","Explore in ECOTOX")</f>
        <v>Explore in ECOTOX</v>
      </c>
    </row>
    <row r="283" spans="1:18" x14ac:dyDescent="0.45">
      <c r="A283" t="s">
        <v>1264</v>
      </c>
      <c r="B283">
        <v>8</v>
      </c>
      <c r="C283" t="str">
        <f>HYPERLINK("http://www.ncbi.nlm.nih.gov/protein/XP_042542136.1","XP_042542136.1")</f>
        <v>XP_042542136.1</v>
      </c>
      <c r="D283">
        <v>37347</v>
      </c>
      <c r="E283" t="str">
        <f>HYPERLINK("http://www.ncbi.nlm.nih.gov/Taxonomy/Browser/wwwtax.cgi?mode=Info&amp;id=105255&amp;lvl=3&amp;lin=f&amp;keep=1&amp;srchmode=1&amp;unlock","105255")</f>
        <v>105255</v>
      </c>
      <c r="F283" t="s">
        <v>96</v>
      </c>
      <c r="G283" t="str">
        <f>HYPERLINK("http://www.ncbi.nlm.nih.gov/Taxonomy/Browser/wwwtax.cgi?mode=Info&amp;id=105255&amp;lvl=3&amp;lin=f&amp;keep=1&amp;srchmode=1&amp;unlock","Dipodomys spectabilis")</f>
        <v>Dipodomys spectabilis</v>
      </c>
      <c r="H283" t="s">
        <v>300</v>
      </c>
      <c r="I283" t="str">
        <f>HYPERLINK("http://www.ncbi.nlm.nih.gov/protein/XP_042542136.1","ryanodine receptor 2")</f>
        <v>ryanodine receptor 2</v>
      </c>
      <c r="J283">
        <v>6844.6</v>
      </c>
      <c r="K283" t="s">
        <v>22</v>
      </c>
      <c r="L283">
        <v>276</v>
      </c>
      <c r="M283">
        <v>9.75</v>
      </c>
      <c r="N283">
        <v>65.47</v>
      </c>
      <c r="O283" t="s">
        <v>19</v>
      </c>
      <c r="P283" t="s">
        <v>20</v>
      </c>
      <c r="Q283" t="s">
        <v>19</v>
      </c>
      <c r="R283" t="str">
        <f>HYPERLINK("https://cfpub.epa.gov/ecotox/explore.cfm?ncbi=105255","Explore in ECOTOX")</f>
        <v>Explore in ECOTOX</v>
      </c>
    </row>
    <row r="284" spans="1:18" x14ac:dyDescent="0.45">
      <c r="A284" t="s">
        <v>1264</v>
      </c>
      <c r="B284">
        <v>8</v>
      </c>
      <c r="C284" t="str">
        <f>HYPERLINK("http://www.ncbi.nlm.nih.gov/protein/XP_026644151.1","XP_026644151.1")</f>
        <v>XP_026644151.1</v>
      </c>
      <c r="D284">
        <v>59759</v>
      </c>
      <c r="E284" t="str">
        <f>HYPERLINK("http://www.ncbi.nlm.nih.gov/Taxonomy/Browser/wwwtax.cgi?mode=Info&amp;id=79684&amp;lvl=3&amp;lin=f&amp;keep=1&amp;srchmode=1&amp;unlock","79684")</f>
        <v>79684</v>
      </c>
      <c r="F284" t="s">
        <v>96</v>
      </c>
      <c r="G284" t="str">
        <f>HYPERLINK("http://www.ncbi.nlm.nih.gov/Taxonomy/Browser/wwwtax.cgi?mode=Info&amp;id=79684&amp;lvl=3&amp;lin=f&amp;keep=1&amp;srchmode=1&amp;unlock","Microtus ochrogaster")</f>
        <v>Microtus ochrogaster</v>
      </c>
      <c r="H284" t="s">
        <v>301</v>
      </c>
      <c r="I284" t="str">
        <f>HYPERLINK("http://www.ncbi.nlm.nih.gov/protein/XP_026644151.1","ryanodine receptor 2 isoform X3")</f>
        <v>ryanodine receptor 2 isoform X3</v>
      </c>
      <c r="J284">
        <v>6844.21</v>
      </c>
      <c r="K284" t="s">
        <v>22</v>
      </c>
      <c r="L284">
        <v>276</v>
      </c>
      <c r="M284">
        <v>9.75</v>
      </c>
      <c r="N284">
        <v>65.47</v>
      </c>
      <c r="O284" t="s">
        <v>19</v>
      </c>
      <c r="P284" t="s">
        <v>20</v>
      </c>
      <c r="Q284" t="s">
        <v>19</v>
      </c>
      <c r="R284" t="str">
        <f>HYPERLINK("https://cfpub.epa.gov/ecotox/explore.cfm?ncbi=79684","Explore in ECOTOX")</f>
        <v>Explore in ECOTOX</v>
      </c>
    </row>
    <row r="285" spans="1:18" x14ac:dyDescent="0.45">
      <c r="A285" t="s">
        <v>1264</v>
      </c>
      <c r="B285">
        <v>8</v>
      </c>
      <c r="C285" t="str">
        <f>HYPERLINK("http://www.ncbi.nlm.nih.gov/protein/XP_030191453.1","XP_030191453.1")</f>
        <v>XP_030191453.1</v>
      </c>
      <c r="D285">
        <v>42175</v>
      </c>
      <c r="E285" t="str">
        <f>HYPERLINK("http://www.ncbi.nlm.nih.gov/Taxonomy/Browser/wwwtax.cgi?mode=Info&amp;id=61383&amp;lvl=3&amp;lin=f&amp;keep=1&amp;srchmode=1&amp;unlock","61383")</f>
        <v>61383</v>
      </c>
      <c r="F285" t="s">
        <v>96</v>
      </c>
      <c r="G285" t="str">
        <f>HYPERLINK("http://www.ncbi.nlm.nih.gov/Taxonomy/Browser/wwwtax.cgi?mode=Info&amp;id=61383&amp;lvl=3&amp;lin=f&amp;keep=1&amp;srchmode=1&amp;unlock","Lynx canadensis")</f>
        <v>Lynx canadensis</v>
      </c>
      <c r="H285" t="s">
        <v>302</v>
      </c>
      <c r="I285" t="str">
        <f>HYPERLINK("http://www.ncbi.nlm.nih.gov/protein/XP_030191453.1","ryanodine receptor 2 isoform X4")</f>
        <v>ryanodine receptor 2 isoform X4</v>
      </c>
      <c r="J285">
        <v>6844.21</v>
      </c>
      <c r="K285" t="s">
        <v>22</v>
      </c>
      <c r="L285">
        <v>276</v>
      </c>
      <c r="M285">
        <v>9.75</v>
      </c>
      <c r="N285">
        <v>65.47</v>
      </c>
      <c r="O285" t="s">
        <v>19</v>
      </c>
      <c r="P285" t="s">
        <v>20</v>
      </c>
      <c r="Q285" t="s">
        <v>19</v>
      </c>
      <c r="R285" t="str">
        <f>HYPERLINK("https://cfpub.epa.gov/ecotox/explore.cfm?ncbi=61383","Explore in ECOTOX")</f>
        <v>Explore in ECOTOX</v>
      </c>
    </row>
    <row r="286" spans="1:18" x14ac:dyDescent="0.45">
      <c r="A286" t="s">
        <v>1264</v>
      </c>
      <c r="B286">
        <v>8</v>
      </c>
      <c r="C286" t="str">
        <f>HYPERLINK("http://www.ncbi.nlm.nih.gov/protein/8UXC_A","8UXC_A")</f>
        <v>8UXC_A</v>
      </c>
      <c r="D286">
        <v>2914507</v>
      </c>
      <c r="E286" t="str">
        <f>HYPERLINK("http://www.ncbi.nlm.nih.gov/Taxonomy/Browser/wwwtax.cgi?mode=Info&amp;id=9606&amp;lvl=3&amp;lin=f&amp;keep=1&amp;srchmode=1&amp;unlock","9606")</f>
        <v>9606</v>
      </c>
      <c r="F286" t="s">
        <v>96</v>
      </c>
      <c r="G286" t="str">
        <f>HYPERLINK("http://www.ncbi.nlm.nih.gov/Taxonomy/Browser/wwwtax.cgi?mode=Info&amp;id=9606&amp;lvl=3&amp;lin=f&amp;keep=1&amp;srchmode=1&amp;unlock","Homo sapiens")</f>
        <v>Homo sapiens</v>
      </c>
      <c r="H286" t="s">
        <v>303</v>
      </c>
      <c r="I286" t="str">
        <f>HYPERLINK("http://www.ncbi.nlm.nih.gov/protein/8UXC_A","Chain A, Ryanodine receptor 2")</f>
        <v>Chain A, Ryanodine receptor 2</v>
      </c>
      <c r="J286">
        <v>6843.83</v>
      </c>
      <c r="K286" t="s">
        <v>22</v>
      </c>
      <c r="L286">
        <v>276</v>
      </c>
      <c r="M286">
        <v>9.75</v>
      </c>
      <c r="N286">
        <v>65.47</v>
      </c>
      <c r="O286" t="s">
        <v>19</v>
      </c>
      <c r="P286" t="s">
        <v>20</v>
      </c>
      <c r="Q286" t="s">
        <v>19</v>
      </c>
      <c r="R286" t="str">
        <f>HYPERLINK("https://cfpub.epa.gov/ecotox/explore.cfm?ncbi=9606","Explore in ECOTOX")</f>
        <v>Explore in ECOTOX</v>
      </c>
    </row>
    <row r="287" spans="1:18" x14ac:dyDescent="0.45">
      <c r="A287" t="s">
        <v>1264</v>
      </c>
      <c r="B287">
        <v>8</v>
      </c>
      <c r="C287" t="str">
        <f>HYPERLINK("http://www.ncbi.nlm.nih.gov/protein/XP_051775519.1","XP_051775519.1")</f>
        <v>XP_051775519.1</v>
      </c>
      <c r="D287">
        <v>40308</v>
      </c>
      <c r="E287" t="str">
        <f>HYPERLINK("http://www.ncbi.nlm.nih.gov/Taxonomy/Browser/wwwtax.cgi?mode=Info&amp;id=27687&amp;lvl=3&amp;lin=f&amp;keep=1&amp;srchmode=1&amp;unlock","27687")</f>
        <v>27687</v>
      </c>
      <c r="F287" t="s">
        <v>293</v>
      </c>
      <c r="G287" t="str">
        <f>HYPERLINK("http://www.ncbi.nlm.nih.gov/Taxonomy/Browser/wwwtax.cgi?mode=Info&amp;id=27687&amp;lvl=3&amp;lin=f&amp;keep=1&amp;srchmode=1&amp;unlock","Erpetoichthys calabaricus")</f>
        <v>Erpetoichthys calabaricus</v>
      </c>
      <c r="H287" t="s">
        <v>304</v>
      </c>
      <c r="I287" t="str">
        <f>HYPERLINK("http://www.ncbi.nlm.nih.gov/protein/XP_051775519.1","ryanodine receptor 2 isoform X1")</f>
        <v>ryanodine receptor 2 isoform X1</v>
      </c>
      <c r="J287">
        <v>6842.29</v>
      </c>
      <c r="K287" t="s">
        <v>22</v>
      </c>
      <c r="L287">
        <v>276</v>
      </c>
      <c r="M287">
        <v>9.75</v>
      </c>
      <c r="N287">
        <v>65.45</v>
      </c>
      <c r="O287" t="s">
        <v>19</v>
      </c>
      <c r="P287" t="s">
        <v>20</v>
      </c>
      <c r="Q287" t="s">
        <v>19</v>
      </c>
      <c r="R287" t="str">
        <f>HYPERLINK("https://cfpub.epa.gov/ecotox/explore.cfm?ncbi=27687","Explore in ECOTOX")</f>
        <v>Explore in ECOTOX</v>
      </c>
    </row>
    <row r="288" spans="1:18" x14ac:dyDescent="0.45">
      <c r="A288" t="s">
        <v>1264</v>
      </c>
      <c r="B288">
        <v>8</v>
      </c>
      <c r="C288" t="str">
        <f>HYPERLINK("http://www.ncbi.nlm.nih.gov/protein/XP_057643795.1","XP_057643795.1")</f>
        <v>XP_057643795.1</v>
      </c>
      <c r="D288">
        <v>44061</v>
      </c>
      <c r="E288" t="str">
        <f>HYPERLINK("http://www.ncbi.nlm.nih.gov/Taxonomy/Browser/wwwtax.cgi?mode=Info&amp;id=269649&amp;lvl=3&amp;lin=f&amp;keep=1&amp;srchmode=1&amp;unlock","269649")</f>
        <v>269649</v>
      </c>
      <c r="F288" t="s">
        <v>96</v>
      </c>
      <c r="G288" t="str">
        <f>HYPERLINK("http://www.ncbi.nlm.nih.gov/Taxonomy/Browser/wwwtax.cgi?mode=Info&amp;id=269649&amp;lvl=3&amp;lin=f&amp;keep=1&amp;srchmode=1&amp;unlock","Chionomys nivalis")</f>
        <v>Chionomys nivalis</v>
      </c>
      <c r="H288" t="s">
        <v>305</v>
      </c>
      <c r="I288" t="str">
        <f>HYPERLINK("http://www.ncbi.nlm.nih.gov/protein/XP_057643795.1","ryanodine receptor 2 isoform X2")</f>
        <v>ryanodine receptor 2 isoform X2</v>
      </c>
      <c r="J288">
        <v>6841.13</v>
      </c>
      <c r="K288" t="s">
        <v>22</v>
      </c>
      <c r="L288">
        <v>276</v>
      </c>
      <c r="M288">
        <v>9.75</v>
      </c>
      <c r="N288">
        <v>65.44</v>
      </c>
      <c r="O288" t="s">
        <v>19</v>
      </c>
      <c r="P288" t="s">
        <v>20</v>
      </c>
      <c r="Q288" t="s">
        <v>19</v>
      </c>
      <c r="R288" t="str">
        <f>HYPERLINK("https://cfpub.epa.gov/ecotox/explore.cfm?ncbi=269649","Explore in ECOTOX")</f>
        <v>Explore in ECOTOX</v>
      </c>
    </row>
    <row r="289" spans="1:18" x14ac:dyDescent="0.45">
      <c r="A289" t="s">
        <v>1264</v>
      </c>
      <c r="B289">
        <v>8</v>
      </c>
      <c r="C289" t="str">
        <f>HYPERLINK("http://www.ncbi.nlm.nih.gov/protein/XP_047680609.1","XP_047680609.1")</f>
        <v>XP_047680609.1</v>
      </c>
      <c r="D289">
        <v>56465</v>
      </c>
      <c r="E289" t="str">
        <f>HYPERLINK("http://www.ncbi.nlm.nih.gov/Taxonomy/Browser/wwwtax.cgi?mode=Info&amp;id=61388&amp;lvl=3&amp;lin=f&amp;keep=1&amp;srchmode=1&amp;unlock","61388")</f>
        <v>61388</v>
      </c>
      <c r="F289" t="s">
        <v>96</v>
      </c>
      <c r="G289" t="str">
        <f>HYPERLINK("http://www.ncbi.nlm.nih.gov/Taxonomy/Browser/wwwtax.cgi?mode=Info&amp;id=61388&amp;lvl=3&amp;lin=f&amp;keep=1&amp;srchmode=1&amp;unlock","Prionailurus viverrinus")</f>
        <v>Prionailurus viverrinus</v>
      </c>
      <c r="H289" t="s">
        <v>306</v>
      </c>
      <c r="I289" t="str">
        <f>HYPERLINK("http://www.ncbi.nlm.nih.gov/protein/XP_047680609.1","ryanodine receptor 2")</f>
        <v>ryanodine receptor 2</v>
      </c>
      <c r="J289">
        <v>6840.75</v>
      </c>
      <c r="K289" t="s">
        <v>22</v>
      </c>
      <c r="L289">
        <v>276</v>
      </c>
      <c r="M289">
        <v>9.75</v>
      </c>
      <c r="N289">
        <v>65.44</v>
      </c>
      <c r="O289" t="s">
        <v>19</v>
      </c>
      <c r="P289" t="s">
        <v>20</v>
      </c>
      <c r="Q289" t="s">
        <v>19</v>
      </c>
      <c r="R289" t="str">
        <f>HYPERLINK("https://cfpub.epa.gov/ecotox/explore.cfm?ncbi=61388","Explore in ECOTOX")</f>
        <v>Explore in ECOTOX</v>
      </c>
    </row>
    <row r="290" spans="1:18" x14ac:dyDescent="0.45">
      <c r="A290" t="s">
        <v>1264</v>
      </c>
      <c r="B290">
        <v>8</v>
      </c>
      <c r="C290" t="str">
        <f>HYPERLINK("http://www.ncbi.nlm.nih.gov/protein/XP_026505307.1","XP_026505307.1")</f>
        <v>XP_026505307.1</v>
      </c>
      <c r="D290">
        <v>34224</v>
      </c>
      <c r="E290" t="str">
        <f>HYPERLINK("http://www.ncbi.nlm.nih.gov/Taxonomy/Browser/wwwtax.cgi?mode=Info&amp;id=2587831&amp;lvl=3&amp;lin=f&amp;keep=1&amp;srchmode=1&amp;unlock","2587831")</f>
        <v>2587831</v>
      </c>
      <c r="F290" t="s">
        <v>203</v>
      </c>
      <c r="G290" t="str">
        <f>HYPERLINK("http://www.ncbi.nlm.nih.gov/Taxonomy/Browser/wwwtax.cgi?mode=Info&amp;id=2587831&amp;lvl=3&amp;lin=f&amp;keep=1&amp;srchmode=1&amp;unlock","Terrapene carolina triunguis")</f>
        <v>Terrapene carolina triunguis</v>
      </c>
      <c r="H290" t="s">
        <v>307</v>
      </c>
      <c r="I290" t="str">
        <f>HYPERLINK("http://www.ncbi.nlm.nih.gov/protein/XP_026505307.1","ryanodine receptor 2")</f>
        <v>ryanodine receptor 2</v>
      </c>
      <c r="J290">
        <v>6840.75</v>
      </c>
      <c r="K290" t="s">
        <v>22</v>
      </c>
      <c r="L290">
        <v>276</v>
      </c>
      <c r="M290">
        <v>9.75</v>
      </c>
      <c r="N290">
        <v>65.44</v>
      </c>
      <c r="O290" t="s">
        <v>19</v>
      </c>
      <c r="P290" t="s">
        <v>20</v>
      </c>
      <c r="Q290" t="s">
        <v>19</v>
      </c>
      <c r="R290" t="str">
        <f>HYPERLINK("https://cfpub.epa.gov/ecotox/explore.cfm?ncbi=2587831","Explore in ECOTOX")</f>
        <v>Explore in ECOTOX</v>
      </c>
    </row>
    <row r="291" spans="1:18" x14ac:dyDescent="0.45">
      <c r="A291" t="s">
        <v>1264</v>
      </c>
      <c r="B291">
        <v>8</v>
      </c>
      <c r="C291" t="str">
        <f>HYPERLINK("http://www.ncbi.nlm.nih.gov/protein/XP_059118999.1","XP_059118999.1")</f>
        <v>XP_059118999.1</v>
      </c>
      <c r="D291">
        <v>38859</v>
      </c>
      <c r="E291" t="str">
        <f>HYPERLINK("http://www.ncbi.nlm.nih.gov/Taxonomy/Browser/wwwtax.cgi?mode=Info&amp;id=42410&amp;lvl=3&amp;lin=f&amp;keep=1&amp;srchmode=1&amp;unlock","42410")</f>
        <v>42410</v>
      </c>
      <c r="F291" t="s">
        <v>96</v>
      </c>
      <c r="G291" t="str">
        <f>HYPERLINK("http://www.ncbi.nlm.nih.gov/Taxonomy/Browser/wwwtax.cgi?mode=Info&amp;id=42410&amp;lvl=3&amp;lin=f&amp;keep=1&amp;srchmode=1&amp;unlock","Peromyscus eremicus")</f>
        <v>Peromyscus eremicus</v>
      </c>
      <c r="H291" t="s">
        <v>308</v>
      </c>
      <c r="I291" t="str">
        <f>HYPERLINK("http://www.ncbi.nlm.nih.gov/protein/XP_059118999.1","ryanodine receptor 2")</f>
        <v>ryanodine receptor 2</v>
      </c>
      <c r="J291">
        <v>6840.75</v>
      </c>
      <c r="K291" t="s">
        <v>22</v>
      </c>
      <c r="L291">
        <v>276</v>
      </c>
      <c r="M291">
        <v>9.75</v>
      </c>
      <c r="N291">
        <v>65.44</v>
      </c>
      <c r="O291" t="s">
        <v>19</v>
      </c>
      <c r="P291" t="s">
        <v>20</v>
      </c>
      <c r="Q291" t="s">
        <v>19</v>
      </c>
      <c r="R291" t="str">
        <f>HYPERLINK("https://cfpub.epa.gov/ecotox/explore.cfm?ncbi=42410","Explore in ECOTOX")</f>
        <v>Explore in ECOTOX</v>
      </c>
    </row>
    <row r="292" spans="1:18" x14ac:dyDescent="0.45">
      <c r="A292" t="s">
        <v>1264</v>
      </c>
      <c r="B292">
        <v>8</v>
      </c>
      <c r="C292" t="str">
        <f>HYPERLINK("http://www.ncbi.nlm.nih.gov/protein/XP_058552247.1","XP_058552247.1")</f>
        <v>XP_058552247.1</v>
      </c>
      <c r="D292">
        <v>63007</v>
      </c>
      <c r="E292" t="str">
        <f>HYPERLINK("http://www.ncbi.nlm.nih.gov/Taxonomy/Browser/wwwtax.cgi?mode=Info&amp;id=61452&amp;lvl=3&amp;lin=f&amp;keep=1&amp;srchmode=1&amp;unlock","61452")</f>
        <v>61452</v>
      </c>
      <c r="F292" t="s">
        <v>96</v>
      </c>
      <c r="G292" t="str">
        <f>HYPERLINK("http://www.ncbi.nlm.nih.gov/Taxonomy/Browser/wwwtax.cgi?mode=Info&amp;id=61452&amp;lvl=3&amp;lin=f&amp;keep=1&amp;srchmode=1&amp;unlock","Neofelis nebulosa")</f>
        <v>Neofelis nebulosa</v>
      </c>
      <c r="H292" t="s">
        <v>309</v>
      </c>
      <c r="I292" t="str">
        <f>HYPERLINK("http://www.ncbi.nlm.nih.gov/protein/XP_058552247.1","ryanodine receptor 2 isoform X2")</f>
        <v>ryanodine receptor 2 isoform X2</v>
      </c>
      <c r="J292">
        <v>6840.75</v>
      </c>
      <c r="K292" t="s">
        <v>22</v>
      </c>
      <c r="L292">
        <v>276</v>
      </c>
      <c r="M292">
        <v>9.75</v>
      </c>
      <c r="N292">
        <v>65.44</v>
      </c>
      <c r="O292" t="s">
        <v>19</v>
      </c>
      <c r="P292" t="s">
        <v>20</v>
      </c>
      <c r="Q292" t="s">
        <v>19</v>
      </c>
      <c r="R292" t="str">
        <f>HYPERLINK("https://cfpub.epa.gov/ecotox/explore.cfm?ncbi=61452","Explore in ECOTOX")</f>
        <v>Explore in ECOTOX</v>
      </c>
    </row>
    <row r="293" spans="1:18" x14ac:dyDescent="0.45">
      <c r="A293" t="s">
        <v>1264</v>
      </c>
      <c r="B293">
        <v>8</v>
      </c>
      <c r="C293" t="str">
        <f>HYPERLINK("http://www.ncbi.nlm.nih.gov/protein/XP_054252820.1","XP_054252820.1")</f>
        <v>XP_054252820.1</v>
      </c>
      <c r="D293">
        <v>20201</v>
      </c>
      <c r="E293" t="str">
        <f>HYPERLINK("http://www.ncbi.nlm.nih.gov/Taxonomy/Browser/wwwtax.cgi?mode=Info&amp;id=1002788&amp;lvl=3&amp;lin=f&amp;keep=1&amp;srchmode=1&amp;unlock","1002788")</f>
        <v>1002788</v>
      </c>
      <c r="F293" t="s">
        <v>241</v>
      </c>
      <c r="G293" t="str">
        <f>HYPERLINK("http://www.ncbi.nlm.nih.gov/Taxonomy/Browser/wwwtax.cgi?mode=Info&amp;id=1002788&amp;lvl=3&amp;lin=f&amp;keep=1&amp;srchmode=1&amp;unlock","Indicator indicator")</f>
        <v>Indicator indicator</v>
      </c>
      <c r="H293" t="s">
        <v>310</v>
      </c>
      <c r="I293" t="str">
        <f>HYPERLINK("http://www.ncbi.nlm.nih.gov/protein/XP_054252820.1","ryanodine receptor 2")</f>
        <v>ryanodine receptor 2</v>
      </c>
      <c r="J293">
        <v>6840.36</v>
      </c>
      <c r="K293" t="s">
        <v>22</v>
      </c>
      <c r="L293">
        <v>276</v>
      </c>
      <c r="M293">
        <v>9.75</v>
      </c>
      <c r="N293">
        <v>65.430000000000007</v>
      </c>
      <c r="O293" t="s">
        <v>19</v>
      </c>
      <c r="P293" t="s">
        <v>20</v>
      </c>
      <c r="Q293" t="s">
        <v>19</v>
      </c>
      <c r="R293" t="str">
        <f>HYPERLINK("https://cfpub.epa.gov/ecotox/explore.cfm?ncbi=1002788","Explore in ECOTOX")</f>
        <v>Explore in ECOTOX</v>
      </c>
    </row>
    <row r="294" spans="1:18" x14ac:dyDescent="0.45">
      <c r="A294" t="s">
        <v>1264</v>
      </c>
      <c r="B294">
        <v>8</v>
      </c>
      <c r="C294" t="str">
        <f>HYPERLINK("http://www.ncbi.nlm.nih.gov/protein/XP_055003014.1","XP_055003014.1")</f>
        <v>XP_055003014.1</v>
      </c>
      <c r="D294">
        <v>41587</v>
      </c>
      <c r="E294" t="str">
        <f>HYPERLINK("http://www.ncbi.nlm.nih.gov/Taxonomy/Browser/wwwtax.cgi?mode=Info&amp;id=42254&amp;lvl=3&amp;lin=f&amp;keep=1&amp;srchmode=1&amp;unlock","42254")</f>
        <v>42254</v>
      </c>
      <c r="F294" t="s">
        <v>96</v>
      </c>
      <c r="G294" t="str">
        <f>HYPERLINK("http://www.ncbi.nlm.nih.gov/Taxonomy/Browser/wwwtax.cgi?mode=Info&amp;id=42254&amp;lvl=3&amp;lin=f&amp;keep=1&amp;srchmode=1&amp;unlock","Sorex araneus")</f>
        <v>Sorex araneus</v>
      </c>
      <c r="H294" t="s">
        <v>311</v>
      </c>
      <c r="I294" t="str">
        <f>HYPERLINK("http://www.ncbi.nlm.nih.gov/protein/XP_055003014.1","ryanodine receptor 2")</f>
        <v>ryanodine receptor 2</v>
      </c>
      <c r="J294">
        <v>6839.59</v>
      </c>
      <c r="K294" t="s">
        <v>22</v>
      </c>
      <c r="L294">
        <v>276</v>
      </c>
      <c r="M294">
        <v>9.75</v>
      </c>
      <c r="N294">
        <v>65.430000000000007</v>
      </c>
      <c r="O294" t="s">
        <v>19</v>
      </c>
      <c r="P294" t="s">
        <v>20</v>
      </c>
      <c r="Q294" t="s">
        <v>19</v>
      </c>
      <c r="R294" t="str">
        <f>HYPERLINK("https://cfpub.epa.gov/ecotox/explore.cfm?ncbi=42254","Explore in ECOTOX")</f>
        <v>Explore in ECOTOX</v>
      </c>
    </row>
    <row r="295" spans="1:18" x14ac:dyDescent="0.45">
      <c r="A295" t="s">
        <v>1264</v>
      </c>
      <c r="B295">
        <v>8</v>
      </c>
      <c r="C295" t="str">
        <f>HYPERLINK("http://www.ncbi.nlm.nih.gov/protein/XP_041486628.1","XP_041486628.1")</f>
        <v>XP_041486628.1</v>
      </c>
      <c r="D295">
        <v>50333</v>
      </c>
      <c r="E295" t="str">
        <f>HYPERLINK("http://www.ncbi.nlm.nih.gov/Taxonomy/Browser/wwwtax.cgi?mode=Info&amp;id=111838&amp;lvl=3&amp;lin=f&amp;keep=1&amp;srchmode=1&amp;unlock","111838")</f>
        <v>111838</v>
      </c>
      <c r="F295" t="s">
        <v>96</v>
      </c>
      <c r="G295" t="str">
        <f>HYPERLINK("http://www.ncbi.nlm.nih.gov/Taxonomy/Browser/wwwtax.cgi?mode=Info&amp;id=111838&amp;lvl=3&amp;lin=f&amp;keep=1&amp;srchmode=1&amp;unlock","Microtus oregoni")</f>
        <v>Microtus oregoni</v>
      </c>
      <c r="H295" t="s">
        <v>312</v>
      </c>
      <c r="I295" t="str">
        <f>HYPERLINK("http://www.ncbi.nlm.nih.gov/protein/XP_041486628.1","ryanodine receptor 2 isoform X8")</f>
        <v>ryanodine receptor 2 isoform X8</v>
      </c>
      <c r="J295">
        <v>6839.2</v>
      </c>
      <c r="K295" t="s">
        <v>22</v>
      </c>
      <c r="L295">
        <v>276</v>
      </c>
      <c r="M295">
        <v>9.75</v>
      </c>
      <c r="N295">
        <v>65.42</v>
      </c>
      <c r="O295" t="s">
        <v>19</v>
      </c>
      <c r="P295" t="s">
        <v>20</v>
      </c>
      <c r="Q295" t="s">
        <v>19</v>
      </c>
      <c r="R295" t="str">
        <f>HYPERLINK("https://cfpub.epa.gov/ecotox/explore.cfm?ncbi=111838","Explore in ECOTOX")</f>
        <v>Explore in ECOTOX</v>
      </c>
    </row>
    <row r="296" spans="1:18" x14ac:dyDescent="0.45">
      <c r="A296" t="s">
        <v>1264</v>
      </c>
      <c r="B296">
        <v>8</v>
      </c>
      <c r="C296" t="str">
        <f>HYPERLINK("http://www.ncbi.nlm.nih.gov/protein/XP_037842114.1","XP_037842114.1")</f>
        <v>XP_037842114.1</v>
      </c>
      <c r="D296">
        <v>62309</v>
      </c>
      <c r="E296" t="str">
        <f>HYPERLINK("http://www.ncbi.nlm.nih.gov/Taxonomy/Browser/wwwtax.cgi?mode=Info&amp;id=60711&amp;lvl=3&amp;lin=f&amp;keep=1&amp;srchmode=1&amp;unlock","60711")</f>
        <v>60711</v>
      </c>
      <c r="F296" t="s">
        <v>96</v>
      </c>
      <c r="G296" t="str">
        <f>HYPERLINK("http://www.ncbi.nlm.nih.gov/Taxonomy/Browser/wwwtax.cgi?mode=Info&amp;id=60711&amp;lvl=3&amp;lin=f&amp;keep=1&amp;srchmode=1&amp;unlock","Chlorocebus sabaeus")</f>
        <v>Chlorocebus sabaeus</v>
      </c>
      <c r="H296" t="s">
        <v>313</v>
      </c>
      <c r="I296" t="str">
        <f>HYPERLINK("http://www.ncbi.nlm.nih.gov/protein/XP_037842114.1","ryanodine receptor 2 isoform X11")</f>
        <v>ryanodine receptor 2 isoform X11</v>
      </c>
      <c r="J296">
        <v>6838.82</v>
      </c>
      <c r="K296" t="s">
        <v>22</v>
      </c>
      <c r="L296">
        <v>276</v>
      </c>
      <c r="M296">
        <v>9.75</v>
      </c>
      <c r="N296">
        <v>65.42</v>
      </c>
      <c r="O296" t="s">
        <v>19</v>
      </c>
      <c r="P296" t="s">
        <v>20</v>
      </c>
      <c r="Q296" t="s">
        <v>19</v>
      </c>
      <c r="R296" t="str">
        <f>HYPERLINK("https://cfpub.epa.gov/ecotox/explore.cfm?ncbi=60711","Explore in ECOTOX")</f>
        <v>Explore in ECOTOX</v>
      </c>
    </row>
    <row r="297" spans="1:18" x14ac:dyDescent="0.45">
      <c r="A297" t="s">
        <v>1264</v>
      </c>
      <c r="B297">
        <v>8</v>
      </c>
      <c r="C297" t="str">
        <f>HYPERLINK("http://www.ncbi.nlm.nih.gov/protein/XP_042815988.1","XP_042815988.1")</f>
        <v>XP_042815988.1</v>
      </c>
      <c r="D297">
        <v>56149</v>
      </c>
      <c r="E297" t="str">
        <f>HYPERLINK("http://www.ncbi.nlm.nih.gov/Taxonomy/Browser/wwwtax.cgi?mode=Info&amp;id=9694&amp;lvl=3&amp;lin=f&amp;keep=1&amp;srchmode=1&amp;unlock","9694")</f>
        <v>9694</v>
      </c>
      <c r="F297" t="s">
        <v>96</v>
      </c>
      <c r="G297" t="str">
        <f>HYPERLINK("http://www.ncbi.nlm.nih.gov/Taxonomy/Browser/wwwtax.cgi?mode=Info&amp;id=9694&amp;lvl=3&amp;lin=f&amp;keep=1&amp;srchmode=1&amp;unlock","Panthera tigris")</f>
        <v>Panthera tigris</v>
      </c>
      <c r="H297" t="s">
        <v>314</v>
      </c>
      <c r="I297" t="str">
        <f>HYPERLINK("http://www.ncbi.nlm.nih.gov/protein/XP_042815988.1","ryanodine receptor 2")</f>
        <v>ryanodine receptor 2</v>
      </c>
      <c r="J297">
        <v>6838.43</v>
      </c>
      <c r="K297" t="s">
        <v>22</v>
      </c>
      <c r="L297">
        <v>276</v>
      </c>
      <c r="M297">
        <v>9.75</v>
      </c>
      <c r="N297">
        <v>65.42</v>
      </c>
      <c r="O297" t="s">
        <v>19</v>
      </c>
      <c r="P297" t="s">
        <v>20</v>
      </c>
      <c r="Q297" t="s">
        <v>19</v>
      </c>
      <c r="R297" t="str">
        <f>HYPERLINK("https://cfpub.epa.gov/ecotox/explore.cfm?ncbi=9694","Explore in ECOTOX")</f>
        <v>Explore in ECOTOX</v>
      </c>
    </row>
    <row r="298" spans="1:18" x14ac:dyDescent="0.45">
      <c r="A298" t="s">
        <v>1264</v>
      </c>
      <c r="B298">
        <v>8</v>
      </c>
      <c r="C298" t="str">
        <f>HYPERLINK("http://www.ncbi.nlm.nih.gov/protein/XP_057361738.1","XP_057361738.1")</f>
        <v>XP_057361738.1</v>
      </c>
      <c r="D298">
        <v>82449</v>
      </c>
      <c r="E298" t="str">
        <f>HYPERLINK("http://www.ncbi.nlm.nih.gov/Taxonomy/Browser/wwwtax.cgi?mode=Info&amp;id=143292&amp;lvl=3&amp;lin=f&amp;keep=1&amp;srchmode=1&amp;unlock","143292")</f>
        <v>143292</v>
      </c>
      <c r="F298" t="s">
        <v>96</v>
      </c>
      <c r="G298" t="str">
        <f>HYPERLINK("http://www.ncbi.nlm.nih.gov/Taxonomy/Browser/wwwtax.cgi?mode=Info&amp;id=143292&amp;lvl=3&amp;lin=f&amp;keep=1&amp;srchmode=1&amp;unlock","Manis pentadactyla")</f>
        <v>Manis pentadactyla</v>
      </c>
      <c r="H298" t="s">
        <v>315</v>
      </c>
      <c r="I298" t="str">
        <f>HYPERLINK("http://www.ncbi.nlm.nih.gov/protein/XP_057361738.1","ryanodine receptor 2")</f>
        <v>ryanodine receptor 2</v>
      </c>
      <c r="J298">
        <v>6837.28</v>
      </c>
      <c r="K298" t="s">
        <v>22</v>
      </c>
      <c r="L298">
        <v>276</v>
      </c>
      <c r="M298">
        <v>9.75</v>
      </c>
      <c r="N298">
        <v>65.400000000000006</v>
      </c>
      <c r="O298" t="s">
        <v>19</v>
      </c>
      <c r="P298" t="s">
        <v>20</v>
      </c>
      <c r="Q298" t="s">
        <v>19</v>
      </c>
      <c r="R298" t="str">
        <f>HYPERLINK("https://cfpub.epa.gov/ecotox/explore.cfm?ncbi=143292","Explore in ECOTOX")</f>
        <v>Explore in ECOTOX</v>
      </c>
    </row>
    <row r="299" spans="1:18" x14ac:dyDescent="0.45">
      <c r="A299" t="s">
        <v>1264</v>
      </c>
      <c r="B299">
        <v>8</v>
      </c>
      <c r="C299" t="str">
        <f>HYPERLINK("http://www.ncbi.nlm.nih.gov/protein/XP_055969562.1","XP_055969562.1")</f>
        <v>XP_055969562.1</v>
      </c>
      <c r="D299">
        <v>32714</v>
      </c>
      <c r="E299" t="str">
        <f>HYPERLINK("http://www.ncbi.nlm.nih.gov/Taxonomy/Browser/wwwtax.cgi?mode=Info&amp;id=62283&amp;lvl=3&amp;lin=f&amp;keep=1&amp;srchmode=1&amp;unlock","62283")</f>
        <v>62283</v>
      </c>
      <c r="F299" t="s">
        <v>96</v>
      </c>
      <c r="G299" t="str">
        <f>HYPERLINK("http://www.ncbi.nlm.nih.gov/Taxonomy/Browser/wwwtax.cgi?mode=Info&amp;id=62283&amp;lvl=3&amp;lin=f&amp;keep=1&amp;srchmode=1&amp;unlock","Sorex fumeus")</f>
        <v>Sorex fumeus</v>
      </c>
      <c r="H299" t="s">
        <v>316</v>
      </c>
      <c r="I299" t="str">
        <f>HYPERLINK("http://www.ncbi.nlm.nih.gov/protein/XP_055969562.1","ryanodine receptor 2")</f>
        <v>ryanodine receptor 2</v>
      </c>
      <c r="J299">
        <v>6837.28</v>
      </c>
      <c r="K299" t="s">
        <v>22</v>
      </c>
      <c r="L299">
        <v>276</v>
      </c>
      <c r="M299">
        <v>9.75</v>
      </c>
      <c r="N299">
        <v>65.400000000000006</v>
      </c>
      <c r="O299" t="s">
        <v>19</v>
      </c>
      <c r="P299" t="s">
        <v>20</v>
      </c>
      <c r="Q299" t="s">
        <v>19</v>
      </c>
      <c r="R299" t="str">
        <f>HYPERLINK("https://cfpub.epa.gov/ecotox/explore.cfm?ncbi=62283","Explore in ECOTOX")</f>
        <v>Explore in ECOTOX</v>
      </c>
    </row>
    <row r="300" spans="1:18" x14ac:dyDescent="0.45">
      <c r="A300" t="s">
        <v>1264</v>
      </c>
      <c r="B300">
        <v>8</v>
      </c>
      <c r="C300" t="str">
        <f>HYPERLINK("http://www.ncbi.nlm.nih.gov/protein/XP_014982144.1","XP_014982144.1")</f>
        <v>XP_014982144.1</v>
      </c>
      <c r="D300">
        <v>182127</v>
      </c>
      <c r="E300" t="str">
        <f>HYPERLINK("http://www.ncbi.nlm.nih.gov/Taxonomy/Browser/wwwtax.cgi?mode=Info&amp;id=9544&amp;lvl=3&amp;lin=f&amp;keep=1&amp;srchmode=1&amp;unlock","9544")</f>
        <v>9544</v>
      </c>
      <c r="F300" t="s">
        <v>96</v>
      </c>
      <c r="G300" t="str">
        <f>HYPERLINK("http://www.ncbi.nlm.nih.gov/Taxonomy/Browser/wwwtax.cgi?mode=Info&amp;id=9544&amp;lvl=3&amp;lin=f&amp;keep=1&amp;srchmode=1&amp;unlock","Macaca mulatta")</f>
        <v>Macaca mulatta</v>
      </c>
      <c r="H300" t="s">
        <v>317</v>
      </c>
      <c r="I300" t="str">
        <f>HYPERLINK("http://www.ncbi.nlm.nih.gov/protein/XP_014982144.1","ryanodine receptor 2 isoform X8")</f>
        <v>ryanodine receptor 2 isoform X8</v>
      </c>
      <c r="J300">
        <v>6836.89</v>
      </c>
      <c r="K300" t="s">
        <v>22</v>
      </c>
      <c r="L300">
        <v>276</v>
      </c>
      <c r="M300">
        <v>9.75</v>
      </c>
      <c r="N300">
        <v>65.400000000000006</v>
      </c>
      <c r="O300" t="s">
        <v>19</v>
      </c>
      <c r="P300" t="s">
        <v>20</v>
      </c>
      <c r="Q300" t="s">
        <v>19</v>
      </c>
      <c r="R300" t="str">
        <f>HYPERLINK("https://cfpub.epa.gov/ecotox/explore.cfm?ncbi=9544","Explore in ECOTOX")</f>
        <v>Explore in ECOTOX</v>
      </c>
    </row>
    <row r="301" spans="1:18" x14ac:dyDescent="0.45">
      <c r="A301" t="s">
        <v>1264</v>
      </c>
      <c r="B301">
        <v>8</v>
      </c>
      <c r="C301" t="str">
        <f>HYPERLINK("http://www.ncbi.nlm.nih.gov/protein/XP_042763717.1","XP_042763717.1")</f>
        <v>XP_042763717.1</v>
      </c>
      <c r="D301">
        <v>53687</v>
      </c>
      <c r="E301" t="str">
        <f>HYPERLINK("http://www.ncbi.nlm.nih.gov/Taxonomy/Browser/wwwtax.cgi?mode=Info&amp;id=9689&amp;lvl=3&amp;lin=f&amp;keep=1&amp;srchmode=1&amp;unlock","9689")</f>
        <v>9689</v>
      </c>
      <c r="F301" t="s">
        <v>96</v>
      </c>
      <c r="G301" t="str">
        <f>HYPERLINK("http://www.ncbi.nlm.nih.gov/Taxonomy/Browser/wwwtax.cgi?mode=Info&amp;id=9689&amp;lvl=3&amp;lin=f&amp;keep=1&amp;srchmode=1&amp;unlock","Panthera leo")</f>
        <v>Panthera leo</v>
      </c>
      <c r="H301" t="s">
        <v>318</v>
      </c>
      <c r="I301" t="str">
        <f>HYPERLINK("http://www.ncbi.nlm.nih.gov/protein/XP_042763717.1","ryanodine receptor 2")</f>
        <v>ryanodine receptor 2</v>
      </c>
      <c r="J301">
        <v>6836.89</v>
      </c>
      <c r="K301" t="s">
        <v>22</v>
      </c>
      <c r="L301">
        <v>276</v>
      </c>
      <c r="M301">
        <v>9.75</v>
      </c>
      <c r="N301">
        <v>65.400000000000006</v>
      </c>
      <c r="O301" t="s">
        <v>19</v>
      </c>
      <c r="P301" t="s">
        <v>20</v>
      </c>
      <c r="Q301" t="s">
        <v>19</v>
      </c>
      <c r="R301" t="str">
        <f>HYPERLINK("https://cfpub.epa.gov/ecotox/explore.cfm?ncbi=9689","Explore in ECOTOX")</f>
        <v>Explore in ECOTOX</v>
      </c>
    </row>
    <row r="302" spans="1:18" x14ac:dyDescent="0.45">
      <c r="A302" t="s">
        <v>1264</v>
      </c>
      <c r="B302">
        <v>8</v>
      </c>
      <c r="C302" t="str">
        <f>HYPERLINK("http://www.ncbi.nlm.nih.gov/protein/XP_025940883.1","XP_025940883.1")</f>
        <v>XP_025940883.1</v>
      </c>
      <c r="D302">
        <v>37693</v>
      </c>
      <c r="E302" t="str">
        <f>HYPERLINK("http://www.ncbi.nlm.nih.gov/Taxonomy/Browser/wwwtax.cgi?mode=Info&amp;id=308060&amp;lvl=3&amp;lin=f&amp;keep=1&amp;srchmode=1&amp;unlock","308060")</f>
        <v>308060</v>
      </c>
      <c r="F302" t="s">
        <v>241</v>
      </c>
      <c r="G302" t="str">
        <f>HYPERLINK("http://www.ncbi.nlm.nih.gov/Taxonomy/Browser/wwwtax.cgi?mode=Info&amp;id=308060&amp;lvl=3&amp;lin=f&amp;keep=1&amp;srchmode=1&amp;unlock","Apteryx rowi")</f>
        <v>Apteryx rowi</v>
      </c>
      <c r="H302" t="s">
        <v>319</v>
      </c>
      <c r="I302" t="str">
        <f>HYPERLINK("http://www.ncbi.nlm.nih.gov/protein/XP_025940883.1","ryanodine receptor 2")</f>
        <v>ryanodine receptor 2</v>
      </c>
      <c r="J302">
        <v>6836.51</v>
      </c>
      <c r="K302" t="s">
        <v>22</v>
      </c>
      <c r="L302">
        <v>276</v>
      </c>
      <c r="M302">
        <v>9.75</v>
      </c>
      <c r="N302">
        <v>65.400000000000006</v>
      </c>
      <c r="O302" t="s">
        <v>19</v>
      </c>
      <c r="P302" t="s">
        <v>20</v>
      </c>
      <c r="Q302" t="s">
        <v>19</v>
      </c>
      <c r="R302" t="str">
        <f>HYPERLINK("https://cfpub.epa.gov/ecotox/explore.cfm?ncbi=308060","Explore in ECOTOX")</f>
        <v>Explore in ECOTOX</v>
      </c>
    </row>
    <row r="303" spans="1:18" x14ac:dyDescent="0.45">
      <c r="A303" t="s">
        <v>1264</v>
      </c>
      <c r="B303">
        <v>8</v>
      </c>
      <c r="C303" t="str">
        <f>HYPERLINK("http://www.ncbi.nlm.nih.gov/protein/XP_051050707.1","XP_051050707.1")</f>
        <v>XP_051050707.1</v>
      </c>
      <c r="D303">
        <v>56582</v>
      </c>
      <c r="E303" t="str">
        <f>HYPERLINK("http://www.ncbi.nlm.nih.gov/Taxonomy/Browser/wwwtax.cgi?mode=Info&amp;id=109678&amp;lvl=3&amp;lin=f&amp;keep=1&amp;srchmode=1&amp;unlock","109678")</f>
        <v>109678</v>
      </c>
      <c r="F303" t="s">
        <v>96</v>
      </c>
      <c r="G303" t="str">
        <f>HYPERLINK("http://www.ncbi.nlm.nih.gov/Taxonomy/Browser/wwwtax.cgi?mode=Info&amp;id=109678&amp;lvl=3&amp;lin=f&amp;keep=1&amp;srchmode=1&amp;unlock","Phodopus roborovskii")</f>
        <v>Phodopus roborovskii</v>
      </c>
      <c r="H303" t="s">
        <v>320</v>
      </c>
      <c r="I303" t="str">
        <f>HYPERLINK("http://www.ncbi.nlm.nih.gov/protein/XP_051050707.1","ryanodine receptor 2")</f>
        <v>ryanodine receptor 2</v>
      </c>
      <c r="J303">
        <v>6836.51</v>
      </c>
      <c r="K303" t="s">
        <v>22</v>
      </c>
      <c r="L303">
        <v>276</v>
      </c>
      <c r="M303">
        <v>9.75</v>
      </c>
      <c r="N303">
        <v>65.400000000000006</v>
      </c>
      <c r="O303" t="s">
        <v>19</v>
      </c>
      <c r="P303" t="s">
        <v>20</v>
      </c>
      <c r="Q303" t="s">
        <v>19</v>
      </c>
      <c r="R303" t="str">
        <f>HYPERLINK("https://cfpub.epa.gov/ecotox/explore.cfm?ncbi=109678","Explore in ECOTOX")</f>
        <v>Explore in ECOTOX</v>
      </c>
    </row>
    <row r="304" spans="1:18" x14ac:dyDescent="0.45">
      <c r="A304" t="s">
        <v>1264</v>
      </c>
      <c r="B304">
        <v>8</v>
      </c>
      <c r="C304" t="str">
        <f>HYPERLINK("http://www.ncbi.nlm.nih.gov/protein/XP_054304026.1","XP_054304026.1")</f>
        <v>XP_054304026.1</v>
      </c>
      <c r="D304">
        <v>70586</v>
      </c>
      <c r="E304" t="str">
        <f>HYPERLINK("http://www.ncbi.nlm.nih.gov/Taxonomy/Browser/wwwtax.cgi?mode=Info&amp;id=9600&amp;lvl=3&amp;lin=f&amp;keep=1&amp;srchmode=1&amp;unlock","9600")</f>
        <v>9600</v>
      </c>
      <c r="F304" t="s">
        <v>96</v>
      </c>
      <c r="G304" t="str">
        <f>HYPERLINK("http://www.ncbi.nlm.nih.gov/Taxonomy/Browser/wwwtax.cgi?mode=Info&amp;id=9600&amp;lvl=3&amp;lin=f&amp;keep=1&amp;srchmode=1&amp;unlock","Pongo pygmaeus")</f>
        <v>Pongo pygmaeus</v>
      </c>
      <c r="H304" t="s">
        <v>321</v>
      </c>
      <c r="I304" t="str">
        <f>HYPERLINK("http://www.ncbi.nlm.nih.gov/protein/XP_054304026.1","ryanodine receptor 2 isoform X3")</f>
        <v>ryanodine receptor 2 isoform X3</v>
      </c>
      <c r="J304">
        <v>6835.35</v>
      </c>
      <c r="K304" t="s">
        <v>22</v>
      </c>
      <c r="L304">
        <v>276</v>
      </c>
      <c r="M304">
        <v>9.75</v>
      </c>
      <c r="N304">
        <v>65.39</v>
      </c>
      <c r="O304" t="s">
        <v>19</v>
      </c>
      <c r="P304" t="s">
        <v>20</v>
      </c>
      <c r="Q304" t="s">
        <v>19</v>
      </c>
      <c r="R304" t="str">
        <f>HYPERLINK("https://cfpub.epa.gov/ecotox/explore.cfm?ncbi=9600","Explore in ECOTOX")</f>
        <v>Explore in ECOTOX</v>
      </c>
    </row>
    <row r="305" spans="1:18" x14ac:dyDescent="0.45">
      <c r="A305" t="s">
        <v>1264</v>
      </c>
      <c r="B305">
        <v>8</v>
      </c>
      <c r="C305" t="str">
        <f>HYPERLINK("http://www.ncbi.nlm.nih.gov/protein/XP_032955392.1","XP_032955392.1")</f>
        <v>XP_032955392.1</v>
      </c>
      <c r="D305">
        <v>90577</v>
      </c>
      <c r="E305" t="str">
        <f>HYPERLINK("http://www.ncbi.nlm.nih.gov/Taxonomy/Browser/wwwtax.cgi?mode=Info&amp;id=59479&amp;lvl=3&amp;lin=f&amp;keep=1&amp;srchmode=1&amp;unlock","59479")</f>
        <v>59479</v>
      </c>
      <c r="F305" t="s">
        <v>96</v>
      </c>
      <c r="G305" t="str">
        <f>HYPERLINK("http://www.ncbi.nlm.nih.gov/Taxonomy/Browser/wwwtax.cgi?mode=Info&amp;id=59479&amp;lvl=3&amp;lin=f&amp;keep=1&amp;srchmode=1&amp;unlock","Rhinolophus ferrumequinum")</f>
        <v>Rhinolophus ferrumequinum</v>
      </c>
      <c r="H305" t="s">
        <v>322</v>
      </c>
      <c r="I305" t="str">
        <f>HYPERLINK("http://www.ncbi.nlm.nih.gov/protein/XP_032955392.1","ryanodine receptor 2 isoform X4")</f>
        <v>ryanodine receptor 2 isoform X4</v>
      </c>
      <c r="J305">
        <v>6834.58</v>
      </c>
      <c r="K305" t="s">
        <v>22</v>
      </c>
      <c r="L305">
        <v>276</v>
      </c>
      <c r="M305">
        <v>9.75</v>
      </c>
      <c r="N305">
        <v>65.38</v>
      </c>
      <c r="O305" t="s">
        <v>19</v>
      </c>
      <c r="P305" t="s">
        <v>20</v>
      </c>
      <c r="Q305" t="s">
        <v>19</v>
      </c>
      <c r="R305" t="str">
        <f>HYPERLINK("https://cfpub.epa.gov/ecotox/explore.cfm?ncbi=59479","Explore in ECOTOX")</f>
        <v>Explore in ECOTOX</v>
      </c>
    </row>
    <row r="306" spans="1:18" x14ac:dyDescent="0.45">
      <c r="A306" t="s">
        <v>1264</v>
      </c>
      <c r="B306">
        <v>8</v>
      </c>
      <c r="C306" t="str">
        <f>HYPERLINK("http://www.ncbi.nlm.nih.gov/protein/XP_060228639.1","XP_060228639.1")</f>
        <v>XP_060228639.1</v>
      </c>
      <c r="D306">
        <v>71751</v>
      </c>
      <c r="E306" t="str">
        <f>HYPERLINK("http://www.ncbi.nlm.nih.gov/Taxonomy/Browser/wwwtax.cgi?mode=Info&amp;id=10047&amp;lvl=3&amp;lin=f&amp;keep=1&amp;srchmode=1&amp;unlock","10047")</f>
        <v>10047</v>
      </c>
      <c r="F306" t="s">
        <v>96</v>
      </c>
      <c r="G306" t="str">
        <f>HYPERLINK("http://www.ncbi.nlm.nih.gov/Taxonomy/Browser/wwwtax.cgi?mode=Info&amp;id=10047&amp;lvl=3&amp;lin=f&amp;keep=1&amp;srchmode=1&amp;unlock","Meriones unguiculatus")</f>
        <v>Meriones unguiculatus</v>
      </c>
      <c r="H306" t="s">
        <v>323</v>
      </c>
      <c r="I306" t="str">
        <f>HYPERLINK("http://www.ncbi.nlm.nih.gov/protein/XP_060228639.1","ryanodine receptor 2")</f>
        <v>ryanodine receptor 2</v>
      </c>
      <c r="J306">
        <v>6834.2</v>
      </c>
      <c r="K306" t="s">
        <v>22</v>
      </c>
      <c r="L306">
        <v>276</v>
      </c>
      <c r="M306">
        <v>9.75</v>
      </c>
      <c r="N306">
        <v>65.37</v>
      </c>
      <c r="O306" t="s">
        <v>19</v>
      </c>
      <c r="P306" t="s">
        <v>20</v>
      </c>
      <c r="Q306" t="s">
        <v>19</v>
      </c>
      <c r="R306" t="str">
        <f>HYPERLINK("https://cfpub.epa.gov/ecotox/explore.cfm?ncbi=10047","Explore in ECOTOX")</f>
        <v>Explore in ECOTOX</v>
      </c>
    </row>
    <row r="307" spans="1:18" x14ac:dyDescent="0.45">
      <c r="A307" t="s">
        <v>1264</v>
      </c>
      <c r="B307">
        <v>8</v>
      </c>
      <c r="C307" t="str">
        <f>HYPERLINK("http://www.ncbi.nlm.nih.gov/protein/XP_054516676.1","XP_054516676.1")</f>
        <v>XP_054516676.1</v>
      </c>
      <c r="D307">
        <v>177298</v>
      </c>
      <c r="E307" t="str">
        <f>HYPERLINK("http://www.ncbi.nlm.nih.gov/Taxonomy/Browser/wwwtax.cgi?mode=Info&amp;id=9598&amp;lvl=3&amp;lin=f&amp;keep=1&amp;srchmode=1&amp;unlock","9598")</f>
        <v>9598</v>
      </c>
      <c r="F307" t="s">
        <v>96</v>
      </c>
      <c r="G307" t="str">
        <f>HYPERLINK("http://www.ncbi.nlm.nih.gov/Taxonomy/Browser/wwwtax.cgi?mode=Info&amp;id=9598&amp;lvl=3&amp;lin=f&amp;keep=1&amp;srchmode=1&amp;unlock","Pan troglodytes")</f>
        <v>Pan troglodytes</v>
      </c>
      <c r="H307" t="s">
        <v>324</v>
      </c>
      <c r="I307" t="str">
        <f>HYPERLINK("http://www.ncbi.nlm.nih.gov/protein/XP_054516676.1","ryanodine receptor 2 isoform X4")</f>
        <v>ryanodine receptor 2 isoform X4</v>
      </c>
      <c r="J307">
        <v>6833.43</v>
      </c>
      <c r="K307" t="s">
        <v>22</v>
      </c>
      <c r="L307">
        <v>276</v>
      </c>
      <c r="M307">
        <v>9.75</v>
      </c>
      <c r="N307">
        <v>65.37</v>
      </c>
      <c r="O307" t="s">
        <v>19</v>
      </c>
      <c r="P307" t="s">
        <v>20</v>
      </c>
      <c r="Q307" t="s">
        <v>19</v>
      </c>
      <c r="R307" t="str">
        <f>HYPERLINK("https://cfpub.epa.gov/ecotox/explore.cfm?ncbi=9598","Explore in ECOTOX")</f>
        <v>Explore in ECOTOX</v>
      </c>
    </row>
    <row r="308" spans="1:18" x14ac:dyDescent="0.45">
      <c r="A308" t="s">
        <v>1264</v>
      </c>
      <c r="B308">
        <v>8</v>
      </c>
      <c r="C308" t="str">
        <f>HYPERLINK("http://www.ncbi.nlm.nih.gov/protein/XP_029403297.1","XP_029403297.1")</f>
        <v>XP_029403297.1</v>
      </c>
      <c r="D308">
        <v>42358</v>
      </c>
      <c r="E308" t="str">
        <f>HYPERLINK("http://www.ncbi.nlm.nih.gov/Taxonomy/Browser/wwwtax.cgi?mode=Info&amp;id=10093&amp;lvl=3&amp;lin=f&amp;keep=1&amp;srchmode=1&amp;unlock","10093")</f>
        <v>10093</v>
      </c>
      <c r="F308" t="s">
        <v>96</v>
      </c>
      <c r="G308" t="str">
        <f>HYPERLINK("http://www.ncbi.nlm.nih.gov/Taxonomy/Browser/wwwtax.cgi?mode=Info&amp;id=10093&amp;lvl=3&amp;lin=f&amp;keep=1&amp;srchmode=1&amp;unlock","Mus pahari")</f>
        <v>Mus pahari</v>
      </c>
      <c r="H308" t="s">
        <v>325</v>
      </c>
      <c r="I308" t="str">
        <f>HYPERLINK("http://www.ncbi.nlm.nih.gov/protein/XP_029403297.1","ryanodine receptor 2 isoform X9")</f>
        <v>ryanodine receptor 2 isoform X9</v>
      </c>
      <c r="J308">
        <v>6833.04</v>
      </c>
      <c r="K308" t="s">
        <v>22</v>
      </c>
      <c r="L308">
        <v>276</v>
      </c>
      <c r="M308">
        <v>9.75</v>
      </c>
      <c r="N308">
        <v>65.36</v>
      </c>
      <c r="O308" t="s">
        <v>19</v>
      </c>
      <c r="P308" t="s">
        <v>20</v>
      </c>
      <c r="Q308" t="s">
        <v>19</v>
      </c>
      <c r="R308" t="str">
        <f>HYPERLINK("https://cfpub.epa.gov/ecotox/explore.cfm?ncbi=10093","Explore in ECOTOX")</f>
        <v>Explore in ECOTOX</v>
      </c>
    </row>
    <row r="309" spans="1:18" x14ac:dyDescent="0.45">
      <c r="A309" t="s">
        <v>1264</v>
      </c>
      <c r="B309">
        <v>8</v>
      </c>
      <c r="C309" t="str">
        <f>HYPERLINK("http://www.ncbi.nlm.nih.gov/protein/XP_042704312.1","XP_042704312.1")</f>
        <v>XP_042704312.1</v>
      </c>
      <c r="D309">
        <v>57095</v>
      </c>
      <c r="E309" t="str">
        <f>HYPERLINK("http://www.ncbi.nlm.nih.gov/Taxonomy/Browser/wwwtax.cgi?mode=Info&amp;id=8478&amp;lvl=3&amp;lin=f&amp;keep=1&amp;srchmode=1&amp;unlock","8478")</f>
        <v>8478</v>
      </c>
      <c r="F309" t="s">
        <v>203</v>
      </c>
      <c r="G309" t="str">
        <f>HYPERLINK("http://www.ncbi.nlm.nih.gov/Taxonomy/Browser/wwwtax.cgi?mode=Info&amp;id=8478&amp;lvl=3&amp;lin=f&amp;keep=1&amp;srchmode=1&amp;unlock","Chrysemys picta bellii")</f>
        <v>Chrysemys picta bellii</v>
      </c>
      <c r="H309" t="s">
        <v>326</v>
      </c>
      <c r="I309" t="str">
        <f>HYPERLINK("http://www.ncbi.nlm.nih.gov/protein/XP_042704312.1","LOW QUALITY PROTEIN: ryanodine receptor 2")</f>
        <v>LOW QUALITY PROTEIN: ryanodine receptor 2</v>
      </c>
      <c r="J309">
        <v>6832.66</v>
      </c>
      <c r="K309" t="s">
        <v>22</v>
      </c>
      <c r="L309">
        <v>276</v>
      </c>
      <c r="M309">
        <v>9.75</v>
      </c>
      <c r="N309">
        <v>65.36</v>
      </c>
      <c r="O309" t="s">
        <v>19</v>
      </c>
      <c r="P309" t="s">
        <v>20</v>
      </c>
      <c r="Q309" t="s">
        <v>19</v>
      </c>
      <c r="R309" t="str">
        <f>HYPERLINK("https://cfpub.epa.gov/ecotox/explore.cfm?ncbi=8478","Explore in ECOTOX")</f>
        <v>Explore in ECOTOX</v>
      </c>
    </row>
    <row r="310" spans="1:18" x14ac:dyDescent="0.45">
      <c r="A310" t="s">
        <v>1264</v>
      </c>
      <c r="B310">
        <v>8</v>
      </c>
      <c r="C310" t="str">
        <f>HYPERLINK("http://www.ncbi.nlm.nih.gov/protein/XP_049502052.1","XP_049502052.1")</f>
        <v>XP_049502052.1</v>
      </c>
      <c r="D310">
        <v>44053</v>
      </c>
      <c r="E310" t="str">
        <f>HYPERLINK("http://www.ncbi.nlm.nih.gov/Taxonomy/Browser/wwwtax.cgi?mode=Info&amp;id=29064&amp;lvl=3&amp;lin=f&amp;keep=1&amp;srchmode=1&amp;unlock","29064")</f>
        <v>29064</v>
      </c>
      <c r="F310" t="s">
        <v>96</v>
      </c>
      <c r="G310" t="str">
        <f>HYPERLINK("http://www.ncbi.nlm.nih.gov/Taxonomy/Browser/wwwtax.cgi?mode=Info&amp;id=29064&amp;lvl=3&amp;lin=f&amp;keep=1&amp;srchmode=1&amp;unlock","Panthera uncia")</f>
        <v>Panthera uncia</v>
      </c>
      <c r="H310" t="s">
        <v>327</v>
      </c>
      <c r="I310" t="str">
        <f>HYPERLINK("http://www.ncbi.nlm.nih.gov/protein/XP_049502052.1","ryanodine receptor 2 isoform X2")</f>
        <v>ryanodine receptor 2 isoform X2</v>
      </c>
      <c r="J310">
        <v>6832.66</v>
      </c>
      <c r="K310" t="s">
        <v>22</v>
      </c>
      <c r="L310">
        <v>276</v>
      </c>
      <c r="M310">
        <v>9.75</v>
      </c>
      <c r="N310">
        <v>65.36</v>
      </c>
      <c r="O310" t="s">
        <v>19</v>
      </c>
      <c r="P310" t="s">
        <v>20</v>
      </c>
      <c r="Q310" t="s">
        <v>19</v>
      </c>
      <c r="R310" t="str">
        <f>HYPERLINK("https://cfpub.epa.gov/ecotox/explore.cfm?ncbi=29064","Explore in ECOTOX")</f>
        <v>Explore in ECOTOX</v>
      </c>
    </row>
    <row r="311" spans="1:18" x14ac:dyDescent="0.45">
      <c r="A311" t="s">
        <v>1264</v>
      </c>
      <c r="B311">
        <v>8</v>
      </c>
      <c r="C311" t="str">
        <f>HYPERLINK("http://www.ncbi.nlm.nih.gov/protein/KAI5937455.1","KAI5937455.1")</f>
        <v>KAI5937455.1</v>
      </c>
      <c r="D311">
        <v>75676</v>
      </c>
      <c r="E311" t="str">
        <f>HYPERLINK("http://www.ncbi.nlm.nih.gov/Taxonomy/Browser/wwwtax.cgi?mode=Info&amp;id=9974&amp;lvl=3&amp;lin=f&amp;keep=1&amp;srchmode=1&amp;unlock","9974")</f>
        <v>9974</v>
      </c>
      <c r="F311" t="s">
        <v>96</v>
      </c>
      <c r="G311" t="str">
        <f>HYPERLINK("http://www.ncbi.nlm.nih.gov/Taxonomy/Browser/wwwtax.cgi?mode=Info&amp;id=9974&amp;lvl=3&amp;lin=f&amp;keep=1&amp;srchmode=1&amp;unlock","Manis javanica")</f>
        <v>Manis javanica</v>
      </c>
      <c r="H311" t="s">
        <v>328</v>
      </c>
      <c r="I311" t="str">
        <f>HYPERLINK("http://www.ncbi.nlm.nih.gov/protein/KAI5937455.1","Ryanodine receptor 2")</f>
        <v>Ryanodine receptor 2</v>
      </c>
      <c r="J311">
        <v>6832.66</v>
      </c>
      <c r="K311" t="s">
        <v>22</v>
      </c>
      <c r="L311">
        <v>276</v>
      </c>
      <c r="M311">
        <v>9.75</v>
      </c>
      <c r="N311">
        <v>65.36</v>
      </c>
      <c r="O311" t="s">
        <v>19</v>
      </c>
      <c r="P311" t="s">
        <v>20</v>
      </c>
      <c r="Q311" t="s">
        <v>19</v>
      </c>
      <c r="R311" t="str">
        <f>HYPERLINK("https://cfpub.epa.gov/ecotox/explore.cfm?ncbi=9974","Explore in ECOTOX")</f>
        <v>Explore in ECOTOX</v>
      </c>
    </row>
    <row r="312" spans="1:18" x14ac:dyDescent="0.45">
      <c r="A312" t="s">
        <v>1264</v>
      </c>
      <c r="B312">
        <v>8</v>
      </c>
      <c r="C312" t="str">
        <f>HYPERLINK("http://www.ncbi.nlm.nih.gov/protein/XP_050626607.1","XP_050626607.1")</f>
        <v>XP_050626607.1</v>
      </c>
      <c r="D312">
        <v>62468</v>
      </c>
      <c r="E312" t="str">
        <f>HYPERLINK("http://www.ncbi.nlm.nih.gov/Taxonomy/Browser/wwwtax.cgi?mode=Info&amp;id=257877&amp;lvl=3&amp;lin=f&amp;keep=1&amp;srchmode=1&amp;unlock","257877")</f>
        <v>257877</v>
      </c>
      <c r="F312" t="s">
        <v>96</v>
      </c>
      <c r="G312" t="str">
        <f>HYPERLINK("http://www.ncbi.nlm.nih.gov/Taxonomy/Browser/wwwtax.cgi?mode=Info&amp;id=257877&amp;lvl=3&amp;lin=f&amp;keep=1&amp;srchmode=1&amp;unlock","Macaca thibetana thibetana")</f>
        <v>Macaca thibetana thibetana</v>
      </c>
      <c r="H312" t="s">
        <v>329</v>
      </c>
      <c r="I312" t="str">
        <f>HYPERLINK("http://www.ncbi.nlm.nih.gov/protein/XP_050626607.1","ryanodine receptor 2 isoform X6")</f>
        <v>ryanodine receptor 2 isoform X6</v>
      </c>
      <c r="J312">
        <v>6832.27</v>
      </c>
      <c r="K312" t="s">
        <v>22</v>
      </c>
      <c r="L312">
        <v>276</v>
      </c>
      <c r="M312">
        <v>9.75</v>
      </c>
      <c r="N312">
        <v>65.36</v>
      </c>
      <c r="O312" t="s">
        <v>19</v>
      </c>
      <c r="P312" t="s">
        <v>20</v>
      </c>
      <c r="Q312" t="s">
        <v>19</v>
      </c>
      <c r="R312" t="str">
        <f>HYPERLINK("https://cfpub.epa.gov/ecotox/explore.cfm?ncbi=257877","Explore in ECOTOX")</f>
        <v>Explore in ECOTOX</v>
      </c>
    </row>
    <row r="313" spans="1:18" x14ac:dyDescent="0.45">
      <c r="A313" t="s">
        <v>1264</v>
      </c>
      <c r="B313">
        <v>8</v>
      </c>
      <c r="C313" t="str">
        <f>HYPERLINK("http://www.ncbi.nlm.nih.gov/protein/XP_025864563.1","XP_025864563.1")</f>
        <v>XP_025864563.1</v>
      </c>
      <c r="D313">
        <v>38509</v>
      </c>
      <c r="E313" t="str">
        <f>HYPERLINK("http://www.ncbi.nlm.nih.gov/Taxonomy/Browser/wwwtax.cgi?mode=Info&amp;id=9627&amp;lvl=3&amp;lin=f&amp;keep=1&amp;srchmode=1&amp;unlock","9627")</f>
        <v>9627</v>
      </c>
      <c r="F313" t="s">
        <v>96</v>
      </c>
      <c r="G313" t="str">
        <f>HYPERLINK("http://www.ncbi.nlm.nih.gov/Taxonomy/Browser/wwwtax.cgi?mode=Info&amp;id=9627&amp;lvl=3&amp;lin=f&amp;keep=1&amp;srchmode=1&amp;unlock","Vulpes vulpes")</f>
        <v>Vulpes vulpes</v>
      </c>
      <c r="H313" t="s">
        <v>330</v>
      </c>
      <c r="I313" t="str">
        <f>HYPERLINK("http://www.ncbi.nlm.nih.gov/protein/XP_025864563.1","ryanodine receptor 2")</f>
        <v>ryanodine receptor 2</v>
      </c>
      <c r="J313">
        <v>6832.27</v>
      </c>
      <c r="K313" t="s">
        <v>22</v>
      </c>
      <c r="L313">
        <v>276</v>
      </c>
      <c r="M313">
        <v>9.75</v>
      </c>
      <c r="N313">
        <v>65.36</v>
      </c>
      <c r="O313" t="s">
        <v>19</v>
      </c>
      <c r="P313" t="s">
        <v>20</v>
      </c>
      <c r="Q313" t="s">
        <v>19</v>
      </c>
      <c r="R313" t="str">
        <f>HYPERLINK("https://cfpub.epa.gov/ecotox/explore.cfm?ncbi=9627","Explore in ECOTOX")</f>
        <v>Explore in ECOTOX</v>
      </c>
    </row>
    <row r="314" spans="1:18" x14ac:dyDescent="0.45">
      <c r="A314" t="s">
        <v>1264</v>
      </c>
      <c r="B314">
        <v>8</v>
      </c>
      <c r="C314" t="str">
        <f>HYPERLINK("http://www.ncbi.nlm.nih.gov/protein/XP_045250623.1","XP_045250623.1")</f>
        <v>XP_045250623.1</v>
      </c>
      <c r="D314">
        <v>126190</v>
      </c>
      <c r="E314" t="str">
        <f>HYPERLINK("http://www.ncbi.nlm.nih.gov/Taxonomy/Browser/wwwtax.cgi?mode=Info&amp;id=9541&amp;lvl=3&amp;lin=f&amp;keep=1&amp;srchmode=1&amp;unlock","9541")</f>
        <v>9541</v>
      </c>
      <c r="F314" t="s">
        <v>96</v>
      </c>
      <c r="G314" t="str">
        <f>HYPERLINK("http://www.ncbi.nlm.nih.gov/Taxonomy/Browser/wwwtax.cgi?mode=Info&amp;id=9541&amp;lvl=3&amp;lin=f&amp;keep=1&amp;srchmode=1&amp;unlock","Macaca fascicularis")</f>
        <v>Macaca fascicularis</v>
      </c>
      <c r="H314" t="s">
        <v>331</v>
      </c>
      <c r="I314" t="str">
        <f>HYPERLINK("http://www.ncbi.nlm.nih.gov/protein/XP_045250623.1","ryanodine receptor 2 isoform X18")</f>
        <v>ryanodine receptor 2 isoform X18</v>
      </c>
      <c r="J314">
        <v>6831.89</v>
      </c>
      <c r="K314" t="s">
        <v>22</v>
      </c>
      <c r="L314">
        <v>276</v>
      </c>
      <c r="M314">
        <v>9.75</v>
      </c>
      <c r="N314">
        <v>65.349999999999994</v>
      </c>
      <c r="O314" t="s">
        <v>19</v>
      </c>
      <c r="P314" t="s">
        <v>20</v>
      </c>
      <c r="Q314" t="s">
        <v>19</v>
      </c>
      <c r="R314" t="str">
        <f>HYPERLINK("https://cfpub.epa.gov/ecotox/explore.cfm?ncbi=9541","Explore in ECOTOX")</f>
        <v>Explore in ECOTOX</v>
      </c>
    </row>
    <row r="315" spans="1:18" x14ac:dyDescent="0.45">
      <c r="A315" t="s">
        <v>1264</v>
      </c>
      <c r="B315">
        <v>8</v>
      </c>
      <c r="C315" t="str">
        <f>HYPERLINK("http://www.ncbi.nlm.nih.gov/protein/XP_029820985.1","XP_029820985.1")</f>
        <v>XP_029820985.1</v>
      </c>
      <c r="D315">
        <v>37259</v>
      </c>
      <c r="E315" t="str">
        <f>HYPERLINK("http://www.ncbi.nlm.nih.gov/Taxonomy/Browser/wwwtax.cgi?mode=Info&amp;id=328815&amp;lvl=3&amp;lin=f&amp;keep=1&amp;srchmode=1&amp;unlock","328815")</f>
        <v>328815</v>
      </c>
      <c r="F315" t="s">
        <v>241</v>
      </c>
      <c r="G315" t="str">
        <f>HYPERLINK("http://www.ncbi.nlm.nih.gov/Taxonomy/Browser/wwwtax.cgi?mode=Info&amp;id=328815&amp;lvl=3&amp;lin=f&amp;keep=1&amp;srchmode=1&amp;unlock","Manacus vitellinus")</f>
        <v>Manacus vitellinus</v>
      </c>
      <c r="H315" t="s">
        <v>332</v>
      </c>
      <c r="I315" t="str">
        <f>HYPERLINK("http://www.ncbi.nlm.nih.gov/protein/XP_029820985.1","ryanodine receptor 2")</f>
        <v>ryanodine receptor 2</v>
      </c>
      <c r="J315">
        <v>6830.34</v>
      </c>
      <c r="K315" t="s">
        <v>22</v>
      </c>
      <c r="L315">
        <v>276</v>
      </c>
      <c r="M315">
        <v>9.75</v>
      </c>
      <c r="N315">
        <v>65.34</v>
      </c>
      <c r="O315" t="s">
        <v>19</v>
      </c>
      <c r="P315" t="s">
        <v>20</v>
      </c>
      <c r="Q315" t="s">
        <v>19</v>
      </c>
      <c r="R315" t="str">
        <f>HYPERLINK("https://cfpub.epa.gov/ecotox/explore.cfm?ncbi=328815","Explore in ECOTOX")</f>
        <v>Explore in ECOTOX</v>
      </c>
    </row>
    <row r="316" spans="1:18" x14ac:dyDescent="0.45">
      <c r="A316" t="s">
        <v>1264</v>
      </c>
      <c r="B316">
        <v>8</v>
      </c>
      <c r="C316" t="str">
        <f>HYPERLINK("http://www.ncbi.nlm.nih.gov/protein/XP_026902803.2","XP_026902803.2")</f>
        <v>XP_026902803.2</v>
      </c>
      <c r="D316">
        <v>64266</v>
      </c>
      <c r="E316" t="str">
        <f>HYPERLINK("http://www.ncbi.nlm.nih.gov/Taxonomy/Browser/wwwtax.cgi?mode=Info&amp;id=32536&amp;lvl=3&amp;lin=f&amp;keep=1&amp;srchmode=1&amp;unlock","32536")</f>
        <v>32536</v>
      </c>
      <c r="F316" t="s">
        <v>96</v>
      </c>
      <c r="G316" t="str">
        <f>HYPERLINK("http://www.ncbi.nlm.nih.gov/Taxonomy/Browser/wwwtax.cgi?mode=Info&amp;id=32536&amp;lvl=3&amp;lin=f&amp;keep=1&amp;srchmode=1&amp;unlock","Acinonyx jubatus")</f>
        <v>Acinonyx jubatus</v>
      </c>
      <c r="H316" t="s">
        <v>333</v>
      </c>
      <c r="I316" t="str">
        <f>HYPERLINK("http://www.ncbi.nlm.nih.gov/protein/XP_026902803.2","ryanodine receptor 2 isoform X7")</f>
        <v>ryanodine receptor 2 isoform X7</v>
      </c>
      <c r="J316">
        <v>6830.34</v>
      </c>
      <c r="K316" t="s">
        <v>22</v>
      </c>
      <c r="L316">
        <v>276</v>
      </c>
      <c r="M316">
        <v>9.75</v>
      </c>
      <c r="N316">
        <v>65.34</v>
      </c>
      <c r="O316" t="s">
        <v>19</v>
      </c>
      <c r="P316" t="s">
        <v>20</v>
      </c>
      <c r="Q316" t="s">
        <v>19</v>
      </c>
      <c r="R316" t="str">
        <f>HYPERLINK("https://cfpub.epa.gov/ecotox/explore.cfm?ncbi=32536","Explore in ECOTOX")</f>
        <v>Explore in ECOTOX</v>
      </c>
    </row>
    <row r="317" spans="1:18" x14ac:dyDescent="0.45">
      <c r="A317" t="s">
        <v>1264</v>
      </c>
      <c r="B317">
        <v>8</v>
      </c>
      <c r="C317" t="str">
        <f>HYPERLINK("http://www.ncbi.nlm.nih.gov/protein/XP_020137255.1","XP_020137255.1")</f>
        <v>XP_020137255.1</v>
      </c>
      <c r="D317">
        <v>60039</v>
      </c>
      <c r="E317" t="str">
        <f>HYPERLINK("http://www.ncbi.nlm.nih.gov/Taxonomy/Browser/wwwtax.cgi?mode=Info&amp;id=30608&amp;lvl=3&amp;lin=f&amp;keep=1&amp;srchmode=1&amp;unlock","30608")</f>
        <v>30608</v>
      </c>
      <c r="F317" t="s">
        <v>96</v>
      </c>
      <c r="G317" t="str">
        <f>HYPERLINK("http://www.ncbi.nlm.nih.gov/Taxonomy/Browser/wwwtax.cgi?mode=Info&amp;id=30608&amp;lvl=3&amp;lin=f&amp;keep=1&amp;srchmode=1&amp;unlock","Microcebus murinus")</f>
        <v>Microcebus murinus</v>
      </c>
      <c r="H317" t="s">
        <v>334</v>
      </c>
      <c r="I317" t="str">
        <f>HYPERLINK("http://www.ncbi.nlm.nih.gov/protein/XP_020137255.1","ryanodine receptor 2 isoform X7")</f>
        <v>ryanodine receptor 2 isoform X7</v>
      </c>
      <c r="J317">
        <v>6829.19</v>
      </c>
      <c r="K317" t="s">
        <v>22</v>
      </c>
      <c r="L317">
        <v>276</v>
      </c>
      <c r="M317">
        <v>9.75</v>
      </c>
      <c r="N317">
        <v>65.33</v>
      </c>
      <c r="O317" t="s">
        <v>19</v>
      </c>
      <c r="P317" t="s">
        <v>20</v>
      </c>
      <c r="Q317" t="s">
        <v>19</v>
      </c>
      <c r="R317" t="str">
        <f>HYPERLINK("https://cfpub.epa.gov/ecotox/explore.cfm?ncbi=30608","Explore in ECOTOX")</f>
        <v>Explore in ECOTOX</v>
      </c>
    </row>
    <row r="318" spans="1:18" x14ac:dyDescent="0.45">
      <c r="A318" t="s">
        <v>1264</v>
      </c>
      <c r="B318">
        <v>8</v>
      </c>
      <c r="C318" t="str">
        <f>HYPERLINK("http://www.ncbi.nlm.nih.gov/protein/XP_033467476.1","XP_033467476.1")</f>
        <v>XP_033467476.1</v>
      </c>
      <c r="D318">
        <v>43085</v>
      </c>
      <c r="E318" t="str">
        <f>HYPERLINK("http://www.ncbi.nlm.nih.gov/Taxonomy/Browser/wwwtax.cgi?mode=Info&amp;id=310571&amp;lvl=3&amp;lin=f&amp;keep=1&amp;srchmode=1&amp;unlock","310571")</f>
        <v>310571</v>
      </c>
      <c r="F318" t="s">
        <v>17</v>
      </c>
      <c r="G318" t="str">
        <f>HYPERLINK("http://www.ncbi.nlm.nih.gov/Taxonomy/Browser/wwwtax.cgi?mode=Info&amp;id=310571&amp;lvl=3&amp;lin=f&amp;keep=1&amp;srchmode=1&amp;unlock","Epinephelus lanceolatus")</f>
        <v>Epinephelus lanceolatus</v>
      </c>
      <c r="H318" t="s">
        <v>335</v>
      </c>
      <c r="I318" t="str">
        <f>HYPERLINK("http://www.ncbi.nlm.nih.gov/protein/XP_033467476.1","ryanodine receptor 2-like isoform X9")</f>
        <v>ryanodine receptor 2-like isoform X9</v>
      </c>
      <c r="J318">
        <v>6829.19</v>
      </c>
      <c r="K318" t="s">
        <v>22</v>
      </c>
      <c r="L318">
        <v>276</v>
      </c>
      <c r="M318">
        <v>9.75</v>
      </c>
      <c r="N318">
        <v>65.33</v>
      </c>
      <c r="O318" t="s">
        <v>19</v>
      </c>
      <c r="P318" t="s">
        <v>20</v>
      </c>
      <c r="Q318" t="s">
        <v>19</v>
      </c>
      <c r="R318" t="str">
        <f>HYPERLINK("https://cfpub.epa.gov/ecotox/explore.cfm?ncbi=310571","Explore in ECOTOX")</f>
        <v>Explore in ECOTOX</v>
      </c>
    </row>
    <row r="319" spans="1:18" x14ac:dyDescent="0.45">
      <c r="A319" t="s">
        <v>1264</v>
      </c>
      <c r="B319">
        <v>8</v>
      </c>
      <c r="C319" t="str">
        <f>HYPERLINK("http://www.ncbi.nlm.nih.gov/protein/XP_025043878.1","XP_025043878.1")</f>
        <v>XP_025043878.1</v>
      </c>
      <c r="D319">
        <v>39306</v>
      </c>
      <c r="E319" t="str">
        <f>HYPERLINK("http://www.ncbi.nlm.nih.gov/Taxonomy/Browser/wwwtax.cgi?mode=Info&amp;id=13735&amp;lvl=3&amp;lin=f&amp;keep=1&amp;srchmode=1&amp;unlock","13735")</f>
        <v>13735</v>
      </c>
      <c r="F319" t="s">
        <v>203</v>
      </c>
      <c r="G319" t="str">
        <f>HYPERLINK("http://www.ncbi.nlm.nih.gov/Taxonomy/Browser/wwwtax.cgi?mode=Info&amp;id=13735&amp;lvl=3&amp;lin=f&amp;keep=1&amp;srchmode=1&amp;unlock","Pelodiscus sinensis")</f>
        <v>Pelodiscus sinensis</v>
      </c>
      <c r="H319" t="s">
        <v>336</v>
      </c>
      <c r="I319" t="str">
        <f>HYPERLINK("http://www.ncbi.nlm.nih.gov/protein/XP_025043878.1","LOW QUALITY PROTEIN: ryanodine receptor 2")</f>
        <v>LOW QUALITY PROTEIN: ryanodine receptor 2</v>
      </c>
      <c r="J319">
        <v>6828.42</v>
      </c>
      <c r="K319" t="s">
        <v>22</v>
      </c>
      <c r="L319">
        <v>276</v>
      </c>
      <c r="M319">
        <v>9.75</v>
      </c>
      <c r="N319">
        <v>65.319999999999993</v>
      </c>
      <c r="O319" t="s">
        <v>19</v>
      </c>
      <c r="P319" t="s">
        <v>20</v>
      </c>
      <c r="Q319" t="s">
        <v>19</v>
      </c>
      <c r="R319" t="str">
        <f>HYPERLINK("https://cfpub.epa.gov/ecotox/explore.cfm?ncbi=13735","Explore in ECOTOX")</f>
        <v>Explore in ECOTOX</v>
      </c>
    </row>
    <row r="320" spans="1:18" x14ac:dyDescent="0.45">
      <c r="A320" t="s">
        <v>1264</v>
      </c>
      <c r="B320">
        <v>8</v>
      </c>
      <c r="C320" t="str">
        <f>HYPERLINK("http://www.ncbi.nlm.nih.gov/protein/XP_032286209.1","XP_032286209.1")</f>
        <v>XP_032286209.1</v>
      </c>
      <c r="D320">
        <v>45680</v>
      </c>
      <c r="E320" t="str">
        <f>HYPERLINK("http://www.ncbi.nlm.nih.gov/Taxonomy/Browser/wwwtax.cgi?mode=Info&amp;id=9720&amp;lvl=3&amp;lin=f&amp;keep=1&amp;srchmode=1&amp;unlock","9720")</f>
        <v>9720</v>
      </c>
      <c r="F320" t="s">
        <v>96</v>
      </c>
      <c r="G320" t="str">
        <f>HYPERLINK("http://www.ncbi.nlm.nih.gov/Taxonomy/Browser/wwwtax.cgi?mode=Info&amp;id=9720&amp;lvl=3&amp;lin=f&amp;keep=1&amp;srchmode=1&amp;unlock","Phoca vitulina")</f>
        <v>Phoca vitulina</v>
      </c>
      <c r="H320" t="s">
        <v>337</v>
      </c>
      <c r="I320" t="str">
        <f>HYPERLINK("http://www.ncbi.nlm.nih.gov/protein/XP_032286209.1","ryanodine receptor 2 isoform X1")</f>
        <v>ryanodine receptor 2 isoform X1</v>
      </c>
      <c r="J320">
        <v>6828.03</v>
      </c>
      <c r="K320" t="s">
        <v>22</v>
      </c>
      <c r="L320">
        <v>276</v>
      </c>
      <c r="M320">
        <v>9.75</v>
      </c>
      <c r="N320">
        <v>65.319999999999993</v>
      </c>
      <c r="O320" t="s">
        <v>19</v>
      </c>
      <c r="P320" t="s">
        <v>20</v>
      </c>
      <c r="Q320" t="s">
        <v>19</v>
      </c>
      <c r="R320" t="str">
        <f>HYPERLINK("https://cfpub.epa.gov/ecotox/explore.cfm?ncbi=9720","Explore in ECOTOX")</f>
        <v>Explore in ECOTOX</v>
      </c>
    </row>
    <row r="321" spans="1:18" x14ac:dyDescent="0.45">
      <c r="A321" t="s">
        <v>1264</v>
      </c>
      <c r="B321">
        <v>8</v>
      </c>
      <c r="C321" t="str">
        <f>HYPERLINK("http://www.ncbi.nlm.nih.gov/protein/XP_038190214.1","XP_038190214.1")</f>
        <v>XP_038190214.1</v>
      </c>
      <c r="D321">
        <v>40891</v>
      </c>
      <c r="E321" t="str">
        <f>HYPERLINK("http://www.ncbi.nlm.nih.gov/Taxonomy/Browser/wwwtax.cgi?mode=Info&amp;id=1047088&amp;lvl=3&amp;lin=f&amp;keep=1&amp;srchmode=1&amp;unlock","1047088")</f>
        <v>1047088</v>
      </c>
      <c r="F321" t="s">
        <v>96</v>
      </c>
      <c r="G321" t="str">
        <f>HYPERLINK("http://www.ncbi.nlm.nih.gov/Taxonomy/Browser/wwwtax.cgi?mode=Info&amp;id=1047088&amp;lvl=3&amp;lin=f&amp;keep=1&amp;srchmode=1&amp;unlock","Arvicola amphibius")</f>
        <v>Arvicola amphibius</v>
      </c>
      <c r="H321" t="s">
        <v>338</v>
      </c>
      <c r="I321" t="str">
        <f>HYPERLINK("http://www.ncbi.nlm.nih.gov/protein/XP_038190214.1","ryanodine receptor 2")</f>
        <v>ryanodine receptor 2</v>
      </c>
      <c r="J321">
        <v>6827.65</v>
      </c>
      <c r="K321" t="s">
        <v>22</v>
      </c>
      <c r="L321">
        <v>276</v>
      </c>
      <c r="M321">
        <v>9.75</v>
      </c>
      <c r="N321">
        <v>65.31</v>
      </c>
      <c r="O321" t="s">
        <v>19</v>
      </c>
      <c r="P321" t="s">
        <v>20</v>
      </c>
      <c r="Q321" t="s">
        <v>19</v>
      </c>
      <c r="R321" t="str">
        <f>HYPERLINK("https://cfpub.epa.gov/ecotox/explore.cfm?ncbi=1047088","Explore in ECOTOX")</f>
        <v>Explore in ECOTOX</v>
      </c>
    </row>
    <row r="322" spans="1:18" x14ac:dyDescent="0.45">
      <c r="A322" t="s">
        <v>1264</v>
      </c>
      <c r="B322">
        <v>8</v>
      </c>
      <c r="C322" t="str">
        <f>HYPERLINK("http://www.ncbi.nlm.nih.gov/protein/XP_029449767.1","XP_029449767.1")</f>
        <v>XP_029449767.1</v>
      </c>
      <c r="D322">
        <v>49321</v>
      </c>
      <c r="E322" t="str">
        <f>HYPERLINK("http://www.ncbi.nlm.nih.gov/Taxonomy/Browser/wwwtax.cgi?mode=Info&amp;id=194408&amp;lvl=3&amp;lin=f&amp;keep=1&amp;srchmode=1&amp;unlock","194408")</f>
        <v>194408</v>
      </c>
      <c r="F322" t="s">
        <v>177</v>
      </c>
      <c r="G322" t="str">
        <f>HYPERLINK("http://www.ncbi.nlm.nih.gov/Taxonomy/Browser/wwwtax.cgi?mode=Info&amp;id=194408&amp;lvl=3&amp;lin=f&amp;keep=1&amp;srchmode=1&amp;unlock","Rhinatrema bivittatum")</f>
        <v>Rhinatrema bivittatum</v>
      </c>
      <c r="H322" t="s">
        <v>339</v>
      </c>
      <c r="I322" t="str">
        <f>HYPERLINK("http://www.ncbi.nlm.nih.gov/protein/XP_029449767.1","LOW QUALITY PROTEIN: ryanodine receptor 2")</f>
        <v>LOW QUALITY PROTEIN: ryanodine receptor 2</v>
      </c>
      <c r="J322">
        <v>6827.26</v>
      </c>
      <c r="K322" t="s">
        <v>22</v>
      </c>
      <c r="L322">
        <v>276</v>
      </c>
      <c r="M322">
        <v>9.75</v>
      </c>
      <c r="N322">
        <v>65.31</v>
      </c>
      <c r="O322" t="s">
        <v>19</v>
      </c>
      <c r="P322" t="s">
        <v>20</v>
      </c>
      <c r="Q322" t="s">
        <v>19</v>
      </c>
      <c r="R322" t="str">
        <f>HYPERLINK("https://cfpub.epa.gov/ecotox/explore.cfm?ncbi=194408","Explore in ECOTOX")</f>
        <v>Explore in ECOTOX</v>
      </c>
    </row>
    <row r="323" spans="1:18" x14ac:dyDescent="0.45">
      <c r="A323" t="s">
        <v>1264</v>
      </c>
      <c r="B323">
        <v>8</v>
      </c>
      <c r="C323" t="str">
        <f>HYPERLINK("http://www.ncbi.nlm.nih.gov/protein/XP_011727740.1","XP_011727740.1")</f>
        <v>XP_011727740.1</v>
      </c>
      <c r="D323">
        <v>68732</v>
      </c>
      <c r="E323" t="str">
        <f>HYPERLINK("http://www.ncbi.nlm.nih.gov/Taxonomy/Browser/wwwtax.cgi?mode=Info&amp;id=9545&amp;lvl=3&amp;lin=f&amp;keep=1&amp;srchmode=1&amp;unlock","9545")</f>
        <v>9545</v>
      </c>
      <c r="F323" t="s">
        <v>96</v>
      </c>
      <c r="G323" t="str">
        <f>HYPERLINK("http://www.ncbi.nlm.nih.gov/Taxonomy/Browser/wwwtax.cgi?mode=Info&amp;id=9545&amp;lvl=3&amp;lin=f&amp;keep=1&amp;srchmode=1&amp;unlock","Macaca nemestrina")</f>
        <v>Macaca nemestrina</v>
      </c>
      <c r="H323" t="s">
        <v>340</v>
      </c>
      <c r="I323" t="str">
        <f>HYPERLINK("http://www.ncbi.nlm.nih.gov/protein/XP_011727740.1","ryanodine receptor 2")</f>
        <v>ryanodine receptor 2</v>
      </c>
      <c r="J323">
        <v>6827.26</v>
      </c>
      <c r="K323" t="s">
        <v>22</v>
      </c>
      <c r="L323">
        <v>276</v>
      </c>
      <c r="M323">
        <v>9.75</v>
      </c>
      <c r="N323">
        <v>65.31</v>
      </c>
      <c r="O323" t="s">
        <v>19</v>
      </c>
      <c r="P323" t="s">
        <v>20</v>
      </c>
      <c r="Q323" t="s">
        <v>19</v>
      </c>
      <c r="R323" t="str">
        <f>HYPERLINK("https://cfpub.epa.gov/ecotox/explore.cfm?ncbi=9545","Explore in ECOTOX")</f>
        <v>Explore in ECOTOX</v>
      </c>
    </row>
    <row r="324" spans="1:18" x14ac:dyDescent="0.45">
      <c r="A324" t="s">
        <v>1264</v>
      </c>
      <c r="B324">
        <v>8</v>
      </c>
      <c r="C324" t="str">
        <f>HYPERLINK("http://www.ncbi.nlm.nih.gov/protein/XP_013799198.1","XP_013799198.1")</f>
        <v>XP_013799198.1</v>
      </c>
      <c r="D324">
        <v>22840</v>
      </c>
      <c r="E324" t="str">
        <f>HYPERLINK("http://www.ncbi.nlm.nih.gov/Taxonomy/Browser/wwwtax.cgi?mode=Info&amp;id=202946&amp;lvl=3&amp;lin=f&amp;keep=1&amp;srchmode=1&amp;unlock","202946")</f>
        <v>202946</v>
      </c>
      <c r="F324" t="s">
        <v>241</v>
      </c>
      <c r="G324" t="str">
        <f>HYPERLINK("http://www.ncbi.nlm.nih.gov/Taxonomy/Browser/wwwtax.cgi?mode=Info&amp;id=202946&amp;lvl=3&amp;lin=f&amp;keep=1&amp;srchmode=1&amp;unlock","Apteryx mantelli mantelli")</f>
        <v>Apteryx mantelli mantelli</v>
      </c>
      <c r="H324" t="s">
        <v>341</v>
      </c>
      <c r="I324" t="str">
        <f>HYPERLINK("http://www.ncbi.nlm.nih.gov/protein/XP_013799198.1","PREDICTED: ryanodine receptor 2")</f>
        <v>PREDICTED: ryanodine receptor 2</v>
      </c>
      <c r="J324">
        <v>6825.72</v>
      </c>
      <c r="K324" t="s">
        <v>22</v>
      </c>
      <c r="L324">
        <v>276</v>
      </c>
      <c r="M324">
        <v>9.75</v>
      </c>
      <c r="N324">
        <v>65.290000000000006</v>
      </c>
      <c r="O324" t="s">
        <v>19</v>
      </c>
      <c r="P324" t="s">
        <v>20</v>
      </c>
      <c r="Q324" t="s">
        <v>19</v>
      </c>
      <c r="R324" t="str">
        <f>HYPERLINK("https://cfpub.epa.gov/ecotox/explore.cfm?ncbi=202946","Explore in ECOTOX")</f>
        <v>Explore in ECOTOX</v>
      </c>
    </row>
    <row r="325" spans="1:18" x14ac:dyDescent="0.45">
      <c r="A325" t="s">
        <v>1264</v>
      </c>
      <c r="B325">
        <v>8</v>
      </c>
      <c r="C325" t="str">
        <f>HYPERLINK("http://www.ncbi.nlm.nih.gov/protein/XP_009462130.1","XP_009462130.1")</f>
        <v>XP_009462130.1</v>
      </c>
      <c r="D325">
        <v>31421</v>
      </c>
      <c r="E325" t="str">
        <f>HYPERLINK("http://www.ncbi.nlm.nih.gov/Taxonomy/Browser/wwwtax.cgi?mode=Info&amp;id=128390&amp;lvl=3&amp;lin=f&amp;keep=1&amp;srchmode=1&amp;unlock","128390")</f>
        <v>128390</v>
      </c>
      <c r="F325" t="s">
        <v>241</v>
      </c>
      <c r="G325" t="str">
        <f>HYPERLINK("http://www.ncbi.nlm.nih.gov/Taxonomy/Browser/wwwtax.cgi?mode=Info&amp;id=128390&amp;lvl=3&amp;lin=f&amp;keep=1&amp;srchmode=1&amp;unlock","Nipponia nippon")</f>
        <v>Nipponia nippon</v>
      </c>
      <c r="H325" t="s">
        <v>342</v>
      </c>
      <c r="I325" t="str">
        <f>HYPERLINK("http://www.ncbi.nlm.nih.gov/protein/XP_009462130.1","PREDICTED: ryanodine receptor 2")</f>
        <v>PREDICTED: ryanodine receptor 2</v>
      </c>
      <c r="J325">
        <v>6824.57</v>
      </c>
      <c r="K325" t="s">
        <v>22</v>
      </c>
      <c r="L325">
        <v>276</v>
      </c>
      <c r="M325">
        <v>9.75</v>
      </c>
      <c r="N325">
        <v>65.28</v>
      </c>
      <c r="O325" t="s">
        <v>19</v>
      </c>
      <c r="P325" t="s">
        <v>20</v>
      </c>
      <c r="Q325" t="s">
        <v>19</v>
      </c>
      <c r="R325" t="str">
        <f>HYPERLINK("https://cfpub.epa.gov/ecotox/explore.cfm?ncbi=128390","Explore in ECOTOX")</f>
        <v>Explore in ECOTOX</v>
      </c>
    </row>
    <row r="326" spans="1:18" x14ac:dyDescent="0.45">
      <c r="A326" t="s">
        <v>1264</v>
      </c>
      <c r="B326">
        <v>8</v>
      </c>
      <c r="C326" t="str">
        <f>HYPERLINK("http://www.ncbi.nlm.nih.gov/protein/XP_051471006.1","XP_051471006.1")</f>
        <v>XP_051471006.1</v>
      </c>
      <c r="D326">
        <v>36428</v>
      </c>
      <c r="E326" t="str">
        <f>HYPERLINK("http://www.ncbi.nlm.nih.gov/Taxonomy/Browser/wwwtax.cgi?mode=Info&amp;id=8895&amp;lvl=3&amp;lin=f&amp;keep=1&amp;srchmode=1&amp;unlock","8895")</f>
        <v>8895</v>
      </c>
      <c r="F326" t="s">
        <v>241</v>
      </c>
      <c r="G326" t="str">
        <f>HYPERLINK("http://www.ncbi.nlm.nih.gov/Taxonomy/Browser/wwwtax.cgi?mode=Info&amp;id=8895&amp;lvl=3&amp;lin=f&amp;keep=1&amp;srchmode=1&amp;unlock","Apus apus")</f>
        <v>Apus apus</v>
      </c>
      <c r="H326" t="s">
        <v>343</v>
      </c>
      <c r="I326" t="str">
        <f>HYPERLINK("http://www.ncbi.nlm.nih.gov/protein/XP_051471006.1","ryanodine receptor 2")</f>
        <v>ryanodine receptor 2</v>
      </c>
      <c r="J326">
        <v>6823.8</v>
      </c>
      <c r="K326" t="s">
        <v>22</v>
      </c>
      <c r="L326">
        <v>276</v>
      </c>
      <c r="M326">
        <v>9.75</v>
      </c>
      <c r="N326">
        <v>65.28</v>
      </c>
      <c r="O326" t="s">
        <v>19</v>
      </c>
      <c r="P326" t="s">
        <v>20</v>
      </c>
      <c r="Q326" t="s">
        <v>19</v>
      </c>
      <c r="R326" t="str">
        <f>HYPERLINK("https://cfpub.epa.gov/ecotox/explore.cfm?ncbi=8895","Explore in ECOTOX")</f>
        <v>Explore in ECOTOX</v>
      </c>
    </row>
    <row r="327" spans="1:18" x14ac:dyDescent="0.45">
      <c r="A327" t="s">
        <v>1264</v>
      </c>
      <c r="B327">
        <v>8</v>
      </c>
      <c r="C327" t="str">
        <f>HYPERLINK("http://www.ncbi.nlm.nih.gov/protein/XP_053094373.1","XP_053094373.1")</f>
        <v>XP_053094373.1</v>
      </c>
      <c r="D327">
        <v>68828</v>
      </c>
      <c r="E327" t="str">
        <f>HYPERLINK("http://www.ncbi.nlm.nih.gov/Taxonomy/Browser/wwwtax.cgi?mode=Info&amp;id=310915&amp;lvl=3&amp;lin=f&amp;keep=1&amp;srchmode=1&amp;unlock","310915")</f>
        <v>310915</v>
      </c>
      <c r="F327" t="s">
        <v>17</v>
      </c>
      <c r="G327" t="str">
        <f>HYPERLINK("http://www.ncbi.nlm.nih.gov/Taxonomy/Browser/wwwtax.cgi?mode=Info&amp;id=310915&amp;lvl=3&amp;lin=f&amp;keep=1&amp;srchmode=1&amp;unlock","Pangasianodon hypophthalmus")</f>
        <v>Pangasianodon hypophthalmus</v>
      </c>
      <c r="H327" t="s">
        <v>344</v>
      </c>
      <c r="I327" t="str">
        <f>HYPERLINK("http://www.ncbi.nlm.nih.gov/protein/XP_053094373.1","ryanodine receptor 2 isoform X10")</f>
        <v>ryanodine receptor 2 isoform X10</v>
      </c>
      <c r="J327">
        <v>6821.87</v>
      </c>
      <c r="K327" t="s">
        <v>22</v>
      </c>
      <c r="L327">
        <v>276</v>
      </c>
      <c r="M327">
        <v>9.75</v>
      </c>
      <c r="N327">
        <v>65.260000000000005</v>
      </c>
      <c r="O327" t="s">
        <v>19</v>
      </c>
      <c r="P327" t="s">
        <v>20</v>
      </c>
      <c r="Q327" t="s">
        <v>19</v>
      </c>
      <c r="R327" t="str">
        <f>HYPERLINK("https://cfpub.epa.gov/ecotox/explore.cfm?ncbi=310915","Explore in ECOTOX")</f>
        <v>Explore in ECOTOX</v>
      </c>
    </row>
    <row r="328" spans="1:18" x14ac:dyDescent="0.45">
      <c r="A328" t="s">
        <v>1264</v>
      </c>
      <c r="B328">
        <v>8</v>
      </c>
      <c r="C328" t="str">
        <f>HYPERLINK("http://www.ncbi.nlm.nih.gov/protein/XP_058398937.1","XP_058398937.1")</f>
        <v>XP_058398937.1</v>
      </c>
      <c r="D328">
        <v>67239</v>
      </c>
      <c r="E328" t="str">
        <f>HYPERLINK("http://www.ncbi.nlm.nih.gov/Taxonomy/Browser/wwwtax.cgi?mode=Info&amp;id=77932&amp;lvl=3&amp;lin=f&amp;keep=1&amp;srchmode=1&amp;unlock","77932")</f>
        <v>77932</v>
      </c>
      <c r="F328" t="s">
        <v>96</v>
      </c>
      <c r="G328" t="str">
        <f>HYPERLINK("http://www.ncbi.nlm.nih.gov/Taxonomy/Browser/wwwtax.cgi?mode=Info&amp;id=77932&amp;lvl=3&amp;lin=f&amp;keep=1&amp;srchmode=1&amp;unlock","Diceros bicornis minor")</f>
        <v>Diceros bicornis minor</v>
      </c>
      <c r="H328" t="s">
        <v>345</v>
      </c>
      <c r="I328" t="str">
        <f>HYPERLINK("http://www.ncbi.nlm.nih.gov/protein/XP_058398937.1","ryanodine receptor 2")</f>
        <v>ryanodine receptor 2</v>
      </c>
      <c r="J328">
        <v>6821.49</v>
      </c>
      <c r="K328" t="s">
        <v>22</v>
      </c>
      <c r="L328">
        <v>276</v>
      </c>
      <c r="M328">
        <v>9.75</v>
      </c>
      <c r="N328">
        <v>65.25</v>
      </c>
      <c r="O328" t="s">
        <v>19</v>
      </c>
      <c r="P328" t="s">
        <v>20</v>
      </c>
      <c r="Q328" t="s">
        <v>19</v>
      </c>
      <c r="R328" t="str">
        <f>HYPERLINK("https://cfpub.epa.gov/ecotox/explore.cfm?ncbi=77932","Explore in ECOTOX")</f>
        <v>Explore in ECOTOX</v>
      </c>
    </row>
    <row r="329" spans="1:18" x14ac:dyDescent="0.45">
      <c r="A329" t="s">
        <v>1264</v>
      </c>
      <c r="B329">
        <v>8</v>
      </c>
      <c r="C329" t="str">
        <f>HYPERLINK("http://www.ncbi.nlm.nih.gov/protein/XP_009931611.1","XP_009931611.1")</f>
        <v>XP_009931611.1</v>
      </c>
      <c r="D329">
        <v>27858</v>
      </c>
      <c r="E329" t="str">
        <f>HYPERLINK("http://www.ncbi.nlm.nih.gov/Taxonomy/Browser/wwwtax.cgi?mode=Info&amp;id=30419&amp;lvl=3&amp;lin=f&amp;keep=1&amp;srchmode=1&amp;unlock","30419")</f>
        <v>30419</v>
      </c>
      <c r="F329" t="s">
        <v>241</v>
      </c>
      <c r="G329" t="str">
        <f>HYPERLINK("http://www.ncbi.nlm.nih.gov/Taxonomy/Browser/wwwtax.cgi?mode=Info&amp;id=30419&amp;lvl=3&amp;lin=f&amp;keep=1&amp;srchmode=1&amp;unlock","Opisthocomus hoazin")</f>
        <v>Opisthocomus hoazin</v>
      </c>
      <c r="H329" t="s">
        <v>346</v>
      </c>
      <c r="I329" t="str">
        <f>HYPERLINK("http://www.ncbi.nlm.nih.gov/protein/XP_009931611.1","PREDICTED: ryanodine receptor 2")</f>
        <v>PREDICTED: ryanodine receptor 2</v>
      </c>
      <c r="J329">
        <v>6821.1</v>
      </c>
      <c r="K329" t="s">
        <v>22</v>
      </c>
      <c r="L329">
        <v>276</v>
      </c>
      <c r="M329">
        <v>9.75</v>
      </c>
      <c r="N329">
        <v>65.25</v>
      </c>
      <c r="O329" t="s">
        <v>19</v>
      </c>
      <c r="P329" t="s">
        <v>20</v>
      </c>
      <c r="Q329" t="s">
        <v>19</v>
      </c>
      <c r="R329" t="str">
        <f>HYPERLINK("https://cfpub.epa.gov/ecotox/explore.cfm?ncbi=30419","Explore in ECOTOX")</f>
        <v>Explore in ECOTOX</v>
      </c>
    </row>
    <row r="330" spans="1:18" x14ac:dyDescent="0.45">
      <c r="A330" t="s">
        <v>1264</v>
      </c>
      <c r="B330">
        <v>8</v>
      </c>
      <c r="C330" t="str">
        <f>HYPERLINK("http://www.ncbi.nlm.nih.gov/protein/XP_017170950.1","XP_017170950.1")</f>
        <v>XP_017170950.1</v>
      </c>
      <c r="D330">
        <v>351069</v>
      </c>
      <c r="E330" t="str">
        <f>HYPERLINK("http://www.ncbi.nlm.nih.gov/Taxonomy/Browser/wwwtax.cgi?mode=Info&amp;id=10090&amp;lvl=3&amp;lin=f&amp;keep=1&amp;srchmode=1&amp;unlock","10090")</f>
        <v>10090</v>
      </c>
      <c r="F330" t="s">
        <v>96</v>
      </c>
      <c r="G330" t="str">
        <f>HYPERLINK("http://www.ncbi.nlm.nih.gov/Taxonomy/Browser/wwwtax.cgi?mode=Info&amp;id=10090&amp;lvl=3&amp;lin=f&amp;keep=1&amp;srchmode=1&amp;unlock","Mus musculus")</f>
        <v>Mus musculus</v>
      </c>
      <c r="H330" t="s">
        <v>347</v>
      </c>
      <c r="I330" t="str">
        <f>HYPERLINK("http://www.ncbi.nlm.nih.gov/protein/XP_017170950.1","ryanodine receptor 2 isoform X17")</f>
        <v>ryanodine receptor 2 isoform X17</v>
      </c>
      <c r="J330">
        <v>6820.33</v>
      </c>
      <c r="K330" t="s">
        <v>22</v>
      </c>
      <c r="L330">
        <v>276</v>
      </c>
      <c r="M330">
        <v>9.75</v>
      </c>
      <c r="N330">
        <v>65.239999999999995</v>
      </c>
      <c r="O330" t="s">
        <v>19</v>
      </c>
      <c r="P330" t="s">
        <v>20</v>
      </c>
      <c r="Q330" t="s">
        <v>19</v>
      </c>
      <c r="R330" t="str">
        <f>HYPERLINK("https://cfpub.epa.gov/ecotox/explore.cfm?ncbi=10090","Explore in ECOTOX")</f>
        <v>Explore in ECOTOX</v>
      </c>
    </row>
    <row r="331" spans="1:18" x14ac:dyDescent="0.45">
      <c r="A331" t="s">
        <v>1264</v>
      </c>
      <c r="B331">
        <v>8</v>
      </c>
      <c r="C331" t="str">
        <f>HYPERLINK("http://www.ncbi.nlm.nih.gov/protein/XP_050749165.1","XP_050749165.1")</f>
        <v>XP_050749165.1</v>
      </c>
      <c r="D331">
        <v>25319</v>
      </c>
      <c r="E331" t="str">
        <f>HYPERLINK("http://www.ncbi.nlm.nih.gov/Taxonomy/Browser/wwwtax.cgi?mode=Info&amp;id=33616&amp;lvl=3&amp;lin=f&amp;keep=1&amp;srchmode=1&amp;unlock","33616")</f>
        <v>33616</v>
      </c>
      <c r="F331" t="s">
        <v>241</v>
      </c>
      <c r="G331" t="str">
        <f>HYPERLINK("http://www.ncbi.nlm.nih.gov/Taxonomy/Browser/wwwtax.cgi?mode=Info&amp;id=33616&amp;lvl=3&amp;lin=f&amp;keep=1&amp;srchmode=1&amp;unlock","Gymnogyps californianus")</f>
        <v>Gymnogyps californianus</v>
      </c>
      <c r="H331" t="s">
        <v>348</v>
      </c>
      <c r="I331" t="str">
        <f>HYPERLINK("http://www.ncbi.nlm.nih.gov/protein/XP_050749165.1","ryanodine receptor 2")</f>
        <v>ryanodine receptor 2</v>
      </c>
      <c r="J331">
        <v>6816.86</v>
      </c>
      <c r="K331" t="s">
        <v>22</v>
      </c>
      <c r="L331">
        <v>276</v>
      </c>
      <c r="M331">
        <v>9.75</v>
      </c>
      <c r="N331">
        <v>65.209999999999994</v>
      </c>
      <c r="O331" t="s">
        <v>19</v>
      </c>
      <c r="P331" t="s">
        <v>20</v>
      </c>
      <c r="Q331" t="s">
        <v>19</v>
      </c>
      <c r="R331" t="str">
        <f>HYPERLINK("https://cfpub.epa.gov/ecotox/explore.cfm?ncbi=33616","Explore in ECOTOX")</f>
        <v>Explore in ECOTOX</v>
      </c>
    </row>
    <row r="332" spans="1:18" x14ac:dyDescent="0.45">
      <c r="A332" t="s">
        <v>1264</v>
      </c>
      <c r="B332">
        <v>8</v>
      </c>
      <c r="C332" t="str">
        <f>HYPERLINK("http://www.ncbi.nlm.nih.gov/protein/XP_055459907.1","XP_055459907.1")</f>
        <v>XP_055459907.1</v>
      </c>
      <c r="D332">
        <v>38745</v>
      </c>
      <c r="E332" t="str">
        <f>HYPERLINK("http://www.ncbi.nlm.nih.gov/Taxonomy/Browser/wwwtax.cgi?mode=Info&amp;id=48139&amp;lvl=3&amp;lin=f&amp;keep=1&amp;srchmode=1&amp;unlock","48139")</f>
        <v>48139</v>
      </c>
      <c r="F332" t="s">
        <v>96</v>
      </c>
      <c r="G332" t="str">
        <f>HYPERLINK("http://www.ncbi.nlm.nih.gov/Taxonomy/Browser/wwwtax.cgi?mode=Info&amp;id=48139&amp;lvl=3&amp;lin=f&amp;keep=1&amp;srchmode=1&amp;unlock","Psammomys obesus")</f>
        <v>Psammomys obesus</v>
      </c>
      <c r="H332" t="s">
        <v>349</v>
      </c>
      <c r="I332" t="str">
        <f>HYPERLINK("http://www.ncbi.nlm.nih.gov/protein/XP_055459907.1","ryanodine receptor 2")</f>
        <v>ryanodine receptor 2</v>
      </c>
      <c r="J332">
        <v>6816.09</v>
      </c>
      <c r="K332" t="s">
        <v>22</v>
      </c>
      <c r="L332">
        <v>276</v>
      </c>
      <c r="M332">
        <v>9.75</v>
      </c>
      <c r="N332">
        <v>65.2</v>
      </c>
      <c r="O332" t="s">
        <v>19</v>
      </c>
      <c r="P332" t="s">
        <v>20</v>
      </c>
      <c r="Q332" t="s">
        <v>19</v>
      </c>
      <c r="R332" t="str">
        <f>HYPERLINK("https://cfpub.epa.gov/ecotox/explore.cfm?ncbi=48139","Explore in ECOTOX")</f>
        <v>Explore in ECOTOX</v>
      </c>
    </row>
    <row r="333" spans="1:18" x14ac:dyDescent="0.45">
      <c r="A333" t="s">
        <v>1264</v>
      </c>
      <c r="B333">
        <v>8</v>
      </c>
      <c r="C333" t="str">
        <f>HYPERLINK("http://www.ncbi.nlm.nih.gov/protein/XP_034864419.1","XP_034864419.1")</f>
        <v>XP_034864419.1</v>
      </c>
      <c r="D333">
        <v>64808</v>
      </c>
      <c r="E333" t="str">
        <f>HYPERLINK("http://www.ncbi.nlm.nih.gov/Taxonomy/Browser/wwwtax.cgi?mode=Info&amp;id=9715&amp;lvl=3&amp;lin=f&amp;keep=1&amp;srchmode=1&amp;unlock","9715")</f>
        <v>9715</v>
      </c>
      <c r="F333" t="s">
        <v>96</v>
      </c>
      <c r="G333" t="str">
        <f>HYPERLINK("http://www.ncbi.nlm.nih.gov/Taxonomy/Browser/wwwtax.cgi?mode=Info&amp;id=9715&amp;lvl=3&amp;lin=f&amp;keep=1&amp;srchmode=1&amp;unlock","Mirounga leonina")</f>
        <v>Mirounga leonina</v>
      </c>
      <c r="H333" t="s">
        <v>350</v>
      </c>
      <c r="I333" t="str">
        <f>HYPERLINK("http://www.ncbi.nlm.nih.gov/protein/XP_034864419.1","ryanodine receptor 2")</f>
        <v>ryanodine receptor 2</v>
      </c>
      <c r="J333">
        <v>6815.71</v>
      </c>
      <c r="K333" t="s">
        <v>22</v>
      </c>
      <c r="L333">
        <v>276</v>
      </c>
      <c r="M333">
        <v>9.75</v>
      </c>
      <c r="N333">
        <v>65.2</v>
      </c>
      <c r="O333" t="s">
        <v>19</v>
      </c>
      <c r="P333" t="s">
        <v>20</v>
      </c>
      <c r="Q333" t="s">
        <v>19</v>
      </c>
      <c r="R333" t="str">
        <f>HYPERLINK("https://cfpub.epa.gov/ecotox/explore.cfm?ncbi=9715","Explore in ECOTOX")</f>
        <v>Explore in ECOTOX</v>
      </c>
    </row>
    <row r="334" spans="1:18" x14ac:dyDescent="0.45">
      <c r="A334" t="s">
        <v>1264</v>
      </c>
      <c r="B334">
        <v>8</v>
      </c>
      <c r="C334" t="str">
        <f>HYPERLINK("http://www.ncbi.nlm.nih.gov/protein/XP_032347817.1","XP_032347817.1")</f>
        <v>XP_032347817.1</v>
      </c>
      <c r="D334">
        <v>74725</v>
      </c>
      <c r="E334" t="str">
        <f>HYPERLINK("http://www.ncbi.nlm.nih.gov/Taxonomy/Browser/wwwtax.cgi?mode=Info&amp;id=419612&amp;lvl=3&amp;lin=f&amp;keep=1&amp;srchmode=1&amp;unlock","419612")</f>
        <v>419612</v>
      </c>
      <c r="F334" t="s">
        <v>96</v>
      </c>
      <c r="G334" t="str">
        <f>HYPERLINK("http://www.ncbi.nlm.nih.gov/Taxonomy/Browser/wwwtax.cgi?mode=Info&amp;id=419612&amp;lvl=3&amp;lin=f&amp;keep=1&amp;srchmode=1&amp;unlock","Camelus ferus")</f>
        <v>Camelus ferus</v>
      </c>
      <c r="H334" t="s">
        <v>351</v>
      </c>
      <c r="I334" t="str">
        <f>HYPERLINK("http://www.ncbi.nlm.nih.gov/protein/XP_032347817.1","ryanodine receptor 2")</f>
        <v>ryanodine receptor 2</v>
      </c>
      <c r="J334">
        <v>6815.32</v>
      </c>
      <c r="K334" t="s">
        <v>22</v>
      </c>
      <c r="L334">
        <v>276</v>
      </c>
      <c r="M334">
        <v>9.75</v>
      </c>
      <c r="N334">
        <v>65.19</v>
      </c>
      <c r="O334" t="s">
        <v>19</v>
      </c>
      <c r="P334" t="s">
        <v>20</v>
      </c>
      <c r="Q334" t="s">
        <v>19</v>
      </c>
      <c r="R334" t="str">
        <f>HYPERLINK("https://cfpub.epa.gov/ecotox/explore.cfm?ncbi=419612","Explore in ECOTOX")</f>
        <v>Explore in ECOTOX</v>
      </c>
    </row>
    <row r="335" spans="1:18" x14ac:dyDescent="0.45">
      <c r="A335" t="s">
        <v>1264</v>
      </c>
      <c r="B335">
        <v>8</v>
      </c>
      <c r="C335" t="str">
        <f>HYPERLINK("http://www.ncbi.nlm.nih.gov/protein/XP_008687891.1","XP_008687891.1")</f>
        <v>XP_008687891.1</v>
      </c>
      <c r="D335">
        <v>41722</v>
      </c>
      <c r="E335" t="str">
        <f>HYPERLINK("http://www.ncbi.nlm.nih.gov/Taxonomy/Browser/wwwtax.cgi?mode=Info&amp;id=29073&amp;lvl=3&amp;lin=f&amp;keep=1&amp;srchmode=1&amp;unlock","29073")</f>
        <v>29073</v>
      </c>
      <c r="F335" t="s">
        <v>96</v>
      </c>
      <c r="G335" t="str">
        <f>HYPERLINK("http://www.ncbi.nlm.nih.gov/Taxonomy/Browser/wwwtax.cgi?mode=Info&amp;id=29073&amp;lvl=3&amp;lin=f&amp;keep=1&amp;srchmode=1&amp;unlock","Ursus maritimus")</f>
        <v>Ursus maritimus</v>
      </c>
      <c r="H335" t="s">
        <v>352</v>
      </c>
      <c r="I335" t="str">
        <f>HYPERLINK("http://www.ncbi.nlm.nih.gov/protein/XP_008687891.1","ryanodine receptor 2")</f>
        <v>ryanodine receptor 2</v>
      </c>
      <c r="J335">
        <v>6813.4</v>
      </c>
      <c r="K335" t="s">
        <v>22</v>
      </c>
      <c r="L335">
        <v>276</v>
      </c>
      <c r="M335">
        <v>9.75</v>
      </c>
      <c r="N335">
        <v>65.180000000000007</v>
      </c>
      <c r="O335" t="s">
        <v>19</v>
      </c>
      <c r="P335" t="s">
        <v>20</v>
      </c>
      <c r="Q335" t="s">
        <v>19</v>
      </c>
      <c r="R335" t="str">
        <f>HYPERLINK("https://cfpub.epa.gov/ecotox/explore.cfm?ncbi=29073","Explore in ECOTOX")</f>
        <v>Explore in ECOTOX</v>
      </c>
    </row>
    <row r="336" spans="1:18" x14ac:dyDescent="0.45">
      <c r="A336" t="s">
        <v>1264</v>
      </c>
      <c r="B336">
        <v>8</v>
      </c>
      <c r="C336" t="str">
        <f>HYPERLINK("http://www.ncbi.nlm.nih.gov/protein/XP_029324161.1","XP_029324161.1")</f>
        <v>XP_029324161.1</v>
      </c>
      <c r="D336">
        <v>47681</v>
      </c>
      <c r="E336" t="str">
        <f>HYPERLINK("http://www.ncbi.nlm.nih.gov/Taxonomy/Browser/wwwtax.cgi?mode=Info&amp;id=10089&amp;lvl=3&amp;lin=f&amp;keep=1&amp;srchmode=1&amp;unlock","10089")</f>
        <v>10089</v>
      </c>
      <c r="F336" t="s">
        <v>96</v>
      </c>
      <c r="G336" t="str">
        <f>HYPERLINK("http://www.ncbi.nlm.nih.gov/Taxonomy/Browser/wwwtax.cgi?mode=Info&amp;id=10089&amp;lvl=3&amp;lin=f&amp;keep=1&amp;srchmode=1&amp;unlock","Mus caroli")</f>
        <v>Mus caroli</v>
      </c>
      <c r="H336" t="s">
        <v>353</v>
      </c>
      <c r="I336" t="str">
        <f>HYPERLINK("http://www.ncbi.nlm.nih.gov/protein/XP_029324161.1","ryanodine receptor 2 isoform X10")</f>
        <v>ryanodine receptor 2 isoform X10</v>
      </c>
      <c r="J336">
        <v>6813.01</v>
      </c>
      <c r="K336" t="s">
        <v>22</v>
      </c>
      <c r="L336">
        <v>276</v>
      </c>
      <c r="M336">
        <v>9.75</v>
      </c>
      <c r="N336">
        <v>65.17</v>
      </c>
      <c r="O336" t="s">
        <v>19</v>
      </c>
      <c r="P336" t="s">
        <v>20</v>
      </c>
      <c r="Q336" t="s">
        <v>19</v>
      </c>
      <c r="R336" t="str">
        <f>HYPERLINK("https://cfpub.epa.gov/ecotox/explore.cfm?ncbi=10089","Explore in ECOTOX")</f>
        <v>Explore in ECOTOX</v>
      </c>
    </row>
    <row r="337" spans="1:18" x14ac:dyDescent="0.45">
      <c r="A337" t="s">
        <v>1264</v>
      </c>
      <c r="B337">
        <v>8</v>
      </c>
      <c r="C337" t="str">
        <f>HYPERLINK("http://www.ncbi.nlm.nih.gov/protein/XP_040823752.1","XP_040823752.1")</f>
        <v>XP_040823752.1</v>
      </c>
      <c r="D337">
        <v>42449</v>
      </c>
      <c r="E337" t="str">
        <f>HYPERLINK("http://www.ncbi.nlm.nih.gov/Taxonomy/Browser/wwwtax.cgi?mode=Info&amp;id=130825&amp;lvl=3&amp;lin=f&amp;keep=1&amp;srchmode=1&amp;unlock","130825")</f>
        <v>130825</v>
      </c>
      <c r="F337" t="s">
        <v>96</v>
      </c>
      <c r="G337" t="str">
        <f>HYPERLINK("http://www.ncbi.nlm.nih.gov/Taxonomy/Browser/wwwtax.cgi?mode=Info&amp;id=130825&amp;lvl=3&amp;lin=f&amp;keep=1&amp;srchmode=1&amp;unlock","Ochotona curzoniae")</f>
        <v>Ochotona curzoniae</v>
      </c>
      <c r="H337" t="s">
        <v>354</v>
      </c>
      <c r="I337" t="str">
        <f>HYPERLINK("http://www.ncbi.nlm.nih.gov/protein/XP_040823752.1","ryanodine receptor 2")</f>
        <v>ryanodine receptor 2</v>
      </c>
      <c r="J337">
        <v>6811.86</v>
      </c>
      <c r="K337" t="s">
        <v>22</v>
      </c>
      <c r="L337">
        <v>276</v>
      </c>
      <c r="M337">
        <v>9.75</v>
      </c>
      <c r="N337">
        <v>65.16</v>
      </c>
      <c r="O337" t="s">
        <v>19</v>
      </c>
      <c r="P337" t="s">
        <v>20</v>
      </c>
      <c r="Q337" t="s">
        <v>19</v>
      </c>
      <c r="R337" t="str">
        <f>HYPERLINK("https://cfpub.epa.gov/ecotox/explore.cfm?ncbi=130825","Explore in ECOTOX")</f>
        <v>Explore in ECOTOX</v>
      </c>
    </row>
    <row r="338" spans="1:18" x14ac:dyDescent="0.45">
      <c r="A338" t="s">
        <v>1264</v>
      </c>
      <c r="B338">
        <v>8</v>
      </c>
      <c r="C338" t="str">
        <f>HYPERLINK("http://www.ncbi.nlm.nih.gov/protein/XP_047618320.1","XP_047618320.1")</f>
        <v>XP_047618320.1</v>
      </c>
      <c r="D338">
        <v>48289</v>
      </c>
      <c r="E338" t="str">
        <f>HYPERLINK("http://www.ncbi.nlm.nih.gov/Taxonomy/Browser/wwwtax.cgi?mode=Info&amp;id=41426&amp;lvl=3&amp;lin=f&amp;keep=1&amp;srchmode=1&amp;unlock","41426")</f>
        <v>41426</v>
      </c>
      <c r="F338" t="s">
        <v>96</v>
      </c>
      <c r="G338" t="str">
        <f>HYPERLINK("http://www.ncbi.nlm.nih.gov/Taxonomy/Browser/wwwtax.cgi?mode=Info&amp;id=41426&amp;lvl=3&amp;lin=f&amp;keep=1&amp;srchmode=1&amp;unlock","Phacochoerus africanus")</f>
        <v>Phacochoerus africanus</v>
      </c>
      <c r="H338" t="s">
        <v>355</v>
      </c>
      <c r="I338" t="str">
        <f>HYPERLINK("http://www.ncbi.nlm.nih.gov/protein/XP_047618320.1","ryanodine receptor 2 isoform X2")</f>
        <v>ryanodine receptor 2 isoform X2</v>
      </c>
      <c r="J338">
        <v>6811.08</v>
      </c>
      <c r="K338" t="s">
        <v>22</v>
      </c>
      <c r="L338">
        <v>276</v>
      </c>
      <c r="M338">
        <v>9.75</v>
      </c>
      <c r="N338">
        <v>65.150000000000006</v>
      </c>
      <c r="O338" t="s">
        <v>19</v>
      </c>
      <c r="P338" t="s">
        <v>20</v>
      </c>
      <c r="Q338" t="s">
        <v>19</v>
      </c>
      <c r="R338" t="str">
        <f>HYPERLINK("https://cfpub.epa.gov/ecotox/explore.cfm?ncbi=41426","Explore in ECOTOX")</f>
        <v>Explore in ECOTOX</v>
      </c>
    </row>
    <row r="339" spans="1:18" x14ac:dyDescent="0.45">
      <c r="A339" t="s">
        <v>1264</v>
      </c>
      <c r="B339">
        <v>8</v>
      </c>
      <c r="C339" t="str">
        <f>HYPERLINK("http://www.ncbi.nlm.nih.gov/protein/XP_009688321.1","XP_009688321.1")</f>
        <v>XP_009688321.1</v>
      </c>
      <c r="D339">
        <v>39498</v>
      </c>
      <c r="E339" t="str">
        <f>HYPERLINK("http://www.ncbi.nlm.nih.gov/Taxonomy/Browser/wwwtax.cgi?mode=Info&amp;id=441894&amp;lvl=3&amp;lin=f&amp;keep=1&amp;srchmode=1&amp;unlock","441894")</f>
        <v>441894</v>
      </c>
      <c r="F339" t="s">
        <v>241</v>
      </c>
      <c r="G339" t="str">
        <f>HYPERLINK("http://www.ncbi.nlm.nih.gov/Taxonomy/Browser/wwwtax.cgi?mode=Info&amp;id=441894&amp;lvl=3&amp;lin=f&amp;keep=1&amp;srchmode=1&amp;unlock","Struthio camelus australis")</f>
        <v>Struthio camelus australis</v>
      </c>
      <c r="H339" t="s">
        <v>356</v>
      </c>
      <c r="I339" t="str">
        <f>HYPERLINK("http://www.ncbi.nlm.nih.gov/protein/XP_009688321.1","PREDICTED: LOW QUALITY PROTEIN: ryanodine receptor 2")</f>
        <v>PREDICTED: LOW QUALITY PROTEIN: ryanodine receptor 2</v>
      </c>
      <c r="J339">
        <v>6810.7</v>
      </c>
      <c r="K339" t="s">
        <v>22</v>
      </c>
      <c r="L339">
        <v>276</v>
      </c>
      <c r="M339">
        <v>9.75</v>
      </c>
      <c r="N339">
        <v>65.150000000000006</v>
      </c>
      <c r="O339" t="s">
        <v>19</v>
      </c>
      <c r="P339" t="s">
        <v>20</v>
      </c>
      <c r="Q339" t="s">
        <v>19</v>
      </c>
      <c r="R339" t="str">
        <f>HYPERLINK("https://cfpub.epa.gov/ecotox/explore.cfm?ncbi=441894","Explore in ECOTOX")</f>
        <v>Explore in ECOTOX</v>
      </c>
    </row>
    <row r="340" spans="1:18" x14ac:dyDescent="0.45">
      <c r="A340" t="s">
        <v>1264</v>
      </c>
      <c r="B340">
        <v>8</v>
      </c>
      <c r="C340" t="str">
        <f>HYPERLINK("http://www.ncbi.nlm.nih.gov/protein/XP_009891954.1","XP_009891954.1")</f>
        <v>XP_009891954.1</v>
      </c>
      <c r="D340">
        <v>30702</v>
      </c>
      <c r="E340" t="str">
        <f>HYPERLINK("http://www.ncbi.nlm.nih.gov/Taxonomy/Browser/wwwtax.cgi?mode=Info&amp;id=50402&amp;lvl=3&amp;lin=f&amp;keep=1&amp;srchmode=1&amp;unlock","50402")</f>
        <v>50402</v>
      </c>
      <c r="F340" t="s">
        <v>241</v>
      </c>
      <c r="G340" t="str">
        <f>HYPERLINK("http://www.ncbi.nlm.nih.gov/Taxonomy/Browser/wwwtax.cgi?mode=Info&amp;id=50402&amp;lvl=3&amp;lin=f&amp;keep=1&amp;srchmode=1&amp;unlock","Charadrius vociferus")</f>
        <v>Charadrius vociferus</v>
      </c>
      <c r="H340" t="s">
        <v>357</v>
      </c>
      <c r="I340" t="str">
        <f>HYPERLINK("http://www.ncbi.nlm.nih.gov/protein/XP_009891954.1","PREDICTED: ryanodine receptor 2")</f>
        <v>PREDICTED: ryanodine receptor 2</v>
      </c>
      <c r="J340">
        <v>6809.93</v>
      </c>
      <c r="K340" t="s">
        <v>22</v>
      </c>
      <c r="L340">
        <v>276</v>
      </c>
      <c r="M340">
        <v>9.75</v>
      </c>
      <c r="N340">
        <v>65.14</v>
      </c>
      <c r="O340" t="s">
        <v>19</v>
      </c>
      <c r="P340" t="s">
        <v>20</v>
      </c>
      <c r="Q340" t="s">
        <v>19</v>
      </c>
      <c r="R340" t="str">
        <f>HYPERLINK("https://cfpub.epa.gov/ecotox/explore.cfm?ncbi=50402","Explore in ECOTOX")</f>
        <v>Explore in ECOTOX</v>
      </c>
    </row>
    <row r="341" spans="1:18" x14ac:dyDescent="0.45">
      <c r="A341" t="s">
        <v>1264</v>
      </c>
      <c r="B341">
        <v>8</v>
      </c>
      <c r="C341" t="str">
        <f>HYPERLINK("http://www.ncbi.nlm.nih.gov/protein/XP_058525375.1","XP_058525375.1")</f>
        <v>XP_058525375.1</v>
      </c>
      <c r="D341">
        <v>40366</v>
      </c>
      <c r="E341" t="str">
        <f>HYPERLINK("http://www.ncbi.nlm.nih.gov/Taxonomy/Browser/wwwtax.cgi?mode=Info&amp;id=9978&amp;lvl=3&amp;lin=f&amp;keep=1&amp;srchmode=1&amp;unlock","9978")</f>
        <v>9978</v>
      </c>
      <c r="F341" t="s">
        <v>96</v>
      </c>
      <c r="G341" t="str">
        <f>HYPERLINK("http://www.ncbi.nlm.nih.gov/Taxonomy/Browser/wwwtax.cgi?mode=Info&amp;id=9978&amp;lvl=3&amp;lin=f&amp;keep=1&amp;srchmode=1&amp;unlock","Ochotona princeps")</f>
        <v>Ochotona princeps</v>
      </c>
      <c r="H341" t="s">
        <v>358</v>
      </c>
      <c r="I341" t="str">
        <f>HYPERLINK("http://www.ncbi.nlm.nih.gov/protein/XP_058525375.1","ryanodine receptor 2")</f>
        <v>ryanodine receptor 2</v>
      </c>
      <c r="J341">
        <v>6809.16</v>
      </c>
      <c r="K341" t="s">
        <v>22</v>
      </c>
      <c r="L341">
        <v>276</v>
      </c>
      <c r="M341">
        <v>9.75</v>
      </c>
      <c r="N341">
        <v>65.14</v>
      </c>
      <c r="O341" t="s">
        <v>19</v>
      </c>
      <c r="P341" t="s">
        <v>20</v>
      </c>
      <c r="Q341" t="s">
        <v>19</v>
      </c>
      <c r="R341" t="str">
        <f>HYPERLINK("https://cfpub.epa.gov/ecotox/explore.cfm?ncbi=9978","Explore in ECOTOX")</f>
        <v>Explore in ECOTOX</v>
      </c>
    </row>
    <row r="342" spans="1:18" x14ac:dyDescent="0.45">
      <c r="A342" t="s">
        <v>1264</v>
      </c>
      <c r="B342">
        <v>8</v>
      </c>
      <c r="C342" t="str">
        <f>HYPERLINK("http://www.ncbi.nlm.nih.gov/protein/XP_046944624.1","XP_046944624.1")</f>
        <v>XP_046944624.1</v>
      </c>
      <c r="D342">
        <v>38820</v>
      </c>
      <c r="E342" t="str">
        <f>HYPERLINK("http://www.ncbi.nlm.nih.gov/Taxonomy/Browser/wwwtax.cgi?mode=Info&amp;id=61384&amp;lvl=3&amp;lin=f&amp;keep=1&amp;srchmode=1&amp;unlock","61384")</f>
        <v>61384</v>
      </c>
      <c r="F342" t="s">
        <v>96</v>
      </c>
      <c r="G342" t="str">
        <f>HYPERLINK("http://www.ncbi.nlm.nih.gov/Taxonomy/Browser/wwwtax.cgi?mode=Info&amp;id=61384&amp;lvl=3&amp;lin=f&amp;keep=1&amp;srchmode=1&amp;unlock","Lynx rufus")</f>
        <v>Lynx rufus</v>
      </c>
      <c r="H342" t="s">
        <v>359</v>
      </c>
      <c r="I342" t="str">
        <f>HYPERLINK("http://www.ncbi.nlm.nih.gov/protein/XP_046944624.1","ryanodine receptor 2")</f>
        <v>ryanodine receptor 2</v>
      </c>
      <c r="J342">
        <v>6808</v>
      </c>
      <c r="K342" t="s">
        <v>22</v>
      </c>
      <c r="L342">
        <v>276</v>
      </c>
      <c r="M342">
        <v>9.75</v>
      </c>
      <c r="N342">
        <v>65.12</v>
      </c>
      <c r="O342" t="s">
        <v>19</v>
      </c>
      <c r="P342" t="s">
        <v>20</v>
      </c>
      <c r="Q342" t="s">
        <v>19</v>
      </c>
      <c r="R342" t="str">
        <f>HYPERLINK("https://cfpub.epa.gov/ecotox/explore.cfm?ncbi=61384","Explore in ECOTOX")</f>
        <v>Explore in ECOTOX</v>
      </c>
    </row>
    <row r="343" spans="1:18" x14ac:dyDescent="0.45">
      <c r="A343" t="s">
        <v>1264</v>
      </c>
      <c r="B343">
        <v>8</v>
      </c>
      <c r="C343" t="str">
        <f>HYPERLINK("http://www.ncbi.nlm.nih.gov/protein/XP_035313552.1","XP_035313552.1")</f>
        <v>XP_035313552.1</v>
      </c>
      <c r="D343">
        <v>138095</v>
      </c>
      <c r="E343" t="str">
        <f>HYPERLINK("http://www.ncbi.nlm.nih.gov/Taxonomy/Browser/wwwtax.cgi?mode=Info&amp;id=10029&amp;lvl=3&amp;lin=f&amp;keep=1&amp;srchmode=1&amp;unlock","10029")</f>
        <v>10029</v>
      </c>
      <c r="F343" t="s">
        <v>96</v>
      </c>
      <c r="G343" t="str">
        <f>HYPERLINK("http://www.ncbi.nlm.nih.gov/Taxonomy/Browser/wwwtax.cgi?mode=Info&amp;id=10029&amp;lvl=3&amp;lin=f&amp;keep=1&amp;srchmode=1&amp;unlock","Cricetulus griseus")</f>
        <v>Cricetulus griseus</v>
      </c>
      <c r="H343" t="s">
        <v>360</v>
      </c>
      <c r="I343" t="str">
        <f>HYPERLINK("http://www.ncbi.nlm.nih.gov/protein/XP_035313552.1","ryanodine receptor 2 isoform X1")</f>
        <v>ryanodine receptor 2 isoform X1</v>
      </c>
      <c r="J343">
        <v>6808</v>
      </c>
      <c r="K343" t="s">
        <v>22</v>
      </c>
      <c r="L343">
        <v>276</v>
      </c>
      <c r="M343">
        <v>9.75</v>
      </c>
      <c r="N343">
        <v>65.12</v>
      </c>
      <c r="O343" t="s">
        <v>19</v>
      </c>
      <c r="P343" t="s">
        <v>20</v>
      </c>
      <c r="Q343" t="s">
        <v>19</v>
      </c>
      <c r="R343" t="str">
        <f>HYPERLINK("https://cfpub.epa.gov/ecotox/explore.cfm?ncbi=10029","Explore in ECOTOX")</f>
        <v>Explore in ECOTOX</v>
      </c>
    </row>
    <row r="344" spans="1:18" x14ac:dyDescent="0.45">
      <c r="A344" t="s">
        <v>1264</v>
      </c>
      <c r="B344">
        <v>8</v>
      </c>
      <c r="C344" t="str">
        <f>HYPERLINK("http://www.ncbi.nlm.nih.gov/protein/XP_031790761.1","XP_031790761.1")</f>
        <v>XP_031790761.1</v>
      </c>
      <c r="D344">
        <v>52625</v>
      </c>
      <c r="E344" t="str">
        <f>HYPERLINK("http://www.ncbi.nlm.nih.gov/Taxonomy/Browser/wwwtax.cgi?mode=Info&amp;id=591936&amp;lvl=3&amp;lin=f&amp;keep=1&amp;srchmode=1&amp;unlock","591936")</f>
        <v>591936</v>
      </c>
      <c r="F344" t="s">
        <v>96</v>
      </c>
      <c r="G344" t="str">
        <f>HYPERLINK("http://www.ncbi.nlm.nih.gov/Taxonomy/Browser/wwwtax.cgi?mode=Info&amp;id=591936&amp;lvl=3&amp;lin=f&amp;keep=1&amp;srchmode=1&amp;unlock","Piliocolobus tephrosceles")</f>
        <v>Piliocolobus tephrosceles</v>
      </c>
      <c r="H344" t="s">
        <v>361</v>
      </c>
      <c r="I344" t="str">
        <f>HYPERLINK("http://www.ncbi.nlm.nih.gov/protein/XP_031790761.1","ryanodine receptor 2")</f>
        <v>ryanodine receptor 2</v>
      </c>
      <c r="J344">
        <v>6807.23</v>
      </c>
      <c r="K344" t="s">
        <v>22</v>
      </c>
      <c r="L344">
        <v>276</v>
      </c>
      <c r="M344">
        <v>9.75</v>
      </c>
      <c r="N344">
        <v>65.12</v>
      </c>
      <c r="O344" t="s">
        <v>19</v>
      </c>
      <c r="P344" t="s">
        <v>20</v>
      </c>
      <c r="Q344" t="s">
        <v>19</v>
      </c>
      <c r="R344" t="str">
        <f>HYPERLINK("https://cfpub.epa.gov/ecotox/explore.cfm?ncbi=591936","Explore in ECOTOX")</f>
        <v>Explore in ECOTOX</v>
      </c>
    </row>
    <row r="345" spans="1:18" x14ac:dyDescent="0.45">
      <c r="A345" t="s">
        <v>1264</v>
      </c>
      <c r="B345">
        <v>8</v>
      </c>
      <c r="C345" t="str">
        <f>HYPERLINK("http://www.ncbi.nlm.nih.gov/protein/KAK1882856.1","KAK1882856.1")</f>
        <v>KAK1882856.1</v>
      </c>
      <c r="D345">
        <v>67997</v>
      </c>
      <c r="E345" t="str">
        <f>HYPERLINK("http://www.ncbi.nlm.nih.gov/Taxonomy/Browser/wwwtax.cgi?mode=Info&amp;id=100907&amp;lvl=3&amp;lin=f&amp;keep=1&amp;srchmode=1&amp;unlock","100907")</f>
        <v>100907</v>
      </c>
      <c r="F345" t="s">
        <v>17</v>
      </c>
      <c r="G345" t="str">
        <f>HYPERLINK("http://www.ncbi.nlm.nih.gov/Taxonomy/Browser/wwwtax.cgi?mode=Info&amp;id=100907&amp;lvl=3&amp;lin=f&amp;keep=1&amp;srchmode=1&amp;unlock","Dissostichus eleginoides")</f>
        <v>Dissostichus eleginoides</v>
      </c>
      <c r="H345" t="s">
        <v>362</v>
      </c>
      <c r="I345" t="str">
        <f>HYPERLINK("http://www.ncbi.nlm.nih.gov/protein/KAK1882856.1","Ryanodine receptor 1, partial")</f>
        <v>Ryanodine receptor 1, partial</v>
      </c>
      <c r="J345">
        <v>6807.23</v>
      </c>
      <c r="K345" t="s">
        <v>19</v>
      </c>
      <c r="L345">
        <v>276</v>
      </c>
      <c r="M345">
        <v>9.75</v>
      </c>
      <c r="N345">
        <v>65.12</v>
      </c>
      <c r="O345" t="s">
        <v>19</v>
      </c>
      <c r="P345" t="s">
        <v>20</v>
      </c>
      <c r="Q345" t="s">
        <v>19</v>
      </c>
      <c r="R345" t="str">
        <f>HYPERLINK("https://cfpub.epa.gov/ecotox/explore.cfm?ncbi=100907","Explore in ECOTOX")</f>
        <v>Explore in ECOTOX</v>
      </c>
    </row>
    <row r="346" spans="1:18" x14ac:dyDescent="0.45">
      <c r="A346" t="s">
        <v>1264</v>
      </c>
      <c r="B346">
        <v>8</v>
      </c>
      <c r="C346" t="str">
        <f>HYPERLINK("http://www.ncbi.nlm.nih.gov/protein/XP_041107810.1","XP_041107810.1")</f>
        <v>XP_041107810.1</v>
      </c>
      <c r="D346">
        <v>79674</v>
      </c>
      <c r="E346" t="str">
        <f>HYPERLINK("http://www.ncbi.nlm.nih.gov/Taxonomy/Browser/wwwtax.cgi?mode=Info&amp;id=7913&amp;lvl=3&amp;lin=f&amp;keep=1&amp;srchmode=1&amp;unlock","7913")</f>
        <v>7913</v>
      </c>
      <c r="F346" t="s">
        <v>17</v>
      </c>
      <c r="G346" t="str">
        <f>HYPERLINK("http://www.ncbi.nlm.nih.gov/Taxonomy/Browser/wwwtax.cgi?mode=Info&amp;id=7913&amp;lvl=3&amp;lin=f&amp;keep=1&amp;srchmode=1&amp;unlock","Polyodon spathula")</f>
        <v>Polyodon spathula</v>
      </c>
      <c r="H346" t="s">
        <v>363</v>
      </c>
      <c r="I346" t="str">
        <f>HYPERLINK("http://www.ncbi.nlm.nih.gov/protein/XP_041107810.1","ryanodine receptor 2 isoform X6")</f>
        <v>ryanodine receptor 2 isoform X6</v>
      </c>
      <c r="J346">
        <v>6806.85</v>
      </c>
      <c r="K346" t="s">
        <v>22</v>
      </c>
      <c r="L346">
        <v>276</v>
      </c>
      <c r="M346">
        <v>9.75</v>
      </c>
      <c r="N346">
        <v>65.11</v>
      </c>
      <c r="O346" t="s">
        <v>19</v>
      </c>
      <c r="P346" t="s">
        <v>20</v>
      </c>
      <c r="Q346" t="s">
        <v>19</v>
      </c>
      <c r="R346" t="str">
        <f>HYPERLINK("https://cfpub.epa.gov/ecotox/explore.cfm?ncbi=7913","Explore in ECOTOX")</f>
        <v>Explore in ECOTOX</v>
      </c>
    </row>
    <row r="347" spans="1:18" x14ac:dyDescent="0.45">
      <c r="A347" t="s">
        <v>1264</v>
      </c>
      <c r="B347">
        <v>8</v>
      </c>
      <c r="C347" t="str">
        <f>HYPERLINK("http://www.ncbi.nlm.nih.gov/protein/XP_061017384.1","XP_061017384.1")</f>
        <v>XP_061017384.1</v>
      </c>
      <c r="D347">
        <v>48826</v>
      </c>
      <c r="E347" t="str">
        <f>HYPERLINK("http://www.ncbi.nlm.nih.gov/Taxonomy/Browser/wwwtax.cgi?mode=Info&amp;id=30532&amp;lvl=3&amp;lin=f&amp;keep=1&amp;srchmode=1&amp;unlock","30532")</f>
        <v>30532</v>
      </c>
      <c r="F347" t="s">
        <v>96</v>
      </c>
      <c r="G347" t="str">
        <f>HYPERLINK("http://www.ncbi.nlm.nih.gov/Taxonomy/Browser/wwwtax.cgi?mode=Info&amp;id=30532&amp;lvl=3&amp;lin=f&amp;keep=1&amp;srchmode=1&amp;unlock","Dama dama")</f>
        <v>Dama dama</v>
      </c>
      <c r="H347" t="s">
        <v>364</v>
      </c>
      <c r="I347" t="str">
        <f>HYPERLINK("http://www.ncbi.nlm.nih.gov/protein/XP_061017384.1","ryanodine receptor 2")</f>
        <v>ryanodine receptor 2</v>
      </c>
      <c r="J347">
        <v>6806.85</v>
      </c>
      <c r="K347" t="s">
        <v>22</v>
      </c>
      <c r="L347">
        <v>276</v>
      </c>
      <c r="M347">
        <v>9.75</v>
      </c>
      <c r="N347">
        <v>65.11</v>
      </c>
      <c r="O347" t="s">
        <v>19</v>
      </c>
      <c r="P347" t="s">
        <v>20</v>
      </c>
      <c r="Q347" t="s">
        <v>19</v>
      </c>
      <c r="R347" t="str">
        <f>HYPERLINK("https://cfpub.epa.gov/ecotox/explore.cfm?ncbi=30532","Explore in ECOTOX")</f>
        <v>Explore in ECOTOX</v>
      </c>
    </row>
    <row r="348" spans="1:18" x14ac:dyDescent="0.45">
      <c r="A348" t="s">
        <v>1264</v>
      </c>
      <c r="B348">
        <v>8</v>
      </c>
      <c r="C348" t="str">
        <f>HYPERLINK("http://www.ncbi.nlm.nih.gov/protein/XP_010217958.1","XP_010217958.1")</f>
        <v>XP_010217958.1</v>
      </c>
      <c r="D348">
        <v>31350</v>
      </c>
      <c r="E348" t="str">
        <f>HYPERLINK("http://www.ncbi.nlm.nih.gov/Taxonomy/Browser/wwwtax.cgi?mode=Info&amp;id=94827&amp;lvl=3&amp;lin=f&amp;keep=1&amp;srchmode=1&amp;unlock","94827")</f>
        <v>94827</v>
      </c>
      <c r="F348" t="s">
        <v>241</v>
      </c>
      <c r="G348" t="str">
        <f>HYPERLINK("http://www.ncbi.nlm.nih.gov/Taxonomy/Browser/wwwtax.cgi?mode=Info&amp;id=94827&amp;lvl=3&amp;lin=f&amp;keep=1&amp;srchmode=1&amp;unlock","Tinamus guttatus")</f>
        <v>Tinamus guttatus</v>
      </c>
      <c r="H348" t="s">
        <v>365</v>
      </c>
      <c r="I348" t="str">
        <f>HYPERLINK("http://www.ncbi.nlm.nih.gov/protein/XP_010217958.1","PREDICTED: ryanodine receptor 2, partial")</f>
        <v>PREDICTED: ryanodine receptor 2, partial</v>
      </c>
      <c r="J348">
        <v>6805.31</v>
      </c>
      <c r="K348" t="s">
        <v>22</v>
      </c>
      <c r="L348">
        <v>276</v>
      </c>
      <c r="M348">
        <v>9.75</v>
      </c>
      <c r="N348">
        <v>65.099999999999994</v>
      </c>
      <c r="O348" t="s">
        <v>19</v>
      </c>
      <c r="P348" t="s">
        <v>20</v>
      </c>
      <c r="Q348" t="s">
        <v>19</v>
      </c>
      <c r="R348" t="str">
        <f>HYPERLINK("https://cfpub.epa.gov/ecotox/explore.cfm?ncbi=94827","Explore in ECOTOX")</f>
        <v>Explore in ECOTOX</v>
      </c>
    </row>
    <row r="349" spans="1:18" x14ac:dyDescent="0.45">
      <c r="A349" t="s">
        <v>1264</v>
      </c>
      <c r="B349">
        <v>8</v>
      </c>
      <c r="C349" t="str">
        <f>HYPERLINK("http://www.ncbi.nlm.nih.gov/protein/XP_049418693.1","XP_049418693.1")</f>
        <v>XP_049418693.1</v>
      </c>
      <c r="D349">
        <v>45353</v>
      </c>
      <c r="E349" t="str">
        <f>HYPERLINK("http://www.ncbi.nlm.nih.gov/Taxonomy/Browser/wwwtax.cgi?mode=Info&amp;id=293821&amp;lvl=3&amp;lin=f&amp;keep=1&amp;srchmode=1&amp;unlock","293821")</f>
        <v>293821</v>
      </c>
      <c r="F349" t="s">
        <v>17</v>
      </c>
      <c r="G349" t="str">
        <f>HYPERLINK("http://www.ncbi.nlm.nih.gov/Taxonomy/Browser/wwwtax.cgi?mode=Info&amp;id=293821&amp;lvl=3&amp;lin=f&amp;keep=1&amp;srchmode=1&amp;unlock","Epinephelus fuscoguttatus")</f>
        <v>Epinephelus fuscoguttatus</v>
      </c>
      <c r="H349" t="s">
        <v>366</v>
      </c>
      <c r="I349" t="str">
        <f>HYPERLINK("http://www.ncbi.nlm.nih.gov/protein/XP_049418693.1","ryanodine receptor 2")</f>
        <v>ryanodine receptor 2</v>
      </c>
      <c r="J349">
        <v>6804.92</v>
      </c>
      <c r="K349" t="s">
        <v>22</v>
      </c>
      <c r="L349">
        <v>276</v>
      </c>
      <c r="M349">
        <v>9.75</v>
      </c>
      <c r="N349">
        <v>65.09</v>
      </c>
      <c r="O349" t="s">
        <v>19</v>
      </c>
      <c r="P349" t="s">
        <v>20</v>
      </c>
      <c r="Q349" t="s">
        <v>19</v>
      </c>
      <c r="R349" t="str">
        <f>HYPERLINK("https://cfpub.epa.gov/ecotox/explore.cfm?ncbi=293821","Explore in ECOTOX")</f>
        <v>Explore in ECOTOX</v>
      </c>
    </row>
    <row r="350" spans="1:18" x14ac:dyDescent="0.45">
      <c r="A350" t="s">
        <v>1264</v>
      </c>
      <c r="B350">
        <v>8</v>
      </c>
      <c r="C350" t="str">
        <f>HYPERLINK("http://www.ncbi.nlm.nih.gov/protein/XP_025893157.1","XP_025893157.1")</f>
        <v>XP_025893157.1</v>
      </c>
      <c r="D350">
        <v>21567</v>
      </c>
      <c r="E350" t="str">
        <f>HYPERLINK("http://www.ncbi.nlm.nih.gov/Taxonomy/Browser/wwwtax.cgi?mode=Info&amp;id=30464&amp;lvl=3&amp;lin=f&amp;keep=1&amp;srchmode=1&amp;unlock","30464")</f>
        <v>30464</v>
      </c>
      <c r="F350" t="s">
        <v>241</v>
      </c>
      <c r="G350" t="str">
        <f>HYPERLINK("http://www.ncbi.nlm.nih.gov/Taxonomy/Browser/wwwtax.cgi?mode=Info&amp;id=30464&amp;lvl=3&amp;lin=f&amp;keep=1&amp;srchmode=1&amp;unlock","Nothoprocta perdicaria")</f>
        <v>Nothoprocta perdicaria</v>
      </c>
      <c r="H350" t="s">
        <v>367</v>
      </c>
      <c r="I350" t="str">
        <f>HYPERLINK("http://www.ncbi.nlm.nih.gov/protein/XP_025893157.1","LOW QUALITY PROTEIN: ryanodine receptor 2")</f>
        <v>LOW QUALITY PROTEIN: ryanodine receptor 2</v>
      </c>
      <c r="J350">
        <v>6804.92</v>
      </c>
      <c r="K350" t="s">
        <v>22</v>
      </c>
      <c r="L350">
        <v>276</v>
      </c>
      <c r="M350">
        <v>9.75</v>
      </c>
      <c r="N350">
        <v>65.09</v>
      </c>
      <c r="O350" t="s">
        <v>19</v>
      </c>
      <c r="P350" t="s">
        <v>20</v>
      </c>
      <c r="Q350" t="s">
        <v>19</v>
      </c>
      <c r="R350" t="str">
        <f>HYPERLINK("https://cfpub.epa.gov/ecotox/explore.cfm?ncbi=30464","Explore in ECOTOX")</f>
        <v>Explore in ECOTOX</v>
      </c>
    </row>
    <row r="351" spans="1:18" x14ac:dyDescent="0.45">
      <c r="A351" t="s">
        <v>1264</v>
      </c>
      <c r="B351">
        <v>8</v>
      </c>
      <c r="C351" t="str">
        <f>HYPERLINK("http://www.ncbi.nlm.nih.gov/protein/XP_017897949.1","XP_017897949.1")</f>
        <v>XP_017897949.1</v>
      </c>
      <c r="D351">
        <v>69243</v>
      </c>
      <c r="E351" t="str">
        <f>HYPERLINK("http://www.ncbi.nlm.nih.gov/Taxonomy/Browser/wwwtax.cgi?mode=Info&amp;id=9925&amp;lvl=3&amp;lin=f&amp;keep=1&amp;srchmode=1&amp;unlock","9925")</f>
        <v>9925</v>
      </c>
      <c r="F351" t="s">
        <v>96</v>
      </c>
      <c r="G351" t="str">
        <f>HYPERLINK("http://www.ncbi.nlm.nih.gov/Taxonomy/Browser/wwwtax.cgi?mode=Info&amp;id=9925&amp;lvl=3&amp;lin=f&amp;keep=1&amp;srchmode=1&amp;unlock","Capra hircus")</f>
        <v>Capra hircus</v>
      </c>
      <c r="H351" t="s">
        <v>368</v>
      </c>
      <c r="I351" t="str">
        <f>HYPERLINK("http://www.ncbi.nlm.nih.gov/protein/XP_017897949.1","PREDICTED: ryanodine receptor 2")</f>
        <v>PREDICTED: ryanodine receptor 2</v>
      </c>
      <c r="J351">
        <v>6804.54</v>
      </c>
      <c r="K351" t="s">
        <v>22</v>
      </c>
      <c r="L351">
        <v>276</v>
      </c>
      <c r="M351">
        <v>9.75</v>
      </c>
      <c r="N351">
        <v>65.09</v>
      </c>
      <c r="O351" t="s">
        <v>19</v>
      </c>
      <c r="P351" t="s">
        <v>20</v>
      </c>
      <c r="Q351" t="s">
        <v>19</v>
      </c>
      <c r="R351" t="str">
        <f>HYPERLINK("https://cfpub.epa.gov/ecotox/explore.cfm?ncbi=9925","Explore in ECOTOX")</f>
        <v>Explore in ECOTOX</v>
      </c>
    </row>
    <row r="352" spans="1:18" x14ac:dyDescent="0.45">
      <c r="A352" t="s">
        <v>1264</v>
      </c>
      <c r="B352">
        <v>8</v>
      </c>
      <c r="C352" t="str">
        <f>HYPERLINK("http://www.ncbi.nlm.nih.gov/protein/XP_055281718.1","XP_055281718.1")</f>
        <v>XP_055281718.1</v>
      </c>
      <c r="D352">
        <v>45816</v>
      </c>
      <c r="E352" t="str">
        <f>HYPERLINK("http://www.ncbi.nlm.nih.gov/Taxonomy/Browser/wwwtax.cgi?mode=Info&amp;id=68408&amp;lvl=3&amp;lin=f&amp;keep=1&amp;srchmode=1&amp;unlock","68408")</f>
        <v>68408</v>
      </c>
      <c r="F352" t="s">
        <v>96</v>
      </c>
      <c r="G352" t="str">
        <f>HYPERLINK("http://www.ncbi.nlm.nih.gov/Taxonomy/Browser/wwwtax.cgi?mode=Info&amp;id=68408&amp;lvl=3&amp;lin=f&amp;keep=1&amp;srchmode=1&amp;unlock","Moschus berezovskii")</f>
        <v>Moschus berezovskii</v>
      </c>
      <c r="H352" t="s">
        <v>369</v>
      </c>
      <c r="I352" t="str">
        <f>HYPERLINK("http://www.ncbi.nlm.nih.gov/protein/XP_055281718.1","ryanodine receptor 2")</f>
        <v>ryanodine receptor 2</v>
      </c>
      <c r="J352">
        <v>6803.38</v>
      </c>
      <c r="K352" t="s">
        <v>22</v>
      </c>
      <c r="L352">
        <v>276</v>
      </c>
      <c r="M352">
        <v>9.75</v>
      </c>
      <c r="N352">
        <v>65.08</v>
      </c>
      <c r="O352" t="s">
        <v>19</v>
      </c>
      <c r="P352" t="s">
        <v>20</v>
      </c>
      <c r="Q352" t="s">
        <v>19</v>
      </c>
      <c r="R352" t="str">
        <f>HYPERLINK("https://cfpub.epa.gov/ecotox/explore.cfm?ncbi=68408","Explore in ECOTOX")</f>
        <v>Explore in ECOTOX</v>
      </c>
    </row>
    <row r="353" spans="1:18" x14ac:dyDescent="0.45">
      <c r="A353" t="s">
        <v>1264</v>
      </c>
      <c r="B353">
        <v>8</v>
      </c>
      <c r="C353" t="str">
        <f>HYPERLINK("http://www.ncbi.nlm.nih.gov/protein/XP_011791152.1","XP_011791152.1")</f>
        <v>XP_011791152.1</v>
      </c>
      <c r="D353">
        <v>38676</v>
      </c>
      <c r="E353" t="str">
        <f>HYPERLINK("http://www.ncbi.nlm.nih.gov/Taxonomy/Browser/wwwtax.cgi?mode=Info&amp;id=336983&amp;lvl=3&amp;lin=f&amp;keep=1&amp;srchmode=1&amp;unlock","336983")</f>
        <v>336983</v>
      </c>
      <c r="F353" t="s">
        <v>96</v>
      </c>
      <c r="G353" t="str">
        <f>HYPERLINK("http://www.ncbi.nlm.nih.gov/Taxonomy/Browser/wwwtax.cgi?mode=Info&amp;id=336983&amp;lvl=3&amp;lin=f&amp;keep=1&amp;srchmode=1&amp;unlock","Colobus angolensis palliatus")</f>
        <v>Colobus angolensis palliatus</v>
      </c>
      <c r="H353" t="s">
        <v>370</v>
      </c>
      <c r="I353" t="str">
        <f>HYPERLINK("http://www.ncbi.nlm.nih.gov/protein/XP_011791152.1","PREDICTED: ryanodine receptor 2")</f>
        <v>PREDICTED: ryanodine receptor 2</v>
      </c>
      <c r="J353">
        <v>6803</v>
      </c>
      <c r="K353" t="s">
        <v>22</v>
      </c>
      <c r="L353">
        <v>276</v>
      </c>
      <c r="M353">
        <v>9.75</v>
      </c>
      <c r="N353">
        <v>65.08</v>
      </c>
      <c r="O353" t="s">
        <v>19</v>
      </c>
      <c r="P353" t="s">
        <v>20</v>
      </c>
      <c r="Q353" t="s">
        <v>19</v>
      </c>
      <c r="R353" t="str">
        <f>HYPERLINK("https://cfpub.epa.gov/ecotox/explore.cfm?ncbi=336983","Explore in ECOTOX")</f>
        <v>Explore in ECOTOX</v>
      </c>
    </row>
    <row r="354" spans="1:18" x14ac:dyDescent="0.45">
      <c r="A354" t="s">
        <v>1264</v>
      </c>
      <c r="B354">
        <v>8</v>
      </c>
      <c r="C354" t="str">
        <f>HYPERLINK("http://www.ncbi.nlm.nih.gov/protein/XP_027818181.1","XP_027818181.1")</f>
        <v>XP_027818181.1</v>
      </c>
      <c r="D354">
        <v>120322</v>
      </c>
      <c r="E354" t="str">
        <f>HYPERLINK("http://www.ncbi.nlm.nih.gov/Taxonomy/Browser/wwwtax.cgi?mode=Info&amp;id=9940&amp;lvl=3&amp;lin=f&amp;keep=1&amp;srchmode=1&amp;unlock","9940")</f>
        <v>9940</v>
      </c>
      <c r="F354" t="s">
        <v>96</v>
      </c>
      <c r="G354" t="str">
        <f>HYPERLINK("http://www.ncbi.nlm.nih.gov/Taxonomy/Browser/wwwtax.cgi?mode=Info&amp;id=9940&amp;lvl=3&amp;lin=f&amp;keep=1&amp;srchmode=1&amp;unlock","Ovis aries")</f>
        <v>Ovis aries</v>
      </c>
      <c r="H354" t="s">
        <v>371</v>
      </c>
      <c r="I354" t="str">
        <f>HYPERLINK("http://www.ncbi.nlm.nih.gov/protein/XP_027818181.1","ryanodine receptor 2")</f>
        <v>ryanodine receptor 2</v>
      </c>
      <c r="J354">
        <v>6801.07</v>
      </c>
      <c r="K354" t="s">
        <v>22</v>
      </c>
      <c r="L354">
        <v>276</v>
      </c>
      <c r="M354">
        <v>9.75</v>
      </c>
      <c r="N354">
        <v>65.06</v>
      </c>
      <c r="O354" t="s">
        <v>19</v>
      </c>
      <c r="P354" t="s">
        <v>20</v>
      </c>
      <c r="Q354" t="s">
        <v>19</v>
      </c>
      <c r="R354" t="str">
        <f>HYPERLINK("https://cfpub.epa.gov/ecotox/explore.cfm?ncbi=9940","Explore in ECOTOX")</f>
        <v>Explore in ECOTOX</v>
      </c>
    </row>
    <row r="355" spans="1:18" x14ac:dyDescent="0.45">
      <c r="A355" t="s">
        <v>1264</v>
      </c>
      <c r="B355">
        <v>8</v>
      </c>
      <c r="C355" t="str">
        <f>HYPERLINK("http://www.ncbi.nlm.nih.gov/protein/XP_010858419.1","XP_010858419.1")</f>
        <v>XP_010858419.1</v>
      </c>
      <c r="D355">
        <v>35575</v>
      </c>
      <c r="E355" t="str">
        <f>HYPERLINK("http://www.ncbi.nlm.nih.gov/Taxonomy/Browser/wwwtax.cgi?mode=Info&amp;id=43346&amp;lvl=3&amp;lin=f&amp;keep=1&amp;srchmode=1&amp;unlock","43346")</f>
        <v>43346</v>
      </c>
      <c r="F355" t="s">
        <v>96</v>
      </c>
      <c r="G355" t="str">
        <f>HYPERLINK("http://www.ncbi.nlm.nih.gov/Taxonomy/Browser/wwwtax.cgi?mode=Info&amp;id=43346&amp;lvl=3&amp;lin=f&amp;keep=1&amp;srchmode=1&amp;unlock","Bison bison bison")</f>
        <v>Bison bison bison</v>
      </c>
      <c r="H355" t="s">
        <v>372</v>
      </c>
      <c r="I355" t="str">
        <f>HYPERLINK("http://www.ncbi.nlm.nih.gov/protein/XP_010858419.1","PREDICTED: ryanodine receptor 2")</f>
        <v>PREDICTED: ryanodine receptor 2</v>
      </c>
      <c r="J355">
        <v>6799.91</v>
      </c>
      <c r="K355" t="s">
        <v>22</v>
      </c>
      <c r="L355">
        <v>276</v>
      </c>
      <c r="M355">
        <v>9.75</v>
      </c>
      <c r="N355">
        <v>65.05</v>
      </c>
      <c r="O355" t="s">
        <v>19</v>
      </c>
      <c r="P355" t="s">
        <v>20</v>
      </c>
      <c r="Q355" t="s">
        <v>19</v>
      </c>
      <c r="R355" t="str">
        <f>HYPERLINK("https://cfpub.epa.gov/ecotox/explore.cfm?ncbi=43346","Explore in ECOTOX")</f>
        <v>Explore in ECOTOX</v>
      </c>
    </row>
    <row r="356" spans="1:18" x14ac:dyDescent="0.45">
      <c r="A356" t="s">
        <v>1264</v>
      </c>
      <c r="B356">
        <v>8</v>
      </c>
      <c r="C356" t="str">
        <f>HYPERLINK("http://www.ncbi.nlm.nih.gov/protein/XP_040098615.1","XP_040098615.1")</f>
        <v>XP_040098615.1</v>
      </c>
      <c r="D356">
        <v>44055</v>
      </c>
      <c r="E356" t="str">
        <f>HYPERLINK("http://www.ncbi.nlm.nih.gov/Taxonomy/Browser/wwwtax.cgi?mode=Info&amp;id=59534&amp;lvl=3&amp;lin=f&amp;keep=1&amp;srchmode=1&amp;unlock","59534")</f>
        <v>59534</v>
      </c>
      <c r="F356" t="s">
        <v>96</v>
      </c>
      <c r="G356" t="str">
        <f>HYPERLINK("http://www.ncbi.nlm.nih.gov/Taxonomy/Browser/wwwtax.cgi?mode=Info&amp;id=59534&amp;lvl=3&amp;lin=f&amp;keep=1&amp;srchmode=1&amp;unlock","Oryx dammah")</f>
        <v>Oryx dammah</v>
      </c>
      <c r="H356" t="s">
        <v>373</v>
      </c>
      <c r="I356" t="str">
        <f>HYPERLINK("http://www.ncbi.nlm.nih.gov/protein/XP_040098615.1","ryanodine receptor 2-like")</f>
        <v>ryanodine receptor 2-like</v>
      </c>
      <c r="J356">
        <v>6799.53</v>
      </c>
      <c r="K356" t="s">
        <v>22</v>
      </c>
      <c r="L356">
        <v>276</v>
      </c>
      <c r="M356">
        <v>9.75</v>
      </c>
      <c r="N356">
        <v>65.040000000000006</v>
      </c>
      <c r="O356" t="s">
        <v>19</v>
      </c>
      <c r="P356" t="s">
        <v>20</v>
      </c>
      <c r="Q356" t="s">
        <v>19</v>
      </c>
      <c r="R356" t="str">
        <f>HYPERLINK("https://cfpub.epa.gov/ecotox/explore.cfm?ncbi=59534","Explore in ECOTOX")</f>
        <v>Explore in ECOTOX</v>
      </c>
    </row>
    <row r="357" spans="1:18" x14ac:dyDescent="0.45">
      <c r="A357" t="s">
        <v>1264</v>
      </c>
      <c r="B357">
        <v>8</v>
      </c>
      <c r="C357" t="str">
        <f>HYPERLINK("http://www.ncbi.nlm.nih.gov/protein/XP_045021457.1","XP_045021457.1")</f>
        <v>XP_045021457.1</v>
      </c>
      <c r="D357">
        <v>76377</v>
      </c>
      <c r="E357" t="str">
        <f>HYPERLINK("http://www.ncbi.nlm.nih.gov/Taxonomy/Browser/wwwtax.cgi?mode=Info&amp;id=89462&amp;lvl=3&amp;lin=f&amp;keep=1&amp;srchmode=1&amp;unlock","89462")</f>
        <v>89462</v>
      </c>
      <c r="F357" t="s">
        <v>96</v>
      </c>
      <c r="G357" t="str">
        <f>HYPERLINK("http://www.ncbi.nlm.nih.gov/Taxonomy/Browser/wwwtax.cgi?mode=Info&amp;id=89462&amp;lvl=3&amp;lin=f&amp;keep=1&amp;srchmode=1&amp;unlock","Bubalus bubalis")</f>
        <v>Bubalus bubalis</v>
      </c>
      <c r="H357" t="s">
        <v>374</v>
      </c>
      <c r="I357" t="str">
        <f>HYPERLINK("http://www.ncbi.nlm.nih.gov/protein/XP_045021457.1","ryanodine receptor 2")</f>
        <v>ryanodine receptor 2</v>
      </c>
      <c r="J357">
        <v>6799.14</v>
      </c>
      <c r="K357" t="s">
        <v>22</v>
      </c>
      <c r="L357">
        <v>276</v>
      </c>
      <c r="M357">
        <v>9.75</v>
      </c>
      <c r="N357">
        <v>65.040000000000006</v>
      </c>
      <c r="O357" t="s">
        <v>19</v>
      </c>
      <c r="P357" t="s">
        <v>20</v>
      </c>
      <c r="Q357" t="s">
        <v>19</v>
      </c>
      <c r="R357" t="str">
        <f>HYPERLINK("https://cfpub.epa.gov/ecotox/explore.cfm?ncbi=89462","Explore in ECOTOX")</f>
        <v>Explore in ECOTOX</v>
      </c>
    </row>
    <row r="358" spans="1:18" x14ac:dyDescent="0.45">
      <c r="A358" t="s">
        <v>1264</v>
      </c>
      <c r="B358">
        <v>8</v>
      </c>
      <c r="C358" t="str">
        <f>HYPERLINK("http://www.ncbi.nlm.nih.gov/protein/XP_031416805.1","XP_031416805.1")</f>
        <v>XP_031416805.1</v>
      </c>
      <c r="D358">
        <v>47169</v>
      </c>
      <c r="E358" t="str">
        <f>HYPERLINK("http://www.ncbi.nlm.nih.gov/Taxonomy/Browser/wwwtax.cgi?mode=Info&amp;id=7950&amp;lvl=3&amp;lin=f&amp;keep=1&amp;srchmode=1&amp;unlock","7950")</f>
        <v>7950</v>
      </c>
      <c r="F358" t="s">
        <v>17</v>
      </c>
      <c r="G358" t="str">
        <f>HYPERLINK("http://www.ncbi.nlm.nih.gov/Taxonomy/Browser/wwwtax.cgi?mode=Info&amp;id=7950&amp;lvl=3&amp;lin=f&amp;keep=1&amp;srchmode=1&amp;unlock","Clupea harengus")</f>
        <v>Clupea harengus</v>
      </c>
      <c r="H358" t="s">
        <v>375</v>
      </c>
      <c r="I358" t="str">
        <f>HYPERLINK("http://www.ncbi.nlm.nih.gov/protein/XP_031416805.1","ryanodine receptor 2 isoform X7")</f>
        <v>ryanodine receptor 2 isoform X7</v>
      </c>
      <c r="J358">
        <v>6799.14</v>
      </c>
      <c r="K358" t="s">
        <v>22</v>
      </c>
      <c r="L358">
        <v>276</v>
      </c>
      <c r="M358">
        <v>9.75</v>
      </c>
      <c r="N358">
        <v>65.040000000000006</v>
      </c>
      <c r="O358" t="s">
        <v>19</v>
      </c>
      <c r="P358" t="s">
        <v>20</v>
      </c>
      <c r="Q358" t="s">
        <v>19</v>
      </c>
      <c r="R358" t="str">
        <f>HYPERLINK("https://cfpub.epa.gov/ecotox/explore.cfm?ncbi=7950","Explore in ECOTOX")</f>
        <v>Explore in ECOTOX</v>
      </c>
    </row>
    <row r="359" spans="1:18" x14ac:dyDescent="0.45">
      <c r="A359" t="s">
        <v>1264</v>
      </c>
      <c r="B359">
        <v>8</v>
      </c>
      <c r="C359" t="str">
        <f>HYPERLINK("http://www.ncbi.nlm.nih.gov/protein/XP_056672063.1","XP_056672063.1")</f>
        <v>XP_056672063.1</v>
      </c>
      <c r="D359">
        <v>64551</v>
      </c>
      <c r="E359" t="str">
        <f>HYPERLINK("http://www.ncbi.nlm.nih.gov/Taxonomy/Browser/wwwtax.cgi?mode=Info&amp;id=13616&amp;lvl=3&amp;lin=f&amp;keep=1&amp;srchmode=1&amp;unlock","13616")</f>
        <v>13616</v>
      </c>
      <c r="F359" t="s">
        <v>96</v>
      </c>
      <c r="G359" t="str">
        <f>HYPERLINK("http://www.ncbi.nlm.nih.gov/Taxonomy/Browser/wwwtax.cgi?mode=Info&amp;id=13616&amp;lvl=3&amp;lin=f&amp;keep=1&amp;srchmode=1&amp;unlock","Monodelphis domestica")</f>
        <v>Monodelphis domestica</v>
      </c>
      <c r="H359" t="s">
        <v>376</v>
      </c>
      <c r="I359" t="str">
        <f>HYPERLINK("http://www.ncbi.nlm.nih.gov/protein/XP_056672063.1","ryanodine receptor 2 isoform X1")</f>
        <v>ryanodine receptor 2 isoform X1</v>
      </c>
      <c r="J359">
        <v>6798.37</v>
      </c>
      <c r="K359" t="s">
        <v>22</v>
      </c>
      <c r="L359">
        <v>276</v>
      </c>
      <c r="M359">
        <v>9.75</v>
      </c>
      <c r="N359">
        <v>65.03</v>
      </c>
      <c r="O359" t="s">
        <v>19</v>
      </c>
      <c r="P359" t="s">
        <v>20</v>
      </c>
      <c r="Q359" t="s">
        <v>19</v>
      </c>
      <c r="R359" t="str">
        <f>HYPERLINK("https://cfpub.epa.gov/ecotox/explore.cfm?ncbi=13616","Explore in ECOTOX")</f>
        <v>Explore in ECOTOX</v>
      </c>
    </row>
    <row r="360" spans="1:18" x14ac:dyDescent="0.45">
      <c r="A360" t="s">
        <v>1264</v>
      </c>
      <c r="B360">
        <v>8</v>
      </c>
      <c r="C360" t="str">
        <f>HYPERLINK("http://www.ncbi.nlm.nih.gov/protein/XP_029775287.1","XP_029775287.1")</f>
        <v>XP_029775287.1</v>
      </c>
      <c r="D360">
        <v>43433</v>
      </c>
      <c r="E360" t="str">
        <f>HYPERLINK("http://www.ncbi.nlm.nih.gov/Taxonomy/Browser/wwwtax.cgi?mode=Info&amp;id=37032&amp;lvl=3&amp;lin=f&amp;keep=1&amp;srchmode=1&amp;unlock","37032")</f>
        <v>37032</v>
      </c>
      <c r="F360" t="s">
        <v>96</v>
      </c>
      <c r="G360" t="str">
        <f>HYPERLINK("http://www.ncbi.nlm.nih.gov/Taxonomy/Browser/wwwtax.cgi?mode=Info&amp;id=37032&amp;lvl=3&amp;lin=f&amp;keep=1&amp;srchmode=1&amp;unlock","Suricata suricatta")</f>
        <v>Suricata suricatta</v>
      </c>
      <c r="H360" t="s">
        <v>377</v>
      </c>
      <c r="I360" t="str">
        <f>HYPERLINK("http://www.ncbi.nlm.nih.gov/protein/XP_029775287.1","ryanodine receptor 2")</f>
        <v>ryanodine receptor 2</v>
      </c>
      <c r="J360">
        <v>6798.37</v>
      </c>
      <c r="K360" t="s">
        <v>22</v>
      </c>
      <c r="L360">
        <v>276</v>
      </c>
      <c r="M360">
        <v>9.75</v>
      </c>
      <c r="N360">
        <v>65.03</v>
      </c>
      <c r="O360" t="s">
        <v>19</v>
      </c>
      <c r="P360" t="s">
        <v>20</v>
      </c>
      <c r="Q360" t="s">
        <v>19</v>
      </c>
      <c r="R360" t="str">
        <f>HYPERLINK("https://cfpub.epa.gov/ecotox/explore.cfm?ncbi=37032","Explore in ECOTOX")</f>
        <v>Explore in ECOTOX</v>
      </c>
    </row>
    <row r="361" spans="1:18" x14ac:dyDescent="0.45">
      <c r="A361" t="s">
        <v>1264</v>
      </c>
      <c r="B361">
        <v>8</v>
      </c>
      <c r="C361" t="str">
        <f>HYPERLINK("http://www.ncbi.nlm.nih.gov/protein/XP_027443997.2","XP_027443997.2")</f>
        <v>XP_027443997.2</v>
      </c>
      <c r="D361">
        <v>61139</v>
      </c>
      <c r="E361" t="str">
        <f>HYPERLINK("http://www.ncbi.nlm.nih.gov/Taxonomy/Browser/wwwtax.cgi?mode=Info&amp;id=9704&amp;lvl=3&amp;lin=f&amp;keep=1&amp;srchmode=1&amp;unlock","9704")</f>
        <v>9704</v>
      </c>
      <c r="F361" t="s">
        <v>96</v>
      </c>
      <c r="G361" t="str">
        <f>HYPERLINK("http://www.ncbi.nlm.nih.gov/Taxonomy/Browser/wwwtax.cgi?mode=Info&amp;id=9704&amp;lvl=3&amp;lin=f&amp;keep=1&amp;srchmode=1&amp;unlock","Zalophus californianus")</f>
        <v>Zalophus californianus</v>
      </c>
      <c r="H361" t="s">
        <v>378</v>
      </c>
      <c r="I361" t="str">
        <f>HYPERLINK("http://www.ncbi.nlm.nih.gov/protein/XP_027443997.2","LOW QUALITY PROTEIN: ryanodine receptor 2")</f>
        <v>LOW QUALITY PROTEIN: ryanodine receptor 2</v>
      </c>
      <c r="J361">
        <v>6797.99</v>
      </c>
      <c r="K361" t="s">
        <v>22</v>
      </c>
      <c r="L361">
        <v>276</v>
      </c>
      <c r="M361">
        <v>9.75</v>
      </c>
      <c r="N361">
        <v>65.03</v>
      </c>
      <c r="O361" t="s">
        <v>19</v>
      </c>
      <c r="P361" t="s">
        <v>20</v>
      </c>
      <c r="Q361" t="s">
        <v>19</v>
      </c>
      <c r="R361" t="str">
        <f>HYPERLINK("https://cfpub.epa.gov/ecotox/explore.cfm?ncbi=9704","Explore in ECOTOX")</f>
        <v>Explore in ECOTOX</v>
      </c>
    </row>
    <row r="362" spans="1:18" x14ac:dyDescent="0.45">
      <c r="A362" t="s">
        <v>1264</v>
      </c>
      <c r="B362">
        <v>8</v>
      </c>
      <c r="C362" t="str">
        <f>HYPERLINK("http://www.ncbi.nlm.nih.gov/protein/XP_034365497.1","XP_034365497.1")</f>
        <v>XP_034365497.1</v>
      </c>
      <c r="D362">
        <v>41697</v>
      </c>
      <c r="E362" t="str">
        <f>HYPERLINK("http://www.ncbi.nlm.nih.gov/Taxonomy/Browser/wwwtax.cgi?mode=Info&amp;id=61156&amp;lvl=3&amp;lin=f&amp;keep=1&amp;srchmode=1&amp;unlock","61156")</f>
        <v>61156</v>
      </c>
      <c r="F362" t="s">
        <v>96</v>
      </c>
      <c r="G362" t="str">
        <f>HYPERLINK("http://www.ncbi.nlm.nih.gov/Taxonomy/Browser/wwwtax.cgi?mode=Info&amp;id=61156&amp;lvl=3&amp;lin=f&amp;keep=1&amp;srchmode=1&amp;unlock","Arvicanthis niloticus")</f>
        <v>Arvicanthis niloticus</v>
      </c>
      <c r="H362" t="s">
        <v>379</v>
      </c>
      <c r="I362" t="str">
        <f>HYPERLINK("http://www.ncbi.nlm.nih.gov/protein/XP_034365497.1","ryanodine receptor 2")</f>
        <v>ryanodine receptor 2</v>
      </c>
      <c r="J362">
        <v>6797.99</v>
      </c>
      <c r="K362" t="s">
        <v>22</v>
      </c>
      <c r="L362">
        <v>276</v>
      </c>
      <c r="M362">
        <v>9.75</v>
      </c>
      <c r="N362">
        <v>65.03</v>
      </c>
      <c r="O362" t="s">
        <v>19</v>
      </c>
      <c r="P362" t="s">
        <v>20</v>
      </c>
      <c r="Q362" t="s">
        <v>19</v>
      </c>
      <c r="R362" t="str">
        <f>HYPERLINK("https://cfpub.epa.gov/ecotox/explore.cfm?ncbi=61156","Explore in ECOTOX")</f>
        <v>Explore in ECOTOX</v>
      </c>
    </row>
    <row r="363" spans="1:18" x14ac:dyDescent="0.45">
      <c r="A363" t="s">
        <v>1264</v>
      </c>
      <c r="B363">
        <v>8</v>
      </c>
      <c r="C363" t="str">
        <f>HYPERLINK("http://www.ncbi.nlm.nih.gov/protein/XP_052012613.1","XP_052012613.1")</f>
        <v>XP_052012613.1</v>
      </c>
      <c r="D363">
        <v>46958</v>
      </c>
      <c r="E363" t="str">
        <f>HYPERLINK("http://www.ncbi.nlm.nih.gov/Taxonomy/Browser/wwwtax.cgi?mode=Info&amp;id=10129&amp;lvl=3&amp;lin=f&amp;keep=1&amp;srchmode=1&amp;unlock","10129")</f>
        <v>10129</v>
      </c>
      <c r="F363" t="s">
        <v>96</v>
      </c>
      <c r="G363" t="str">
        <f>HYPERLINK("http://www.ncbi.nlm.nih.gov/Taxonomy/Browser/wwwtax.cgi?mode=Info&amp;id=10129&amp;lvl=3&amp;lin=f&amp;keep=1&amp;srchmode=1&amp;unlock","Apodemus sylvaticus")</f>
        <v>Apodemus sylvaticus</v>
      </c>
      <c r="H363" t="s">
        <v>380</v>
      </c>
      <c r="I363" t="str">
        <f>HYPERLINK("http://www.ncbi.nlm.nih.gov/protein/XP_052012613.1","ryanodine receptor 2")</f>
        <v>ryanodine receptor 2</v>
      </c>
      <c r="J363">
        <v>6797.22</v>
      </c>
      <c r="K363" t="s">
        <v>22</v>
      </c>
      <c r="L363">
        <v>276</v>
      </c>
      <c r="M363">
        <v>9.75</v>
      </c>
      <c r="N363">
        <v>65.02</v>
      </c>
      <c r="O363" t="s">
        <v>19</v>
      </c>
      <c r="P363" t="s">
        <v>20</v>
      </c>
      <c r="Q363" t="s">
        <v>19</v>
      </c>
      <c r="R363" t="str">
        <f>HYPERLINK("https://cfpub.epa.gov/ecotox/explore.cfm?ncbi=10129","Explore in ECOTOX")</f>
        <v>Explore in ECOTOX</v>
      </c>
    </row>
    <row r="364" spans="1:18" x14ac:dyDescent="0.45">
      <c r="A364" t="s">
        <v>1264</v>
      </c>
      <c r="B364">
        <v>8</v>
      </c>
      <c r="C364" t="str">
        <f>HYPERLINK("http://www.ncbi.nlm.nih.gov/protein/XP_059533736.1","XP_059533736.1")</f>
        <v>XP_059533736.1</v>
      </c>
      <c r="D364">
        <v>57320</v>
      </c>
      <c r="E364" t="str">
        <f>HYPERLINK("http://www.ncbi.nlm.nih.gov/Taxonomy/Browser/wwwtax.cgi?mode=Info&amp;id=98922&amp;lvl=3&amp;lin=f&amp;keep=1&amp;srchmode=1&amp;unlock","98922")</f>
        <v>98922</v>
      </c>
      <c r="F364" t="s">
        <v>96</v>
      </c>
      <c r="G364" t="str">
        <f>HYPERLINK("http://www.ncbi.nlm.nih.gov/Taxonomy/Browser/wwwtax.cgi?mode=Info&amp;id=98922&amp;lvl=3&amp;lin=f&amp;keep=1&amp;srchmode=1&amp;unlock","Myotis daubentonii")</f>
        <v>Myotis daubentonii</v>
      </c>
      <c r="H364" t="s">
        <v>381</v>
      </c>
      <c r="I364" t="str">
        <f>HYPERLINK("http://www.ncbi.nlm.nih.gov/protein/XP_059533736.1","ryanodine receptor 2 isoform X2")</f>
        <v>ryanodine receptor 2 isoform X2</v>
      </c>
      <c r="J364">
        <v>6796.45</v>
      </c>
      <c r="K364" t="s">
        <v>22</v>
      </c>
      <c r="L364">
        <v>276</v>
      </c>
      <c r="M364">
        <v>9.75</v>
      </c>
      <c r="N364">
        <v>65.010000000000005</v>
      </c>
      <c r="O364" t="s">
        <v>19</v>
      </c>
      <c r="P364" t="s">
        <v>20</v>
      </c>
      <c r="Q364" t="s">
        <v>19</v>
      </c>
      <c r="R364" t="str">
        <f>HYPERLINK("https://cfpub.epa.gov/ecotox/explore.cfm?ncbi=98922","Explore in ECOTOX")</f>
        <v>Explore in ECOTOX</v>
      </c>
    </row>
    <row r="365" spans="1:18" x14ac:dyDescent="0.45">
      <c r="A365" t="s">
        <v>1264</v>
      </c>
      <c r="B365">
        <v>8</v>
      </c>
      <c r="C365" t="str">
        <f>HYPERLINK("http://www.ncbi.nlm.nih.gov/protein/XP_006895449.1","XP_006895449.1")</f>
        <v>XP_006895449.1</v>
      </c>
      <c r="D365">
        <v>25301</v>
      </c>
      <c r="E365" t="str">
        <f>HYPERLINK("http://www.ncbi.nlm.nih.gov/Taxonomy/Browser/wwwtax.cgi?mode=Info&amp;id=28737&amp;lvl=3&amp;lin=f&amp;keep=1&amp;srchmode=1&amp;unlock","28737")</f>
        <v>28737</v>
      </c>
      <c r="F365" t="s">
        <v>96</v>
      </c>
      <c r="G365" t="str">
        <f>HYPERLINK("http://www.ncbi.nlm.nih.gov/Taxonomy/Browser/wwwtax.cgi?mode=Info&amp;id=28737&amp;lvl=3&amp;lin=f&amp;keep=1&amp;srchmode=1&amp;unlock","Elephantulus edwardii")</f>
        <v>Elephantulus edwardii</v>
      </c>
      <c r="H365" t="s">
        <v>382</v>
      </c>
      <c r="I365" t="str">
        <f>HYPERLINK("http://www.ncbi.nlm.nih.gov/protein/XP_006895449.1","PREDICTED: ryanodine receptor 2-like")</f>
        <v>PREDICTED: ryanodine receptor 2-like</v>
      </c>
      <c r="J365">
        <v>6796.06</v>
      </c>
      <c r="K365" t="s">
        <v>22</v>
      </c>
      <c r="L365">
        <v>276</v>
      </c>
      <c r="M365">
        <v>9.75</v>
      </c>
      <c r="N365">
        <v>65.010000000000005</v>
      </c>
      <c r="O365" t="s">
        <v>19</v>
      </c>
      <c r="P365" t="s">
        <v>20</v>
      </c>
      <c r="Q365" t="s">
        <v>19</v>
      </c>
      <c r="R365" t="str">
        <f>HYPERLINK("https://cfpub.epa.gov/ecotox/explore.cfm?ncbi=28737","Explore in ECOTOX")</f>
        <v>Explore in ECOTOX</v>
      </c>
    </row>
    <row r="366" spans="1:18" x14ac:dyDescent="0.45">
      <c r="A366" t="s">
        <v>1264</v>
      </c>
      <c r="B366">
        <v>8</v>
      </c>
      <c r="C366" t="str">
        <f>HYPERLINK("http://www.ncbi.nlm.nih.gov/protein/XP_019602364.1","XP_019602364.1")</f>
        <v>XP_019602364.1</v>
      </c>
      <c r="D366">
        <v>44859</v>
      </c>
      <c r="E366" t="str">
        <f>HYPERLINK("http://www.ncbi.nlm.nih.gov/Taxonomy/Browser/wwwtax.cgi?mode=Info&amp;id=89399&amp;lvl=3&amp;lin=f&amp;keep=1&amp;srchmode=1&amp;unlock","89399")</f>
        <v>89399</v>
      </c>
      <c r="F366" t="s">
        <v>96</v>
      </c>
      <c r="G366" t="str">
        <f>HYPERLINK("http://www.ncbi.nlm.nih.gov/Taxonomy/Browser/wwwtax.cgi?mode=Info&amp;id=89399&amp;lvl=3&amp;lin=f&amp;keep=1&amp;srchmode=1&amp;unlock","Rhinolophus sinicus")</f>
        <v>Rhinolophus sinicus</v>
      </c>
      <c r="H366" t="s">
        <v>383</v>
      </c>
      <c r="I366" t="str">
        <f>HYPERLINK("http://www.ncbi.nlm.nih.gov/protein/XP_019602364.1","PREDICTED: ryanodine receptor 2")</f>
        <v>PREDICTED: ryanodine receptor 2</v>
      </c>
      <c r="J366">
        <v>6794.91</v>
      </c>
      <c r="K366" t="s">
        <v>22</v>
      </c>
      <c r="L366">
        <v>276</v>
      </c>
      <c r="M366">
        <v>9.75</v>
      </c>
      <c r="N366">
        <v>65</v>
      </c>
      <c r="O366" t="s">
        <v>19</v>
      </c>
      <c r="P366" t="s">
        <v>20</v>
      </c>
      <c r="Q366" t="s">
        <v>19</v>
      </c>
      <c r="R366" t="str">
        <f>HYPERLINK("https://cfpub.epa.gov/ecotox/explore.cfm?ncbi=89399","Explore in ECOTOX")</f>
        <v>Explore in ECOTOX</v>
      </c>
    </row>
    <row r="367" spans="1:18" x14ac:dyDescent="0.45">
      <c r="A367" t="s">
        <v>1264</v>
      </c>
      <c r="B367">
        <v>8</v>
      </c>
      <c r="C367" t="str">
        <f>HYPERLINK("http://www.ncbi.nlm.nih.gov/protein/XP_009995897.1","XP_009995897.1")</f>
        <v>XP_009995897.1</v>
      </c>
      <c r="D367">
        <v>29247</v>
      </c>
      <c r="E367" t="str">
        <f>HYPERLINK("http://www.ncbi.nlm.nih.gov/Taxonomy/Browser/wwwtax.cgi?mode=Info&amp;id=8897&amp;lvl=3&amp;lin=f&amp;keep=1&amp;srchmode=1&amp;unlock","8897")</f>
        <v>8897</v>
      </c>
      <c r="F367" t="s">
        <v>241</v>
      </c>
      <c r="G367" t="str">
        <f>HYPERLINK("http://www.ncbi.nlm.nih.gov/Taxonomy/Browser/wwwtax.cgi?mode=Info&amp;id=8897&amp;lvl=3&amp;lin=f&amp;keep=1&amp;srchmode=1&amp;unlock","Chaetura pelagica")</f>
        <v>Chaetura pelagica</v>
      </c>
      <c r="H367" t="s">
        <v>384</v>
      </c>
      <c r="I367" t="str">
        <f>HYPERLINK("http://www.ncbi.nlm.nih.gov/protein/XP_009995897.1","PREDICTED: ryanodine receptor 2")</f>
        <v>PREDICTED: ryanodine receptor 2</v>
      </c>
      <c r="J367">
        <v>6793.37</v>
      </c>
      <c r="K367" t="s">
        <v>22</v>
      </c>
      <c r="L367">
        <v>276</v>
      </c>
      <c r="M367">
        <v>9.75</v>
      </c>
      <c r="N367">
        <v>64.98</v>
      </c>
      <c r="O367" t="s">
        <v>19</v>
      </c>
      <c r="P367" t="s">
        <v>20</v>
      </c>
      <c r="Q367" t="s">
        <v>19</v>
      </c>
      <c r="R367" t="str">
        <f>HYPERLINK("https://cfpub.epa.gov/ecotox/explore.cfm?ncbi=8897","Explore in ECOTOX")</f>
        <v>Explore in ECOTOX</v>
      </c>
    </row>
    <row r="368" spans="1:18" x14ac:dyDescent="0.45">
      <c r="A368" t="s">
        <v>1264</v>
      </c>
      <c r="B368">
        <v>8</v>
      </c>
      <c r="C368" t="str">
        <f>HYPERLINK("http://www.ncbi.nlm.nih.gov/protein/NXD79781.1","NXD79781.1")</f>
        <v>NXD79781.1</v>
      </c>
      <c r="D368">
        <v>14332</v>
      </c>
      <c r="E368" t="str">
        <f>HYPERLINK("http://www.ncbi.nlm.nih.gov/Taxonomy/Browser/wwwtax.cgi?mode=Info&amp;id=342381&amp;lvl=3&amp;lin=f&amp;keep=1&amp;srchmode=1&amp;unlock","342381")</f>
        <v>342381</v>
      </c>
      <c r="F368" t="s">
        <v>241</v>
      </c>
      <c r="G368" t="str">
        <f>HYPERLINK("http://www.ncbi.nlm.nih.gov/Taxonomy/Browser/wwwtax.cgi?mode=Info&amp;id=342381&amp;lvl=3&amp;lin=f&amp;keep=1&amp;srchmode=1&amp;unlock","Halcyon senegalensis")</f>
        <v>Halcyon senegalensis</v>
      </c>
      <c r="H368" t="s">
        <v>385</v>
      </c>
      <c r="I368" t="str">
        <f>HYPERLINK("http://www.ncbi.nlm.nih.gov/protein/NXD79781.1","RYR2 protein")</f>
        <v>RYR2 protein</v>
      </c>
      <c r="J368">
        <v>6792.98</v>
      </c>
      <c r="K368" t="s">
        <v>22</v>
      </c>
      <c r="L368">
        <v>276</v>
      </c>
      <c r="M368">
        <v>9.75</v>
      </c>
      <c r="N368">
        <v>64.98</v>
      </c>
      <c r="O368" t="s">
        <v>19</v>
      </c>
      <c r="P368" t="s">
        <v>20</v>
      </c>
      <c r="Q368" t="s">
        <v>19</v>
      </c>
      <c r="R368" t="str">
        <f>HYPERLINK("https://cfpub.epa.gov/ecotox/explore.cfm?ncbi=342381","Explore in ECOTOX")</f>
        <v>Explore in ECOTOX</v>
      </c>
    </row>
    <row r="369" spans="1:18" x14ac:dyDescent="0.45">
      <c r="A369" t="s">
        <v>1264</v>
      </c>
      <c r="B369">
        <v>8</v>
      </c>
      <c r="C369" t="str">
        <f>HYPERLINK("http://www.ncbi.nlm.nih.gov/protein/XP_033617665.1","XP_033617665.1")</f>
        <v>XP_033617665.1</v>
      </c>
      <c r="D369">
        <v>67680</v>
      </c>
      <c r="E369" t="str">
        <f>HYPERLINK("http://www.ncbi.nlm.nih.gov/Taxonomy/Browser/wwwtax.cgi?mode=Info&amp;id=885580&amp;lvl=3&amp;lin=f&amp;keep=1&amp;srchmode=1&amp;unlock","885580")</f>
        <v>885580</v>
      </c>
      <c r="F369" t="s">
        <v>96</v>
      </c>
      <c r="G369" t="str">
        <f>HYPERLINK("http://www.ncbi.nlm.nih.gov/Taxonomy/Browser/wwwtax.cgi?mode=Info&amp;id=885580&amp;lvl=3&amp;lin=f&amp;keep=1&amp;srchmode=1&amp;unlock","Fukomys damarensis")</f>
        <v>Fukomys damarensis</v>
      </c>
      <c r="H369" t="s">
        <v>386</v>
      </c>
      <c r="I369" t="str">
        <f>HYPERLINK("http://www.ncbi.nlm.nih.gov/protein/XP_033617665.1","ryanodine receptor 2")</f>
        <v>ryanodine receptor 2</v>
      </c>
      <c r="J369">
        <v>6792.6</v>
      </c>
      <c r="K369" t="s">
        <v>22</v>
      </c>
      <c r="L369">
        <v>276</v>
      </c>
      <c r="M369">
        <v>9.75</v>
      </c>
      <c r="N369">
        <v>64.98</v>
      </c>
      <c r="O369" t="s">
        <v>19</v>
      </c>
      <c r="P369" t="s">
        <v>20</v>
      </c>
      <c r="Q369" t="s">
        <v>19</v>
      </c>
      <c r="R369" t="str">
        <f>HYPERLINK("https://cfpub.epa.gov/ecotox/explore.cfm?ncbi=885580","Explore in ECOTOX")</f>
        <v>Explore in ECOTOX</v>
      </c>
    </row>
    <row r="370" spans="1:18" x14ac:dyDescent="0.45">
      <c r="A370" t="s">
        <v>1264</v>
      </c>
      <c r="B370">
        <v>8</v>
      </c>
      <c r="C370" t="str">
        <f>HYPERLINK("http://www.ncbi.nlm.nih.gov/protein/XP_036210689.1","XP_036210689.1")</f>
        <v>XP_036210689.1</v>
      </c>
      <c r="D370">
        <v>106886</v>
      </c>
      <c r="E370" t="str">
        <f>HYPERLINK("http://www.ncbi.nlm.nih.gov/Taxonomy/Browser/wwwtax.cgi?mode=Info&amp;id=51298&amp;lvl=3&amp;lin=f&amp;keep=1&amp;srchmode=1&amp;unlock","51298")</f>
        <v>51298</v>
      </c>
      <c r="F370" t="s">
        <v>96</v>
      </c>
      <c r="G370" t="str">
        <f>HYPERLINK("http://www.ncbi.nlm.nih.gov/Taxonomy/Browser/wwwtax.cgi?mode=Info&amp;id=51298&amp;lvl=3&amp;lin=f&amp;keep=1&amp;srchmode=1&amp;unlock","Myotis myotis")</f>
        <v>Myotis myotis</v>
      </c>
      <c r="H370" t="s">
        <v>387</v>
      </c>
      <c r="I370" t="str">
        <f>HYPERLINK("http://www.ncbi.nlm.nih.gov/protein/XP_036210689.1","ryanodine receptor 2 isoform X5")</f>
        <v>ryanodine receptor 2 isoform X5</v>
      </c>
      <c r="J370">
        <v>6790.67</v>
      </c>
      <c r="K370" t="s">
        <v>22</v>
      </c>
      <c r="L370">
        <v>276</v>
      </c>
      <c r="M370">
        <v>9.75</v>
      </c>
      <c r="N370">
        <v>64.959999999999994</v>
      </c>
      <c r="O370" t="s">
        <v>19</v>
      </c>
      <c r="P370" t="s">
        <v>20</v>
      </c>
      <c r="Q370" t="s">
        <v>19</v>
      </c>
      <c r="R370" t="str">
        <f>HYPERLINK("https://cfpub.epa.gov/ecotox/explore.cfm?ncbi=51298","Explore in ECOTOX")</f>
        <v>Explore in ECOTOX</v>
      </c>
    </row>
    <row r="371" spans="1:18" x14ac:dyDescent="0.45">
      <c r="A371" t="s">
        <v>1264</v>
      </c>
      <c r="B371">
        <v>8</v>
      </c>
      <c r="C371" t="str">
        <f>HYPERLINK("http://www.ncbi.nlm.nih.gov/protein/XP_050925016.1","XP_050925016.1")</f>
        <v>XP_050925016.1</v>
      </c>
      <c r="D371">
        <v>45877</v>
      </c>
      <c r="E371" t="str">
        <f>HYPERLINK("http://www.ncbi.nlm.nih.gov/Taxonomy/Browser/wwwtax.cgi?mode=Info&amp;id=8187&amp;lvl=3&amp;lin=f&amp;keep=1&amp;srchmode=1&amp;unlock","8187")</f>
        <v>8187</v>
      </c>
      <c r="F371" t="s">
        <v>17</v>
      </c>
      <c r="G371" t="str">
        <f>HYPERLINK("http://www.ncbi.nlm.nih.gov/Taxonomy/Browser/wwwtax.cgi?mode=Info&amp;id=8187&amp;lvl=3&amp;lin=f&amp;keep=1&amp;srchmode=1&amp;unlock","Lates calcarifer")</f>
        <v>Lates calcarifer</v>
      </c>
      <c r="H371" t="s">
        <v>388</v>
      </c>
      <c r="I371" t="str">
        <f>HYPERLINK("http://www.ncbi.nlm.nih.gov/protein/XP_050925016.1","ryanodine receptor 2 isoform X2")</f>
        <v>ryanodine receptor 2 isoform X2</v>
      </c>
      <c r="J371">
        <v>6790.28</v>
      </c>
      <c r="K371" t="s">
        <v>22</v>
      </c>
      <c r="L371">
        <v>276</v>
      </c>
      <c r="M371">
        <v>9.75</v>
      </c>
      <c r="N371">
        <v>64.95</v>
      </c>
      <c r="O371" t="s">
        <v>19</v>
      </c>
      <c r="P371" t="s">
        <v>20</v>
      </c>
      <c r="Q371" t="s">
        <v>19</v>
      </c>
      <c r="R371" t="str">
        <f>HYPERLINK("https://cfpub.epa.gov/ecotox/explore.cfm?ncbi=8187","Explore in ECOTOX")</f>
        <v>Explore in ECOTOX</v>
      </c>
    </row>
    <row r="372" spans="1:18" x14ac:dyDescent="0.45">
      <c r="A372" t="s">
        <v>1264</v>
      </c>
      <c r="B372">
        <v>8</v>
      </c>
      <c r="C372" t="str">
        <f>HYPERLINK("http://www.ncbi.nlm.nih.gov/protein/XP_025257659.1","XP_025257659.1")</f>
        <v>XP_025257659.1</v>
      </c>
      <c r="D372">
        <v>52710</v>
      </c>
      <c r="E372" t="str">
        <f>HYPERLINK("http://www.ncbi.nlm.nih.gov/Taxonomy/Browser/wwwtax.cgi?mode=Info&amp;id=9565&amp;lvl=3&amp;lin=f&amp;keep=1&amp;srchmode=1&amp;unlock","9565")</f>
        <v>9565</v>
      </c>
      <c r="F372" t="s">
        <v>96</v>
      </c>
      <c r="G372" t="str">
        <f>HYPERLINK("http://www.ncbi.nlm.nih.gov/Taxonomy/Browser/wwwtax.cgi?mode=Info&amp;id=9565&amp;lvl=3&amp;lin=f&amp;keep=1&amp;srchmode=1&amp;unlock","Theropithecus gelada")</f>
        <v>Theropithecus gelada</v>
      </c>
      <c r="H372" t="s">
        <v>389</v>
      </c>
      <c r="I372" t="str">
        <f>HYPERLINK("http://www.ncbi.nlm.nih.gov/protein/XP_025257659.1","ryanodine receptor 2")</f>
        <v>ryanodine receptor 2</v>
      </c>
      <c r="J372">
        <v>6789.9</v>
      </c>
      <c r="K372" t="s">
        <v>22</v>
      </c>
      <c r="L372">
        <v>276</v>
      </c>
      <c r="M372">
        <v>9.75</v>
      </c>
      <c r="N372">
        <v>64.95</v>
      </c>
      <c r="O372" t="s">
        <v>19</v>
      </c>
      <c r="P372" t="s">
        <v>20</v>
      </c>
      <c r="Q372" t="s">
        <v>19</v>
      </c>
      <c r="R372" t="str">
        <f>HYPERLINK("https://cfpub.epa.gov/ecotox/explore.cfm?ncbi=9565","Explore in ECOTOX")</f>
        <v>Explore in ECOTOX</v>
      </c>
    </row>
    <row r="373" spans="1:18" x14ac:dyDescent="0.45">
      <c r="A373" t="s">
        <v>1264</v>
      </c>
      <c r="B373">
        <v>8</v>
      </c>
      <c r="C373" t="str">
        <f>HYPERLINK("http://www.ncbi.nlm.nih.gov/protein/XP_057592961.1","XP_057592961.1")</f>
        <v>XP_057592961.1</v>
      </c>
      <c r="D373">
        <v>55980</v>
      </c>
      <c r="E373" t="str">
        <f>HYPERLINK("http://www.ncbi.nlm.nih.gov/Taxonomy/Browser/wwwtax.cgi?mode=Info&amp;id=575201&amp;lvl=3&amp;lin=f&amp;keep=1&amp;srchmode=1&amp;unlock","575201")</f>
        <v>575201</v>
      </c>
      <c r="F373" t="s">
        <v>96</v>
      </c>
      <c r="G373" t="str">
        <f>HYPERLINK("http://www.ncbi.nlm.nih.gov/Taxonomy/Browser/wwwtax.cgi?mode=Info&amp;id=575201&amp;lvl=3&amp;lin=f&amp;keep=1&amp;srchmode=1&amp;unlock","Hippopotamus amphibius kiboko")</f>
        <v>Hippopotamus amphibius kiboko</v>
      </c>
      <c r="H373" t="s">
        <v>390</v>
      </c>
      <c r="I373" t="str">
        <f>HYPERLINK("http://www.ncbi.nlm.nih.gov/protein/XP_057592961.1","ryanodine receptor 2")</f>
        <v>ryanodine receptor 2</v>
      </c>
      <c r="J373">
        <v>6788.36</v>
      </c>
      <c r="K373" t="s">
        <v>22</v>
      </c>
      <c r="L373">
        <v>276</v>
      </c>
      <c r="M373">
        <v>9.75</v>
      </c>
      <c r="N373">
        <v>64.94</v>
      </c>
      <c r="O373" t="s">
        <v>19</v>
      </c>
      <c r="P373" t="s">
        <v>20</v>
      </c>
      <c r="Q373" t="s">
        <v>19</v>
      </c>
      <c r="R373" t="str">
        <f>HYPERLINK("https://cfpub.epa.gov/ecotox/explore.cfm?ncbi=575201","Explore in ECOTOX")</f>
        <v>Explore in ECOTOX</v>
      </c>
    </row>
    <row r="374" spans="1:18" x14ac:dyDescent="0.45">
      <c r="A374" t="s">
        <v>1264</v>
      </c>
      <c r="B374">
        <v>8</v>
      </c>
      <c r="C374" t="str">
        <f>HYPERLINK("http://www.ncbi.nlm.nih.gov/protein/XP_042363756.1","XP_042363756.1")</f>
        <v>XP_042363756.1</v>
      </c>
      <c r="D374">
        <v>36414</v>
      </c>
      <c r="E374" t="str">
        <f>HYPERLINK("http://www.ncbi.nlm.nih.gov/Taxonomy/Browser/wwwtax.cgi?mode=Info&amp;id=160734&amp;lvl=3&amp;lin=f&amp;keep=1&amp;srchmode=1&amp;unlock","160734")</f>
        <v>160734</v>
      </c>
      <c r="F374" t="s">
        <v>17</v>
      </c>
      <c r="G374" t="str">
        <f>HYPERLINK("http://www.ncbi.nlm.nih.gov/Taxonomy/Browser/wwwtax.cgi?mode=Info&amp;id=160734&amp;lvl=3&amp;lin=f&amp;keep=1&amp;srchmode=1&amp;unlock","Plectropomus leopardus")</f>
        <v>Plectropomus leopardus</v>
      </c>
      <c r="H374" t="s">
        <v>391</v>
      </c>
      <c r="I374" t="str">
        <f>HYPERLINK("http://www.ncbi.nlm.nih.gov/protein/XP_042363756.1","ryanodine receptor 2")</f>
        <v>ryanodine receptor 2</v>
      </c>
      <c r="J374">
        <v>6788.36</v>
      </c>
      <c r="K374" t="s">
        <v>22</v>
      </c>
      <c r="L374">
        <v>276</v>
      </c>
      <c r="M374">
        <v>9.75</v>
      </c>
      <c r="N374">
        <v>64.94</v>
      </c>
      <c r="O374" t="s">
        <v>19</v>
      </c>
      <c r="P374" t="s">
        <v>20</v>
      </c>
      <c r="Q374" t="s">
        <v>19</v>
      </c>
      <c r="R374" t="str">
        <f>HYPERLINK("https://cfpub.epa.gov/ecotox/explore.cfm?ncbi=160734","Explore in ECOTOX")</f>
        <v>Explore in ECOTOX</v>
      </c>
    </row>
    <row r="375" spans="1:18" x14ac:dyDescent="0.45">
      <c r="A375" t="s">
        <v>1264</v>
      </c>
      <c r="B375">
        <v>8</v>
      </c>
      <c r="C375" t="str">
        <f>HYPERLINK("http://www.ncbi.nlm.nih.gov/protein/XP_049916289.1","XP_049916289.1")</f>
        <v>XP_049916289.1</v>
      </c>
      <c r="D375">
        <v>42914</v>
      </c>
      <c r="E375" t="str">
        <f>HYPERLINK("http://www.ncbi.nlm.nih.gov/Taxonomy/Browser/wwwtax.cgi?mode=Info&amp;id=300413&amp;lvl=3&amp;lin=f&amp;keep=1&amp;srchmode=1&amp;unlock","300413")</f>
        <v>300413</v>
      </c>
      <c r="F375" t="s">
        <v>17</v>
      </c>
      <c r="G375" t="str">
        <f>HYPERLINK("http://www.ncbi.nlm.nih.gov/Taxonomy/Browser/wwwtax.cgi?mode=Info&amp;id=300413&amp;lvl=3&amp;lin=f&amp;keep=1&amp;srchmode=1&amp;unlock","Epinephelus moara")</f>
        <v>Epinephelus moara</v>
      </c>
      <c r="H375" t="s">
        <v>392</v>
      </c>
      <c r="I375" t="str">
        <f>HYPERLINK("http://www.ncbi.nlm.nih.gov/protein/XP_049916289.1","ryanodine receptor 2")</f>
        <v>ryanodine receptor 2</v>
      </c>
      <c r="J375">
        <v>6787.97</v>
      </c>
      <c r="K375" t="s">
        <v>22</v>
      </c>
      <c r="L375">
        <v>276</v>
      </c>
      <c r="M375">
        <v>9.75</v>
      </c>
      <c r="N375">
        <v>64.930000000000007</v>
      </c>
      <c r="O375" t="s">
        <v>19</v>
      </c>
      <c r="P375" t="s">
        <v>20</v>
      </c>
      <c r="Q375" t="s">
        <v>19</v>
      </c>
      <c r="R375" t="str">
        <f>HYPERLINK("https://cfpub.epa.gov/ecotox/explore.cfm?ncbi=300413","Explore in ECOTOX")</f>
        <v>Explore in ECOTOX</v>
      </c>
    </row>
    <row r="376" spans="1:18" x14ac:dyDescent="0.45">
      <c r="A376" t="s">
        <v>1264</v>
      </c>
      <c r="B376">
        <v>8</v>
      </c>
      <c r="C376" t="str">
        <f>HYPERLINK("http://www.ncbi.nlm.nih.gov/protein/XP_046536888.1","XP_046536888.1")</f>
        <v>XP_046536888.1</v>
      </c>
      <c r="D376">
        <v>48854</v>
      </c>
      <c r="E376" t="str">
        <f>HYPERLINK("http://www.ncbi.nlm.nih.gov/Taxonomy/Browser/wwwtax.cgi?mode=Info&amp;id=89248&amp;lvl=3&amp;lin=f&amp;keep=1&amp;srchmode=1&amp;unlock","89248")</f>
        <v>89248</v>
      </c>
      <c r="F376" t="s">
        <v>96</v>
      </c>
      <c r="G376" t="str">
        <f>HYPERLINK("http://www.ncbi.nlm.nih.gov/Taxonomy/Browser/wwwtax.cgi?mode=Info&amp;id=89248&amp;lvl=3&amp;lin=f&amp;keep=1&amp;srchmode=1&amp;unlock","Equus quagga")</f>
        <v>Equus quagga</v>
      </c>
      <c r="H376" t="s">
        <v>393</v>
      </c>
      <c r="I376" t="str">
        <f>HYPERLINK("http://www.ncbi.nlm.nih.gov/protein/XP_046536888.1","ryanodine receptor 1")</f>
        <v>ryanodine receptor 1</v>
      </c>
      <c r="J376">
        <v>6786.05</v>
      </c>
      <c r="K376" t="s">
        <v>19</v>
      </c>
      <c r="L376">
        <v>276</v>
      </c>
      <c r="M376">
        <v>9.75</v>
      </c>
      <c r="N376">
        <v>64.91</v>
      </c>
      <c r="O376" t="s">
        <v>19</v>
      </c>
      <c r="P376" t="s">
        <v>20</v>
      </c>
      <c r="Q376" t="s">
        <v>19</v>
      </c>
      <c r="R376" t="str">
        <f>HYPERLINK("https://cfpub.epa.gov/ecotox/explore.cfm?ncbi=89248","Explore in ECOTOX")</f>
        <v>Explore in ECOTOX</v>
      </c>
    </row>
    <row r="377" spans="1:18" x14ac:dyDescent="0.45">
      <c r="A377" t="s">
        <v>1264</v>
      </c>
      <c r="B377">
        <v>8</v>
      </c>
      <c r="C377" t="str">
        <f>HYPERLINK("http://www.ncbi.nlm.nih.gov/protein/XP_052496484.1","XP_052496484.1")</f>
        <v>XP_052496484.1</v>
      </c>
      <c r="D377">
        <v>29021</v>
      </c>
      <c r="E377" t="str">
        <f>HYPERLINK("http://www.ncbi.nlm.nih.gov/Taxonomy/Browser/wwwtax.cgi?mode=Info&amp;id=37181&amp;lvl=3&amp;lin=f&amp;keep=1&amp;srchmode=1&amp;unlock","37181")</f>
        <v>37181</v>
      </c>
      <c r="F377" t="s">
        <v>96</v>
      </c>
      <c r="G377" t="str">
        <f>HYPERLINK("http://www.ncbi.nlm.nih.gov/Taxonomy/Browser/wwwtax.cgi?mode=Info&amp;id=37181&amp;lvl=3&amp;lin=f&amp;keep=1&amp;srchmode=1&amp;unlock","Budorcas taxicolor")</f>
        <v>Budorcas taxicolor</v>
      </c>
      <c r="H377" t="s">
        <v>394</v>
      </c>
      <c r="I377" t="str">
        <f>HYPERLINK("http://www.ncbi.nlm.nih.gov/protein/XP_052496484.1","ryanodine receptor 2")</f>
        <v>ryanodine receptor 2</v>
      </c>
      <c r="J377">
        <v>6784.89</v>
      </c>
      <c r="K377" t="s">
        <v>22</v>
      </c>
      <c r="L377">
        <v>276</v>
      </c>
      <c r="M377">
        <v>9.75</v>
      </c>
      <c r="N377">
        <v>64.900000000000006</v>
      </c>
      <c r="O377" t="s">
        <v>19</v>
      </c>
      <c r="P377" t="s">
        <v>20</v>
      </c>
      <c r="Q377" t="s">
        <v>19</v>
      </c>
      <c r="R377" t="str">
        <f>HYPERLINK("https://cfpub.epa.gov/ecotox/explore.cfm?ncbi=37181","Explore in ECOTOX")</f>
        <v>Explore in ECOTOX</v>
      </c>
    </row>
    <row r="378" spans="1:18" x14ac:dyDescent="0.45">
      <c r="A378" t="s">
        <v>1264</v>
      </c>
      <c r="B378">
        <v>8</v>
      </c>
      <c r="C378" t="str">
        <f>HYPERLINK("http://www.ncbi.nlm.nih.gov/protein/XP_054440680.1","XP_054440680.1")</f>
        <v>XP_054440680.1</v>
      </c>
      <c r="D378">
        <v>34155</v>
      </c>
      <c r="E378" t="str">
        <f>HYPERLINK("http://www.ncbi.nlm.nih.gov/Taxonomy/Browser/wwwtax.cgi?mode=Info&amp;id=1884717&amp;lvl=3&amp;lin=f&amp;keep=1&amp;srchmode=1&amp;unlock","1884717")</f>
        <v>1884717</v>
      </c>
      <c r="F378" t="s">
        <v>96</v>
      </c>
      <c r="G378" t="str">
        <f>HYPERLINK("http://www.ncbi.nlm.nih.gov/Taxonomy/Browser/wwwtax.cgi?mode=Info&amp;id=1884717&amp;lvl=3&amp;lin=f&amp;keep=1&amp;srchmode=1&amp;unlock","Pteronotus parnellii mesoamericanus")</f>
        <v>Pteronotus parnellii mesoamericanus</v>
      </c>
      <c r="H378" t="s">
        <v>395</v>
      </c>
      <c r="I378" t="str">
        <f>HYPERLINK("http://www.ncbi.nlm.nih.gov/protein/XP_054440680.1","ryanodine receptor 2")</f>
        <v>ryanodine receptor 2</v>
      </c>
      <c r="J378">
        <v>6784.51</v>
      </c>
      <c r="K378" t="s">
        <v>22</v>
      </c>
      <c r="L378">
        <v>276</v>
      </c>
      <c r="M378">
        <v>9.75</v>
      </c>
      <c r="N378">
        <v>64.900000000000006</v>
      </c>
      <c r="O378" t="s">
        <v>19</v>
      </c>
      <c r="P378" t="s">
        <v>20</v>
      </c>
      <c r="Q378" t="s">
        <v>19</v>
      </c>
      <c r="R378" t="str">
        <f>HYPERLINK("https://cfpub.epa.gov/ecotox/explore.cfm?ncbi=1884717","Explore in ECOTOX")</f>
        <v>Explore in ECOTOX</v>
      </c>
    </row>
    <row r="379" spans="1:18" x14ac:dyDescent="0.45">
      <c r="A379" t="s">
        <v>1264</v>
      </c>
      <c r="B379">
        <v>8</v>
      </c>
      <c r="C379" t="str">
        <f>HYPERLINK("http://www.ncbi.nlm.nih.gov/protein/XP_044616151.1","XP_044616151.1")</f>
        <v>XP_044616151.1</v>
      </c>
      <c r="D379">
        <v>60887</v>
      </c>
      <c r="E379" t="str">
        <f>HYPERLINK("http://www.ncbi.nlm.nih.gov/Taxonomy/Browser/wwwtax.cgi?mode=Info&amp;id=9793&amp;lvl=3&amp;lin=f&amp;keep=1&amp;srchmode=1&amp;unlock","9793")</f>
        <v>9793</v>
      </c>
      <c r="F379" t="s">
        <v>96</v>
      </c>
      <c r="G379" t="str">
        <f>HYPERLINK("http://www.ncbi.nlm.nih.gov/Taxonomy/Browser/wwwtax.cgi?mode=Info&amp;id=9793&amp;lvl=3&amp;lin=f&amp;keep=1&amp;srchmode=1&amp;unlock","Equus asinus")</f>
        <v>Equus asinus</v>
      </c>
      <c r="H379" t="s">
        <v>396</v>
      </c>
      <c r="I379" t="str">
        <f>HYPERLINK("http://www.ncbi.nlm.nih.gov/protein/XP_044616151.1","LOW QUALITY PROTEIN: ryanodine receptor 1")</f>
        <v>LOW QUALITY PROTEIN: ryanodine receptor 1</v>
      </c>
      <c r="J379">
        <v>6784.12</v>
      </c>
      <c r="K379" t="s">
        <v>19</v>
      </c>
      <c r="L379">
        <v>276</v>
      </c>
      <c r="M379">
        <v>9.75</v>
      </c>
      <c r="N379">
        <v>64.900000000000006</v>
      </c>
      <c r="O379" t="s">
        <v>19</v>
      </c>
      <c r="P379" t="s">
        <v>20</v>
      </c>
      <c r="Q379" t="s">
        <v>19</v>
      </c>
      <c r="R379" t="str">
        <f>HYPERLINK("https://cfpub.epa.gov/ecotox/explore.cfm?ncbi=9793","Explore in ECOTOX")</f>
        <v>Explore in ECOTOX</v>
      </c>
    </row>
    <row r="380" spans="1:18" x14ac:dyDescent="0.45">
      <c r="A380" t="s">
        <v>1264</v>
      </c>
      <c r="B380">
        <v>8</v>
      </c>
      <c r="C380" t="str">
        <f>HYPERLINK("http://www.ncbi.nlm.nih.gov/protein/XP_059180664.1","XP_059180664.1")</f>
        <v>XP_059180664.1</v>
      </c>
      <c r="D380">
        <v>36369</v>
      </c>
      <c r="E380" t="str">
        <f>HYPERLINK("http://www.ncbi.nlm.nih.gov/Taxonomy/Browser/wwwtax.cgi?mode=Info&amp;id=184440&amp;lvl=3&amp;lin=f&amp;keep=1&amp;srchmode=1&amp;unlock","184440")</f>
        <v>184440</v>
      </c>
      <c r="F380" t="s">
        <v>17</v>
      </c>
      <c r="G380" t="str">
        <f>HYPERLINK("http://www.ncbi.nlm.nih.gov/Taxonomy/Browser/wwwtax.cgi?mode=Info&amp;id=184440&amp;lvl=3&amp;lin=f&amp;keep=1&amp;srchmode=1&amp;unlock","Centropristis striata")</f>
        <v>Centropristis striata</v>
      </c>
      <c r="H380" t="s">
        <v>397</v>
      </c>
      <c r="I380" t="str">
        <f>HYPERLINK("http://www.ncbi.nlm.nih.gov/protein/XP_059180664.1","ryanodine receptor 2-like")</f>
        <v>ryanodine receptor 2-like</v>
      </c>
      <c r="J380">
        <v>6784.12</v>
      </c>
      <c r="K380" t="s">
        <v>22</v>
      </c>
      <c r="L380">
        <v>276</v>
      </c>
      <c r="M380">
        <v>9.75</v>
      </c>
      <c r="N380">
        <v>64.900000000000006</v>
      </c>
      <c r="O380" t="s">
        <v>19</v>
      </c>
      <c r="P380" t="s">
        <v>20</v>
      </c>
      <c r="Q380" t="s">
        <v>19</v>
      </c>
      <c r="R380" t="str">
        <f>HYPERLINK("https://cfpub.epa.gov/ecotox/explore.cfm?ncbi=184440","Explore in ECOTOX")</f>
        <v>Explore in ECOTOX</v>
      </c>
    </row>
    <row r="381" spans="1:18" x14ac:dyDescent="0.45">
      <c r="A381" t="s">
        <v>1264</v>
      </c>
      <c r="B381">
        <v>8</v>
      </c>
      <c r="C381" t="str">
        <f>HYPERLINK("http://www.ncbi.nlm.nih.gov/protein/CAI9712018.1","CAI9712018.1")</f>
        <v>CAI9712018.1</v>
      </c>
      <c r="D381">
        <v>54675</v>
      </c>
      <c r="E381" t="str">
        <f>HYPERLINK("http://www.ncbi.nlm.nih.gov/Taxonomy/Browser/wwwtax.cgi?mode=Info&amp;id=3082113&amp;lvl=3&amp;lin=f&amp;keep=1&amp;srchmode=1&amp;unlock","3082113")</f>
        <v>3082113</v>
      </c>
      <c r="F381" t="s">
        <v>96</v>
      </c>
      <c r="G381" t="str">
        <f>HYPERLINK("http://www.ncbi.nlm.nih.gov/Taxonomy/Browser/wwwtax.cgi?mode=Info&amp;id=3082113&amp;lvl=3&amp;lin=f&amp;keep=1&amp;srchmode=1&amp;unlock","Rangifer tarandus platyrhynchus")</f>
        <v>Rangifer tarandus platyrhynchus</v>
      </c>
      <c r="H381" t="s">
        <v>398</v>
      </c>
      <c r="I381" t="str">
        <f>HYPERLINK("http://www.ncbi.nlm.nih.gov/protein/CAI9712018.1","unnamed protein product")</f>
        <v>unnamed protein product</v>
      </c>
      <c r="J381">
        <v>6783.74</v>
      </c>
      <c r="K381" t="s">
        <v>22</v>
      </c>
      <c r="L381">
        <v>276</v>
      </c>
      <c r="M381">
        <v>9.75</v>
      </c>
      <c r="N381">
        <v>64.89</v>
      </c>
      <c r="O381" t="s">
        <v>19</v>
      </c>
      <c r="P381" t="s">
        <v>20</v>
      </c>
      <c r="Q381" t="s">
        <v>19</v>
      </c>
      <c r="R381" t="str">
        <f>HYPERLINK("https://cfpub.epa.gov/ecotox/explore.cfm?ncbi=3082113","Explore in ECOTOX")</f>
        <v>Explore in ECOTOX</v>
      </c>
    </row>
    <row r="382" spans="1:18" x14ac:dyDescent="0.45">
      <c r="A382" t="s">
        <v>1264</v>
      </c>
      <c r="B382">
        <v>8</v>
      </c>
      <c r="C382" t="str">
        <f>HYPERLINK("http://www.ncbi.nlm.nih.gov/protein/XP_054937185.1","XP_054937185.1")</f>
        <v>XP_054937185.1</v>
      </c>
      <c r="D382">
        <v>52454</v>
      </c>
      <c r="E382" t="str">
        <f>HYPERLINK("http://www.ncbi.nlm.nih.gov/Taxonomy/Browser/wwwtax.cgi?mode=Info&amp;id=9755&amp;lvl=3&amp;lin=f&amp;keep=1&amp;srchmode=1&amp;unlock","9755")</f>
        <v>9755</v>
      </c>
      <c r="F382" t="s">
        <v>96</v>
      </c>
      <c r="G382" t="str">
        <f>HYPERLINK("http://www.ncbi.nlm.nih.gov/Taxonomy/Browser/wwwtax.cgi?mode=Info&amp;id=9755&amp;lvl=3&amp;lin=f&amp;keep=1&amp;srchmode=1&amp;unlock","Physeter catodon")</f>
        <v>Physeter catodon</v>
      </c>
      <c r="H382" t="s">
        <v>399</v>
      </c>
      <c r="I382" t="str">
        <f>HYPERLINK("http://www.ncbi.nlm.nih.gov/protein/XP_054937185.1","ryanodine receptor 2")</f>
        <v>ryanodine receptor 2</v>
      </c>
      <c r="J382">
        <v>6783.35</v>
      </c>
      <c r="K382" t="s">
        <v>22</v>
      </c>
      <c r="L382">
        <v>276</v>
      </c>
      <c r="M382">
        <v>9.75</v>
      </c>
      <c r="N382">
        <v>64.89</v>
      </c>
      <c r="O382" t="s">
        <v>19</v>
      </c>
      <c r="P382" t="s">
        <v>20</v>
      </c>
      <c r="Q382" t="s">
        <v>19</v>
      </c>
      <c r="R382" t="str">
        <f>HYPERLINK("https://cfpub.epa.gov/ecotox/explore.cfm?ncbi=9755","Explore in ECOTOX")</f>
        <v>Explore in ECOTOX</v>
      </c>
    </row>
    <row r="383" spans="1:18" x14ac:dyDescent="0.45">
      <c r="A383" t="s">
        <v>1264</v>
      </c>
      <c r="B383">
        <v>8</v>
      </c>
      <c r="C383" t="str">
        <f>HYPERLINK("http://www.ncbi.nlm.nih.gov/protein/XP_048223442.1","XP_048223442.1")</f>
        <v>XP_048223442.1</v>
      </c>
      <c r="D383">
        <v>40272</v>
      </c>
      <c r="E383" t="str">
        <f>HYPERLINK("http://www.ncbi.nlm.nih.gov/Taxonomy/Browser/wwwtax.cgi?mode=Info&amp;id=214514&amp;lvl=3&amp;lin=f&amp;keep=1&amp;srchmode=1&amp;unlock","214514")</f>
        <v>214514</v>
      </c>
      <c r="F383" t="s">
        <v>96</v>
      </c>
      <c r="G383" t="str">
        <f>HYPERLINK("http://www.ncbi.nlm.nih.gov/Taxonomy/Browser/wwwtax.cgi?mode=Info&amp;id=214514&amp;lvl=3&amp;lin=f&amp;keep=1&amp;srchmode=1&amp;unlock","Perognathus longimembris pacificus")</f>
        <v>Perognathus longimembris pacificus</v>
      </c>
      <c r="H383" t="s">
        <v>400</v>
      </c>
      <c r="I383" t="str">
        <f>HYPERLINK("http://www.ncbi.nlm.nih.gov/protein/XP_048223442.1","LOW QUALITY PROTEIN: ryanodine receptor 2")</f>
        <v>LOW QUALITY PROTEIN: ryanodine receptor 2</v>
      </c>
      <c r="J383">
        <v>6781.42</v>
      </c>
      <c r="K383" t="s">
        <v>22</v>
      </c>
      <c r="L383">
        <v>276</v>
      </c>
      <c r="M383">
        <v>9.75</v>
      </c>
      <c r="N383">
        <v>64.87</v>
      </c>
      <c r="O383" t="s">
        <v>19</v>
      </c>
      <c r="P383" t="s">
        <v>20</v>
      </c>
      <c r="Q383" t="s">
        <v>19</v>
      </c>
      <c r="R383" t="str">
        <f>HYPERLINK("https://cfpub.epa.gov/ecotox/explore.cfm?ncbi=214514","Explore in ECOTOX")</f>
        <v>Explore in ECOTOX</v>
      </c>
    </row>
    <row r="384" spans="1:18" x14ac:dyDescent="0.45">
      <c r="A384" t="s">
        <v>1264</v>
      </c>
      <c r="B384">
        <v>8</v>
      </c>
      <c r="C384" t="str">
        <f>HYPERLINK("http://www.ncbi.nlm.nih.gov/protein/XP_021551817.1","XP_021551817.1")</f>
        <v>XP_021551817.1</v>
      </c>
      <c r="D384">
        <v>39488</v>
      </c>
      <c r="E384" t="str">
        <f>HYPERLINK("http://www.ncbi.nlm.nih.gov/Taxonomy/Browser/wwwtax.cgi?mode=Info&amp;id=29088&amp;lvl=3&amp;lin=f&amp;keep=1&amp;srchmode=1&amp;unlock","29088")</f>
        <v>29088</v>
      </c>
      <c r="F384" t="s">
        <v>96</v>
      </c>
      <c r="G384" t="str">
        <f>HYPERLINK("http://www.ncbi.nlm.nih.gov/Taxonomy/Browser/wwwtax.cgi?mode=Info&amp;id=29088&amp;lvl=3&amp;lin=f&amp;keep=1&amp;srchmode=1&amp;unlock","Neomonachus schauinslandi")</f>
        <v>Neomonachus schauinslandi</v>
      </c>
      <c r="H384" t="s">
        <v>401</v>
      </c>
      <c r="I384" t="str">
        <f>HYPERLINK("http://www.ncbi.nlm.nih.gov/protein/XP_021551817.1","ryanodine receptor 2")</f>
        <v>ryanodine receptor 2</v>
      </c>
      <c r="J384">
        <v>6780.65</v>
      </c>
      <c r="K384" t="s">
        <v>22</v>
      </c>
      <c r="L384">
        <v>276</v>
      </c>
      <c r="M384">
        <v>9.75</v>
      </c>
      <c r="N384">
        <v>64.86</v>
      </c>
      <c r="O384" t="s">
        <v>19</v>
      </c>
      <c r="P384" t="s">
        <v>20</v>
      </c>
      <c r="Q384" t="s">
        <v>19</v>
      </c>
      <c r="R384" t="str">
        <f>HYPERLINK("https://cfpub.epa.gov/ecotox/explore.cfm?ncbi=29088","Explore in ECOTOX")</f>
        <v>Explore in ECOTOX</v>
      </c>
    </row>
    <row r="385" spans="1:18" x14ac:dyDescent="0.45">
      <c r="A385" t="s">
        <v>1264</v>
      </c>
      <c r="B385">
        <v>8</v>
      </c>
      <c r="C385" t="str">
        <f>HYPERLINK("http://www.ncbi.nlm.nih.gov/protein/XP_055445021.1","XP_055445021.1")</f>
        <v>XP_055445021.1</v>
      </c>
      <c r="D385">
        <v>56900</v>
      </c>
      <c r="E385" t="str">
        <f>HYPERLINK("http://www.ncbi.nlm.nih.gov/Taxonomy/Browser/wwwtax.cgi?mode=Info&amp;id=346063&amp;lvl=3&amp;lin=f&amp;keep=1&amp;srchmode=1&amp;unlock","346063")</f>
        <v>346063</v>
      </c>
      <c r="F385" t="s">
        <v>96</v>
      </c>
      <c r="G385" t="str">
        <f>HYPERLINK("http://www.ncbi.nlm.nih.gov/Taxonomy/Browser/wwwtax.cgi?mode=Info&amp;id=346063&amp;lvl=3&amp;lin=f&amp;keep=1&amp;srchmode=1&amp;unlock","Bubalus carabanensis")</f>
        <v>Bubalus carabanensis</v>
      </c>
      <c r="H385" t="s">
        <v>402</v>
      </c>
      <c r="I385" t="str">
        <f>HYPERLINK("http://www.ncbi.nlm.nih.gov/protein/XP_055445021.1","ryanodine receptor 2")</f>
        <v>ryanodine receptor 2</v>
      </c>
      <c r="J385">
        <v>6780.27</v>
      </c>
      <c r="K385" t="s">
        <v>22</v>
      </c>
      <c r="L385">
        <v>276</v>
      </c>
      <c r="M385">
        <v>9.75</v>
      </c>
      <c r="N385">
        <v>64.86</v>
      </c>
      <c r="O385" t="s">
        <v>19</v>
      </c>
      <c r="P385" t="s">
        <v>20</v>
      </c>
      <c r="Q385" t="s">
        <v>19</v>
      </c>
      <c r="R385" t="str">
        <f>HYPERLINK("https://cfpub.epa.gov/ecotox/explore.cfm?ncbi=346063","Explore in ECOTOX")</f>
        <v>Explore in ECOTOX</v>
      </c>
    </row>
    <row r="386" spans="1:18" x14ac:dyDescent="0.45">
      <c r="A386" t="s">
        <v>1264</v>
      </c>
      <c r="B386">
        <v>8</v>
      </c>
      <c r="C386" t="str">
        <f>HYPERLINK("http://www.ncbi.nlm.nih.gov/protein/XP_032741093.1","XP_032741093.1")</f>
        <v>XP_032741093.1</v>
      </c>
      <c r="D386">
        <v>36663</v>
      </c>
      <c r="E386" t="str">
        <f>HYPERLINK("http://www.ncbi.nlm.nih.gov/Taxonomy/Browser/wwwtax.cgi?mode=Info&amp;id=10117&amp;lvl=3&amp;lin=f&amp;keep=1&amp;srchmode=1&amp;unlock","10117")</f>
        <v>10117</v>
      </c>
      <c r="F386" t="s">
        <v>96</v>
      </c>
      <c r="G386" t="str">
        <f>HYPERLINK("http://www.ncbi.nlm.nih.gov/Taxonomy/Browser/wwwtax.cgi?mode=Info&amp;id=10117&amp;lvl=3&amp;lin=f&amp;keep=1&amp;srchmode=1&amp;unlock","Rattus rattus")</f>
        <v>Rattus rattus</v>
      </c>
      <c r="H386" t="s">
        <v>403</v>
      </c>
      <c r="I386" t="str">
        <f>HYPERLINK("http://www.ncbi.nlm.nih.gov/protein/XP_032741093.1","ryanodine receptor 2")</f>
        <v>ryanodine receptor 2</v>
      </c>
      <c r="J386">
        <v>6778.34</v>
      </c>
      <c r="K386" t="s">
        <v>22</v>
      </c>
      <c r="L386">
        <v>276</v>
      </c>
      <c r="M386">
        <v>9.75</v>
      </c>
      <c r="N386">
        <v>64.84</v>
      </c>
      <c r="O386" t="s">
        <v>19</v>
      </c>
      <c r="P386" t="s">
        <v>20</v>
      </c>
      <c r="Q386" t="s">
        <v>19</v>
      </c>
      <c r="R386" t="str">
        <f>HYPERLINK("https://cfpub.epa.gov/ecotox/explore.cfm?ncbi=10117","Explore in ECOTOX")</f>
        <v>Explore in ECOTOX</v>
      </c>
    </row>
    <row r="387" spans="1:18" x14ac:dyDescent="0.45">
      <c r="A387" t="s">
        <v>1264</v>
      </c>
      <c r="B387">
        <v>8</v>
      </c>
      <c r="C387" t="str">
        <f>HYPERLINK("http://www.ncbi.nlm.nih.gov/protein/XP_048317093.1","XP_048317093.1")</f>
        <v>XP_048317093.1</v>
      </c>
      <c r="D387">
        <v>49669</v>
      </c>
      <c r="E387" t="str">
        <f>HYPERLINK("http://www.ncbi.nlm.nih.gov/Taxonomy/Browser/wwwtax.cgi?mode=Info&amp;id=447135&amp;lvl=3&amp;lin=f&amp;keep=1&amp;srchmode=1&amp;unlock","447135")</f>
        <v>447135</v>
      </c>
      <c r="F387" t="s">
        <v>96</v>
      </c>
      <c r="G387" t="str">
        <f>HYPERLINK("http://www.ncbi.nlm.nih.gov/Taxonomy/Browser/wwwtax.cgi?mode=Info&amp;id=447135&amp;lvl=3&amp;lin=f&amp;keep=1&amp;srchmode=1&amp;unlock","Myodes glareolus")</f>
        <v>Myodes glareolus</v>
      </c>
      <c r="H387" t="s">
        <v>404</v>
      </c>
      <c r="I387" t="str">
        <f>HYPERLINK("http://www.ncbi.nlm.nih.gov/protein/XP_048317093.1","ryanodine receptor 2")</f>
        <v>ryanodine receptor 2</v>
      </c>
      <c r="J387">
        <v>6776.8</v>
      </c>
      <c r="K387" t="s">
        <v>22</v>
      </c>
      <c r="L387">
        <v>276</v>
      </c>
      <c r="M387">
        <v>9.75</v>
      </c>
      <c r="N387">
        <v>64.83</v>
      </c>
      <c r="O387" t="s">
        <v>19</v>
      </c>
      <c r="P387" t="s">
        <v>20</v>
      </c>
      <c r="Q387" t="s">
        <v>19</v>
      </c>
      <c r="R387" t="str">
        <f>HYPERLINK("https://cfpub.epa.gov/ecotox/explore.cfm?ncbi=447135","Explore in ECOTOX")</f>
        <v>Explore in ECOTOX</v>
      </c>
    </row>
    <row r="388" spans="1:18" x14ac:dyDescent="0.45">
      <c r="A388" t="s">
        <v>1264</v>
      </c>
      <c r="B388">
        <v>8</v>
      </c>
      <c r="C388" t="str">
        <f>HYPERLINK("http://www.ncbi.nlm.nih.gov/protein/XP_027960296.1","XP_027960296.1")</f>
        <v>XP_027960296.1</v>
      </c>
      <c r="D388">
        <v>40115</v>
      </c>
      <c r="E388" t="str">
        <f>HYPERLINK("http://www.ncbi.nlm.nih.gov/Taxonomy/Browser/wwwtax.cgi?mode=Info&amp;id=34886&amp;lvl=3&amp;lin=f&amp;keep=1&amp;srchmode=1&amp;unlock","34886")</f>
        <v>34886</v>
      </c>
      <c r="F388" t="s">
        <v>96</v>
      </c>
      <c r="G388" t="str">
        <f>HYPERLINK("http://www.ncbi.nlm.nih.gov/Taxonomy/Browser/wwwtax.cgi?mode=Info&amp;id=34886&amp;lvl=3&amp;lin=f&amp;keep=1&amp;srchmode=1&amp;unlock","Eumetopias jubatus")</f>
        <v>Eumetopias jubatus</v>
      </c>
      <c r="H388" t="s">
        <v>405</v>
      </c>
      <c r="I388" t="str">
        <f>HYPERLINK("http://www.ncbi.nlm.nih.gov/protein/XP_027960296.1","ryanodine receptor 2")</f>
        <v>ryanodine receptor 2</v>
      </c>
      <c r="J388">
        <v>6776.42</v>
      </c>
      <c r="K388" t="s">
        <v>22</v>
      </c>
      <c r="L388">
        <v>276</v>
      </c>
      <c r="M388">
        <v>9.75</v>
      </c>
      <c r="N388">
        <v>64.819999999999993</v>
      </c>
      <c r="O388" t="s">
        <v>19</v>
      </c>
      <c r="P388" t="s">
        <v>20</v>
      </c>
      <c r="Q388" t="s">
        <v>19</v>
      </c>
      <c r="R388" t="str">
        <f>HYPERLINK("https://cfpub.epa.gov/ecotox/explore.cfm?ncbi=34886","Explore in ECOTOX")</f>
        <v>Explore in ECOTOX</v>
      </c>
    </row>
    <row r="389" spans="1:18" x14ac:dyDescent="0.45">
      <c r="A389" t="s">
        <v>1264</v>
      </c>
      <c r="B389">
        <v>8</v>
      </c>
      <c r="C389" t="str">
        <f>HYPERLINK("http://www.ncbi.nlm.nih.gov/protein/NXC37611.1","NXC37611.1")</f>
        <v>NXC37611.1</v>
      </c>
      <c r="D389">
        <v>13978</v>
      </c>
      <c r="E389" t="str">
        <f>HYPERLINK("http://www.ncbi.nlm.nih.gov/Taxonomy/Browser/wwwtax.cgi?mode=Info&amp;id=1118817&amp;lvl=3&amp;lin=f&amp;keep=1&amp;srchmode=1&amp;unlock","1118817")</f>
        <v>1118817</v>
      </c>
      <c r="F389" t="s">
        <v>241</v>
      </c>
      <c r="G389" t="str">
        <f>HYPERLINK("http://www.ncbi.nlm.nih.gov/Taxonomy/Browser/wwwtax.cgi?mode=Info&amp;id=1118817&amp;lvl=3&amp;lin=f&amp;keep=1&amp;srchmode=1&amp;unlock","Penelope pileata")</f>
        <v>Penelope pileata</v>
      </c>
      <c r="H389" t="s">
        <v>406</v>
      </c>
      <c r="I389" t="str">
        <f>HYPERLINK("http://www.ncbi.nlm.nih.gov/protein/NXC37611.1","RYR2 protein")</f>
        <v>RYR2 protein</v>
      </c>
      <c r="J389">
        <v>6774.49</v>
      </c>
      <c r="K389" t="s">
        <v>22</v>
      </c>
      <c r="L389">
        <v>276</v>
      </c>
      <c r="M389">
        <v>9.75</v>
      </c>
      <c r="N389">
        <v>64.8</v>
      </c>
      <c r="O389" t="s">
        <v>19</v>
      </c>
      <c r="P389" t="s">
        <v>20</v>
      </c>
      <c r="Q389" t="s">
        <v>19</v>
      </c>
      <c r="R389" t="str">
        <f>HYPERLINK("https://cfpub.epa.gov/ecotox/explore.cfm?ncbi=1118817","Explore in ECOTOX")</f>
        <v>Explore in ECOTOX</v>
      </c>
    </row>
    <row r="390" spans="1:18" x14ac:dyDescent="0.45">
      <c r="A390" t="s">
        <v>1264</v>
      </c>
      <c r="B390">
        <v>8</v>
      </c>
      <c r="C390" t="str">
        <f>HYPERLINK("http://www.ncbi.nlm.nih.gov/protein/XP_046234120.1","XP_046234120.1")</f>
        <v>XP_046234120.1</v>
      </c>
      <c r="D390">
        <v>48619</v>
      </c>
      <c r="E390" t="str">
        <f>HYPERLINK("http://www.ncbi.nlm.nih.gov/Taxonomy/Browser/wwwtax.cgi?mode=Info&amp;id=75038&amp;lvl=3&amp;lin=f&amp;keep=1&amp;srchmode=1&amp;unlock","75038")</f>
        <v>75038</v>
      </c>
      <c r="F390" t="s">
        <v>17</v>
      </c>
      <c r="G390" t="str">
        <f>HYPERLINK("http://www.ncbi.nlm.nih.gov/Taxonomy/Browser/wwwtax.cgi?mode=Info&amp;id=75038&amp;lvl=3&amp;lin=f&amp;keep=1&amp;srchmode=1&amp;unlock","Scatophagus argus")</f>
        <v>Scatophagus argus</v>
      </c>
      <c r="H390" t="s">
        <v>407</v>
      </c>
      <c r="I390" t="str">
        <f>HYPERLINK("http://www.ncbi.nlm.nih.gov/protein/XP_046234120.1","ryanodine receptor 2 isoform X2")</f>
        <v>ryanodine receptor 2 isoform X2</v>
      </c>
      <c r="J390">
        <v>6774.49</v>
      </c>
      <c r="K390" t="s">
        <v>22</v>
      </c>
      <c r="L390">
        <v>276</v>
      </c>
      <c r="M390">
        <v>9.75</v>
      </c>
      <c r="N390">
        <v>64.8</v>
      </c>
      <c r="O390" t="s">
        <v>19</v>
      </c>
      <c r="P390" t="s">
        <v>20</v>
      </c>
      <c r="Q390" t="s">
        <v>19</v>
      </c>
      <c r="R390" t="str">
        <f>HYPERLINK("https://cfpub.epa.gov/ecotox/explore.cfm?ncbi=75038","Explore in ECOTOX")</f>
        <v>Explore in ECOTOX</v>
      </c>
    </row>
    <row r="391" spans="1:18" x14ac:dyDescent="0.45">
      <c r="A391" t="s">
        <v>1264</v>
      </c>
      <c r="B391">
        <v>8</v>
      </c>
      <c r="C391" t="str">
        <f>HYPERLINK("http://www.ncbi.nlm.nih.gov/protein/XP_030050543.1","XP_030050543.1")</f>
        <v>XP_030050543.1</v>
      </c>
      <c r="D391">
        <v>37123</v>
      </c>
      <c r="E391" t="str">
        <f>HYPERLINK("http://www.ncbi.nlm.nih.gov/Taxonomy/Browser/wwwtax.cgi?mode=Info&amp;id=1415580&amp;lvl=3&amp;lin=f&amp;keep=1&amp;srchmode=1&amp;unlock","1415580")</f>
        <v>1415580</v>
      </c>
      <c r="F391" t="s">
        <v>177</v>
      </c>
      <c r="G391" t="str">
        <f>HYPERLINK("http://www.ncbi.nlm.nih.gov/Taxonomy/Browser/wwwtax.cgi?mode=Info&amp;id=1415580&amp;lvl=3&amp;lin=f&amp;keep=1&amp;srchmode=1&amp;unlock","Microcaecilia unicolor")</f>
        <v>Microcaecilia unicolor</v>
      </c>
      <c r="H391" t="s">
        <v>408</v>
      </c>
      <c r="I391" t="str">
        <f>HYPERLINK("http://www.ncbi.nlm.nih.gov/protein/XP_030050543.1","LOW QUALITY PROTEIN: ryanodine receptor 2")</f>
        <v>LOW QUALITY PROTEIN: ryanodine receptor 2</v>
      </c>
      <c r="J391">
        <v>6774.49</v>
      </c>
      <c r="K391" t="s">
        <v>22</v>
      </c>
      <c r="L391">
        <v>276</v>
      </c>
      <c r="M391">
        <v>9.75</v>
      </c>
      <c r="N391">
        <v>64.8</v>
      </c>
      <c r="O391" t="s">
        <v>19</v>
      </c>
      <c r="P391" t="s">
        <v>20</v>
      </c>
      <c r="Q391" t="s">
        <v>19</v>
      </c>
      <c r="R391" t="str">
        <f>HYPERLINK("https://cfpub.epa.gov/ecotox/explore.cfm?ncbi=1415580","Explore in ECOTOX")</f>
        <v>Explore in ECOTOX</v>
      </c>
    </row>
    <row r="392" spans="1:18" x14ac:dyDescent="0.45">
      <c r="A392" t="s">
        <v>1264</v>
      </c>
      <c r="B392">
        <v>8</v>
      </c>
      <c r="C392" t="str">
        <f>HYPERLINK("http://www.ncbi.nlm.nih.gov/protein/XP_058908823.1","XP_058908823.1")</f>
        <v>XP_058908823.1</v>
      </c>
      <c r="D392">
        <v>48382</v>
      </c>
      <c r="E392" t="str">
        <f>HYPERLINK("http://www.ncbi.nlm.nih.gov/Taxonomy/Browser/wwwtax.cgi?mode=Info&amp;id=27615&amp;lvl=3&amp;lin=f&amp;keep=1&amp;srchmode=1&amp;unlock","27615")</f>
        <v>27615</v>
      </c>
      <c r="F392" t="s">
        <v>96</v>
      </c>
      <c r="G392" t="str">
        <f>HYPERLINK("http://www.ncbi.nlm.nih.gov/Taxonomy/Browser/wwwtax.cgi?mode=Info&amp;id=27615&amp;lvl=3&amp;lin=f&amp;keep=1&amp;srchmode=1&amp;unlock","Kogia breviceps")</f>
        <v>Kogia breviceps</v>
      </c>
      <c r="H392" t="s">
        <v>409</v>
      </c>
      <c r="I392" t="str">
        <f>HYPERLINK("http://www.ncbi.nlm.nih.gov/protein/XP_058908823.1","ryanodine receptor 2")</f>
        <v>ryanodine receptor 2</v>
      </c>
      <c r="J392">
        <v>6772.95</v>
      </c>
      <c r="K392" t="s">
        <v>22</v>
      </c>
      <c r="L392">
        <v>276</v>
      </c>
      <c r="M392">
        <v>9.75</v>
      </c>
      <c r="N392">
        <v>64.790000000000006</v>
      </c>
      <c r="O392" t="s">
        <v>19</v>
      </c>
      <c r="P392" t="s">
        <v>20</v>
      </c>
      <c r="Q392" t="s">
        <v>19</v>
      </c>
      <c r="R392" t="str">
        <f>HYPERLINK("https://cfpub.epa.gov/ecotox/explore.cfm?ncbi=27615","Explore in ECOTOX")</f>
        <v>Explore in ECOTOX</v>
      </c>
    </row>
    <row r="393" spans="1:18" x14ac:dyDescent="0.45">
      <c r="A393" t="s">
        <v>1264</v>
      </c>
      <c r="B393">
        <v>8</v>
      </c>
      <c r="C393" t="str">
        <f>HYPERLINK("http://www.ncbi.nlm.nih.gov/protein/XP_023505430.1","XP_023505430.1")</f>
        <v>XP_023505430.1</v>
      </c>
      <c r="D393">
        <v>68413</v>
      </c>
      <c r="E393" t="str">
        <f>HYPERLINK("http://www.ncbi.nlm.nih.gov/Taxonomy/Browser/wwwtax.cgi?mode=Info&amp;id=9796&amp;lvl=3&amp;lin=f&amp;keep=1&amp;srchmode=1&amp;unlock","9796")</f>
        <v>9796</v>
      </c>
      <c r="F393" t="s">
        <v>96</v>
      </c>
      <c r="G393" t="str">
        <f>HYPERLINK("http://www.ncbi.nlm.nih.gov/Taxonomy/Browser/wwwtax.cgi?mode=Info&amp;id=9796&amp;lvl=3&amp;lin=f&amp;keep=1&amp;srchmode=1&amp;unlock","Equus caballus")</f>
        <v>Equus caballus</v>
      </c>
      <c r="H393" t="s">
        <v>410</v>
      </c>
      <c r="I393" t="str">
        <f>HYPERLINK("http://www.ncbi.nlm.nih.gov/protein/XP_023505430.1","ryanodine receptor 1 isoform X1")</f>
        <v>ryanodine receptor 1 isoform X1</v>
      </c>
      <c r="J393">
        <v>6771.79</v>
      </c>
      <c r="K393" t="s">
        <v>19</v>
      </c>
      <c r="L393">
        <v>276</v>
      </c>
      <c r="M393">
        <v>9.75</v>
      </c>
      <c r="N393">
        <v>64.78</v>
      </c>
      <c r="O393" t="s">
        <v>19</v>
      </c>
      <c r="P393" t="s">
        <v>20</v>
      </c>
      <c r="Q393" t="s">
        <v>19</v>
      </c>
      <c r="R393" t="str">
        <f>HYPERLINK("https://cfpub.epa.gov/ecotox/explore.cfm?ncbi=9796","Explore in ECOTOX")</f>
        <v>Explore in ECOTOX</v>
      </c>
    </row>
    <row r="394" spans="1:18" x14ac:dyDescent="0.45">
      <c r="A394" t="s">
        <v>1264</v>
      </c>
      <c r="B394">
        <v>8</v>
      </c>
      <c r="C394" t="str">
        <f>HYPERLINK("http://www.ncbi.nlm.nih.gov/protein/XP_026525091.1","XP_026525091.1")</f>
        <v>XP_026525091.1</v>
      </c>
      <c r="D394">
        <v>31326</v>
      </c>
      <c r="E394" t="str">
        <f>HYPERLINK("http://www.ncbi.nlm.nih.gov/Taxonomy/Browser/wwwtax.cgi?mode=Info&amp;id=8663&amp;lvl=3&amp;lin=f&amp;keep=1&amp;srchmode=1&amp;unlock","8663")</f>
        <v>8663</v>
      </c>
      <c r="F394" t="s">
        <v>192</v>
      </c>
      <c r="G394" t="str">
        <f>HYPERLINK("http://www.ncbi.nlm.nih.gov/Taxonomy/Browser/wwwtax.cgi?mode=Info&amp;id=8663&amp;lvl=3&amp;lin=f&amp;keep=1&amp;srchmode=1&amp;unlock","Notechis scutatus")</f>
        <v>Notechis scutatus</v>
      </c>
      <c r="H394" t="s">
        <v>411</v>
      </c>
      <c r="I394" t="str">
        <f>HYPERLINK("http://www.ncbi.nlm.nih.gov/protein/XP_026525091.1","LOW QUALITY PROTEIN: ryanodine receptor 2")</f>
        <v>LOW QUALITY PROTEIN: ryanodine receptor 2</v>
      </c>
      <c r="J394">
        <v>6770.64</v>
      </c>
      <c r="K394" t="s">
        <v>22</v>
      </c>
      <c r="L394">
        <v>276</v>
      </c>
      <c r="M394">
        <v>9.75</v>
      </c>
      <c r="N394">
        <v>64.77</v>
      </c>
      <c r="O394" t="s">
        <v>19</v>
      </c>
      <c r="P394" t="s">
        <v>20</v>
      </c>
      <c r="Q394" t="s">
        <v>19</v>
      </c>
      <c r="R394" t="str">
        <f>HYPERLINK("https://cfpub.epa.gov/ecotox/explore.cfm?ncbi=8663","Explore in ECOTOX")</f>
        <v>Explore in ECOTOX</v>
      </c>
    </row>
    <row r="395" spans="1:18" x14ac:dyDescent="0.45">
      <c r="A395" t="s">
        <v>1264</v>
      </c>
      <c r="B395">
        <v>8</v>
      </c>
      <c r="C395" t="str">
        <f>HYPERLINK("http://www.ncbi.nlm.nih.gov/protein/NXF77373.1","NXF77373.1")</f>
        <v>NXF77373.1</v>
      </c>
      <c r="D395">
        <v>14133</v>
      </c>
      <c r="E395" t="str">
        <f>HYPERLINK("http://www.ncbi.nlm.nih.gov/Taxonomy/Browser/wwwtax.cgi?mode=Info&amp;id=265632&amp;lvl=3&amp;lin=f&amp;keep=1&amp;srchmode=1&amp;unlock","265632")</f>
        <v>265632</v>
      </c>
      <c r="F395" t="s">
        <v>241</v>
      </c>
      <c r="G395" t="str">
        <f>HYPERLINK("http://www.ncbi.nlm.nih.gov/Taxonomy/Browser/wwwtax.cgi?mode=Info&amp;id=265632&amp;lvl=3&amp;lin=f&amp;keep=1&amp;srchmode=1&amp;unlock","Sclerurus mexicanus")</f>
        <v>Sclerurus mexicanus</v>
      </c>
      <c r="H395" t="s">
        <v>412</v>
      </c>
      <c r="I395" t="str">
        <f>HYPERLINK("http://www.ncbi.nlm.nih.gov/protein/NXF77373.1","RYR2 protein")</f>
        <v>RYR2 protein</v>
      </c>
      <c r="J395">
        <v>6770.64</v>
      </c>
      <c r="K395" t="s">
        <v>22</v>
      </c>
      <c r="L395">
        <v>276</v>
      </c>
      <c r="M395">
        <v>9.75</v>
      </c>
      <c r="N395">
        <v>64.77</v>
      </c>
      <c r="O395" t="s">
        <v>19</v>
      </c>
      <c r="P395" t="s">
        <v>20</v>
      </c>
      <c r="Q395" t="s">
        <v>19</v>
      </c>
      <c r="R395" t="str">
        <f>HYPERLINK("https://cfpub.epa.gov/ecotox/explore.cfm?ncbi=265632","Explore in ECOTOX")</f>
        <v>Explore in ECOTOX</v>
      </c>
    </row>
    <row r="396" spans="1:18" x14ac:dyDescent="0.45">
      <c r="A396" t="s">
        <v>1264</v>
      </c>
      <c r="B396">
        <v>8</v>
      </c>
      <c r="C396" t="str">
        <f>HYPERLINK("http://www.ncbi.nlm.nih.gov/protein/XP_012864681.1","XP_012864681.1")</f>
        <v>XP_012864681.1</v>
      </c>
      <c r="D396">
        <v>29420</v>
      </c>
      <c r="E396" t="str">
        <f>HYPERLINK("http://www.ncbi.nlm.nih.gov/Taxonomy/Browser/wwwtax.cgi?mode=Info&amp;id=10020&amp;lvl=3&amp;lin=f&amp;keep=1&amp;srchmode=1&amp;unlock","10020")</f>
        <v>10020</v>
      </c>
      <c r="F396" t="s">
        <v>96</v>
      </c>
      <c r="G396" t="str">
        <f>HYPERLINK("http://www.ncbi.nlm.nih.gov/Taxonomy/Browser/wwwtax.cgi?mode=Info&amp;id=10020&amp;lvl=3&amp;lin=f&amp;keep=1&amp;srchmode=1&amp;unlock","Dipodomys ordii")</f>
        <v>Dipodomys ordii</v>
      </c>
      <c r="H396" t="s">
        <v>413</v>
      </c>
      <c r="I396" t="str">
        <f>HYPERLINK("http://www.ncbi.nlm.nih.gov/protein/XP_012864681.1","PREDICTED: ryanodine receptor 2")</f>
        <v>PREDICTED: ryanodine receptor 2</v>
      </c>
      <c r="J396">
        <v>6770.64</v>
      </c>
      <c r="K396" t="s">
        <v>22</v>
      </c>
      <c r="L396">
        <v>276</v>
      </c>
      <c r="M396">
        <v>9.75</v>
      </c>
      <c r="N396">
        <v>64.77</v>
      </c>
      <c r="O396" t="s">
        <v>19</v>
      </c>
      <c r="P396" t="s">
        <v>20</v>
      </c>
      <c r="Q396" t="s">
        <v>19</v>
      </c>
      <c r="R396" t="str">
        <f>HYPERLINK("https://cfpub.epa.gov/ecotox/explore.cfm?ncbi=10020","Explore in ECOTOX")</f>
        <v>Explore in ECOTOX</v>
      </c>
    </row>
    <row r="397" spans="1:18" x14ac:dyDescent="0.45">
      <c r="A397" t="s">
        <v>1264</v>
      </c>
      <c r="B397">
        <v>8</v>
      </c>
      <c r="C397" t="str">
        <f>HYPERLINK("http://www.ncbi.nlm.nih.gov/protein/NXN19720.1","NXN19720.1")</f>
        <v>NXN19720.1</v>
      </c>
      <c r="D397">
        <v>14028</v>
      </c>
      <c r="E397" t="str">
        <f>HYPERLINK("http://www.ncbi.nlm.nih.gov/Taxonomy/Browser/wwwtax.cgi?mode=Info&amp;id=545262&amp;lvl=3&amp;lin=f&amp;keep=1&amp;srchmode=1&amp;unlock","545262")</f>
        <v>545262</v>
      </c>
      <c r="F397" t="s">
        <v>241</v>
      </c>
      <c r="G397" t="str">
        <f>HYPERLINK("http://www.ncbi.nlm.nih.gov/Taxonomy/Browser/wwwtax.cgi?mode=Info&amp;id=545262&amp;lvl=3&amp;lin=f&amp;keep=1&amp;srchmode=1&amp;unlock","Indicator maculatus")</f>
        <v>Indicator maculatus</v>
      </c>
      <c r="H397" t="s">
        <v>414</v>
      </c>
      <c r="I397" t="str">
        <f>HYPERLINK("http://www.ncbi.nlm.nih.gov/protein/NXN19720.1","RYR2 protein")</f>
        <v>RYR2 protein</v>
      </c>
      <c r="J397">
        <v>6770.64</v>
      </c>
      <c r="K397" t="s">
        <v>22</v>
      </c>
      <c r="L397">
        <v>276</v>
      </c>
      <c r="M397">
        <v>9.75</v>
      </c>
      <c r="N397">
        <v>64.77</v>
      </c>
      <c r="O397" t="s">
        <v>19</v>
      </c>
      <c r="P397" t="s">
        <v>20</v>
      </c>
      <c r="Q397" t="s">
        <v>19</v>
      </c>
      <c r="R397" t="str">
        <f>HYPERLINK("https://cfpub.epa.gov/ecotox/explore.cfm?ncbi=545262","Explore in ECOTOX")</f>
        <v>Explore in ECOTOX</v>
      </c>
    </row>
    <row r="398" spans="1:18" x14ac:dyDescent="0.45">
      <c r="A398" t="s">
        <v>1264</v>
      </c>
      <c r="B398">
        <v>8</v>
      </c>
      <c r="C398" t="str">
        <f>HYPERLINK("http://www.ncbi.nlm.nih.gov/protein/NWV06983.1","NWV06983.1")</f>
        <v>NWV06983.1</v>
      </c>
      <c r="D398">
        <v>14013</v>
      </c>
      <c r="E398" t="str">
        <f>HYPERLINK("http://www.ncbi.nlm.nih.gov/Taxonomy/Browser/wwwtax.cgi?mode=Info&amp;id=28724&amp;lvl=3&amp;lin=f&amp;keep=1&amp;srchmode=1&amp;unlock","28724")</f>
        <v>28724</v>
      </c>
      <c r="F398" t="s">
        <v>241</v>
      </c>
      <c r="G398" t="str">
        <f>HYPERLINK("http://www.ncbi.nlm.nih.gov/Taxonomy/Browser/wwwtax.cgi?mode=Info&amp;id=28724&amp;lvl=3&amp;lin=f&amp;keep=1&amp;srchmode=1&amp;unlock","Ptilonorhynchus violaceus")</f>
        <v>Ptilonorhynchus violaceus</v>
      </c>
      <c r="H398" t="s">
        <v>415</v>
      </c>
      <c r="I398" t="str">
        <f>HYPERLINK("http://www.ncbi.nlm.nih.gov/protein/NWV06983.1","RYR2 protein")</f>
        <v>RYR2 protein</v>
      </c>
      <c r="J398">
        <v>6770.64</v>
      </c>
      <c r="K398" t="s">
        <v>22</v>
      </c>
      <c r="L398">
        <v>276</v>
      </c>
      <c r="M398">
        <v>9.75</v>
      </c>
      <c r="N398">
        <v>64.77</v>
      </c>
      <c r="O398" t="s">
        <v>19</v>
      </c>
      <c r="P398" t="s">
        <v>20</v>
      </c>
      <c r="Q398" t="s">
        <v>19</v>
      </c>
      <c r="R398" t="str">
        <f>HYPERLINK("https://cfpub.epa.gov/ecotox/explore.cfm?ncbi=28724","Explore in ECOTOX")</f>
        <v>Explore in ECOTOX</v>
      </c>
    </row>
    <row r="399" spans="1:18" x14ac:dyDescent="0.45">
      <c r="A399" t="s">
        <v>1264</v>
      </c>
      <c r="B399">
        <v>8</v>
      </c>
      <c r="C399" t="str">
        <f>HYPERLINK("http://www.ncbi.nlm.nih.gov/protein/XP_035945155.1","XP_035945155.1")</f>
        <v>XP_035945155.1</v>
      </c>
      <c r="D399">
        <v>60464</v>
      </c>
      <c r="E399" t="str">
        <f>HYPERLINK("http://www.ncbi.nlm.nih.gov/Taxonomy/Browser/wwwtax.cgi?mode=Info&amp;id=9711&amp;lvl=3&amp;lin=f&amp;keep=1&amp;srchmode=1&amp;unlock","9711")</f>
        <v>9711</v>
      </c>
      <c r="F399" t="s">
        <v>96</v>
      </c>
      <c r="G399" t="str">
        <f>HYPERLINK("http://www.ncbi.nlm.nih.gov/Taxonomy/Browser/wwwtax.cgi?mode=Info&amp;id=9711&amp;lvl=3&amp;lin=f&amp;keep=1&amp;srchmode=1&amp;unlock","Halichoerus grypus")</f>
        <v>Halichoerus grypus</v>
      </c>
      <c r="H399" t="s">
        <v>416</v>
      </c>
      <c r="I399" t="str">
        <f>HYPERLINK("http://www.ncbi.nlm.nih.gov/protein/XP_035945155.1","LOW QUALITY PROTEIN: ryanodine receptor 2")</f>
        <v>LOW QUALITY PROTEIN: ryanodine receptor 2</v>
      </c>
      <c r="J399">
        <v>6769.87</v>
      </c>
      <c r="K399" t="s">
        <v>22</v>
      </c>
      <c r="L399">
        <v>276</v>
      </c>
      <c r="M399">
        <v>9.75</v>
      </c>
      <c r="N399">
        <v>64.760000000000005</v>
      </c>
      <c r="O399" t="s">
        <v>19</v>
      </c>
      <c r="P399" t="s">
        <v>20</v>
      </c>
      <c r="Q399" t="s">
        <v>19</v>
      </c>
      <c r="R399" t="str">
        <f>HYPERLINK("https://cfpub.epa.gov/ecotox/explore.cfm?ncbi=9711","Explore in ECOTOX")</f>
        <v>Explore in ECOTOX</v>
      </c>
    </row>
    <row r="400" spans="1:18" x14ac:dyDescent="0.45">
      <c r="A400" t="s">
        <v>1264</v>
      </c>
      <c r="B400">
        <v>8</v>
      </c>
      <c r="C400" t="str">
        <f>HYPERLINK("http://www.ncbi.nlm.nih.gov/protein/TEA41933.1","TEA41933.1")</f>
        <v>TEA41933.1</v>
      </c>
      <c r="D400">
        <v>19929</v>
      </c>
      <c r="E400" t="str">
        <f>HYPERLINK("http://www.ncbi.nlm.nih.gov/Taxonomy/Browser/wwwtax.cgi?mode=Info&amp;id=103600&amp;lvl=3&amp;lin=f&amp;keep=1&amp;srchmode=1&amp;unlock","103600")</f>
        <v>103600</v>
      </c>
      <c r="F400" t="s">
        <v>96</v>
      </c>
      <c r="G400" t="str">
        <f>HYPERLINK("http://www.ncbi.nlm.nih.gov/Taxonomy/Browser/wwwtax.cgi?mode=Info&amp;id=103600&amp;lvl=3&amp;lin=f&amp;keep=1&amp;srchmode=1&amp;unlock","Sousa chinensis")</f>
        <v>Sousa chinensis</v>
      </c>
      <c r="H400" t="s">
        <v>417</v>
      </c>
      <c r="I400" t="str">
        <f>HYPERLINK("http://www.ncbi.nlm.nih.gov/protein/TEA41933.1","hypothetical protein DBR06_SOUSAS26810026, partial")</f>
        <v>hypothetical protein DBR06_SOUSAS26810026, partial</v>
      </c>
      <c r="J400">
        <v>6768.33</v>
      </c>
      <c r="K400" t="s">
        <v>22</v>
      </c>
      <c r="L400">
        <v>276</v>
      </c>
      <c r="M400">
        <v>9.75</v>
      </c>
      <c r="N400">
        <v>64.739999999999995</v>
      </c>
      <c r="O400" t="s">
        <v>19</v>
      </c>
      <c r="P400" t="s">
        <v>20</v>
      </c>
      <c r="Q400" t="s">
        <v>19</v>
      </c>
      <c r="R400" t="str">
        <f>HYPERLINK("https://cfpub.epa.gov/ecotox/explore.cfm?ncbi=103600","Explore in ECOTOX")</f>
        <v>Explore in ECOTOX</v>
      </c>
    </row>
    <row r="401" spans="1:18" x14ac:dyDescent="0.45">
      <c r="A401" t="s">
        <v>1264</v>
      </c>
      <c r="B401">
        <v>8</v>
      </c>
      <c r="C401" t="str">
        <f>HYPERLINK("http://www.ncbi.nlm.nih.gov/protein/XP_043856463.1","XP_043856463.1")</f>
        <v>XP_043856463.1</v>
      </c>
      <c r="D401">
        <v>43715</v>
      </c>
      <c r="E401" t="str">
        <f>HYPERLINK("http://www.ncbi.nlm.nih.gov/Taxonomy/Browser/wwwtax.cgi?mode=Info&amp;id=33562&amp;lvl=3&amp;lin=f&amp;keep=1&amp;srchmode=1&amp;unlock","33562")</f>
        <v>33562</v>
      </c>
      <c r="F401" t="s">
        <v>96</v>
      </c>
      <c r="G401" t="str">
        <f>HYPERLINK("http://www.ncbi.nlm.nih.gov/Taxonomy/Browser/wwwtax.cgi?mode=Info&amp;id=33562&amp;lvl=3&amp;lin=f&amp;keep=1&amp;srchmode=1&amp;unlock","Dromiciops gliroides")</f>
        <v>Dromiciops gliroides</v>
      </c>
      <c r="H401" t="s">
        <v>418</v>
      </c>
      <c r="I401" t="str">
        <f>HYPERLINK("http://www.ncbi.nlm.nih.gov/protein/XP_043856463.1","LOW QUALITY PROTEIN: ryanodine receptor 2")</f>
        <v>LOW QUALITY PROTEIN: ryanodine receptor 2</v>
      </c>
      <c r="J401">
        <v>6768.33</v>
      </c>
      <c r="K401" t="s">
        <v>22</v>
      </c>
      <c r="L401">
        <v>276</v>
      </c>
      <c r="M401">
        <v>9.75</v>
      </c>
      <c r="N401">
        <v>64.739999999999995</v>
      </c>
      <c r="O401" t="s">
        <v>19</v>
      </c>
      <c r="P401" t="s">
        <v>20</v>
      </c>
      <c r="Q401" t="s">
        <v>19</v>
      </c>
      <c r="R401" t="str">
        <f>HYPERLINK("https://cfpub.epa.gov/ecotox/explore.cfm?ncbi=33562","Explore in ECOTOX")</f>
        <v>Explore in ECOTOX</v>
      </c>
    </row>
    <row r="402" spans="1:18" x14ac:dyDescent="0.45">
      <c r="A402" t="s">
        <v>1264</v>
      </c>
      <c r="B402">
        <v>8</v>
      </c>
      <c r="C402" t="str">
        <f>HYPERLINK("http://www.ncbi.nlm.nih.gov/protein/NXP15953.1","NXP15953.1")</f>
        <v>NXP15953.1</v>
      </c>
      <c r="D402">
        <v>14091</v>
      </c>
      <c r="E402" t="str">
        <f>HYPERLINK("http://www.ncbi.nlm.nih.gov/Taxonomy/Browser/wwwtax.cgi?mode=Info&amp;id=161742&amp;lvl=3&amp;lin=f&amp;keep=1&amp;srchmode=1&amp;unlock","161742")</f>
        <v>161742</v>
      </c>
      <c r="F402" t="s">
        <v>241</v>
      </c>
      <c r="G402" t="str">
        <f>HYPERLINK("http://www.ncbi.nlm.nih.gov/Taxonomy/Browser/wwwtax.cgi?mode=Info&amp;id=161742&amp;lvl=3&amp;lin=f&amp;keep=1&amp;srchmode=1&amp;unlock","Thinocorus orbignyianus")</f>
        <v>Thinocorus orbignyianus</v>
      </c>
      <c r="H402" t="s">
        <v>419</v>
      </c>
      <c r="I402" t="str">
        <f>HYPERLINK("http://www.ncbi.nlm.nih.gov/protein/NXP15953.1","RYR2 protein")</f>
        <v>RYR2 protein</v>
      </c>
      <c r="J402">
        <v>6767.94</v>
      </c>
      <c r="K402" t="s">
        <v>22</v>
      </c>
      <c r="L402">
        <v>276</v>
      </c>
      <c r="M402">
        <v>9.75</v>
      </c>
      <c r="N402">
        <v>64.739999999999995</v>
      </c>
      <c r="O402" t="s">
        <v>19</v>
      </c>
      <c r="P402" t="s">
        <v>20</v>
      </c>
      <c r="Q402" t="s">
        <v>19</v>
      </c>
      <c r="R402" t="str">
        <f>HYPERLINK("https://cfpub.epa.gov/ecotox/explore.cfm?ncbi=161742","Explore in ECOTOX")</f>
        <v>Explore in ECOTOX</v>
      </c>
    </row>
    <row r="403" spans="1:18" x14ac:dyDescent="0.45">
      <c r="A403" t="s">
        <v>1264</v>
      </c>
      <c r="B403">
        <v>8</v>
      </c>
      <c r="C403" t="str">
        <f>HYPERLINK("http://www.ncbi.nlm.nih.gov/protein/XP_042253638.1","XP_042253638.1")</f>
        <v>XP_042253638.1</v>
      </c>
      <c r="D403">
        <v>49622</v>
      </c>
      <c r="E403" t="str">
        <f>HYPERLINK("http://www.ncbi.nlm.nih.gov/Taxonomy/Browser/wwwtax.cgi?mode=Info&amp;id=8240&amp;lvl=3&amp;lin=f&amp;keep=1&amp;srchmode=1&amp;unlock","8240")</f>
        <v>8240</v>
      </c>
      <c r="F403" t="s">
        <v>17</v>
      </c>
      <c r="G403" t="str">
        <f>HYPERLINK("http://www.ncbi.nlm.nih.gov/Taxonomy/Browser/wwwtax.cgi?mode=Info&amp;id=8240&amp;lvl=3&amp;lin=f&amp;keep=1&amp;srchmode=1&amp;unlock","Thunnus maccoyii")</f>
        <v>Thunnus maccoyii</v>
      </c>
      <c r="H403" t="s">
        <v>420</v>
      </c>
      <c r="I403" t="str">
        <f>HYPERLINK("http://www.ncbi.nlm.nih.gov/protein/XP_042253638.1","ryanodine receptor 2")</f>
        <v>ryanodine receptor 2</v>
      </c>
      <c r="J403">
        <v>6766.02</v>
      </c>
      <c r="K403" t="s">
        <v>22</v>
      </c>
      <c r="L403">
        <v>276</v>
      </c>
      <c r="M403">
        <v>9.75</v>
      </c>
      <c r="N403">
        <v>64.72</v>
      </c>
      <c r="O403" t="s">
        <v>19</v>
      </c>
      <c r="P403" t="s">
        <v>20</v>
      </c>
      <c r="Q403" t="s">
        <v>19</v>
      </c>
      <c r="R403" t="str">
        <f>HYPERLINK("https://cfpub.epa.gov/ecotox/explore.cfm?ncbi=8240","Explore in ECOTOX")</f>
        <v>Explore in ECOTOX</v>
      </c>
    </row>
    <row r="404" spans="1:18" x14ac:dyDescent="0.45">
      <c r="A404" t="s">
        <v>1264</v>
      </c>
      <c r="B404">
        <v>8</v>
      </c>
      <c r="C404" t="str">
        <f>HYPERLINK("http://www.ncbi.nlm.nih.gov/protein/XP_021122105.1","XP_021122105.1")</f>
        <v>XP_021122105.1</v>
      </c>
      <c r="D404">
        <v>82862</v>
      </c>
      <c r="E404" t="str">
        <f>HYPERLINK("http://www.ncbi.nlm.nih.gov/Taxonomy/Browser/wwwtax.cgi?mode=Info&amp;id=10181&amp;lvl=3&amp;lin=f&amp;keep=1&amp;srchmode=1&amp;unlock","10181")</f>
        <v>10181</v>
      </c>
      <c r="F404" t="s">
        <v>96</v>
      </c>
      <c r="G404" t="str">
        <f>HYPERLINK("http://www.ncbi.nlm.nih.gov/Taxonomy/Browser/wwwtax.cgi?mode=Info&amp;id=10181&amp;lvl=3&amp;lin=f&amp;keep=1&amp;srchmode=1&amp;unlock","Heterocephalus glaber")</f>
        <v>Heterocephalus glaber</v>
      </c>
      <c r="H404" t="s">
        <v>421</v>
      </c>
      <c r="I404" t="str">
        <f>HYPERLINK("http://www.ncbi.nlm.nih.gov/protein/XP_021122105.1","ryanodine receptor 2")</f>
        <v>ryanodine receptor 2</v>
      </c>
      <c r="J404">
        <v>6764.48</v>
      </c>
      <c r="K404" t="s">
        <v>22</v>
      </c>
      <c r="L404">
        <v>276</v>
      </c>
      <c r="M404">
        <v>9.75</v>
      </c>
      <c r="N404">
        <v>64.709999999999994</v>
      </c>
      <c r="O404" t="s">
        <v>19</v>
      </c>
      <c r="P404" t="s">
        <v>20</v>
      </c>
      <c r="Q404" t="s">
        <v>19</v>
      </c>
      <c r="R404" t="str">
        <f>HYPERLINK("https://cfpub.epa.gov/ecotox/explore.cfm?ncbi=10181","Explore in ECOTOX")</f>
        <v>Explore in ECOTOX</v>
      </c>
    </row>
    <row r="405" spans="1:18" x14ac:dyDescent="0.45">
      <c r="A405" t="s">
        <v>1264</v>
      </c>
      <c r="B405">
        <v>8</v>
      </c>
      <c r="C405" t="str">
        <f>HYPERLINK("http://www.ncbi.nlm.nih.gov/protein/XP_056152781.1","XP_056152781.1")</f>
        <v>XP_056152781.1</v>
      </c>
      <c r="D405">
        <v>29577</v>
      </c>
      <c r="E405" t="str">
        <f>HYPERLINK("http://www.ncbi.nlm.nih.gov/Taxonomy/Browser/wwwtax.cgi?mode=Info&amp;id=2546036&amp;lvl=3&amp;lin=f&amp;keep=1&amp;srchmode=1&amp;unlock","2546036")</f>
        <v>2546036</v>
      </c>
      <c r="F405" t="s">
        <v>17</v>
      </c>
      <c r="G405" t="str">
        <f>HYPERLINK("http://www.ncbi.nlm.nih.gov/Taxonomy/Browser/wwwtax.cgi?mode=Info&amp;id=2546036&amp;lvl=3&amp;lin=f&amp;keep=1&amp;srchmode=1&amp;unlock","Lampris incognitus")</f>
        <v>Lampris incognitus</v>
      </c>
      <c r="H405" t="s">
        <v>422</v>
      </c>
      <c r="I405" t="str">
        <f>HYPERLINK("http://www.ncbi.nlm.nih.gov/protein/XP_056152781.1","LOW QUALITY PROTEIN: ryanodine receptor 2")</f>
        <v>LOW QUALITY PROTEIN: ryanodine receptor 2</v>
      </c>
      <c r="J405">
        <v>6764.48</v>
      </c>
      <c r="K405" t="s">
        <v>22</v>
      </c>
      <c r="L405">
        <v>276</v>
      </c>
      <c r="M405">
        <v>9.75</v>
      </c>
      <c r="N405">
        <v>64.709999999999994</v>
      </c>
      <c r="O405" t="s">
        <v>19</v>
      </c>
      <c r="P405" t="s">
        <v>20</v>
      </c>
      <c r="Q405" t="s">
        <v>19</v>
      </c>
      <c r="R405" t="str">
        <f>HYPERLINK("https://cfpub.epa.gov/ecotox/explore.cfm?ncbi=2546036","Explore in ECOTOX")</f>
        <v>Explore in ECOTOX</v>
      </c>
    </row>
    <row r="406" spans="1:18" x14ac:dyDescent="0.45">
      <c r="A406" t="s">
        <v>1264</v>
      </c>
      <c r="B406">
        <v>8</v>
      </c>
      <c r="C406" t="str">
        <f>HYPERLINK("http://www.ncbi.nlm.nih.gov/protein/NXK31771.1","NXK31771.1")</f>
        <v>NXK31771.1</v>
      </c>
      <c r="D406">
        <v>14174</v>
      </c>
      <c r="E406" t="str">
        <f>HYPERLINK("http://www.ncbi.nlm.nih.gov/Taxonomy/Browser/wwwtax.cgi?mode=Info&amp;id=114369&amp;lvl=3&amp;lin=f&amp;keep=1&amp;srchmode=1&amp;unlock","114369")</f>
        <v>114369</v>
      </c>
      <c r="F406" t="s">
        <v>241</v>
      </c>
      <c r="G406" t="str">
        <f>HYPERLINK("http://www.ncbi.nlm.nih.gov/Taxonomy/Browser/wwwtax.cgi?mode=Info&amp;id=114369&amp;lvl=3&amp;lin=f&amp;keep=1&amp;srchmode=1&amp;unlock","Piprites chloris")</f>
        <v>Piprites chloris</v>
      </c>
      <c r="H406" t="s">
        <v>423</v>
      </c>
      <c r="I406" t="str">
        <f>HYPERLINK("http://www.ncbi.nlm.nih.gov/protein/NXK31771.1","RYR2 protein")</f>
        <v>RYR2 protein</v>
      </c>
      <c r="J406">
        <v>6764.09</v>
      </c>
      <c r="K406" t="s">
        <v>22</v>
      </c>
      <c r="L406">
        <v>276</v>
      </c>
      <c r="M406">
        <v>9.75</v>
      </c>
      <c r="N406">
        <v>64.7</v>
      </c>
      <c r="O406" t="s">
        <v>19</v>
      </c>
      <c r="P406" t="s">
        <v>20</v>
      </c>
      <c r="Q406" t="s">
        <v>19</v>
      </c>
      <c r="R406" t="str">
        <f>HYPERLINK("https://cfpub.epa.gov/ecotox/explore.cfm?ncbi=114369","Explore in ECOTOX")</f>
        <v>Explore in ECOTOX</v>
      </c>
    </row>
    <row r="407" spans="1:18" x14ac:dyDescent="0.45">
      <c r="A407" t="s">
        <v>1264</v>
      </c>
      <c r="B407">
        <v>8</v>
      </c>
      <c r="C407" t="str">
        <f>HYPERLINK("http://www.ncbi.nlm.nih.gov/protein/XP_044194253.1","XP_044194253.1")</f>
        <v>XP_044194253.1</v>
      </c>
      <c r="D407">
        <v>48680</v>
      </c>
      <c r="E407" t="str">
        <f>HYPERLINK("http://www.ncbi.nlm.nih.gov/Taxonomy/Browser/wwwtax.cgi?mode=Info&amp;id=8236&amp;lvl=3&amp;lin=f&amp;keep=1&amp;srchmode=1&amp;unlock","8236")</f>
        <v>8236</v>
      </c>
      <c r="F407" t="s">
        <v>17</v>
      </c>
      <c r="G407" t="str">
        <f>HYPERLINK("http://www.ncbi.nlm.nih.gov/Taxonomy/Browser/wwwtax.cgi?mode=Info&amp;id=8236&amp;lvl=3&amp;lin=f&amp;keep=1&amp;srchmode=1&amp;unlock","Thunnus albacares")</f>
        <v>Thunnus albacares</v>
      </c>
      <c r="H407" t="s">
        <v>424</v>
      </c>
      <c r="I407" t="str">
        <f>HYPERLINK("http://www.ncbi.nlm.nih.gov/protein/XP_044194253.1","ryanodine receptor 2")</f>
        <v>ryanodine receptor 2</v>
      </c>
      <c r="J407">
        <v>6763.71</v>
      </c>
      <c r="K407" t="s">
        <v>22</v>
      </c>
      <c r="L407">
        <v>276</v>
      </c>
      <c r="M407">
        <v>9.75</v>
      </c>
      <c r="N407">
        <v>64.7</v>
      </c>
      <c r="O407" t="s">
        <v>19</v>
      </c>
      <c r="P407" t="s">
        <v>20</v>
      </c>
      <c r="Q407" t="s">
        <v>19</v>
      </c>
      <c r="R407" t="str">
        <f>HYPERLINK("https://cfpub.epa.gov/ecotox/explore.cfm?ncbi=8236","Explore in ECOTOX")</f>
        <v>Explore in ECOTOX</v>
      </c>
    </row>
    <row r="408" spans="1:18" x14ac:dyDescent="0.45">
      <c r="A408" t="s">
        <v>1264</v>
      </c>
      <c r="B408">
        <v>8</v>
      </c>
      <c r="C408" t="str">
        <f>HYPERLINK("http://www.ncbi.nlm.nih.gov/protein/XP_037593742.1","XP_037593742.1")</f>
        <v>XP_037593742.1</v>
      </c>
      <c r="D408">
        <v>55947</v>
      </c>
      <c r="E408" t="str">
        <f>HYPERLINK("http://www.ncbi.nlm.nih.gov/Taxonomy/Browser/wwwtax.cgi?mode=Info&amp;id=2715852&amp;lvl=3&amp;lin=f&amp;keep=1&amp;srchmode=1&amp;unlock","2715852")</f>
        <v>2715852</v>
      </c>
      <c r="F408" t="s">
        <v>96</v>
      </c>
      <c r="G408" t="str">
        <f>HYPERLINK("http://www.ncbi.nlm.nih.gov/Taxonomy/Browser/wwwtax.cgi?mode=Info&amp;id=2715852&amp;lvl=3&amp;lin=f&amp;keep=1&amp;srchmode=1&amp;unlock","Cebus imitator")</f>
        <v>Cebus imitator</v>
      </c>
      <c r="H408" t="s">
        <v>425</v>
      </c>
      <c r="I408" t="str">
        <f>HYPERLINK("http://www.ncbi.nlm.nih.gov/protein/XP_037593742.1","ryanodine receptor 2")</f>
        <v>ryanodine receptor 2</v>
      </c>
      <c r="J408">
        <v>6763.71</v>
      </c>
      <c r="K408" t="s">
        <v>22</v>
      </c>
      <c r="L408">
        <v>276</v>
      </c>
      <c r="M408">
        <v>9.75</v>
      </c>
      <c r="N408">
        <v>64.7</v>
      </c>
      <c r="O408" t="s">
        <v>19</v>
      </c>
      <c r="P408" t="s">
        <v>20</v>
      </c>
      <c r="Q408" t="s">
        <v>19</v>
      </c>
      <c r="R408" t="str">
        <f>HYPERLINK("https://cfpub.epa.gov/ecotox/explore.cfm?ncbi=2715852","Explore in ECOTOX")</f>
        <v>Explore in ECOTOX</v>
      </c>
    </row>
    <row r="409" spans="1:18" x14ac:dyDescent="0.45">
      <c r="A409" t="s">
        <v>1264</v>
      </c>
      <c r="B409">
        <v>8</v>
      </c>
      <c r="C409" t="str">
        <f>HYPERLINK("http://www.ncbi.nlm.nih.gov/protein/CAG00547.1","CAG00547.1")</f>
        <v>CAG00547.1</v>
      </c>
      <c r="D409">
        <v>28644</v>
      </c>
      <c r="E409" t="str">
        <f>HYPERLINK("http://www.ncbi.nlm.nih.gov/Taxonomy/Browser/wwwtax.cgi?mode=Info&amp;id=99883&amp;lvl=3&amp;lin=f&amp;keep=1&amp;srchmode=1&amp;unlock","99883")</f>
        <v>99883</v>
      </c>
      <c r="F409" t="s">
        <v>17</v>
      </c>
      <c r="G409" t="str">
        <f>HYPERLINK("http://www.ncbi.nlm.nih.gov/Taxonomy/Browser/wwwtax.cgi?mode=Info&amp;id=99883&amp;lvl=3&amp;lin=f&amp;keep=1&amp;srchmode=1&amp;unlock","Tetraodon nigroviridis")</f>
        <v>Tetraodon nigroviridis</v>
      </c>
      <c r="H409" t="s">
        <v>426</v>
      </c>
      <c r="I409" t="str">
        <f>HYPERLINK("http://www.ncbi.nlm.nih.gov/protein/CAG00547.1","unnamed protein product, partial")</f>
        <v>unnamed protein product, partial</v>
      </c>
      <c r="J409">
        <v>6763.32</v>
      </c>
      <c r="K409" t="s">
        <v>19</v>
      </c>
      <c r="L409">
        <v>276</v>
      </c>
      <c r="M409">
        <v>9.75</v>
      </c>
      <c r="N409">
        <v>64.7</v>
      </c>
      <c r="O409" t="s">
        <v>19</v>
      </c>
      <c r="P409" t="s">
        <v>20</v>
      </c>
      <c r="Q409" t="s">
        <v>19</v>
      </c>
      <c r="R409" t="str">
        <f>HYPERLINK("https://cfpub.epa.gov/ecotox/explore.cfm?ncbi=99883","Explore in ECOTOX")</f>
        <v>Explore in ECOTOX</v>
      </c>
    </row>
    <row r="410" spans="1:18" x14ac:dyDescent="0.45">
      <c r="A410" t="s">
        <v>1264</v>
      </c>
      <c r="B410">
        <v>8</v>
      </c>
      <c r="C410" t="str">
        <f>HYPERLINK("http://www.ncbi.nlm.nih.gov/protein/NXJ38731.1","NXJ38731.1")</f>
        <v>NXJ38731.1</v>
      </c>
      <c r="D410">
        <v>13317</v>
      </c>
      <c r="E410" t="str">
        <f>HYPERLINK("http://www.ncbi.nlm.nih.gov/Taxonomy/Browser/wwwtax.cgi?mode=Info&amp;id=52777&amp;lvl=3&amp;lin=f&amp;keep=1&amp;srchmode=1&amp;unlock","52777")</f>
        <v>52777</v>
      </c>
      <c r="F410" t="s">
        <v>241</v>
      </c>
      <c r="G410" t="str">
        <f>HYPERLINK("http://www.ncbi.nlm.nih.gov/Taxonomy/Browser/wwwtax.cgi?mode=Info&amp;id=52777&amp;lvl=3&amp;lin=f&amp;keep=1&amp;srchmode=1&amp;unlock","Ciconia maguari")</f>
        <v>Ciconia maguari</v>
      </c>
      <c r="H410" t="s">
        <v>427</v>
      </c>
      <c r="I410" t="str">
        <f>HYPERLINK("http://www.ncbi.nlm.nih.gov/protein/NXJ38731.1","RYR2 protein")</f>
        <v>RYR2 protein</v>
      </c>
      <c r="J410">
        <v>6762.93</v>
      </c>
      <c r="K410" t="s">
        <v>22</v>
      </c>
      <c r="L410">
        <v>276</v>
      </c>
      <c r="M410">
        <v>9.75</v>
      </c>
      <c r="N410">
        <v>64.69</v>
      </c>
      <c r="O410" t="s">
        <v>19</v>
      </c>
      <c r="P410" t="s">
        <v>20</v>
      </c>
      <c r="Q410" t="s">
        <v>19</v>
      </c>
      <c r="R410" t="str">
        <f>HYPERLINK("https://cfpub.epa.gov/ecotox/explore.cfm?ncbi=52777","Explore in ECOTOX")</f>
        <v>Explore in ECOTOX</v>
      </c>
    </row>
    <row r="411" spans="1:18" x14ac:dyDescent="0.45">
      <c r="A411" t="s">
        <v>1264</v>
      </c>
      <c r="B411">
        <v>8</v>
      </c>
      <c r="C411" t="str">
        <f>HYPERLINK("http://www.ncbi.nlm.nih.gov/protein/XP_049998283.1","XP_049998283.1")</f>
        <v>XP_049998283.1</v>
      </c>
      <c r="D411">
        <v>47946</v>
      </c>
      <c r="E411" t="str">
        <f>HYPERLINK("http://www.ncbi.nlm.nih.gov/Taxonomy/Browser/wwwtax.cgi?mode=Info&amp;id=100897&amp;lvl=3&amp;lin=f&amp;keep=1&amp;srchmode=1&amp;unlock","100897")</f>
        <v>100897</v>
      </c>
      <c r="F411" t="s">
        <v>96</v>
      </c>
      <c r="G411" t="str">
        <f>HYPERLINK("http://www.ncbi.nlm.nih.gov/Taxonomy/Browser/wwwtax.cgi?mode=Info&amp;id=100897&amp;lvl=3&amp;lin=f&amp;keep=1&amp;srchmode=1&amp;unlock","Microtus fortis")</f>
        <v>Microtus fortis</v>
      </c>
      <c r="H411" t="s">
        <v>428</v>
      </c>
      <c r="I411" t="str">
        <f>HYPERLINK("http://www.ncbi.nlm.nih.gov/protein/XP_049998283.1","ryanodine receptor 2")</f>
        <v>ryanodine receptor 2</v>
      </c>
      <c r="J411">
        <v>6762.93</v>
      </c>
      <c r="K411" t="s">
        <v>22</v>
      </c>
      <c r="L411">
        <v>276</v>
      </c>
      <c r="M411">
        <v>9.75</v>
      </c>
      <c r="N411">
        <v>64.69</v>
      </c>
      <c r="O411" t="s">
        <v>19</v>
      </c>
      <c r="P411" t="s">
        <v>20</v>
      </c>
      <c r="Q411" t="s">
        <v>19</v>
      </c>
      <c r="R411" t="str">
        <f>HYPERLINK("https://cfpub.epa.gov/ecotox/explore.cfm?ncbi=100897","Explore in ECOTOX")</f>
        <v>Explore in ECOTOX</v>
      </c>
    </row>
    <row r="412" spans="1:18" x14ac:dyDescent="0.45">
      <c r="A412" t="s">
        <v>1264</v>
      </c>
      <c r="B412">
        <v>8</v>
      </c>
      <c r="C412" t="str">
        <f>HYPERLINK("http://www.ncbi.nlm.nih.gov/protein/NXV47062.1","NXV47062.1")</f>
        <v>NXV47062.1</v>
      </c>
      <c r="D412">
        <v>14270</v>
      </c>
      <c r="E412" t="str">
        <f>HYPERLINK("http://www.ncbi.nlm.nih.gov/Taxonomy/Browser/wwwtax.cgi?mode=Info&amp;id=13746&amp;lvl=3&amp;lin=f&amp;keep=1&amp;srchmode=1&amp;unlock","13746")</f>
        <v>13746</v>
      </c>
      <c r="F412" t="s">
        <v>241</v>
      </c>
      <c r="G412" t="str">
        <f>HYPERLINK("http://www.ncbi.nlm.nih.gov/Taxonomy/Browser/wwwtax.cgi?mode=Info&amp;id=13746&amp;lvl=3&amp;lin=f&amp;keep=1&amp;srchmode=1&amp;unlock","Uria aalge")</f>
        <v>Uria aalge</v>
      </c>
      <c r="H412" t="s">
        <v>429</v>
      </c>
      <c r="I412" t="str">
        <f>HYPERLINK("http://www.ncbi.nlm.nih.gov/protein/NXV47062.1","RYR2 protein")</f>
        <v>RYR2 protein</v>
      </c>
      <c r="J412">
        <v>6761.39</v>
      </c>
      <c r="K412" t="s">
        <v>22</v>
      </c>
      <c r="L412">
        <v>276</v>
      </c>
      <c r="M412">
        <v>9.75</v>
      </c>
      <c r="N412">
        <v>64.680000000000007</v>
      </c>
      <c r="O412" t="s">
        <v>19</v>
      </c>
      <c r="P412" t="s">
        <v>20</v>
      </c>
      <c r="Q412" t="s">
        <v>19</v>
      </c>
      <c r="R412" t="str">
        <f>HYPERLINK("https://cfpub.epa.gov/ecotox/explore.cfm?ncbi=13746","Explore in ECOTOX")</f>
        <v>Explore in ECOTOX</v>
      </c>
    </row>
    <row r="413" spans="1:18" x14ac:dyDescent="0.45">
      <c r="A413" t="s">
        <v>1264</v>
      </c>
      <c r="B413">
        <v>8</v>
      </c>
      <c r="C413" t="str">
        <f>HYPERLINK("http://www.ncbi.nlm.nih.gov/protein/NWW81506.1","NWW81506.1")</f>
        <v>NWW81506.1</v>
      </c>
      <c r="D413">
        <v>14135</v>
      </c>
      <c r="E413" t="str">
        <f>HYPERLINK("http://www.ncbi.nlm.nih.gov/Taxonomy/Browser/wwwtax.cgi?mode=Info&amp;id=47695&amp;lvl=3&amp;lin=f&amp;keep=1&amp;srchmode=1&amp;unlock","47695")</f>
        <v>47695</v>
      </c>
      <c r="F413" t="s">
        <v>241</v>
      </c>
      <c r="G413" t="str">
        <f>HYPERLINK("http://www.ncbi.nlm.nih.gov/Taxonomy/Browser/wwwtax.cgi?mode=Info&amp;id=47695&amp;lvl=3&amp;lin=f&amp;keep=1&amp;srchmode=1&amp;unlock","Climacteris rufus")</f>
        <v>Climacteris rufus</v>
      </c>
      <c r="H413" t="s">
        <v>430</v>
      </c>
      <c r="I413" t="str">
        <f>HYPERLINK("http://www.ncbi.nlm.nih.gov/protein/NWW81506.1","RYR2 protein")</f>
        <v>RYR2 protein</v>
      </c>
      <c r="J413">
        <v>6761.01</v>
      </c>
      <c r="K413" t="s">
        <v>22</v>
      </c>
      <c r="L413">
        <v>276</v>
      </c>
      <c r="M413">
        <v>9.75</v>
      </c>
      <c r="N413">
        <v>64.67</v>
      </c>
      <c r="O413" t="s">
        <v>19</v>
      </c>
      <c r="P413" t="s">
        <v>20</v>
      </c>
      <c r="Q413" t="s">
        <v>19</v>
      </c>
      <c r="R413" t="str">
        <f>HYPERLINK("https://cfpub.epa.gov/ecotox/explore.cfm?ncbi=47695","Explore in ECOTOX")</f>
        <v>Explore in ECOTOX</v>
      </c>
    </row>
    <row r="414" spans="1:18" x14ac:dyDescent="0.45">
      <c r="A414" t="s">
        <v>1264</v>
      </c>
      <c r="B414">
        <v>8</v>
      </c>
      <c r="C414" t="str">
        <f>HYPERLINK("http://www.ncbi.nlm.nih.gov/protein/NXE47648.1","NXE47648.1")</f>
        <v>NXE47648.1</v>
      </c>
      <c r="D414">
        <v>13811</v>
      </c>
      <c r="E414" t="str">
        <f>HYPERLINK("http://www.ncbi.nlm.nih.gov/Taxonomy/Browser/wwwtax.cgi?mode=Info&amp;id=8787&amp;lvl=3&amp;lin=f&amp;keep=1&amp;srchmode=1&amp;unlock","8787")</f>
        <v>8787</v>
      </c>
      <c r="F414" t="s">
        <v>241</v>
      </c>
      <c r="G414" t="str">
        <f>HYPERLINK("http://www.ncbi.nlm.nih.gov/Taxonomy/Browser/wwwtax.cgi?mode=Info&amp;id=8787&amp;lvl=3&amp;lin=f&amp;keep=1&amp;srchmode=1&amp;unlock","Casuarius casuarius")</f>
        <v>Casuarius casuarius</v>
      </c>
      <c r="H414" t="s">
        <v>431</v>
      </c>
      <c r="I414" t="str">
        <f>HYPERLINK("http://www.ncbi.nlm.nih.gov/protein/NXE47648.1","RYR2 protein")</f>
        <v>RYR2 protein</v>
      </c>
      <c r="J414">
        <v>6760.24</v>
      </c>
      <c r="K414" t="s">
        <v>22</v>
      </c>
      <c r="L414">
        <v>276</v>
      </c>
      <c r="M414">
        <v>9.75</v>
      </c>
      <c r="N414">
        <v>64.67</v>
      </c>
      <c r="O414" t="s">
        <v>19</v>
      </c>
      <c r="P414" t="s">
        <v>20</v>
      </c>
      <c r="Q414" t="s">
        <v>19</v>
      </c>
      <c r="R414" t="str">
        <f>HYPERLINK("https://cfpub.epa.gov/ecotox/explore.cfm?ncbi=8787","Explore in ECOTOX")</f>
        <v>Explore in ECOTOX</v>
      </c>
    </row>
    <row r="415" spans="1:18" x14ac:dyDescent="0.45">
      <c r="A415" t="s">
        <v>1264</v>
      </c>
      <c r="B415">
        <v>8</v>
      </c>
      <c r="C415" t="str">
        <f>HYPERLINK("http://www.ncbi.nlm.nih.gov/protein/NXG27325.1","NXG27325.1")</f>
        <v>NXG27325.1</v>
      </c>
      <c r="D415">
        <v>45135</v>
      </c>
      <c r="E415" t="str">
        <f>HYPERLINK("http://www.ncbi.nlm.nih.gov/Taxonomy/Browser/wwwtax.cgi?mode=Info&amp;id=8790&amp;lvl=3&amp;lin=f&amp;keep=1&amp;srchmode=1&amp;unlock","8790")</f>
        <v>8790</v>
      </c>
      <c r="F415" t="s">
        <v>241</v>
      </c>
      <c r="G415" t="str">
        <f>HYPERLINK("http://www.ncbi.nlm.nih.gov/Taxonomy/Browser/wwwtax.cgi?mode=Info&amp;id=8790&amp;lvl=3&amp;lin=f&amp;keep=1&amp;srchmode=1&amp;unlock","Dromaius novaehollandiae")</f>
        <v>Dromaius novaehollandiae</v>
      </c>
      <c r="H415" t="s">
        <v>432</v>
      </c>
      <c r="I415" t="str">
        <f>HYPERLINK("http://www.ncbi.nlm.nih.gov/protein/NXG27325.1","RYR2 protein")</f>
        <v>RYR2 protein</v>
      </c>
      <c r="J415">
        <v>6759.08</v>
      </c>
      <c r="K415" t="s">
        <v>22</v>
      </c>
      <c r="L415">
        <v>276</v>
      </c>
      <c r="M415">
        <v>9.75</v>
      </c>
      <c r="N415">
        <v>64.66</v>
      </c>
      <c r="O415" t="s">
        <v>19</v>
      </c>
      <c r="P415" t="s">
        <v>20</v>
      </c>
      <c r="Q415" t="s">
        <v>19</v>
      </c>
      <c r="R415" t="str">
        <f>HYPERLINK("https://cfpub.epa.gov/ecotox/explore.cfm?ncbi=8790","Explore in ECOTOX")</f>
        <v>Explore in ECOTOX</v>
      </c>
    </row>
    <row r="416" spans="1:18" x14ac:dyDescent="0.45">
      <c r="A416" t="s">
        <v>1264</v>
      </c>
      <c r="B416">
        <v>8</v>
      </c>
      <c r="C416" t="str">
        <f>HYPERLINK("http://www.ncbi.nlm.nih.gov/protein/XP_026560789.1","XP_026560789.1")</f>
        <v>XP_026560789.1</v>
      </c>
      <c r="D416">
        <v>31828</v>
      </c>
      <c r="E416" t="str">
        <f>HYPERLINK("http://www.ncbi.nlm.nih.gov/Taxonomy/Browser/wwwtax.cgi?mode=Info&amp;id=8673&amp;lvl=3&amp;lin=f&amp;keep=1&amp;srchmode=1&amp;unlock","8673")</f>
        <v>8673</v>
      </c>
      <c r="F416" t="s">
        <v>192</v>
      </c>
      <c r="G416" t="str">
        <f>HYPERLINK("http://www.ncbi.nlm.nih.gov/Taxonomy/Browser/wwwtax.cgi?mode=Info&amp;id=8673&amp;lvl=3&amp;lin=f&amp;keep=1&amp;srchmode=1&amp;unlock","Pseudonaja textilis")</f>
        <v>Pseudonaja textilis</v>
      </c>
      <c r="H416" t="s">
        <v>433</v>
      </c>
      <c r="I416" t="str">
        <f>HYPERLINK("http://www.ncbi.nlm.nih.gov/protein/XP_026560789.1","ryanodine receptor 2")</f>
        <v>ryanodine receptor 2</v>
      </c>
      <c r="J416">
        <v>6759.08</v>
      </c>
      <c r="K416" t="s">
        <v>22</v>
      </c>
      <c r="L416">
        <v>276</v>
      </c>
      <c r="M416">
        <v>9.75</v>
      </c>
      <c r="N416">
        <v>64.66</v>
      </c>
      <c r="O416" t="s">
        <v>19</v>
      </c>
      <c r="P416" t="s">
        <v>20</v>
      </c>
      <c r="Q416" t="s">
        <v>19</v>
      </c>
      <c r="R416" t="str">
        <f>HYPERLINK("https://cfpub.epa.gov/ecotox/explore.cfm?ncbi=8673","Explore in ECOTOX")</f>
        <v>Explore in ECOTOX</v>
      </c>
    </row>
    <row r="417" spans="1:18" x14ac:dyDescent="0.45">
      <c r="A417" t="s">
        <v>1264</v>
      </c>
      <c r="B417">
        <v>8</v>
      </c>
      <c r="C417" t="str">
        <f>HYPERLINK("http://www.ncbi.nlm.nih.gov/protein/NXN30996.1","NXN30996.1")</f>
        <v>NXN30996.1</v>
      </c>
      <c r="D417">
        <v>14331</v>
      </c>
      <c r="E417" t="str">
        <f>HYPERLINK("http://www.ncbi.nlm.nih.gov/Taxonomy/Browser/wwwtax.cgi?mode=Info&amp;id=227226&amp;lvl=3&amp;lin=f&amp;keep=1&amp;srchmode=1&amp;unlock","227226")</f>
        <v>227226</v>
      </c>
      <c r="F417" t="s">
        <v>241</v>
      </c>
      <c r="G417" t="str">
        <f>HYPERLINK("http://www.ncbi.nlm.nih.gov/Taxonomy/Browser/wwwtax.cgi?mode=Info&amp;id=227226&amp;lvl=3&amp;lin=f&amp;keep=1&amp;srchmode=1&amp;unlock","Nycticryphes semicollaris")</f>
        <v>Nycticryphes semicollaris</v>
      </c>
      <c r="H417" t="s">
        <v>434</v>
      </c>
      <c r="I417" t="str">
        <f>HYPERLINK("http://www.ncbi.nlm.nih.gov/protein/NXN30996.1","RYR2 protein")</f>
        <v>RYR2 protein</v>
      </c>
      <c r="J417">
        <v>6758.31</v>
      </c>
      <c r="K417" t="s">
        <v>22</v>
      </c>
      <c r="L417">
        <v>276</v>
      </c>
      <c r="M417">
        <v>9.75</v>
      </c>
      <c r="N417">
        <v>64.650000000000006</v>
      </c>
      <c r="O417" t="s">
        <v>19</v>
      </c>
      <c r="P417" t="s">
        <v>20</v>
      </c>
      <c r="Q417" t="s">
        <v>19</v>
      </c>
      <c r="R417" t="str">
        <f>HYPERLINK("https://cfpub.epa.gov/ecotox/explore.cfm?ncbi=227226","Explore in ECOTOX")</f>
        <v>Explore in ECOTOX</v>
      </c>
    </row>
    <row r="418" spans="1:18" x14ac:dyDescent="0.45">
      <c r="A418" t="s">
        <v>1264</v>
      </c>
      <c r="B418">
        <v>8</v>
      </c>
      <c r="C418" t="str">
        <f>HYPERLINK("http://www.ncbi.nlm.nih.gov/protein/NXC32298.1","NXC32298.1")</f>
        <v>NXC32298.1</v>
      </c>
      <c r="D418">
        <v>14152</v>
      </c>
      <c r="E418" t="str">
        <f>HYPERLINK("http://www.ncbi.nlm.nih.gov/Taxonomy/Browser/wwwtax.cgi?mode=Info&amp;id=190295&amp;lvl=3&amp;lin=f&amp;keep=1&amp;srchmode=1&amp;unlock","190295")</f>
        <v>190295</v>
      </c>
      <c r="F418" t="s">
        <v>241</v>
      </c>
      <c r="G418" t="str">
        <f>HYPERLINK("http://www.ncbi.nlm.nih.gov/Taxonomy/Browser/wwwtax.cgi?mode=Info&amp;id=190295&amp;lvl=3&amp;lin=f&amp;keep=1&amp;srchmode=1&amp;unlock","Campylorhamphus procurvoides")</f>
        <v>Campylorhamphus procurvoides</v>
      </c>
      <c r="H418" t="s">
        <v>435</v>
      </c>
      <c r="I418" t="str">
        <f>HYPERLINK("http://www.ncbi.nlm.nih.gov/protein/NXC32298.1","RYR2 protein")</f>
        <v>RYR2 protein</v>
      </c>
      <c r="J418">
        <v>6758.31</v>
      </c>
      <c r="K418" t="s">
        <v>22</v>
      </c>
      <c r="L418">
        <v>276</v>
      </c>
      <c r="M418">
        <v>9.75</v>
      </c>
      <c r="N418">
        <v>64.650000000000006</v>
      </c>
      <c r="O418" t="s">
        <v>19</v>
      </c>
      <c r="P418" t="s">
        <v>20</v>
      </c>
      <c r="Q418" t="s">
        <v>19</v>
      </c>
      <c r="R418" t="str">
        <f>HYPERLINK("https://cfpub.epa.gov/ecotox/explore.cfm?ncbi=190295","Explore in ECOTOX")</f>
        <v>Explore in ECOTOX</v>
      </c>
    </row>
    <row r="419" spans="1:18" x14ac:dyDescent="0.45">
      <c r="A419" t="s">
        <v>1264</v>
      </c>
      <c r="B419">
        <v>8</v>
      </c>
      <c r="C419" t="str">
        <f>HYPERLINK("http://www.ncbi.nlm.nih.gov/protein/XP_028903046.1","XP_028903046.1")</f>
        <v>XP_028903046.1</v>
      </c>
      <c r="D419">
        <v>39382</v>
      </c>
      <c r="E419" t="str">
        <f>HYPERLINK("http://www.ncbi.nlm.nih.gov/Taxonomy/Browser/wwwtax.cgi?mode=Info&amp;id=9258&amp;lvl=3&amp;lin=f&amp;keep=1&amp;srchmode=1&amp;unlock","9258")</f>
        <v>9258</v>
      </c>
      <c r="F419" t="s">
        <v>96</v>
      </c>
      <c r="G419" t="str">
        <f>HYPERLINK("http://www.ncbi.nlm.nih.gov/Taxonomy/Browser/wwwtax.cgi?mode=Info&amp;id=9258&amp;lvl=3&amp;lin=f&amp;keep=1&amp;srchmode=1&amp;unlock","Ornithorhynchus anatinus")</f>
        <v>Ornithorhynchus anatinus</v>
      </c>
      <c r="H419" t="s">
        <v>436</v>
      </c>
      <c r="I419" t="str">
        <f>HYPERLINK("http://www.ncbi.nlm.nih.gov/protein/XP_028903046.1","LOW QUALITY PROTEIN: ryanodine receptor 2")</f>
        <v>LOW QUALITY PROTEIN: ryanodine receptor 2</v>
      </c>
      <c r="J419">
        <v>6757.16</v>
      </c>
      <c r="K419" t="s">
        <v>22</v>
      </c>
      <c r="L419">
        <v>276</v>
      </c>
      <c r="M419">
        <v>9.75</v>
      </c>
      <c r="N419">
        <v>64.64</v>
      </c>
      <c r="O419" t="s">
        <v>19</v>
      </c>
      <c r="P419" t="s">
        <v>20</v>
      </c>
      <c r="Q419" t="s">
        <v>19</v>
      </c>
      <c r="R419" t="str">
        <f>HYPERLINK("https://cfpub.epa.gov/ecotox/explore.cfm?ncbi=9258","Explore in ECOTOX")</f>
        <v>Explore in ECOTOX</v>
      </c>
    </row>
    <row r="420" spans="1:18" x14ac:dyDescent="0.45">
      <c r="A420" t="s">
        <v>1264</v>
      </c>
      <c r="B420">
        <v>8</v>
      </c>
      <c r="C420" t="str">
        <f>HYPERLINK("http://www.ncbi.nlm.nih.gov/protein/NXL01842.1","NXL01842.1")</f>
        <v>NXL01842.1</v>
      </c>
      <c r="D420">
        <v>13893</v>
      </c>
      <c r="E420" t="str">
        <f>HYPERLINK("http://www.ncbi.nlm.nih.gov/Taxonomy/Browser/wwwtax.cgi?mode=Info&amp;id=1118748&amp;lvl=3&amp;lin=f&amp;keep=1&amp;srchmode=1&amp;unlock","1118748")</f>
        <v>1118748</v>
      </c>
      <c r="F420" t="s">
        <v>241</v>
      </c>
      <c r="G420" t="str">
        <f>HYPERLINK("http://www.ncbi.nlm.nih.gov/Taxonomy/Browser/wwwtax.cgi?mode=Info&amp;id=1118748&amp;lvl=3&amp;lin=f&amp;keep=1&amp;srchmode=1&amp;unlock","Mesembrinibis cayennensis")</f>
        <v>Mesembrinibis cayennensis</v>
      </c>
      <c r="H420" t="s">
        <v>437</v>
      </c>
      <c r="I420" t="str">
        <f>HYPERLINK("http://www.ncbi.nlm.nih.gov/protein/NXL01842.1","RYR2 protein")</f>
        <v>RYR2 protein</v>
      </c>
      <c r="J420">
        <v>6756</v>
      </c>
      <c r="K420" t="s">
        <v>22</v>
      </c>
      <c r="L420">
        <v>276</v>
      </c>
      <c r="M420">
        <v>9.75</v>
      </c>
      <c r="N420">
        <v>64.63</v>
      </c>
      <c r="O420" t="s">
        <v>19</v>
      </c>
      <c r="P420" t="s">
        <v>20</v>
      </c>
      <c r="Q420" t="s">
        <v>19</v>
      </c>
      <c r="R420" t="str">
        <f>HYPERLINK("https://cfpub.epa.gov/ecotox/explore.cfm?ncbi=1118748","Explore in ECOTOX")</f>
        <v>Explore in ECOTOX</v>
      </c>
    </row>
    <row r="421" spans="1:18" x14ac:dyDescent="0.45">
      <c r="A421" t="s">
        <v>1264</v>
      </c>
      <c r="B421">
        <v>8</v>
      </c>
      <c r="C421" t="str">
        <f>HYPERLINK("http://www.ncbi.nlm.nih.gov/protein/XP_025770809.1","XP_025770809.1")</f>
        <v>XP_025770809.1</v>
      </c>
      <c r="D421">
        <v>23641</v>
      </c>
      <c r="E421" t="str">
        <f>HYPERLINK("http://www.ncbi.nlm.nih.gov/Taxonomy/Browser/wwwtax.cgi?mode=Info&amp;id=9696&amp;lvl=3&amp;lin=f&amp;keep=1&amp;srchmode=1&amp;unlock","9696")</f>
        <v>9696</v>
      </c>
      <c r="F421" t="s">
        <v>96</v>
      </c>
      <c r="G421" t="str">
        <f>HYPERLINK("http://www.ncbi.nlm.nih.gov/Taxonomy/Browser/wwwtax.cgi?mode=Info&amp;id=9696&amp;lvl=3&amp;lin=f&amp;keep=1&amp;srchmode=1&amp;unlock","Puma concolor")</f>
        <v>Puma concolor</v>
      </c>
      <c r="H421" t="s">
        <v>438</v>
      </c>
      <c r="I421" t="str">
        <f>HYPERLINK("http://www.ncbi.nlm.nih.gov/protein/XP_025770809.1","ryanodine receptor 2")</f>
        <v>ryanodine receptor 2</v>
      </c>
      <c r="J421">
        <v>6755.23</v>
      </c>
      <c r="K421" t="s">
        <v>22</v>
      </c>
      <c r="L421">
        <v>276</v>
      </c>
      <c r="M421">
        <v>9.75</v>
      </c>
      <c r="N421">
        <v>64.62</v>
      </c>
      <c r="O421" t="s">
        <v>19</v>
      </c>
      <c r="P421" t="s">
        <v>20</v>
      </c>
      <c r="Q421" t="s">
        <v>19</v>
      </c>
      <c r="R421" t="str">
        <f>HYPERLINK("https://cfpub.epa.gov/ecotox/explore.cfm?ncbi=9696","Explore in ECOTOX")</f>
        <v>Explore in ECOTOX</v>
      </c>
    </row>
    <row r="422" spans="1:18" x14ac:dyDescent="0.45">
      <c r="A422" t="s">
        <v>1264</v>
      </c>
      <c r="B422">
        <v>8</v>
      </c>
      <c r="C422" t="str">
        <f>HYPERLINK("http://www.ncbi.nlm.nih.gov/protein/XP_023375014.1","XP_023375014.1")</f>
        <v>XP_023375014.1</v>
      </c>
      <c r="D422">
        <v>33148</v>
      </c>
      <c r="E422" t="str">
        <f>HYPERLINK("http://www.ncbi.nlm.nih.gov/Taxonomy/Browser/wwwtax.cgi?mode=Info&amp;id=30611&amp;lvl=3&amp;lin=f&amp;keep=1&amp;srchmode=1&amp;unlock","30611")</f>
        <v>30611</v>
      </c>
      <c r="F422" t="s">
        <v>96</v>
      </c>
      <c r="G422" t="str">
        <f>HYPERLINK("http://www.ncbi.nlm.nih.gov/Taxonomy/Browser/wwwtax.cgi?mode=Info&amp;id=30611&amp;lvl=3&amp;lin=f&amp;keep=1&amp;srchmode=1&amp;unlock","Otolemur garnettii")</f>
        <v>Otolemur garnettii</v>
      </c>
      <c r="H422" t="s">
        <v>439</v>
      </c>
      <c r="I422" t="str">
        <f>HYPERLINK("http://www.ncbi.nlm.nih.gov/protein/XP_023375014.1","ryanodine receptor 2, partial")</f>
        <v>ryanodine receptor 2, partial</v>
      </c>
      <c r="J422">
        <v>6754.85</v>
      </c>
      <c r="K422" t="s">
        <v>22</v>
      </c>
      <c r="L422">
        <v>276</v>
      </c>
      <c r="M422">
        <v>9.75</v>
      </c>
      <c r="N422">
        <v>64.62</v>
      </c>
      <c r="O422" t="s">
        <v>19</v>
      </c>
      <c r="P422" t="s">
        <v>20</v>
      </c>
      <c r="Q422" t="s">
        <v>19</v>
      </c>
      <c r="R422" t="str">
        <f>HYPERLINK("https://cfpub.epa.gov/ecotox/explore.cfm?ncbi=30611","Explore in ECOTOX")</f>
        <v>Explore in ECOTOX</v>
      </c>
    </row>
    <row r="423" spans="1:18" x14ac:dyDescent="0.45">
      <c r="A423" t="s">
        <v>1264</v>
      </c>
      <c r="B423">
        <v>8</v>
      </c>
      <c r="C423" t="str">
        <f>HYPERLINK("http://www.ncbi.nlm.nih.gov/protein/NXG82010.1","NXG82010.1")</f>
        <v>NXG82010.1</v>
      </c>
      <c r="D423">
        <v>13962</v>
      </c>
      <c r="E423" t="str">
        <f>HYPERLINK("http://www.ncbi.nlm.nih.gov/Taxonomy/Browser/wwwtax.cgi?mode=Info&amp;id=54059&amp;lvl=3&amp;lin=f&amp;keep=1&amp;srchmode=1&amp;unlock","54059")</f>
        <v>54059</v>
      </c>
      <c r="F423" t="s">
        <v>241</v>
      </c>
      <c r="G423" t="str">
        <f>HYPERLINK("http://www.ncbi.nlm.nih.gov/Taxonomy/Browser/wwwtax.cgi?mode=Info&amp;id=54059&amp;lvl=3&amp;lin=f&amp;keep=1&amp;srchmode=1&amp;unlock","Stercorarius parasiticus")</f>
        <v>Stercorarius parasiticus</v>
      </c>
      <c r="H423" t="s">
        <v>434</v>
      </c>
      <c r="I423" t="str">
        <f>HYPERLINK("http://www.ncbi.nlm.nih.gov/protein/NXG82010.1","RYR2 protein")</f>
        <v>RYR2 protein</v>
      </c>
      <c r="J423">
        <v>6754.46</v>
      </c>
      <c r="K423" t="s">
        <v>22</v>
      </c>
      <c r="L423">
        <v>276</v>
      </c>
      <c r="M423">
        <v>9.75</v>
      </c>
      <c r="N423">
        <v>64.61</v>
      </c>
      <c r="O423" t="s">
        <v>19</v>
      </c>
      <c r="P423" t="s">
        <v>20</v>
      </c>
      <c r="Q423" t="s">
        <v>19</v>
      </c>
      <c r="R423" t="str">
        <f>HYPERLINK("https://cfpub.epa.gov/ecotox/explore.cfm?ncbi=54059","Explore in ECOTOX")</f>
        <v>Explore in ECOTOX</v>
      </c>
    </row>
    <row r="424" spans="1:18" x14ac:dyDescent="0.45">
      <c r="A424" t="s">
        <v>1264</v>
      </c>
      <c r="B424">
        <v>8</v>
      </c>
      <c r="C424" t="str">
        <f>HYPERLINK("http://www.ncbi.nlm.nih.gov/protein/NXO15799.1","NXO15799.1")</f>
        <v>NXO15799.1</v>
      </c>
      <c r="D424">
        <v>13996</v>
      </c>
      <c r="E424" t="str">
        <f>HYPERLINK("http://www.ncbi.nlm.nih.gov/Taxonomy/Browser/wwwtax.cgi?mode=Info&amp;id=181099&amp;lvl=3&amp;lin=f&amp;keep=1&amp;srchmode=1&amp;unlock","181099")</f>
        <v>181099</v>
      </c>
      <c r="F424" t="s">
        <v>241</v>
      </c>
      <c r="G424" t="str">
        <f>HYPERLINK("http://www.ncbi.nlm.nih.gov/Taxonomy/Browser/wwwtax.cgi?mode=Info&amp;id=181099&amp;lvl=3&amp;lin=f&amp;keep=1&amp;srchmode=1&amp;unlock","Oriolus oriolus")</f>
        <v>Oriolus oriolus</v>
      </c>
      <c r="H424" t="s">
        <v>440</v>
      </c>
      <c r="I424" t="str">
        <f>HYPERLINK("http://www.ncbi.nlm.nih.gov/protein/NXO15799.1","RYR2 protein")</f>
        <v>RYR2 protein</v>
      </c>
      <c r="J424">
        <v>6754.08</v>
      </c>
      <c r="K424" t="s">
        <v>22</v>
      </c>
      <c r="L424">
        <v>276</v>
      </c>
      <c r="M424">
        <v>9.75</v>
      </c>
      <c r="N424">
        <v>64.61</v>
      </c>
      <c r="O424" t="s">
        <v>19</v>
      </c>
      <c r="P424" t="s">
        <v>20</v>
      </c>
      <c r="Q424" t="s">
        <v>19</v>
      </c>
      <c r="R424" t="str">
        <f>HYPERLINK("https://cfpub.epa.gov/ecotox/explore.cfm?ncbi=181099","Explore in ECOTOX")</f>
        <v>Explore in ECOTOX</v>
      </c>
    </row>
    <row r="425" spans="1:18" x14ac:dyDescent="0.45">
      <c r="A425" t="s">
        <v>1264</v>
      </c>
      <c r="B425">
        <v>8</v>
      </c>
      <c r="C425" t="str">
        <f>HYPERLINK("http://www.ncbi.nlm.nih.gov/protein/NWW48238.1","NWW48238.1")</f>
        <v>NWW48238.1</v>
      </c>
      <c r="D425">
        <v>13358</v>
      </c>
      <c r="E425" t="str">
        <f>HYPERLINK("http://www.ncbi.nlm.nih.gov/Taxonomy/Browser/wwwtax.cgi?mode=Info&amp;id=227192&amp;lvl=3&amp;lin=f&amp;keep=1&amp;srchmode=1&amp;unlock","227192")</f>
        <v>227192</v>
      </c>
      <c r="F425" t="s">
        <v>241</v>
      </c>
      <c r="G425" t="str">
        <f>HYPERLINK("http://www.ncbi.nlm.nih.gov/Taxonomy/Browser/wwwtax.cgi?mode=Info&amp;id=227192&amp;lvl=3&amp;lin=f&amp;keep=1&amp;srchmode=1&amp;unlock","Pedionomus torquatus")</f>
        <v>Pedionomus torquatus</v>
      </c>
      <c r="H425" t="s">
        <v>441</v>
      </c>
      <c r="I425" t="str">
        <f>HYPERLINK("http://www.ncbi.nlm.nih.gov/protein/NWW48238.1","RYR2 protein")</f>
        <v>RYR2 protein</v>
      </c>
      <c r="J425">
        <v>6754.08</v>
      </c>
      <c r="K425" t="s">
        <v>22</v>
      </c>
      <c r="L425">
        <v>276</v>
      </c>
      <c r="M425">
        <v>9.75</v>
      </c>
      <c r="N425">
        <v>64.61</v>
      </c>
      <c r="O425" t="s">
        <v>19</v>
      </c>
      <c r="P425" t="s">
        <v>20</v>
      </c>
      <c r="Q425" t="s">
        <v>19</v>
      </c>
      <c r="R425" t="str">
        <f>HYPERLINK("https://cfpub.epa.gov/ecotox/explore.cfm?ncbi=227192","Explore in ECOTOX")</f>
        <v>Explore in ECOTOX</v>
      </c>
    </row>
    <row r="426" spans="1:18" x14ac:dyDescent="0.45">
      <c r="A426" t="s">
        <v>1264</v>
      </c>
      <c r="B426">
        <v>8</v>
      </c>
      <c r="C426" t="str">
        <f>HYPERLINK("http://www.ncbi.nlm.nih.gov/protein/NWR29859.1","NWR29859.1")</f>
        <v>NWR29859.1</v>
      </c>
      <c r="D426">
        <v>14362</v>
      </c>
      <c r="E426" t="str">
        <f>HYPERLINK("http://www.ncbi.nlm.nih.gov/Taxonomy/Browser/wwwtax.cgi?mode=Info&amp;id=495162&amp;lvl=3&amp;lin=f&amp;keep=1&amp;srchmode=1&amp;unlock","495162")</f>
        <v>495162</v>
      </c>
      <c r="F426" t="s">
        <v>241</v>
      </c>
      <c r="G426" t="str">
        <f>HYPERLINK("http://www.ncbi.nlm.nih.gov/Taxonomy/Browser/wwwtax.cgi?mode=Info&amp;id=495162&amp;lvl=3&amp;lin=f&amp;keep=1&amp;srchmode=1&amp;unlock","Tachuris rubrigastra")</f>
        <v>Tachuris rubrigastra</v>
      </c>
      <c r="H426" t="s">
        <v>435</v>
      </c>
      <c r="I426" t="str">
        <f>HYPERLINK("http://www.ncbi.nlm.nih.gov/protein/NWR29859.1","RYR2 protein")</f>
        <v>RYR2 protein</v>
      </c>
      <c r="J426">
        <v>6754.08</v>
      </c>
      <c r="K426" t="s">
        <v>22</v>
      </c>
      <c r="L426">
        <v>276</v>
      </c>
      <c r="M426">
        <v>9.75</v>
      </c>
      <c r="N426">
        <v>64.61</v>
      </c>
      <c r="O426" t="s">
        <v>19</v>
      </c>
      <c r="P426" t="s">
        <v>20</v>
      </c>
      <c r="Q426" t="s">
        <v>19</v>
      </c>
      <c r="R426" t="str">
        <f>HYPERLINK("https://cfpub.epa.gov/ecotox/explore.cfm?ncbi=495162","Explore in ECOTOX")</f>
        <v>Explore in ECOTOX</v>
      </c>
    </row>
    <row r="427" spans="1:18" x14ac:dyDescent="0.45">
      <c r="A427" t="s">
        <v>1264</v>
      </c>
      <c r="B427">
        <v>8</v>
      </c>
      <c r="C427" t="str">
        <f>HYPERLINK("http://www.ncbi.nlm.nih.gov/protein/NP_001095188.1","NP_001095188.1")</f>
        <v>NP_001095188.1</v>
      </c>
      <c r="D427">
        <v>81896</v>
      </c>
      <c r="E427" t="str">
        <f>HYPERLINK("http://www.ncbi.nlm.nih.gov/Taxonomy/Browser/wwwtax.cgi?mode=Info&amp;id=9986&amp;lvl=3&amp;lin=f&amp;keep=1&amp;srchmode=1&amp;unlock","9986")</f>
        <v>9986</v>
      </c>
      <c r="F427" t="s">
        <v>96</v>
      </c>
      <c r="G427" t="str">
        <f>HYPERLINK("http://www.ncbi.nlm.nih.gov/Taxonomy/Browser/wwwtax.cgi?mode=Info&amp;id=9986&amp;lvl=3&amp;lin=f&amp;keep=1&amp;srchmode=1&amp;unlock","Oryctolagus cuniculus")</f>
        <v>Oryctolagus cuniculus</v>
      </c>
      <c r="H427" t="s">
        <v>442</v>
      </c>
      <c r="I427" t="str">
        <f>HYPERLINK("http://www.ncbi.nlm.nih.gov/protein/NP_001095188.1","ryanodine receptor 1")</f>
        <v>ryanodine receptor 1</v>
      </c>
      <c r="J427">
        <v>6753.69</v>
      </c>
      <c r="K427" t="s">
        <v>19</v>
      </c>
      <c r="L427">
        <v>276</v>
      </c>
      <c r="M427">
        <v>9.75</v>
      </c>
      <c r="N427">
        <v>64.599999999999994</v>
      </c>
      <c r="O427" t="s">
        <v>19</v>
      </c>
      <c r="P427" t="s">
        <v>20</v>
      </c>
      <c r="Q427" t="s">
        <v>19</v>
      </c>
      <c r="R427" t="str">
        <f>HYPERLINK("https://cfpub.epa.gov/ecotox/explore.cfm?ncbi=9986","Explore in ECOTOX")</f>
        <v>Explore in ECOTOX</v>
      </c>
    </row>
    <row r="428" spans="1:18" x14ac:dyDescent="0.45">
      <c r="A428" t="s">
        <v>1264</v>
      </c>
      <c r="B428">
        <v>8</v>
      </c>
      <c r="C428" t="str">
        <f>HYPERLINK("http://www.ncbi.nlm.nih.gov/protein/XP_036133645.1","XP_036133645.1")</f>
        <v>XP_036133645.1</v>
      </c>
      <c r="D428">
        <v>96245</v>
      </c>
      <c r="E428" t="str">
        <f>HYPERLINK("http://www.ncbi.nlm.nih.gov/Taxonomy/Browser/wwwtax.cgi?mode=Info&amp;id=27622&amp;lvl=3&amp;lin=f&amp;keep=1&amp;srchmode=1&amp;unlock","27622")</f>
        <v>27622</v>
      </c>
      <c r="F428" t="s">
        <v>96</v>
      </c>
      <c r="G428" t="str">
        <f>HYPERLINK("http://www.ncbi.nlm.nih.gov/Taxonomy/Browser/wwwtax.cgi?mode=Info&amp;id=27622&amp;lvl=3&amp;lin=f&amp;keep=1&amp;srchmode=1&amp;unlock","Molossus molossus")</f>
        <v>Molossus molossus</v>
      </c>
      <c r="H428" t="s">
        <v>443</v>
      </c>
      <c r="I428" t="str">
        <f>HYPERLINK("http://www.ncbi.nlm.nih.gov/protein/XP_036133645.1","ryanodine receptor 2")</f>
        <v>ryanodine receptor 2</v>
      </c>
      <c r="J428">
        <v>6753.3</v>
      </c>
      <c r="K428" t="s">
        <v>22</v>
      </c>
      <c r="L428">
        <v>276</v>
      </c>
      <c r="M428">
        <v>9.75</v>
      </c>
      <c r="N428">
        <v>64.599999999999994</v>
      </c>
      <c r="O428" t="s">
        <v>19</v>
      </c>
      <c r="P428" t="s">
        <v>20</v>
      </c>
      <c r="Q428" t="s">
        <v>19</v>
      </c>
      <c r="R428" t="str">
        <f>HYPERLINK("https://cfpub.epa.gov/ecotox/explore.cfm?ncbi=27622","Explore in ECOTOX")</f>
        <v>Explore in ECOTOX</v>
      </c>
    </row>
    <row r="429" spans="1:18" x14ac:dyDescent="0.45">
      <c r="A429" t="s">
        <v>1264</v>
      </c>
      <c r="B429">
        <v>8</v>
      </c>
      <c r="C429" t="str">
        <f>HYPERLINK("http://www.ncbi.nlm.nih.gov/protein/NWX08413.1","NWX08413.1")</f>
        <v>NWX08413.1</v>
      </c>
      <c r="D429">
        <v>14125</v>
      </c>
      <c r="E429" t="str">
        <f>HYPERLINK("http://www.ncbi.nlm.nih.gov/Taxonomy/Browser/wwwtax.cgi?mode=Info&amp;id=187106&amp;lvl=3&amp;lin=f&amp;keep=1&amp;srchmode=1&amp;unlock","187106")</f>
        <v>187106</v>
      </c>
      <c r="F429" t="s">
        <v>241</v>
      </c>
      <c r="G429" t="str">
        <f>HYPERLINK("http://www.ncbi.nlm.nih.gov/Taxonomy/Browser/wwwtax.cgi?mode=Info&amp;id=187106&amp;lvl=3&amp;lin=f&amp;keep=1&amp;srchmode=1&amp;unlock","Caloenas nicobarica")</f>
        <v>Caloenas nicobarica</v>
      </c>
      <c r="H429" t="s">
        <v>444</v>
      </c>
      <c r="I429" t="str">
        <f>HYPERLINK("http://www.ncbi.nlm.nih.gov/protein/NWX08413.1","RYR2 protein")</f>
        <v>RYR2 protein</v>
      </c>
      <c r="J429">
        <v>6751.38</v>
      </c>
      <c r="K429" t="s">
        <v>22</v>
      </c>
      <c r="L429">
        <v>276</v>
      </c>
      <c r="M429">
        <v>9.75</v>
      </c>
      <c r="N429">
        <v>64.58</v>
      </c>
      <c r="O429" t="s">
        <v>19</v>
      </c>
      <c r="P429" t="s">
        <v>20</v>
      </c>
      <c r="Q429" t="s">
        <v>19</v>
      </c>
      <c r="R429" t="str">
        <f>HYPERLINK("https://cfpub.epa.gov/ecotox/explore.cfm?ncbi=187106","Explore in ECOTOX")</f>
        <v>Explore in ECOTOX</v>
      </c>
    </row>
    <row r="430" spans="1:18" x14ac:dyDescent="0.45">
      <c r="A430" t="s">
        <v>1264</v>
      </c>
      <c r="B430">
        <v>8</v>
      </c>
      <c r="C430" t="str">
        <f>HYPERLINK("http://www.ncbi.nlm.nih.gov/protein/NXW95716.1","NXW95716.1")</f>
        <v>NXW95716.1</v>
      </c>
      <c r="D430">
        <v>14612</v>
      </c>
      <c r="E430" t="str">
        <f>HYPERLINK("http://www.ncbi.nlm.nih.gov/Taxonomy/Browser/wwwtax.cgi?mode=Info&amp;id=262131&amp;lvl=3&amp;lin=f&amp;keep=1&amp;srchmode=1&amp;unlock","262131")</f>
        <v>262131</v>
      </c>
      <c r="F430" t="s">
        <v>241</v>
      </c>
      <c r="G430" t="str">
        <f>HYPERLINK("http://www.ncbi.nlm.nih.gov/Taxonomy/Browser/wwwtax.cgi?mode=Info&amp;id=262131&amp;lvl=3&amp;lin=f&amp;keep=1&amp;srchmode=1&amp;unlock","Alopecoenas beccarii")</f>
        <v>Alopecoenas beccarii</v>
      </c>
      <c r="H430" t="s">
        <v>445</v>
      </c>
      <c r="I430" t="str">
        <f>HYPERLINK("http://www.ncbi.nlm.nih.gov/protein/NXW95716.1","RYR2 protein")</f>
        <v>RYR2 protein</v>
      </c>
      <c r="J430">
        <v>6750.99</v>
      </c>
      <c r="K430" t="s">
        <v>22</v>
      </c>
      <c r="L430">
        <v>276</v>
      </c>
      <c r="M430">
        <v>9.75</v>
      </c>
      <c r="N430">
        <v>64.58</v>
      </c>
      <c r="O430" t="s">
        <v>19</v>
      </c>
      <c r="P430" t="s">
        <v>20</v>
      </c>
      <c r="Q430" t="s">
        <v>19</v>
      </c>
      <c r="R430" t="str">
        <f>HYPERLINK("https://cfpub.epa.gov/ecotox/explore.cfm?ncbi=262131","Explore in ECOTOX")</f>
        <v>Explore in ECOTOX</v>
      </c>
    </row>
    <row r="431" spans="1:18" x14ac:dyDescent="0.45">
      <c r="A431" t="s">
        <v>1264</v>
      </c>
      <c r="B431">
        <v>8</v>
      </c>
      <c r="C431" t="str">
        <f>HYPERLINK("http://www.ncbi.nlm.nih.gov/protein/NXK89543.1","NXK89543.1")</f>
        <v>NXK89543.1</v>
      </c>
      <c r="D431">
        <v>13620</v>
      </c>
      <c r="E431" t="str">
        <f>HYPERLINK("http://www.ncbi.nlm.nih.gov/Taxonomy/Browser/wwwtax.cgi?mode=Info&amp;id=1118560&amp;lvl=3&amp;lin=f&amp;keep=1&amp;srchmode=1&amp;unlock","1118560")</f>
        <v>1118560</v>
      </c>
      <c r="F431" t="s">
        <v>241</v>
      </c>
      <c r="G431" t="str">
        <f>HYPERLINK("http://www.ncbi.nlm.nih.gov/Taxonomy/Browser/wwwtax.cgi?mode=Info&amp;id=1118560&amp;lvl=3&amp;lin=f&amp;keep=1&amp;srchmode=1&amp;unlock","Formicarius rufipectus")</f>
        <v>Formicarius rufipectus</v>
      </c>
      <c r="H431" t="s">
        <v>435</v>
      </c>
      <c r="I431" t="str">
        <f>HYPERLINK("http://www.ncbi.nlm.nih.gov/protein/NXK89543.1","RYR2 protein")</f>
        <v>RYR2 protein</v>
      </c>
      <c r="J431">
        <v>6750.99</v>
      </c>
      <c r="K431" t="s">
        <v>22</v>
      </c>
      <c r="L431">
        <v>276</v>
      </c>
      <c r="M431">
        <v>9.75</v>
      </c>
      <c r="N431">
        <v>64.58</v>
      </c>
      <c r="O431" t="s">
        <v>19</v>
      </c>
      <c r="P431" t="s">
        <v>20</v>
      </c>
      <c r="Q431" t="s">
        <v>19</v>
      </c>
      <c r="R431" t="str">
        <f>HYPERLINK("https://cfpub.epa.gov/ecotox/explore.cfm?ncbi=1118560","Explore in ECOTOX")</f>
        <v>Explore in ECOTOX</v>
      </c>
    </row>
    <row r="432" spans="1:18" x14ac:dyDescent="0.45">
      <c r="A432" t="s">
        <v>1264</v>
      </c>
      <c r="B432">
        <v>8</v>
      </c>
      <c r="C432" t="str">
        <f>HYPERLINK("http://www.ncbi.nlm.nih.gov/protein/XP_038616986.1","XP_038616986.1")</f>
        <v>XP_038616986.1</v>
      </c>
      <c r="D432">
        <v>33534</v>
      </c>
      <c r="E432" t="str">
        <f>HYPERLINK("http://www.ncbi.nlm.nih.gov/Taxonomy/Browser/wwwtax.cgi?mode=Info&amp;id=9261&amp;lvl=3&amp;lin=f&amp;keep=1&amp;srchmode=1&amp;unlock","9261")</f>
        <v>9261</v>
      </c>
      <c r="F432" t="s">
        <v>96</v>
      </c>
      <c r="G432" t="str">
        <f>HYPERLINK("http://www.ncbi.nlm.nih.gov/Taxonomy/Browser/wwwtax.cgi?mode=Info&amp;id=9261&amp;lvl=3&amp;lin=f&amp;keep=1&amp;srchmode=1&amp;unlock","Tachyglossus aculeatus")</f>
        <v>Tachyglossus aculeatus</v>
      </c>
      <c r="H432" t="s">
        <v>446</v>
      </c>
      <c r="I432" t="str">
        <f>HYPERLINK("http://www.ncbi.nlm.nih.gov/protein/XP_038616986.1","ryanodine receptor 2")</f>
        <v>ryanodine receptor 2</v>
      </c>
      <c r="J432">
        <v>6750.22</v>
      </c>
      <c r="K432" t="s">
        <v>22</v>
      </c>
      <c r="L432">
        <v>276</v>
      </c>
      <c r="M432">
        <v>9.75</v>
      </c>
      <c r="N432">
        <v>64.569999999999993</v>
      </c>
      <c r="O432" t="s">
        <v>19</v>
      </c>
      <c r="P432" t="s">
        <v>20</v>
      </c>
      <c r="Q432" t="s">
        <v>19</v>
      </c>
      <c r="R432" t="str">
        <f>HYPERLINK("https://cfpub.epa.gov/ecotox/explore.cfm?ncbi=9261","Explore in ECOTOX")</f>
        <v>Explore in ECOTOX</v>
      </c>
    </row>
    <row r="433" spans="1:18" x14ac:dyDescent="0.45">
      <c r="A433" t="s">
        <v>1264</v>
      </c>
      <c r="B433">
        <v>8</v>
      </c>
      <c r="C433" t="str">
        <f>HYPERLINK("http://www.ncbi.nlm.nih.gov/protein/NXN05688.1","NXN05688.1")</f>
        <v>NXN05688.1</v>
      </c>
      <c r="D433">
        <v>13619</v>
      </c>
      <c r="E433" t="str">
        <f>HYPERLINK("http://www.ncbi.nlm.nih.gov/Taxonomy/Browser/wwwtax.cgi?mode=Info&amp;id=73324&amp;lvl=3&amp;lin=f&amp;keep=1&amp;srchmode=1&amp;unlock","73324")</f>
        <v>73324</v>
      </c>
      <c r="F433" t="s">
        <v>241</v>
      </c>
      <c r="G433" t="str">
        <f>HYPERLINK("http://www.ncbi.nlm.nih.gov/Taxonomy/Browser/wwwtax.cgi?mode=Info&amp;id=73324&amp;lvl=3&amp;lin=f&amp;keep=1&amp;srchmode=1&amp;unlock","Sylvia borin")</f>
        <v>Sylvia borin</v>
      </c>
      <c r="H433" t="s">
        <v>447</v>
      </c>
      <c r="I433" t="str">
        <f>HYPERLINK("http://www.ncbi.nlm.nih.gov/protein/NXN05688.1","RYR2 protein")</f>
        <v>RYR2 protein</v>
      </c>
      <c r="J433">
        <v>6750.22</v>
      </c>
      <c r="K433" t="s">
        <v>22</v>
      </c>
      <c r="L433">
        <v>276</v>
      </c>
      <c r="M433">
        <v>9.75</v>
      </c>
      <c r="N433">
        <v>64.569999999999993</v>
      </c>
      <c r="O433" t="s">
        <v>19</v>
      </c>
      <c r="P433" t="s">
        <v>20</v>
      </c>
      <c r="Q433" t="s">
        <v>19</v>
      </c>
      <c r="R433" t="str">
        <f>HYPERLINK("https://cfpub.epa.gov/ecotox/explore.cfm?ncbi=73324","Explore in ECOTOX")</f>
        <v>Explore in ECOTOX</v>
      </c>
    </row>
    <row r="434" spans="1:18" x14ac:dyDescent="0.45">
      <c r="A434" t="s">
        <v>1264</v>
      </c>
      <c r="B434">
        <v>8</v>
      </c>
      <c r="C434" t="str">
        <f>HYPERLINK("http://www.ncbi.nlm.nih.gov/protein/XP_045716763.1","XP_045716763.1")</f>
        <v>XP_045716763.1</v>
      </c>
      <c r="D434">
        <v>45466</v>
      </c>
      <c r="E434" t="str">
        <f>HYPERLINK("http://www.ncbi.nlm.nih.gov/Taxonomy/Browser/wwwtax.cgi?mode=Info&amp;id=9423&amp;lvl=3&amp;lin=f&amp;keep=1&amp;srchmode=1&amp;unlock","9423")</f>
        <v>9423</v>
      </c>
      <c r="F434" t="s">
        <v>96</v>
      </c>
      <c r="G434" t="str">
        <f>HYPERLINK("http://www.ncbi.nlm.nih.gov/Taxonomy/Browser/wwwtax.cgi?mode=Info&amp;id=9423&amp;lvl=3&amp;lin=f&amp;keep=1&amp;srchmode=1&amp;unlock","Phyllostomus hastatus")</f>
        <v>Phyllostomus hastatus</v>
      </c>
      <c r="H434" t="s">
        <v>448</v>
      </c>
      <c r="I434" t="str">
        <f>HYPERLINK("http://www.ncbi.nlm.nih.gov/protein/XP_045716763.1","ryanodine receptor 2 isoform X6")</f>
        <v>ryanodine receptor 2 isoform X6</v>
      </c>
      <c r="J434">
        <v>6749.07</v>
      </c>
      <c r="K434" t="s">
        <v>22</v>
      </c>
      <c r="L434">
        <v>276</v>
      </c>
      <c r="M434">
        <v>9.75</v>
      </c>
      <c r="N434">
        <v>64.56</v>
      </c>
      <c r="O434" t="s">
        <v>19</v>
      </c>
      <c r="P434" t="s">
        <v>20</v>
      </c>
      <c r="Q434" t="s">
        <v>19</v>
      </c>
      <c r="R434" t="str">
        <f>HYPERLINK("https://cfpub.epa.gov/ecotox/explore.cfm?ncbi=9423","Explore in ECOTOX")</f>
        <v>Explore in ECOTOX</v>
      </c>
    </row>
    <row r="435" spans="1:18" x14ac:dyDescent="0.45">
      <c r="A435" t="s">
        <v>1264</v>
      </c>
      <c r="B435">
        <v>8</v>
      </c>
      <c r="C435" t="str">
        <f>HYPERLINK("http://www.ncbi.nlm.nih.gov/protein/NXN72326.1","NXN72326.1")</f>
        <v>NXN72326.1</v>
      </c>
      <c r="D435">
        <v>14349</v>
      </c>
      <c r="E435" t="str">
        <f>HYPERLINK("http://www.ncbi.nlm.nih.gov/Taxonomy/Browser/wwwtax.cgi?mode=Info&amp;id=225398&amp;lvl=3&amp;lin=f&amp;keep=1&amp;srchmode=1&amp;unlock","225398")</f>
        <v>225398</v>
      </c>
      <c r="F435" t="s">
        <v>241</v>
      </c>
      <c r="G435" t="str">
        <f>HYPERLINK("http://www.ncbi.nlm.nih.gov/Taxonomy/Browser/wwwtax.cgi?mode=Info&amp;id=225398&amp;lvl=3&amp;lin=f&amp;keep=1&amp;srchmode=1&amp;unlock","Himantopus himantopus")</f>
        <v>Himantopus himantopus</v>
      </c>
      <c r="H435" t="s">
        <v>449</v>
      </c>
      <c r="I435" t="str">
        <f>HYPERLINK("http://www.ncbi.nlm.nih.gov/protein/NXN72326.1","RYR2 protein")</f>
        <v>RYR2 protein</v>
      </c>
      <c r="J435">
        <v>6748.68</v>
      </c>
      <c r="K435" t="s">
        <v>22</v>
      </c>
      <c r="L435">
        <v>276</v>
      </c>
      <c r="M435">
        <v>9.75</v>
      </c>
      <c r="N435">
        <v>64.56</v>
      </c>
      <c r="O435" t="s">
        <v>19</v>
      </c>
      <c r="P435" t="s">
        <v>20</v>
      </c>
      <c r="Q435" t="s">
        <v>19</v>
      </c>
      <c r="R435" t="str">
        <f>HYPERLINK("https://cfpub.epa.gov/ecotox/explore.cfm?ncbi=225398","Explore in ECOTOX")</f>
        <v>Explore in ECOTOX</v>
      </c>
    </row>
    <row r="436" spans="1:18" x14ac:dyDescent="0.45">
      <c r="A436" t="s">
        <v>1264</v>
      </c>
      <c r="B436">
        <v>8</v>
      </c>
      <c r="C436" t="str">
        <f>HYPERLINK("http://www.ncbi.nlm.nih.gov/protein/XP_006911800.1","XP_006911800.1")</f>
        <v>XP_006911800.1</v>
      </c>
      <c r="D436">
        <v>59368</v>
      </c>
      <c r="E436" t="str">
        <f>HYPERLINK("http://www.ncbi.nlm.nih.gov/Taxonomy/Browser/wwwtax.cgi?mode=Info&amp;id=9402&amp;lvl=3&amp;lin=f&amp;keep=1&amp;srchmode=1&amp;unlock","9402")</f>
        <v>9402</v>
      </c>
      <c r="F436" t="s">
        <v>96</v>
      </c>
      <c r="G436" t="str">
        <f>HYPERLINK("http://www.ncbi.nlm.nih.gov/Taxonomy/Browser/wwwtax.cgi?mode=Info&amp;id=9402&amp;lvl=3&amp;lin=f&amp;keep=1&amp;srchmode=1&amp;unlock","Pteropus alecto")</f>
        <v>Pteropus alecto</v>
      </c>
      <c r="H436" t="s">
        <v>450</v>
      </c>
      <c r="I436" t="str">
        <f>HYPERLINK("http://www.ncbi.nlm.nih.gov/protein/XP_006911800.1","ryanodine receptor 1")</f>
        <v>ryanodine receptor 1</v>
      </c>
      <c r="J436">
        <v>6748.3</v>
      </c>
      <c r="K436" t="s">
        <v>19</v>
      </c>
      <c r="L436">
        <v>276</v>
      </c>
      <c r="M436">
        <v>9.75</v>
      </c>
      <c r="N436">
        <v>64.55</v>
      </c>
      <c r="O436" t="s">
        <v>19</v>
      </c>
      <c r="P436" t="s">
        <v>20</v>
      </c>
      <c r="Q436" t="s">
        <v>19</v>
      </c>
      <c r="R436" t="str">
        <f>HYPERLINK("https://cfpub.epa.gov/ecotox/explore.cfm?ncbi=9402","Explore in ECOTOX")</f>
        <v>Explore in ECOTOX</v>
      </c>
    </row>
    <row r="437" spans="1:18" x14ac:dyDescent="0.45">
      <c r="A437" t="s">
        <v>1264</v>
      </c>
      <c r="B437">
        <v>8</v>
      </c>
      <c r="C437" t="str">
        <f>HYPERLINK("http://www.ncbi.nlm.nih.gov/protein/NXA21195.1","NXA21195.1")</f>
        <v>NXA21195.1</v>
      </c>
      <c r="D437">
        <v>13860</v>
      </c>
      <c r="E437" t="str">
        <f>HYPERLINK("http://www.ncbi.nlm.nih.gov/Taxonomy/Browser/wwwtax.cgi?mode=Info&amp;id=425643&amp;lvl=3&amp;lin=f&amp;keep=1&amp;srchmode=1&amp;unlock","425643")</f>
        <v>425643</v>
      </c>
      <c r="F437" t="s">
        <v>241</v>
      </c>
      <c r="G437" t="str">
        <f>HYPERLINK("http://www.ncbi.nlm.nih.gov/Taxonomy/Browser/wwwtax.cgi?mode=Info&amp;id=425643&amp;lvl=3&amp;lin=f&amp;keep=1&amp;srchmode=1&amp;unlock","Ibidorhyncha struthersii")</f>
        <v>Ibidorhyncha struthersii</v>
      </c>
      <c r="H437" t="s">
        <v>434</v>
      </c>
      <c r="I437" t="str">
        <f>HYPERLINK("http://www.ncbi.nlm.nih.gov/protein/NXA21195.1","RYR2 protein")</f>
        <v>RYR2 protein</v>
      </c>
      <c r="J437">
        <v>6744.06</v>
      </c>
      <c r="K437" t="s">
        <v>22</v>
      </c>
      <c r="L437">
        <v>276</v>
      </c>
      <c r="M437">
        <v>9.75</v>
      </c>
      <c r="N437">
        <v>64.510000000000005</v>
      </c>
      <c r="O437" t="s">
        <v>19</v>
      </c>
      <c r="P437" t="s">
        <v>20</v>
      </c>
      <c r="Q437" t="s">
        <v>19</v>
      </c>
      <c r="R437" t="str">
        <f>HYPERLINK("https://cfpub.epa.gov/ecotox/explore.cfm?ncbi=425643","Explore in ECOTOX")</f>
        <v>Explore in ECOTOX</v>
      </c>
    </row>
    <row r="438" spans="1:18" x14ac:dyDescent="0.45">
      <c r="A438" t="s">
        <v>1264</v>
      </c>
      <c r="B438">
        <v>8</v>
      </c>
      <c r="C438" t="str">
        <f>HYPERLINK("http://www.ncbi.nlm.nih.gov/protein/NWU79098.1","NWU79098.1")</f>
        <v>NWU79098.1</v>
      </c>
      <c r="D438">
        <v>14404</v>
      </c>
      <c r="E438" t="str">
        <f>HYPERLINK("http://www.ncbi.nlm.nih.gov/Taxonomy/Browser/wwwtax.cgi?mode=Info&amp;id=360224&amp;lvl=3&amp;lin=f&amp;keep=1&amp;srchmode=1&amp;unlock","360224")</f>
        <v>360224</v>
      </c>
      <c r="F438" t="s">
        <v>241</v>
      </c>
      <c r="G438" t="str">
        <f>HYPERLINK("http://www.ncbi.nlm.nih.gov/Taxonomy/Browser/wwwtax.cgi?mode=Info&amp;id=360224&amp;lvl=3&amp;lin=f&amp;keep=1&amp;srchmode=1&amp;unlock","Onychorhynchus coronatus")</f>
        <v>Onychorhynchus coronatus</v>
      </c>
      <c r="H438" t="s">
        <v>435</v>
      </c>
      <c r="I438" t="str">
        <f>HYPERLINK("http://www.ncbi.nlm.nih.gov/protein/NWU79098.1","RYR2 protein")</f>
        <v>RYR2 protein</v>
      </c>
      <c r="J438">
        <v>6744.06</v>
      </c>
      <c r="K438" t="s">
        <v>22</v>
      </c>
      <c r="L438">
        <v>276</v>
      </c>
      <c r="M438">
        <v>9.75</v>
      </c>
      <c r="N438">
        <v>64.510000000000005</v>
      </c>
      <c r="O438" t="s">
        <v>19</v>
      </c>
      <c r="P438" t="s">
        <v>20</v>
      </c>
      <c r="Q438" t="s">
        <v>19</v>
      </c>
      <c r="R438" t="str">
        <f>HYPERLINK("https://cfpub.epa.gov/ecotox/explore.cfm?ncbi=360224","Explore in ECOTOX")</f>
        <v>Explore in ECOTOX</v>
      </c>
    </row>
    <row r="439" spans="1:18" x14ac:dyDescent="0.45">
      <c r="A439" t="s">
        <v>1264</v>
      </c>
      <c r="B439">
        <v>8</v>
      </c>
      <c r="C439" t="str">
        <f>HYPERLINK("http://www.ncbi.nlm.nih.gov/protein/NWS58542.1","NWS58542.1")</f>
        <v>NWS58542.1</v>
      </c>
      <c r="D439">
        <v>14433</v>
      </c>
      <c r="E439" t="str">
        <f>HYPERLINK("http://www.ncbi.nlm.nih.gov/Taxonomy/Browser/wwwtax.cgi?mode=Info&amp;id=1352770&amp;lvl=3&amp;lin=f&amp;keep=1&amp;srchmode=1&amp;unlock","1352770")</f>
        <v>1352770</v>
      </c>
      <c r="F439" t="s">
        <v>241</v>
      </c>
      <c r="G439" t="str">
        <f>HYPERLINK("http://www.ncbi.nlm.nih.gov/Taxonomy/Browser/wwwtax.cgi?mode=Info&amp;id=1352770&amp;lvl=3&amp;lin=f&amp;keep=1&amp;srchmode=1&amp;unlock","Chunga burmeisteri")</f>
        <v>Chunga burmeisteri</v>
      </c>
      <c r="H439" t="s">
        <v>451</v>
      </c>
      <c r="I439" t="str">
        <f>HYPERLINK("http://www.ncbi.nlm.nih.gov/protein/NWS58542.1","RYR2 protein")</f>
        <v>RYR2 protein</v>
      </c>
      <c r="J439">
        <v>6742.9</v>
      </c>
      <c r="K439" t="s">
        <v>22</v>
      </c>
      <c r="L439">
        <v>276</v>
      </c>
      <c r="M439">
        <v>9.75</v>
      </c>
      <c r="N439">
        <v>64.5</v>
      </c>
      <c r="O439" t="s">
        <v>19</v>
      </c>
      <c r="P439" t="s">
        <v>20</v>
      </c>
      <c r="Q439" t="s">
        <v>19</v>
      </c>
      <c r="R439" t="str">
        <f>HYPERLINK("https://cfpub.epa.gov/ecotox/explore.cfm?ncbi=1352770","Explore in ECOTOX")</f>
        <v>Explore in ECOTOX</v>
      </c>
    </row>
    <row r="440" spans="1:18" x14ac:dyDescent="0.45">
      <c r="A440" t="s">
        <v>1264</v>
      </c>
      <c r="B440">
        <v>8</v>
      </c>
      <c r="C440" t="str">
        <f>HYPERLINK("http://www.ncbi.nlm.nih.gov/protein/XP_039110283.1","XP_039110283.1")</f>
        <v>XP_039110283.1</v>
      </c>
      <c r="D440">
        <v>41464</v>
      </c>
      <c r="E440" t="str">
        <f>HYPERLINK("http://www.ncbi.nlm.nih.gov/Taxonomy/Browser/wwwtax.cgi?mode=Info&amp;id=95912&amp;lvl=3&amp;lin=f&amp;keep=1&amp;srchmode=1&amp;unlock","95912")</f>
        <v>95912</v>
      </c>
      <c r="F440" t="s">
        <v>96</v>
      </c>
      <c r="G440" t="str">
        <f>HYPERLINK("http://www.ncbi.nlm.nih.gov/Taxonomy/Browser/wwwtax.cgi?mode=Info&amp;id=95912&amp;lvl=3&amp;lin=f&amp;keep=1&amp;srchmode=1&amp;unlock","Hyaena hyaena")</f>
        <v>Hyaena hyaena</v>
      </c>
      <c r="H440" t="s">
        <v>452</v>
      </c>
      <c r="I440" t="str">
        <f>HYPERLINK("http://www.ncbi.nlm.nih.gov/protein/XP_039110283.1","ryanodine receptor 2")</f>
        <v>ryanodine receptor 2</v>
      </c>
      <c r="J440">
        <v>6740.21</v>
      </c>
      <c r="K440" t="s">
        <v>22</v>
      </c>
      <c r="L440">
        <v>276</v>
      </c>
      <c r="M440">
        <v>9.75</v>
      </c>
      <c r="N440">
        <v>64.48</v>
      </c>
      <c r="O440" t="s">
        <v>19</v>
      </c>
      <c r="P440" t="s">
        <v>20</v>
      </c>
      <c r="Q440" t="s">
        <v>19</v>
      </c>
      <c r="R440" t="str">
        <f>HYPERLINK("https://cfpub.epa.gov/ecotox/explore.cfm?ncbi=95912","Explore in ECOTOX")</f>
        <v>Explore in ECOTOX</v>
      </c>
    </row>
    <row r="441" spans="1:18" x14ac:dyDescent="0.45">
      <c r="A441" t="s">
        <v>1264</v>
      </c>
      <c r="B441">
        <v>8</v>
      </c>
      <c r="C441" t="str">
        <f>HYPERLINK("http://www.ncbi.nlm.nih.gov/protein/NXE82849.1","NXE82849.1")</f>
        <v>NXE82849.1</v>
      </c>
      <c r="D441">
        <v>14121</v>
      </c>
      <c r="E441" t="str">
        <f>HYPERLINK("http://www.ncbi.nlm.nih.gov/Taxonomy/Browser/wwwtax.cgi?mode=Info&amp;id=110676&amp;lvl=3&amp;lin=f&amp;keep=1&amp;srchmode=1&amp;unlock","110676")</f>
        <v>110676</v>
      </c>
      <c r="F441" t="s">
        <v>241</v>
      </c>
      <c r="G441" t="str">
        <f>HYPERLINK("http://www.ncbi.nlm.nih.gov/Taxonomy/Browser/wwwtax.cgi?mode=Info&amp;id=110676&amp;lvl=3&amp;lin=f&amp;keep=1&amp;srchmode=1&amp;unlock","Cochlearius cochlearius")</f>
        <v>Cochlearius cochlearius</v>
      </c>
      <c r="H441" t="s">
        <v>453</v>
      </c>
      <c r="I441" t="str">
        <f>HYPERLINK("http://www.ncbi.nlm.nih.gov/protein/NXE82849.1","RYR2 protein")</f>
        <v>RYR2 protein</v>
      </c>
      <c r="J441">
        <v>6740.21</v>
      </c>
      <c r="K441" t="s">
        <v>22</v>
      </c>
      <c r="L441">
        <v>276</v>
      </c>
      <c r="M441">
        <v>9.75</v>
      </c>
      <c r="N441">
        <v>64.48</v>
      </c>
      <c r="O441" t="s">
        <v>19</v>
      </c>
      <c r="P441" t="s">
        <v>20</v>
      </c>
      <c r="Q441" t="s">
        <v>19</v>
      </c>
      <c r="R441" t="str">
        <f>HYPERLINK("https://cfpub.epa.gov/ecotox/explore.cfm?ncbi=110676","Explore in ECOTOX")</f>
        <v>Explore in ECOTOX</v>
      </c>
    </row>
    <row r="442" spans="1:18" x14ac:dyDescent="0.45">
      <c r="A442" t="s">
        <v>1264</v>
      </c>
      <c r="B442">
        <v>8</v>
      </c>
      <c r="C442" t="str">
        <f>HYPERLINK("http://www.ncbi.nlm.nih.gov/protein/NXF05243.1","NXF05243.1")</f>
        <v>NXF05243.1</v>
      </c>
      <c r="D442">
        <v>13858</v>
      </c>
      <c r="E442" t="str">
        <f>HYPERLINK("http://www.ncbi.nlm.nih.gov/Taxonomy/Browser/wwwtax.cgi?mode=Info&amp;id=363769&amp;lvl=3&amp;lin=f&amp;keep=1&amp;srchmode=1&amp;unlock","363769")</f>
        <v>363769</v>
      </c>
      <c r="F442" t="s">
        <v>241</v>
      </c>
      <c r="G442" t="str">
        <f>HYPERLINK("http://www.ncbi.nlm.nih.gov/Taxonomy/Browser/wwwtax.cgi?mode=Info&amp;id=363769&amp;lvl=3&amp;lin=f&amp;keep=1&amp;srchmode=1&amp;unlock","Smithornis capensis")</f>
        <v>Smithornis capensis</v>
      </c>
      <c r="H442" t="s">
        <v>435</v>
      </c>
      <c r="I442" t="str">
        <f>HYPERLINK("http://www.ncbi.nlm.nih.gov/protein/NXF05243.1","RYR2 protein")</f>
        <v>RYR2 protein</v>
      </c>
      <c r="J442">
        <v>6739.82</v>
      </c>
      <c r="K442" t="s">
        <v>22</v>
      </c>
      <c r="L442">
        <v>276</v>
      </c>
      <c r="M442">
        <v>9.75</v>
      </c>
      <c r="N442">
        <v>64.47</v>
      </c>
      <c r="O442" t="s">
        <v>19</v>
      </c>
      <c r="P442" t="s">
        <v>20</v>
      </c>
      <c r="Q442" t="s">
        <v>19</v>
      </c>
      <c r="R442" t="str">
        <f>HYPERLINK("https://cfpub.epa.gov/ecotox/explore.cfm?ncbi=363769","Explore in ECOTOX")</f>
        <v>Explore in ECOTOX</v>
      </c>
    </row>
    <row r="443" spans="1:18" x14ac:dyDescent="0.45">
      <c r="A443" t="s">
        <v>1264</v>
      </c>
      <c r="B443">
        <v>8</v>
      </c>
      <c r="C443" t="str">
        <f>HYPERLINK("http://www.ncbi.nlm.nih.gov/protein/NWI16936.1","NWI16936.1")</f>
        <v>NWI16936.1</v>
      </c>
      <c r="D443">
        <v>14221</v>
      </c>
      <c r="E443" t="str">
        <f>HYPERLINK("http://www.ncbi.nlm.nih.gov/Taxonomy/Browser/wwwtax.cgi?mode=Info&amp;id=458187&amp;lvl=3&amp;lin=f&amp;keep=1&amp;srchmode=1&amp;unlock","458187")</f>
        <v>458187</v>
      </c>
      <c r="F443" t="s">
        <v>241</v>
      </c>
      <c r="G443" t="str">
        <f>HYPERLINK("http://www.ncbi.nlm.nih.gov/Taxonomy/Browser/wwwtax.cgi?mode=Info&amp;id=458187&amp;lvl=3&amp;lin=f&amp;keep=1&amp;srchmode=1&amp;unlock","Crypturellus soui")</f>
        <v>Crypturellus soui</v>
      </c>
      <c r="H443" t="s">
        <v>367</v>
      </c>
      <c r="I443" t="str">
        <f>HYPERLINK("http://www.ncbi.nlm.nih.gov/protein/NWI16936.1","RYR2 protein")</f>
        <v>RYR2 protein</v>
      </c>
      <c r="J443">
        <v>6739.05</v>
      </c>
      <c r="K443" t="s">
        <v>22</v>
      </c>
      <c r="L443">
        <v>276</v>
      </c>
      <c r="M443">
        <v>9.75</v>
      </c>
      <c r="N443">
        <v>64.459999999999994</v>
      </c>
      <c r="O443" t="s">
        <v>19</v>
      </c>
      <c r="P443" t="s">
        <v>20</v>
      </c>
      <c r="Q443" t="s">
        <v>19</v>
      </c>
      <c r="R443" t="str">
        <f>HYPERLINK("https://cfpub.epa.gov/ecotox/explore.cfm?ncbi=458187","Explore in ECOTOX")</f>
        <v>Explore in ECOTOX</v>
      </c>
    </row>
    <row r="444" spans="1:18" x14ac:dyDescent="0.45">
      <c r="A444" t="s">
        <v>1264</v>
      </c>
      <c r="B444">
        <v>8</v>
      </c>
      <c r="C444" t="str">
        <f>HYPERLINK("http://www.ncbi.nlm.nih.gov/protein/XP_039710847.1","XP_039710847.1")</f>
        <v>XP_039710847.1</v>
      </c>
      <c r="D444">
        <v>53675</v>
      </c>
      <c r="E444" t="str">
        <f>HYPERLINK("http://www.ncbi.nlm.nih.gov/Taxonomy/Browser/wwwtax.cgi?mode=Info&amp;id=143291&amp;lvl=3&amp;lin=f&amp;keep=1&amp;srchmode=1&amp;unlock","143291")</f>
        <v>143291</v>
      </c>
      <c r="F444" t="s">
        <v>96</v>
      </c>
      <c r="G444" t="str">
        <f>HYPERLINK("http://www.ncbi.nlm.nih.gov/Taxonomy/Browser/wwwtax.cgi?mode=Info&amp;id=143291&amp;lvl=3&amp;lin=f&amp;keep=1&amp;srchmode=1&amp;unlock","Pteropus giganteus")</f>
        <v>Pteropus giganteus</v>
      </c>
      <c r="H444" t="s">
        <v>454</v>
      </c>
      <c r="I444" t="str">
        <f>HYPERLINK("http://www.ncbi.nlm.nih.gov/protein/XP_039710847.1","ryanodine receptor 1")</f>
        <v>ryanodine receptor 1</v>
      </c>
      <c r="J444">
        <v>6734.82</v>
      </c>
      <c r="K444" t="s">
        <v>19</v>
      </c>
      <c r="L444">
        <v>276</v>
      </c>
      <c r="M444">
        <v>9.75</v>
      </c>
      <c r="N444">
        <v>64.42</v>
      </c>
      <c r="O444" t="s">
        <v>19</v>
      </c>
      <c r="P444" t="s">
        <v>20</v>
      </c>
      <c r="Q444" t="s">
        <v>19</v>
      </c>
      <c r="R444" t="str">
        <f>HYPERLINK("https://cfpub.epa.gov/ecotox/explore.cfm?ncbi=143291","Explore in ECOTOX")</f>
        <v>Explore in ECOTOX</v>
      </c>
    </row>
    <row r="445" spans="1:18" x14ac:dyDescent="0.45">
      <c r="A445" t="s">
        <v>1264</v>
      </c>
      <c r="B445">
        <v>8</v>
      </c>
      <c r="C445" t="str">
        <f>HYPERLINK("http://www.ncbi.nlm.nih.gov/protein/XP_037610006.1","XP_037610006.1")</f>
        <v>XP_037610006.1</v>
      </c>
      <c r="D445">
        <v>50721</v>
      </c>
      <c r="E445" t="str">
        <f>HYPERLINK("http://www.ncbi.nlm.nih.gov/Taxonomy/Browser/wwwtax.cgi?mode=Info&amp;id=72105&amp;lvl=3&amp;lin=f&amp;keep=1&amp;srchmode=1&amp;unlock","72105")</f>
        <v>72105</v>
      </c>
      <c r="F445" t="s">
        <v>17</v>
      </c>
      <c r="G445" t="str">
        <f>HYPERLINK("http://www.ncbi.nlm.nih.gov/Taxonomy/Browser/wwwtax.cgi?mode=Info&amp;id=72105&amp;lvl=3&amp;lin=f&amp;keep=1&amp;srchmode=1&amp;unlock","Sebastes umbrosus")</f>
        <v>Sebastes umbrosus</v>
      </c>
      <c r="H445" t="s">
        <v>455</v>
      </c>
      <c r="I445" t="str">
        <f>HYPERLINK("http://www.ncbi.nlm.nih.gov/protein/XP_037610006.1","ryanodine receptor 2 isoform X9")</f>
        <v>ryanodine receptor 2 isoform X9</v>
      </c>
      <c r="J445">
        <v>6733.66</v>
      </c>
      <c r="K445" t="s">
        <v>22</v>
      </c>
      <c r="L445">
        <v>276</v>
      </c>
      <c r="M445">
        <v>9.75</v>
      </c>
      <c r="N445">
        <v>64.41</v>
      </c>
      <c r="O445" t="s">
        <v>19</v>
      </c>
      <c r="P445" t="s">
        <v>20</v>
      </c>
      <c r="Q445" t="s">
        <v>19</v>
      </c>
      <c r="R445" t="str">
        <f>HYPERLINK("https://cfpub.epa.gov/ecotox/explore.cfm?ncbi=72105","Explore in ECOTOX")</f>
        <v>Explore in ECOTOX</v>
      </c>
    </row>
    <row r="446" spans="1:18" x14ac:dyDescent="0.45">
      <c r="A446" t="s">
        <v>1264</v>
      </c>
      <c r="B446">
        <v>8</v>
      </c>
      <c r="C446" t="str">
        <f>HYPERLINK("http://www.ncbi.nlm.nih.gov/protein/NXI45354.1","NXI45354.1")</f>
        <v>NXI45354.1</v>
      </c>
      <c r="D446">
        <v>14683</v>
      </c>
      <c r="E446" t="str">
        <f>HYPERLINK("http://www.ncbi.nlm.nih.gov/Taxonomy/Browser/wwwtax.cgi?mode=Info&amp;id=1109041&amp;lvl=3&amp;lin=f&amp;keep=1&amp;srchmode=1&amp;unlock","1109041")</f>
        <v>1109041</v>
      </c>
      <c r="F446" t="s">
        <v>241</v>
      </c>
      <c r="G446" t="str">
        <f>HYPERLINK("http://www.ncbi.nlm.nih.gov/Taxonomy/Browser/wwwtax.cgi?mode=Info&amp;id=1109041&amp;lvl=3&amp;lin=f&amp;keep=1&amp;srchmode=1&amp;unlock","Galbula dea")</f>
        <v>Galbula dea</v>
      </c>
      <c r="H446" t="s">
        <v>456</v>
      </c>
      <c r="I446" t="str">
        <f>HYPERLINK("http://www.ncbi.nlm.nih.gov/protein/NXI45354.1","RYR2 protein")</f>
        <v>RYR2 protein</v>
      </c>
      <c r="J446">
        <v>6733.66</v>
      </c>
      <c r="K446" t="s">
        <v>22</v>
      </c>
      <c r="L446">
        <v>276</v>
      </c>
      <c r="M446">
        <v>9.75</v>
      </c>
      <c r="N446">
        <v>64.41</v>
      </c>
      <c r="O446" t="s">
        <v>19</v>
      </c>
      <c r="P446" t="s">
        <v>20</v>
      </c>
      <c r="Q446" t="s">
        <v>19</v>
      </c>
      <c r="R446" t="str">
        <f>HYPERLINK("https://cfpub.epa.gov/ecotox/explore.cfm?ncbi=1109041","Explore in ECOTOX")</f>
        <v>Explore in ECOTOX</v>
      </c>
    </row>
    <row r="447" spans="1:18" x14ac:dyDescent="0.45">
      <c r="A447" t="s">
        <v>1264</v>
      </c>
      <c r="B447">
        <v>8</v>
      </c>
      <c r="C447" t="str">
        <f>HYPERLINK("http://www.ncbi.nlm.nih.gov/protein/NXK07670.1","NXK07670.1")</f>
        <v>NXK07670.1</v>
      </c>
      <c r="D447">
        <v>14398</v>
      </c>
      <c r="E447" t="str">
        <f>HYPERLINK("http://www.ncbi.nlm.nih.gov/Taxonomy/Browser/wwwtax.cgi?mode=Info&amp;id=56343&amp;lvl=3&amp;lin=f&amp;keep=1&amp;srchmode=1&amp;unlock","56343")</f>
        <v>56343</v>
      </c>
      <c r="F447" t="s">
        <v>241</v>
      </c>
      <c r="G447" t="str">
        <f>HYPERLINK("http://www.ncbi.nlm.nih.gov/Taxonomy/Browser/wwwtax.cgi?mode=Info&amp;id=56343&amp;lvl=3&amp;lin=f&amp;keep=1&amp;srchmode=1&amp;unlock","Herpetotheres cachinnans")</f>
        <v>Herpetotheres cachinnans</v>
      </c>
      <c r="H447" t="s">
        <v>457</v>
      </c>
      <c r="I447" t="str">
        <f>HYPERLINK("http://www.ncbi.nlm.nih.gov/protein/NXK07670.1","RYR2 protein")</f>
        <v>RYR2 protein</v>
      </c>
      <c r="J447">
        <v>6733.66</v>
      </c>
      <c r="K447" t="s">
        <v>22</v>
      </c>
      <c r="L447">
        <v>276</v>
      </c>
      <c r="M447">
        <v>9.75</v>
      </c>
      <c r="N447">
        <v>64.41</v>
      </c>
      <c r="O447" t="s">
        <v>19</v>
      </c>
      <c r="P447" t="s">
        <v>20</v>
      </c>
      <c r="Q447" t="s">
        <v>19</v>
      </c>
      <c r="R447" t="str">
        <f>HYPERLINK("https://cfpub.epa.gov/ecotox/explore.cfm?ncbi=56343","Explore in ECOTOX")</f>
        <v>Explore in ECOTOX</v>
      </c>
    </row>
    <row r="448" spans="1:18" x14ac:dyDescent="0.45">
      <c r="A448" t="s">
        <v>1264</v>
      </c>
      <c r="B448">
        <v>8</v>
      </c>
      <c r="C448" t="str">
        <f>HYPERLINK("http://www.ncbi.nlm.nih.gov/protein/NWS70028.1","NWS70028.1")</f>
        <v>NWS70028.1</v>
      </c>
      <c r="D448">
        <v>13920</v>
      </c>
      <c r="E448" t="str">
        <f>HYPERLINK("http://www.ncbi.nlm.nih.gov/Taxonomy/Browser/wwwtax.cgi?mode=Info&amp;id=33598&amp;lvl=3&amp;lin=f&amp;keep=1&amp;srchmode=1&amp;unlock","33598")</f>
        <v>33598</v>
      </c>
      <c r="F448" t="s">
        <v>241</v>
      </c>
      <c r="G448" t="str">
        <f>HYPERLINK("http://www.ncbi.nlm.nih.gov/Taxonomy/Browser/wwwtax.cgi?mode=Info&amp;id=33598&amp;lvl=3&amp;lin=f&amp;keep=1&amp;srchmode=1&amp;unlock","Crotophaga sulcirostris")</f>
        <v>Crotophaga sulcirostris</v>
      </c>
      <c r="H448" t="s">
        <v>458</v>
      </c>
      <c r="I448" t="str">
        <f>HYPERLINK("http://www.ncbi.nlm.nih.gov/protein/NWS70028.1","RYR2 protein")</f>
        <v>RYR2 protein</v>
      </c>
      <c r="J448">
        <v>6731.35</v>
      </c>
      <c r="K448" t="s">
        <v>22</v>
      </c>
      <c r="L448">
        <v>276</v>
      </c>
      <c r="M448">
        <v>9.75</v>
      </c>
      <c r="N448">
        <v>64.39</v>
      </c>
      <c r="O448" t="s">
        <v>19</v>
      </c>
      <c r="P448" t="s">
        <v>20</v>
      </c>
      <c r="Q448" t="s">
        <v>19</v>
      </c>
      <c r="R448" t="str">
        <f>HYPERLINK("https://cfpub.epa.gov/ecotox/explore.cfm?ncbi=33598","Explore in ECOTOX")</f>
        <v>Explore in ECOTOX</v>
      </c>
    </row>
    <row r="449" spans="1:18" x14ac:dyDescent="0.45">
      <c r="A449" t="s">
        <v>1264</v>
      </c>
      <c r="B449">
        <v>8</v>
      </c>
      <c r="C449" t="str">
        <f>HYPERLINK("http://www.ncbi.nlm.nih.gov/protein/NWY65460.1","NWY65460.1")</f>
        <v>NWY65460.1</v>
      </c>
      <c r="D449">
        <v>13930</v>
      </c>
      <c r="E449" t="str">
        <f>HYPERLINK("http://www.ncbi.nlm.nih.gov/Taxonomy/Browser/wwwtax.cgi?mode=Info&amp;id=37610&amp;lvl=3&amp;lin=f&amp;keep=1&amp;srchmode=1&amp;unlock","37610")</f>
        <v>37610</v>
      </c>
      <c r="F449" t="s">
        <v>241</v>
      </c>
      <c r="G449" t="str">
        <f>HYPERLINK("http://www.ncbi.nlm.nih.gov/Taxonomy/Browser/wwwtax.cgi?mode=Info&amp;id=37610&amp;lvl=3&amp;lin=f&amp;keep=1&amp;srchmode=1&amp;unlock","Erithacus rubecula")</f>
        <v>Erithacus rubecula</v>
      </c>
      <c r="H449" t="s">
        <v>459</v>
      </c>
      <c r="I449" t="str">
        <f>HYPERLINK("http://www.ncbi.nlm.nih.gov/protein/NWY65460.1","RYR2 protein")</f>
        <v>RYR2 protein</v>
      </c>
      <c r="J449">
        <v>6729.81</v>
      </c>
      <c r="K449" t="s">
        <v>22</v>
      </c>
      <c r="L449">
        <v>276</v>
      </c>
      <c r="M449">
        <v>9.75</v>
      </c>
      <c r="N449">
        <v>64.38</v>
      </c>
      <c r="O449" t="s">
        <v>19</v>
      </c>
      <c r="P449" t="s">
        <v>20</v>
      </c>
      <c r="Q449" t="s">
        <v>19</v>
      </c>
      <c r="R449" t="str">
        <f>HYPERLINK("https://cfpub.epa.gov/ecotox/explore.cfm?ncbi=37610","Explore in ECOTOX")</f>
        <v>Explore in ECOTOX</v>
      </c>
    </row>
    <row r="450" spans="1:18" x14ac:dyDescent="0.45">
      <c r="A450" t="s">
        <v>1264</v>
      </c>
      <c r="B450">
        <v>8</v>
      </c>
      <c r="C450" t="str">
        <f>HYPERLINK("http://www.ncbi.nlm.nih.gov/protein/CAJ1080474.1","CAJ1080474.1")</f>
        <v>CAJ1080474.1</v>
      </c>
      <c r="D450">
        <v>39630</v>
      </c>
      <c r="E450" t="str">
        <f>HYPERLINK("http://www.ncbi.nlm.nih.gov/Taxonomy/Browser/wwwtax.cgi?mode=Info&amp;id=13765&amp;lvl=3&amp;lin=f&amp;keep=1&amp;srchmode=1&amp;unlock","13765")</f>
        <v>13765</v>
      </c>
      <c r="F450" t="s">
        <v>17</v>
      </c>
      <c r="G450" t="str">
        <f>HYPERLINK("http://www.ncbi.nlm.nih.gov/Taxonomy/Browser/wwwtax.cgi?mode=Info&amp;id=13765&amp;lvl=3&amp;lin=f&amp;keep=1&amp;srchmode=1&amp;unlock","Xyrichtys novacula")</f>
        <v>Xyrichtys novacula</v>
      </c>
      <c r="H450" t="s">
        <v>460</v>
      </c>
      <c r="I450" t="str">
        <f>HYPERLINK("http://www.ncbi.nlm.nih.gov/protein/CAJ1080474.1","ryanodine receptor 2")</f>
        <v>ryanodine receptor 2</v>
      </c>
      <c r="J450">
        <v>6729.04</v>
      </c>
      <c r="K450" t="s">
        <v>22</v>
      </c>
      <c r="L450">
        <v>276</v>
      </c>
      <c r="M450">
        <v>9.75</v>
      </c>
      <c r="N450">
        <v>64.37</v>
      </c>
      <c r="O450" t="s">
        <v>19</v>
      </c>
      <c r="P450" t="s">
        <v>20</v>
      </c>
      <c r="Q450" t="s">
        <v>19</v>
      </c>
      <c r="R450" t="str">
        <f>HYPERLINK("https://cfpub.epa.gov/ecotox/explore.cfm?ncbi=13765","Explore in ECOTOX")</f>
        <v>Explore in ECOTOX</v>
      </c>
    </row>
    <row r="451" spans="1:18" x14ac:dyDescent="0.45">
      <c r="A451" t="s">
        <v>1264</v>
      </c>
      <c r="B451">
        <v>8</v>
      </c>
      <c r="C451" t="str">
        <f>HYPERLINK("http://www.ncbi.nlm.nih.gov/protein/XP_060497089.1","XP_060497089.1")</f>
        <v>XP_060497089.1</v>
      </c>
      <c r="D451">
        <v>55633</v>
      </c>
      <c r="E451" t="str">
        <f>HYPERLINK("http://www.ncbi.nlm.nih.gov/Taxonomy/Browser/wwwtax.cgi?mode=Info&amp;id=9690&amp;lvl=3&amp;lin=f&amp;keep=1&amp;srchmode=1&amp;unlock","9690")</f>
        <v>9690</v>
      </c>
      <c r="F451" t="s">
        <v>96</v>
      </c>
      <c r="G451" t="str">
        <f>HYPERLINK("http://www.ncbi.nlm.nih.gov/Taxonomy/Browser/wwwtax.cgi?mode=Info&amp;id=9690&amp;lvl=3&amp;lin=f&amp;keep=1&amp;srchmode=1&amp;unlock","Panthera onca")</f>
        <v>Panthera onca</v>
      </c>
      <c r="H451" t="s">
        <v>461</v>
      </c>
      <c r="I451" t="str">
        <f>HYPERLINK("http://www.ncbi.nlm.nih.gov/protein/XP_060497089.1","ryanodine receptor 2")</f>
        <v>ryanodine receptor 2</v>
      </c>
      <c r="J451">
        <v>6728.65</v>
      </c>
      <c r="K451" t="s">
        <v>22</v>
      </c>
      <c r="L451">
        <v>276</v>
      </c>
      <c r="M451">
        <v>9.75</v>
      </c>
      <c r="N451">
        <v>64.36</v>
      </c>
      <c r="O451" t="s">
        <v>19</v>
      </c>
      <c r="P451" t="s">
        <v>20</v>
      </c>
      <c r="Q451" t="s">
        <v>19</v>
      </c>
      <c r="R451" t="str">
        <f>HYPERLINK("https://cfpub.epa.gov/ecotox/explore.cfm?ncbi=9690","Explore in ECOTOX")</f>
        <v>Explore in ECOTOX</v>
      </c>
    </row>
    <row r="452" spans="1:18" x14ac:dyDescent="0.45">
      <c r="A452" t="s">
        <v>1264</v>
      </c>
      <c r="B452">
        <v>8</v>
      </c>
      <c r="C452" t="str">
        <f>HYPERLINK("http://www.ncbi.nlm.nih.gov/protein/NXA38190.1","NXA38190.1")</f>
        <v>NXA38190.1</v>
      </c>
      <c r="D452">
        <v>13777</v>
      </c>
      <c r="E452" t="str">
        <f>HYPERLINK("http://www.ncbi.nlm.nih.gov/Taxonomy/Browser/wwwtax.cgi?mode=Info&amp;id=8805&amp;lvl=3&amp;lin=f&amp;keep=1&amp;srchmode=1&amp;unlock","8805")</f>
        <v>8805</v>
      </c>
      <c r="F452" t="s">
        <v>241</v>
      </c>
      <c r="G452" t="str">
        <f>HYPERLINK("http://www.ncbi.nlm.nih.gov/Taxonomy/Browser/wwwtax.cgi?mode=Info&amp;id=8805&amp;lvl=3&amp;lin=f&amp;keep=1&amp;srchmode=1&amp;unlock","Eudromia elegans")</f>
        <v>Eudromia elegans</v>
      </c>
      <c r="H452" t="s">
        <v>462</v>
      </c>
      <c r="I452" t="str">
        <f>HYPERLINK("http://www.ncbi.nlm.nih.gov/protein/NXA38190.1","RYR2 protein")</f>
        <v>RYR2 protein</v>
      </c>
      <c r="J452">
        <v>6724.8</v>
      </c>
      <c r="K452" t="s">
        <v>22</v>
      </c>
      <c r="L452">
        <v>276</v>
      </c>
      <c r="M452">
        <v>9.75</v>
      </c>
      <c r="N452">
        <v>64.33</v>
      </c>
      <c r="O452" t="s">
        <v>19</v>
      </c>
      <c r="P452" t="s">
        <v>20</v>
      </c>
      <c r="Q452" t="s">
        <v>19</v>
      </c>
      <c r="R452" t="str">
        <f>HYPERLINK("https://cfpub.epa.gov/ecotox/explore.cfm?ncbi=8805","Explore in ECOTOX")</f>
        <v>Explore in ECOTOX</v>
      </c>
    </row>
    <row r="453" spans="1:18" x14ac:dyDescent="0.45">
      <c r="A453" t="s">
        <v>1264</v>
      </c>
      <c r="B453">
        <v>8</v>
      </c>
      <c r="C453" t="str">
        <f>HYPERLINK("http://www.ncbi.nlm.nih.gov/protein/XP_015674514.1","XP_015674514.1")</f>
        <v>XP_015674514.1</v>
      </c>
      <c r="D453">
        <v>23997</v>
      </c>
      <c r="E453" t="str">
        <f>HYPERLINK("http://www.ncbi.nlm.nih.gov/Taxonomy/Browser/wwwtax.cgi?mode=Info&amp;id=103944&amp;lvl=3&amp;lin=f&amp;keep=1&amp;srchmode=1&amp;unlock","103944")</f>
        <v>103944</v>
      </c>
      <c r="F453" t="s">
        <v>192</v>
      </c>
      <c r="G453" t="str">
        <f>HYPERLINK("http://www.ncbi.nlm.nih.gov/Taxonomy/Browser/wwwtax.cgi?mode=Info&amp;id=103944&amp;lvl=3&amp;lin=f&amp;keep=1&amp;srchmode=1&amp;unlock","Protobothrops mucrosquamatus")</f>
        <v>Protobothrops mucrosquamatus</v>
      </c>
      <c r="H453" t="s">
        <v>463</v>
      </c>
      <c r="I453" t="str">
        <f>HYPERLINK("http://www.ncbi.nlm.nih.gov/protein/XP_015674514.1","ryanodine receptor 2")</f>
        <v>ryanodine receptor 2</v>
      </c>
      <c r="J453">
        <v>6722.1</v>
      </c>
      <c r="K453" t="s">
        <v>22</v>
      </c>
      <c r="L453">
        <v>276</v>
      </c>
      <c r="M453">
        <v>9.75</v>
      </c>
      <c r="N453">
        <v>64.3</v>
      </c>
      <c r="O453" t="s">
        <v>19</v>
      </c>
      <c r="P453" t="s">
        <v>20</v>
      </c>
      <c r="Q453" t="s">
        <v>19</v>
      </c>
      <c r="R453" t="str">
        <f>HYPERLINK("https://cfpub.epa.gov/ecotox/explore.cfm?ncbi=103944","Explore in ECOTOX")</f>
        <v>Explore in ECOTOX</v>
      </c>
    </row>
    <row r="454" spans="1:18" x14ac:dyDescent="0.45">
      <c r="A454" t="s">
        <v>1264</v>
      </c>
      <c r="B454">
        <v>8</v>
      </c>
      <c r="C454" t="str">
        <f>HYPERLINK("http://www.ncbi.nlm.nih.gov/protein/NP_001193706.1","NP_001193706.1")</f>
        <v>NP_001193706.1</v>
      </c>
      <c r="D454">
        <v>140462</v>
      </c>
      <c r="E454" t="str">
        <f>HYPERLINK("http://www.ncbi.nlm.nih.gov/Taxonomy/Browser/wwwtax.cgi?mode=Info&amp;id=9913&amp;lvl=3&amp;lin=f&amp;keep=1&amp;srchmode=1&amp;unlock","9913")</f>
        <v>9913</v>
      </c>
      <c r="F454" t="s">
        <v>96</v>
      </c>
      <c r="G454" t="str">
        <f>HYPERLINK("http://www.ncbi.nlm.nih.gov/Taxonomy/Browser/wwwtax.cgi?mode=Info&amp;id=9913&amp;lvl=3&amp;lin=f&amp;keep=1&amp;srchmode=1&amp;unlock","Bos taurus")</f>
        <v>Bos taurus</v>
      </c>
      <c r="H454" t="s">
        <v>464</v>
      </c>
      <c r="I454" t="str">
        <f>HYPERLINK("http://www.ncbi.nlm.nih.gov/protein/NP_001193706.1","ryanodine receptor 1")</f>
        <v>ryanodine receptor 1</v>
      </c>
      <c r="J454">
        <v>6721.33</v>
      </c>
      <c r="K454" t="s">
        <v>19</v>
      </c>
      <c r="L454">
        <v>276</v>
      </c>
      <c r="M454">
        <v>9.75</v>
      </c>
      <c r="N454">
        <v>64.290000000000006</v>
      </c>
      <c r="O454" t="s">
        <v>19</v>
      </c>
      <c r="P454" t="s">
        <v>20</v>
      </c>
      <c r="Q454" t="s">
        <v>19</v>
      </c>
      <c r="R454" t="str">
        <f>HYPERLINK("https://cfpub.epa.gov/ecotox/explore.cfm?ncbi=9913","Explore in ECOTOX")</f>
        <v>Explore in ECOTOX</v>
      </c>
    </row>
    <row r="455" spans="1:18" x14ac:dyDescent="0.45">
      <c r="A455" t="s">
        <v>1264</v>
      </c>
      <c r="B455">
        <v>8</v>
      </c>
      <c r="C455" t="str">
        <f>HYPERLINK("http://www.ncbi.nlm.nih.gov/protein/XP_048792673.1","XP_048792673.1")</f>
        <v>XP_048792673.1</v>
      </c>
      <c r="D455">
        <v>43884</v>
      </c>
      <c r="E455" t="str">
        <f>HYPERLINK("http://www.ncbi.nlm.nih.gov/Taxonomy/Browser/wwwtax.cgi?mode=Info&amp;id=64668&amp;lvl=3&amp;lin=f&amp;keep=1&amp;srchmode=1&amp;unlock","64668")</f>
        <v>64668</v>
      </c>
      <c r="F455" t="s">
        <v>241</v>
      </c>
      <c r="G455" t="str">
        <f>HYPERLINK("http://www.ncbi.nlm.nih.gov/Taxonomy/Browser/wwwtax.cgi?mode=Info&amp;id=64668&amp;lvl=3&amp;lin=f&amp;keep=1&amp;srchmode=1&amp;unlock","Lagopus muta")</f>
        <v>Lagopus muta</v>
      </c>
      <c r="H455" t="s">
        <v>465</v>
      </c>
      <c r="I455" t="str">
        <f>HYPERLINK("http://www.ncbi.nlm.nih.gov/protein/XP_048792673.1","ryanodine receptor 2 isoform X6")</f>
        <v>ryanodine receptor 2 isoform X6</v>
      </c>
      <c r="J455">
        <v>6720.56</v>
      </c>
      <c r="K455" t="s">
        <v>22</v>
      </c>
      <c r="L455">
        <v>276</v>
      </c>
      <c r="M455">
        <v>9.75</v>
      </c>
      <c r="N455">
        <v>64.290000000000006</v>
      </c>
      <c r="O455" t="s">
        <v>19</v>
      </c>
      <c r="P455" t="s">
        <v>20</v>
      </c>
      <c r="Q455" t="s">
        <v>19</v>
      </c>
      <c r="R455" t="str">
        <f>HYPERLINK("https://cfpub.epa.gov/ecotox/explore.cfm?ncbi=64668","Explore in ECOTOX")</f>
        <v>Explore in ECOTOX</v>
      </c>
    </row>
    <row r="456" spans="1:18" x14ac:dyDescent="0.45">
      <c r="A456" t="s">
        <v>1264</v>
      </c>
      <c r="B456">
        <v>8</v>
      </c>
      <c r="C456" t="str">
        <f>HYPERLINK("http://www.ncbi.nlm.nih.gov/protein/XP_027371714.1","XP_027371714.1")</f>
        <v>XP_027371714.1</v>
      </c>
      <c r="D456">
        <v>54456</v>
      </c>
      <c r="E456" t="str">
        <f>HYPERLINK("http://www.ncbi.nlm.nih.gov/Taxonomy/Browser/wwwtax.cgi?mode=Info&amp;id=30522&amp;lvl=3&amp;lin=f&amp;keep=1&amp;srchmode=1&amp;unlock","30522")</f>
        <v>30522</v>
      </c>
      <c r="F456" t="s">
        <v>96</v>
      </c>
      <c r="G456" t="str">
        <f>HYPERLINK("http://www.ncbi.nlm.nih.gov/Taxonomy/Browser/wwwtax.cgi?mode=Info&amp;id=30522&amp;lvl=3&amp;lin=f&amp;keep=1&amp;srchmode=1&amp;unlock","Bos indicus x Bos taurus")</f>
        <v>Bos indicus x Bos taurus</v>
      </c>
      <c r="H456" t="s">
        <v>466</v>
      </c>
      <c r="I456" t="str">
        <f>HYPERLINK("http://www.ncbi.nlm.nih.gov/protein/XP_027371714.1","ryanodine receptor 1 isoform X6")</f>
        <v>ryanodine receptor 1 isoform X6</v>
      </c>
      <c r="J456">
        <v>6719.79</v>
      </c>
      <c r="K456" t="s">
        <v>19</v>
      </c>
      <c r="L456">
        <v>276</v>
      </c>
      <c r="M456">
        <v>9.75</v>
      </c>
      <c r="N456">
        <v>64.28</v>
      </c>
      <c r="O456" t="s">
        <v>19</v>
      </c>
      <c r="P456" t="s">
        <v>20</v>
      </c>
      <c r="Q456" t="s">
        <v>19</v>
      </c>
      <c r="R456" t="str">
        <f>HYPERLINK("https://cfpub.epa.gov/ecotox/explore.cfm?ncbi=30522","Explore in ECOTOX")</f>
        <v>Explore in ECOTOX</v>
      </c>
    </row>
    <row r="457" spans="1:18" x14ac:dyDescent="0.45">
      <c r="A457" t="s">
        <v>1264</v>
      </c>
      <c r="B457">
        <v>8</v>
      </c>
      <c r="C457" t="str">
        <f>HYPERLINK("http://www.ncbi.nlm.nih.gov/protein/XP_061244150.1","XP_061244150.1")</f>
        <v>XP_061244150.1</v>
      </c>
      <c r="D457">
        <v>60537</v>
      </c>
      <c r="E457" t="str">
        <f>HYPERLINK("http://www.ncbi.nlm.nih.gov/Taxonomy/Browser/wwwtax.cgi?mode=Info&amp;id=9906&amp;lvl=3&amp;lin=f&amp;keep=1&amp;srchmode=1&amp;unlock","9906")</f>
        <v>9906</v>
      </c>
      <c r="F457" t="s">
        <v>96</v>
      </c>
      <c r="G457" t="str">
        <f>HYPERLINK("http://www.ncbi.nlm.nih.gov/Taxonomy/Browser/wwwtax.cgi?mode=Info&amp;id=9906&amp;lvl=3&amp;lin=f&amp;keep=1&amp;srchmode=1&amp;unlock","Bos javanicus")</f>
        <v>Bos javanicus</v>
      </c>
      <c r="H457" t="s">
        <v>467</v>
      </c>
      <c r="I457" t="str">
        <f>HYPERLINK("http://www.ncbi.nlm.nih.gov/protein/XP_061244150.1","ryanodine receptor 1 isoform X2")</f>
        <v>ryanodine receptor 1 isoform X2</v>
      </c>
      <c r="J457">
        <v>6719.79</v>
      </c>
      <c r="K457" t="s">
        <v>19</v>
      </c>
      <c r="L457">
        <v>276</v>
      </c>
      <c r="M457">
        <v>9.75</v>
      </c>
      <c r="N457">
        <v>64.28</v>
      </c>
      <c r="O457" t="s">
        <v>19</v>
      </c>
      <c r="P457" t="s">
        <v>20</v>
      </c>
      <c r="Q457" t="s">
        <v>19</v>
      </c>
      <c r="R457" t="str">
        <f>HYPERLINK("https://cfpub.epa.gov/ecotox/explore.cfm?ncbi=9906","Explore in ECOTOX")</f>
        <v>Explore in ECOTOX</v>
      </c>
    </row>
    <row r="458" spans="1:18" x14ac:dyDescent="0.45">
      <c r="A458" t="s">
        <v>1264</v>
      </c>
      <c r="B458">
        <v>8</v>
      </c>
      <c r="C458" t="str">
        <f>HYPERLINK("http://www.ncbi.nlm.nih.gov/protein/NXO29348.1","NXO29348.1")</f>
        <v>NXO29348.1</v>
      </c>
      <c r="D458">
        <v>13484</v>
      </c>
      <c r="E458" t="str">
        <f>HYPERLINK("http://www.ncbi.nlm.nih.gov/Taxonomy/Browser/wwwtax.cgi?mode=Info&amp;id=52622&amp;lvl=3&amp;lin=f&amp;keep=1&amp;srchmode=1&amp;unlock","52622")</f>
        <v>52622</v>
      </c>
      <c r="F458" t="s">
        <v>241</v>
      </c>
      <c r="G458" t="str">
        <f>HYPERLINK("http://www.ncbi.nlm.nih.gov/Taxonomy/Browser/wwwtax.cgi?mode=Info&amp;id=52622&amp;lvl=3&amp;lin=f&amp;keep=1&amp;srchmode=1&amp;unlock","Cisticola juncidis")</f>
        <v>Cisticola juncidis</v>
      </c>
      <c r="H458" t="s">
        <v>435</v>
      </c>
      <c r="I458" t="str">
        <f>HYPERLINK("http://www.ncbi.nlm.nih.gov/protein/NXO29348.1","RYR2 protein")</f>
        <v>RYR2 protein</v>
      </c>
      <c r="J458">
        <v>6719.02</v>
      </c>
      <c r="K458" t="s">
        <v>22</v>
      </c>
      <c r="L458">
        <v>276</v>
      </c>
      <c r="M458">
        <v>9.75</v>
      </c>
      <c r="N458">
        <v>64.27</v>
      </c>
      <c r="O458" t="s">
        <v>19</v>
      </c>
      <c r="P458" t="s">
        <v>20</v>
      </c>
      <c r="Q458" t="s">
        <v>19</v>
      </c>
      <c r="R458" t="str">
        <f>HYPERLINK("https://cfpub.epa.gov/ecotox/explore.cfm?ncbi=52622","Explore in ECOTOX")</f>
        <v>Explore in ECOTOX</v>
      </c>
    </row>
    <row r="459" spans="1:18" x14ac:dyDescent="0.45">
      <c r="A459" t="s">
        <v>1264</v>
      </c>
      <c r="B459">
        <v>8</v>
      </c>
      <c r="C459" t="str">
        <f>HYPERLINK("http://www.ncbi.nlm.nih.gov/protein/NWR71433.1","NWR71433.1")</f>
        <v>NWR71433.1</v>
      </c>
      <c r="D459">
        <v>14036</v>
      </c>
      <c r="E459" t="str">
        <f>HYPERLINK("http://www.ncbi.nlm.nih.gov/Taxonomy/Browser/wwwtax.cgi?mode=Info&amp;id=1118519&amp;lvl=3&amp;lin=f&amp;keep=1&amp;srchmode=1&amp;unlock","1118519")</f>
        <v>1118519</v>
      </c>
      <c r="F459" t="s">
        <v>241</v>
      </c>
      <c r="G459" t="str">
        <f>HYPERLINK("http://www.ncbi.nlm.nih.gov/Taxonomy/Browser/wwwtax.cgi?mode=Info&amp;id=1118519&amp;lvl=3&amp;lin=f&amp;keep=1&amp;srchmode=1&amp;unlock","Centropus unirufus")</f>
        <v>Centropus unirufus</v>
      </c>
      <c r="H459" t="s">
        <v>468</v>
      </c>
      <c r="I459" t="str">
        <f>HYPERLINK("http://www.ncbi.nlm.nih.gov/protein/NWR71433.1","RYR2 protein")</f>
        <v>RYR2 protein</v>
      </c>
      <c r="J459">
        <v>6717.48</v>
      </c>
      <c r="K459" t="s">
        <v>22</v>
      </c>
      <c r="L459">
        <v>276</v>
      </c>
      <c r="M459">
        <v>9.75</v>
      </c>
      <c r="N459">
        <v>64.260000000000005</v>
      </c>
      <c r="O459" t="s">
        <v>19</v>
      </c>
      <c r="P459" t="s">
        <v>20</v>
      </c>
      <c r="Q459" t="s">
        <v>19</v>
      </c>
      <c r="R459" t="str">
        <f>HYPERLINK("https://cfpub.epa.gov/ecotox/explore.cfm?ncbi=1118519","Explore in ECOTOX")</f>
        <v>Explore in ECOTOX</v>
      </c>
    </row>
    <row r="460" spans="1:18" x14ac:dyDescent="0.45">
      <c r="A460" t="s">
        <v>1264</v>
      </c>
      <c r="B460">
        <v>8</v>
      </c>
      <c r="C460" t="str">
        <f>HYPERLINK("http://www.ncbi.nlm.nih.gov/protein/XP_007940911.1","XP_007940911.1")</f>
        <v>XP_007940911.1</v>
      </c>
      <c r="D460">
        <v>19002</v>
      </c>
      <c r="E460" t="str">
        <f>HYPERLINK("http://www.ncbi.nlm.nih.gov/Taxonomy/Browser/wwwtax.cgi?mode=Info&amp;id=1230840&amp;lvl=3&amp;lin=f&amp;keep=1&amp;srchmode=1&amp;unlock","1230840")</f>
        <v>1230840</v>
      </c>
      <c r="F460" t="s">
        <v>96</v>
      </c>
      <c r="G460" t="str">
        <f>HYPERLINK("http://www.ncbi.nlm.nih.gov/Taxonomy/Browser/wwwtax.cgi?mode=Info&amp;id=1230840&amp;lvl=3&amp;lin=f&amp;keep=1&amp;srchmode=1&amp;unlock","Orycteropus afer afer")</f>
        <v>Orycteropus afer afer</v>
      </c>
      <c r="H460" t="s">
        <v>469</v>
      </c>
      <c r="I460" t="str">
        <f>HYPERLINK("http://www.ncbi.nlm.nih.gov/protein/XP_007940911.1","ryanodine receptor 2")</f>
        <v>ryanodine receptor 2</v>
      </c>
      <c r="J460">
        <v>6717.1</v>
      </c>
      <c r="K460" t="s">
        <v>22</v>
      </c>
      <c r="L460">
        <v>276</v>
      </c>
      <c r="M460">
        <v>9.75</v>
      </c>
      <c r="N460">
        <v>64.25</v>
      </c>
      <c r="O460" t="s">
        <v>19</v>
      </c>
      <c r="P460" t="s">
        <v>20</v>
      </c>
      <c r="Q460" t="s">
        <v>19</v>
      </c>
      <c r="R460" t="str">
        <f>HYPERLINK("https://cfpub.epa.gov/ecotox/explore.cfm?ncbi=1230840","Explore in ECOTOX")</f>
        <v>Explore in ECOTOX</v>
      </c>
    </row>
    <row r="461" spans="1:18" x14ac:dyDescent="0.45">
      <c r="A461" t="s">
        <v>1264</v>
      </c>
      <c r="B461">
        <v>8</v>
      </c>
      <c r="C461" t="str">
        <f>HYPERLINK("http://www.ncbi.nlm.nih.gov/protein/NWZ79216.1","NWZ79216.1")</f>
        <v>NWZ79216.1</v>
      </c>
      <c r="D461">
        <v>53397</v>
      </c>
      <c r="E461" t="str">
        <f>HYPERLINK("http://www.ncbi.nlm.nih.gov/Taxonomy/Browser/wwwtax.cgi?mode=Info&amp;id=48891&amp;lvl=3&amp;lin=f&amp;keep=1&amp;srchmode=1&amp;unlock","48891")</f>
        <v>48891</v>
      </c>
      <c r="F461" t="s">
        <v>241</v>
      </c>
      <c r="G461" t="str">
        <f>HYPERLINK("http://www.ncbi.nlm.nih.gov/Taxonomy/Browser/wwwtax.cgi?mode=Info&amp;id=48891&amp;lvl=3&amp;lin=f&amp;keep=1&amp;srchmode=1&amp;unlock","Poecile atricapillus")</f>
        <v>Poecile atricapillus</v>
      </c>
      <c r="H461" t="s">
        <v>470</v>
      </c>
      <c r="I461" t="str">
        <f>HYPERLINK("http://www.ncbi.nlm.nih.gov/protein/NWZ79216.1","RYR2 protein")</f>
        <v>RYR2 protein</v>
      </c>
      <c r="J461">
        <v>6715.56</v>
      </c>
      <c r="K461" t="s">
        <v>22</v>
      </c>
      <c r="L461">
        <v>276</v>
      </c>
      <c r="M461">
        <v>9.75</v>
      </c>
      <c r="N461">
        <v>64.239999999999995</v>
      </c>
      <c r="O461" t="s">
        <v>19</v>
      </c>
      <c r="P461" t="s">
        <v>20</v>
      </c>
      <c r="Q461" t="s">
        <v>19</v>
      </c>
      <c r="R461" t="str">
        <f>HYPERLINK("https://cfpub.epa.gov/ecotox/explore.cfm?ncbi=48891","Explore in ECOTOX")</f>
        <v>Explore in ECOTOX</v>
      </c>
    </row>
    <row r="462" spans="1:18" x14ac:dyDescent="0.45">
      <c r="A462" t="s">
        <v>1264</v>
      </c>
      <c r="B462">
        <v>8</v>
      </c>
      <c r="C462" t="str">
        <f>HYPERLINK("http://www.ncbi.nlm.nih.gov/protein/XP_017717734.1","XP_017717734.1")</f>
        <v>XP_017717734.1</v>
      </c>
      <c r="D462">
        <v>49680</v>
      </c>
      <c r="E462" t="str">
        <f>HYPERLINK("http://www.ncbi.nlm.nih.gov/Taxonomy/Browser/wwwtax.cgi?mode=Info&amp;id=61621&amp;lvl=3&amp;lin=f&amp;keep=1&amp;srchmode=1&amp;unlock","61621")</f>
        <v>61621</v>
      </c>
      <c r="F462" t="s">
        <v>96</v>
      </c>
      <c r="G462" t="str">
        <f>HYPERLINK("http://www.ncbi.nlm.nih.gov/Taxonomy/Browser/wwwtax.cgi?mode=Info&amp;id=61621&amp;lvl=3&amp;lin=f&amp;keep=1&amp;srchmode=1&amp;unlock","Rhinopithecus bieti")</f>
        <v>Rhinopithecus bieti</v>
      </c>
      <c r="H462" t="s">
        <v>471</v>
      </c>
      <c r="I462" t="str">
        <f>HYPERLINK("http://www.ncbi.nlm.nih.gov/protein/XP_017717734.1","PREDICTED: LOW QUALITY PROTEIN: ryanodine receptor 2")</f>
        <v>PREDICTED: LOW QUALITY PROTEIN: ryanodine receptor 2</v>
      </c>
      <c r="J462">
        <v>6715.56</v>
      </c>
      <c r="K462" t="s">
        <v>22</v>
      </c>
      <c r="L462">
        <v>276</v>
      </c>
      <c r="M462">
        <v>9.75</v>
      </c>
      <c r="N462">
        <v>64.239999999999995</v>
      </c>
      <c r="O462" t="s">
        <v>19</v>
      </c>
      <c r="P462" t="s">
        <v>20</v>
      </c>
      <c r="Q462" t="s">
        <v>19</v>
      </c>
      <c r="R462" t="str">
        <f>HYPERLINK("https://cfpub.epa.gov/ecotox/explore.cfm?ncbi=61621","Explore in ECOTOX")</f>
        <v>Explore in ECOTOX</v>
      </c>
    </row>
    <row r="463" spans="1:18" x14ac:dyDescent="0.45">
      <c r="A463" t="s">
        <v>1264</v>
      </c>
      <c r="B463">
        <v>8</v>
      </c>
      <c r="C463" t="str">
        <f>HYPERLINK("http://www.ncbi.nlm.nih.gov/protein/XP_017690756.1","XP_017690756.1")</f>
        <v>XP_017690756.1</v>
      </c>
      <c r="D463">
        <v>36958</v>
      </c>
      <c r="E463" t="str">
        <f>HYPERLINK("http://www.ncbi.nlm.nih.gov/Taxonomy/Browser/wwwtax.cgi?mode=Info&amp;id=321398&amp;lvl=3&amp;lin=f&amp;keep=1&amp;srchmode=1&amp;unlock","321398")</f>
        <v>321398</v>
      </c>
      <c r="F463" t="s">
        <v>241</v>
      </c>
      <c r="G463" t="str">
        <f>HYPERLINK("http://www.ncbi.nlm.nih.gov/Taxonomy/Browser/wwwtax.cgi?mode=Info&amp;id=321398&amp;lvl=3&amp;lin=f&amp;keep=1&amp;srchmode=1&amp;unlock","Lepidothrix coronata")</f>
        <v>Lepidothrix coronata</v>
      </c>
      <c r="H463" t="s">
        <v>472</v>
      </c>
      <c r="I463" t="str">
        <f>HYPERLINK("http://www.ncbi.nlm.nih.gov/protein/XP_017690756.1","PREDICTED: ryanodine receptor 2, partial")</f>
        <v>PREDICTED: ryanodine receptor 2, partial</v>
      </c>
      <c r="J463">
        <v>6714.4</v>
      </c>
      <c r="K463" t="s">
        <v>22</v>
      </c>
      <c r="L463">
        <v>276</v>
      </c>
      <c r="M463">
        <v>9.75</v>
      </c>
      <c r="N463">
        <v>64.23</v>
      </c>
      <c r="O463" t="s">
        <v>19</v>
      </c>
      <c r="P463" t="s">
        <v>20</v>
      </c>
      <c r="Q463" t="s">
        <v>19</v>
      </c>
      <c r="R463" t="str">
        <f>HYPERLINK("https://cfpub.epa.gov/ecotox/explore.cfm?ncbi=321398","Explore in ECOTOX")</f>
        <v>Explore in ECOTOX</v>
      </c>
    </row>
    <row r="464" spans="1:18" x14ac:dyDescent="0.45">
      <c r="A464" t="s">
        <v>1264</v>
      </c>
      <c r="B464">
        <v>8</v>
      </c>
      <c r="C464" t="str">
        <f>HYPERLINK("http://www.ncbi.nlm.nih.gov/protein/XP_025022800.1","XP_025022800.1")</f>
        <v>XP_025022800.1</v>
      </c>
      <c r="D464">
        <v>32865</v>
      </c>
      <c r="E464" t="str">
        <f>HYPERLINK("http://www.ncbi.nlm.nih.gov/Taxonomy/Browser/wwwtax.cgi?mode=Info&amp;id=176946&amp;lvl=3&amp;lin=f&amp;keep=1&amp;srchmode=1&amp;unlock","176946")</f>
        <v>176946</v>
      </c>
      <c r="F464" t="s">
        <v>192</v>
      </c>
      <c r="G464" t="str">
        <f>HYPERLINK("http://www.ncbi.nlm.nih.gov/Taxonomy/Browser/wwwtax.cgi?mode=Info&amp;id=176946&amp;lvl=3&amp;lin=f&amp;keep=1&amp;srchmode=1&amp;unlock","Python bivittatus")</f>
        <v>Python bivittatus</v>
      </c>
      <c r="H464" t="s">
        <v>473</v>
      </c>
      <c r="I464" t="str">
        <f>HYPERLINK("http://www.ncbi.nlm.nih.gov/protein/XP_025022800.1","ryanodine receptor 2")</f>
        <v>ryanodine receptor 2</v>
      </c>
      <c r="J464">
        <v>6713.63</v>
      </c>
      <c r="K464" t="s">
        <v>22</v>
      </c>
      <c r="L464">
        <v>276</v>
      </c>
      <c r="M464">
        <v>9.75</v>
      </c>
      <c r="N464">
        <v>64.22</v>
      </c>
      <c r="O464" t="s">
        <v>19</v>
      </c>
      <c r="P464" t="s">
        <v>20</v>
      </c>
      <c r="Q464" t="s">
        <v>19</v>
      </c>
      <c r="R464" t="str">
        <f>HYPERLINK("https://cfpub.epa.gov/ecotox/explore.cfm?ncbi=176946","Explore in ECOTOX")</f>
        <v>Explore in ECOTOX</v>
      </c>
    </row>
    <row r="465" spans="1:18" x14ac:dyDescent="0.45">
      <c r="A465" t="s">
        <v>1264</v>
      </c>
      <c r="B465">
        <v>8</v>
      </c>
      <c r="C465" t="str">
        <f>HYPERLINK("http://www.ncbi.nlm.nih.gov/protein/NXL43224.1","NXL43224.1")</f>
        <v>NXL43224.1</v>
      </c>
      <c r="D465">
        <v>14232</v>
      </c>
      <c r="E465" t="str">
        <f>HYPERLINK("http://www.ncbi.nlm.nih.gov/Taxonomy/Browser/wwwtax.cgi?mode=Info&amp;id=9252&amp;lvl=3&amp;lin=f&amp;keep=1&amp;srchmode=1&amp;unlock","9252")</f>
        <v>9252</v>
      </c>
      <c r="F465" t="s">
        <v>241</v>
      </c>
      <c r="G465" t="str">
        <f>HYPERLINK("http://www.ncbi.nlm.nih.gov/Taxonomy/Browser/wwwtax.cgi?mode=Info&amp;id=9252&amp;lvl=3&amp;lin=f&amp;keep=1&amp;srchmode=1&amp;unlock","Podilymbus podiceps")</f>
        <v>Podilymbus podiceps</v>
      </c>
      <c r="H465" t="s">
        <v>474</v>
      </c>
      <c r="I465" t="str">
        <f>HYPERLINK("http://www.ncbi.nlm.nih.gov/protein/NXL43224.1","RYR2 protein")</f>
        <v>RYR2 protein</v>
      </c>
      <c r="J465">
        <v>6712.86</v>
      </c>
      <c r="K465" t="s">
        <v>22</v>
      </c>
      <c r="L465">
        <v>276</v>
      </c>
      <c r="M465">
        <v>9.75</v>
      </c>
      <c r="N465">
        <v>64.209999999999994</v>
      </c>
      <c r="O465" t="s">
        <v>19</v>
      </c>
      <c r="P465" t="s">
        <v>20</v>
      </c>
      <c r="Q465" t="s">
        <v>19</v>
      </c>
      <c r="R465" t="str">
        <f>HYPERLINK("https://cfpub.epa.gov/ecotox/explore.cfm?ncbi=9252","Explore in ECOTOX")</f>
        <v>Explore in ECOTOX</v>
      </c>
    </row>
    <row r="466" spans="1:18" x14ac:dyDescent="0.45">
      <c r="A466" t="s">
        <v>1264</v>
      </c>
      <c r="B466">
        <v>8</v>
      </c>
      <c r="C466" t="str">
        <f>HYPERLINK("http://www.ncbi.nlm.nih.gov/protein/XP_035871944.1","XP_035871944.1")</f>
        <v>XP_035871944.1</v>
      </c>
      <c r="D466">
        <v>107581</v>
      </c>
      <c r="E466" t="str">
        <f>HYPERLINK("http://www.ncbi.nlm.nih.gov/Taxonomy/Browser/wwwtax.cgi?mode=Info&amp;id=89673&amp;lvl=3&amp;lin=f&amp;keep=1&amp;srchmode=1&amp;unlock","89673")</f>
        <v>89673</v>
      </c>
      <c r="F466" t="s">
        <v>96</v>
      </c>
      <c r="G466" t="str">
        <f>HYPERLINK("http://www.ncbi.nlm.nih.gov/Taxonomy/Browser/wwwtax.cgi?mode=Info&amp;id=89673&amp;lvl=3&amp;lin=f&amp;keep=1&amp;srchmode=1&amp;unlock","Phyllostomus discolor")</f>
        <v>Phyllostomus discolor</v>
      </c>
      <c r="H466" t="s">
        <v>475</v>
      </c>
      <c r="I466" t="str">
        <f>HYPERLINK("http://www.ncbi.nlm.nih.gov/protein/XP_035871944.1","LOW QUALITY PROTEIN: ryanodine receptor 2")</f>
        <v>LOW QUALITY PROTEIN: ryanodine receptor 2</v>
      </c>
      <c r="J466">
        <v>6712.47</v>
      </c>
      <c r="K466" t="s">
        <v>22</v>
      </c>
      <c r="L466">
        <v>276</v>
      </c>
      <c r="M466">
        <v>9.75</v>
      </c>
      <c r="N466">
        <v>64.209999999999994</v>
      </c>
      <c r="O466" t="s">
        <v>19</v>
      </c>
      <c r="P466" t="s">
        <v>20</v>
      </c>
      <c r="Q466" t="s">
        <v>19</v>
      </c>
      <c r="R466" t="str">
        <f>HYPERLINK("https://cfpub.epa.gov/ecotox/explore.cfm?ncbi=89673","Explore in ECOTOX")</f>
        <v>Explore in ECOTOX</v>
      </c>
    </row>
    <row r="467" spans="1:18" x14ac:dyDescent="0.45">
      <c r="A467" t="s">
        <v>1264</v>
      </c>
      <c r="B467">
        <v>8</v>
      </c>
      <c r="C467" t="str">
        <f>HYPERLINK("http://www.ncbi.nlm.nih.gov/protein/EFB13393.1","EFB13393.1")</f>
        <v>EFB13393.1</v>
      </c>
      <c r="D467">
        <v>71767</v>
      </c>
      <c r="E467" t="str">
        <f>HYPERLINK("http://www.ncbi.nlm.nih.gov/Taxonomy/Browser/wwwtax.cgi?mode=Info&amp;id=9646&amp;lvl=3&amp;lin=f&amp;keep=1&amp;srchmode=1&amp;unlock","9646")</f>
        <v>9646</v>
      </c>
      <c r="F467" t="s">
        <v>96</v>
      </c>
      <c r="G467" t="str">
        <f>HYPERLINK("http://www.ncbi.nlm.nih.gov/Taxonomy/Browser/wwwtax.cgi?mode=Info&amp;id=9646&amp;lvl=3&amp;lin=f&amp;keep=1&amp;srchmode=1&amp;unlock","Ailuropoda melanoleuca")</f>
        <v>Ailuropoda melanoleuca</v>
      </c>
      <c r="H467" t="s">
        <v>476</v>
      </c>
      <c r="I467" t="str">
        <f>HYPERLINK("http://www.ncbi.nlm.nih.gov/protein/EFB13393.1","hypothetical protein PANDA_012888, partial")</f>
        <v>hypothetical protein PANDA_012888, partial</v>
      </c>
      <c r="J467">
        <v>6709.01</v>
      </c>
      <c r="K467" t="s">
        <v>22</v>
      </c>
      <c r="L467">
        <v>276</v>
      </c>
      <c r="M467">
        <v>9.75</v>
      </c>
      <c r="N467">
        <v>64.180000000000007</v>
      </c>
      <c r="O467" t="s">
        <v>19</v>
      </c>
      <c r="P467" t="s">
        <v>20</v>
      </c>
      <c r="Q467" t="s">
        <v>19</v>
      </c>
      <c r="R467" t="str">
        <f>HYPERLINK("https://cfpub.epa.gov/ecotox/explore.cfm?ncbi=9646","Explore in ECOTOX")</f>
        <v>Explore in ECOTOX</v>
      </c>
    </row>
    <row r="468" spans="1:18" x14ac:dyDescent="0.45">
      <c r="A468" t="s">
        <v>1264</v>
      </c>
      <c r="B468">
        <v>8</v>
      </c>
      <c r="C468" t="str">
        <f>HYPERLINK("http://www.ncbi.nlm.nih.gov/protein/XP_058286759.1","XP_058286759.1")</f>
        <v>XP_058286759.1</v>
      </c>
      <c r="D468">
        <v>59647</v>
      </c>
      <c r="E468" t="str">
        <f>HYPERLINK("http://www.ncbi.nlm.nih.gov/Taxonomy/Browser/wwwtax.cgi?mode=Info&amp;id=81572&amp;lvl=3&amp;lin=f&amp;keep=1&amp;srchmode=1&amp;unlock","81572")</f>
        <v>81572</v>
      </c>
      <c r="F468" t="s">
        <v>96</v>
      </c>
      <c r="G468" t="str">
        <f>HYPERLINK("http://www.ncbi.nlm.nih.gov/Taxonomy/Browser/wwwtax.cgi?mode=Info&amp;id=81572&amp;lvl=3&amp;lin=f&amp;keep=1&amp;srchmode=1&amp;unlock","Hylobates moloch")</f>
        <v>Hylobates moloch</v>
      </c>
      <c r="H468" t="s">
        <v>477</v>
      </c>
      <c r="I468" t="str">
        <f>HYPERLINK("http://www.ncbi.nlm.nih.gov/protein/XP_058286759.1","ryanodine receptor 2 isoform X3")</f>
        <v>ryanodine receptor 2 isoform X3</v>
      </c>
      <c r="J468">
        <v>6708.62</v>
      </c>
      <c r="K468" t="s">
        <v>22</v>
      </c>
      <c r="L468">
        <v>276</v>
      </c>
      <c r="M468">
        <v>9.75</v>
      </c>
      <c r="N468">
        <v>64.17</v>
      </c>
      <c r="O468" t="s">
        <v>19</v>
      </c>
      <c r="P468" t="s">
        <v>20</v>
      </c>
      <c r="Q468" t="s">
        <v>19</v>
      </c>
      <c r="R468" t="str">
        <f>HYPERLINK("https://cfpub.epa.gov/ecotox/explore.cfm?ncbi=81572","Explore in ECOTOX")</f>
        <v>Explore in ECOTOX</v>
      </c>
    </row>
    <row r="469" spans="1:18" x14ac:dyDescent="0.45">
      <c r="A469" t="s">
        <v>1264</v>
      </c>
      <c r="B469">
        <v>8</v>
      </c>
      <c r="C469" t="str">
        <f>HYPERLINK("http://www.ncbi.nlm.nih.gov/protein/XP_049650554.1","XP_049650554.1")</f>
        <v>XP_049650554.1</v>
      </c>
      <c r="D469">
        <v>44909</v>
      </c>
      <c r="E469" t="str">
        <f>HYPERLINK("http://www.ncbi.nlm.nih.gov/Taxonomy/Browser/wwwtax.cgi?mode=Info&amp;id=8957&amp;lvl=3&amp;lin=f&amp;keep=1&amp;srchmode=1&amp;unlock","8957")</f>
        <v>8957</v>
      </c>
      <c r="F469" t="s">
        <v>241</v>
      </c>
      <c r="G469" t="str">
        <f>HYPERLINK("http://www.ncbi.nlm.nih.gov/Taxonomy/Browser/wwwtax.cgi?mode=Info&amp;id=8957&amp;lvl=3&amp;lin=f&amp;keep=1&amp;srchmode=1&amp;unlock","Accipiter gentilis")</f>
        <v>Accipiter gentilis</v>
      </c>
      <c r="H469" t="s">
        <v>478</v>
      </c>
      <c r="I469" t="str">
        <f>HYPERLINK("http://www.ncbi.nlm.nih.gov/protein/XP_049650554.1","LOW QUALITY PROTEIN: ryanodine receptor 1")</f>
        <v>LOW QUALITY PROTEIN: ryanodine receptor 1</v>
      </c>
      <c r="J469">
        <v>6703.61</v>
      </c>
      <c r="K469" t="s">
        <v>19</v>
      </c>
      <c r="L469">
        <v>276</v>
      </c>
      <c r="M469">
        <v>9.75</v>
      </c>
      <c r="N469">
        <v>64.13</v>
      </c>
      <c r="O469" t="s">
        <v>19</v>
      </c>
      <c r="P469" t="s">
        <v>20</v>
      </c>
      <c r="Q469" t="s">
        <v>19</v>
      </c>
      <c r="R469" t="str">
        <f>HYPERLINK("https://cfpub.epa.gov/ecotox/explore.cfm?ncbi=8957","Explore in ECOTOX")</f>
        <v>Explore in ECOTOX</v>
      </c>
    </row>
    <row r="470" spans="1:18" x14ac:dyDescent="0.45">
      <c r="A470" t="s">
        <v>1264</v>
      </c>
      <c r="B470">
        <v>8</v>
      </c>
      <c r="C470" t="str">
        <f>HYPERLINK("http://www.ncbi.nlm.nih.gov/protein/KAJ8013646.1","KAJ8013646.1")</f>
        <v>KAJ8013646.1</v>
      </c>
      <c r="D470">
        <v>33580</v>
      </c>
      <c r="E470" t="str">
        <f>HYPERLINK("http://www.ncbi.nlm.nih.gov/Taxonomy/Browser/wwwtax.cgi?mode=Info&amp;id=75939&amp;lvl=3&amp;lin=f&amp;keep=1&amp;srchmode=1&amp;unlock","75939")</f>
        <v>75939</v>
      </c>
      <c r="F470" t="s">
        <v>17</v>
      </c>
      <c r="G470" t="str">
        <f>HYPERLINK("http://www.ncbi.nlm.nih.gov/Taxonomy/Browser/wwwtax.cgi?mode=Info&amp;id=75939&amp;lvl=3&amp;lin=f&amp;keep=1&amp;srchmode=1&amp;unlock","Dallia pectoralis")</f>
        <v>Dallia pectoralis</v>
      </c>
      <c r="H470" t="s">
        <v>479</v>
      </c>
      <c r="I470" t="str">
        <f>HYPERLINK("http://www.ncbi.nlm.nih.gov/protein/KAJ8013646.1","hypothetical protein DPEC_G00031970")</f>
        <v>hypothetical protein DPEC_G00031970</v>
      </c>
      <c r="J470">
        <v>6703.23</v>
      </c>
      <c r="K470" t="s">
        <v>22</v>
      </c>
      <c r="L470">
        <v>276</v>
      </c>
      <c r="M470">
        <v>9.75</v>
      </c>
      <c r="N470">
        <v>64.12</v>
      </c>
      <c r="O470" t="s">
        <v>19</v>
      </c>
      <c r="P470" t="s">
        <v>20</v>
      </c>
      <c r="Q470" t="s">
        <v>19</v>
      </c>
      <c r="R470" t="str">
        <f>HYPERLINK("https://cfpub.epa.gov/ecotox/explore.cfm?ncbi=75939","Explore in ECOTOX")</f>
        <v>Explore in ECOTOX</v>
      </c>
    </row>
    <row r="471" spans="1:18" x14ac:dyDescent="0.45">
      <c r="A471" t="s">
        <v>1264</v>
      </c>
      <c r="B471">
        <v>8</v>
      </c>
      <c r="C471" t="str">
        <f>HYPERLINK("http://www.ncbi.nlm.nih.gov/protein/NXX75670.1","NXX75670.1")</f>
        <v>NXX75670.1</v>
      </c>
      <c r="D471">
        <v>14124</v>
      </c>
      <c r="E471" t="str">
        <f>HYPERLINK("http://www.ncbi.nlm.nih.gov/Taxonomy/Browser/wwwtax.cgi?mode=Info&amp;id=458196&amp;lvl=3&amp;lin=f&amp;keep=1&amp;srchmode=1&amp;unlock","458196")</f>
        <v>458196</v>
      </c>
      <c r="F471" t="s">
        <v>241</v>
      </c>
      <c r="G471" t="str">
        <f>HYPERLINK("http://www.ncbi.nlm.nih.gov/Taxonomy/Browser/wwwtax.cgi?mode=Info&amp;id=458196&amp;lvl=3&amp;lin=f&amp;keep=1&amp;srchmode=1&amp;unlock","Urocolius indicus")</f>
        <v>Urocolius indicus</v>
      </c>
      <c r="H471" t="s">
        <v>480</v>
      </c>
      <c r="I471" t="str">
        <f>HYPERLINK("http://www.ncbi.nlm.nih.gov/protein/NXX75670.1","RYR2 protein")</f>
        <v>RYR2 protein</v>
      </c>
      <c r="J471">
        <v>6702.84</v>
      </c>
      <c r="K471" t="s">
        <v>22</v>
      </c>
      <c r="L471">
        <v>276</v>
      </c>
      <c r="M471">
        <v>9.75</v>
      </c>
      <c r="N471">
        <v>64.12</v>
      </c>
      <c r="O471" t="s">
        <v>19</v>
      </c>
      <c r="P471" t="s">
        <v>20</v>
      </c>
      <c r="Q471" t="s">
        <v>19</v>
      </c>
      <c r="R471" t="str">
        <f>HYPERLINK("https://cfpub.epa.gov/ecotox/explore.cfm?ncbi=458196","Explore in ECOTOX")</f>
        <v>Explore in ECOTOX</v>
      </c>
    </row>
    <row r="472" spans="1:18" x14ac:dyDescent="0.45">
      <c r="A472" t="s">
        <v>1264</v>
      </c>
      <c r="B472">
        <v>8</v>
      </c>
      <c r="C472" t="str">
        <f>HYPERLINK("http://www.ncbi.nlm.nih.gov/protein/XP_054954575.1","XP_054954575.1")</f>
        <v>XP_054954575.1</v>
      </c>
      <c r="D472">
        <v>75957</v>
      </c>
      <c r="E472" t="str">
        <f>HYPERLINK("http://www.ncbi.nlm.nih.gov/Taxonomy/Browser/wwwtax.cgi?mode=Info&amp;id=9597&amp;lvl=3&amp;lin=f&amp;keep=1&amp;srchmode=1&amp;unlock","9597")</f>
        <v>9597</v>
      </c>
      <c r="F472" t="s">
        <v>96</v>
      </c>
      <c r="G472" t="str">
        <f>HYPERLINK("http://www.ncbi.nlm.nih.gov/Taxonomy/Browser/wwwtax.cgi?mode=Info&amp;id=9597&amp;lvl=3&amp;lin=f&amp;keep=1&amp;srchmode=1&amp;unlock","Pan paniscus")</f>
        <v>Pan paniscus</v>
      </c>
      <c r="H472" t="s">
        <v>481</v>
      </c>
      <c r="I472" t="str">
        <f>HYPERLINK("http://www.ncbi.nlm.nih.gov/protein/XP_054954575.1","ryanodine receptor 2 isoform X2")</f>
        <v>ryanodine receptor 2 isoform X2</v>
      </c>
      <c r="J472">
        <v>6694.75</v>
      </c>
      <c r="K472" t="s">
        <v>22</v>
      </c>
      <c r="L472">
        <v>276</v>
      </c>
      <c r="M472">
        <v>9.75</v>
      </c>
      <c r="N472">
        <v>64.040000000000006</v>
      </c>
      <c r="O472" t="s">
        <v>19</v>
      </c>
      <c r="P472" t="s">
        <v>20</v>
      </c>
      <c r="Q472" t="s">
        <v>19</v>
      </c>
      <c r="R472" t="str">
        <f>HYPERLINK("https://cfpub.epa.gov/ecotox/explore.cfm?ncbi=9597","Explore in ECOTOX")</f>
        <v>Explore in ECOTOX</v>
      </c>
    </row>
    <row r="473" spans="1:18" x14ac:dyDescent="0.45">
      <c r="A473" t="s">
        <v>1264</v>
      </c>
      <c r="B473">
        <v>8</v>
      </c>
      <c r="C473" t="str">
        <f>HYPERLINK("http://www.ncbi.nlm.nih.gov/protein/XP_036688393.1","XP_036688393.1")</f>
        <v>XP_036688393.1</v>
      </c>
      <c r="D473">
        <v>52583</v>
      </c>
      <c r="E473" t="str">
        <f>HYPERLINK("http://www.ncbi.nlm.nih.gov/Taxonomy/Browser/wwwtax.cgi?mode=Info&amp;id=9771&amp;lvl=3&amp;lin=f&amp;keep=1&amp;srchmode=1&amp;unlock","9771")</f>
        <v>9771</v>
      </c>
      <c r="F473" t="s">
        <v>96</v>
      </c>
      <c r="G473" t="str">
        <f>HYPERLINK("http://www.ncbi.nlm.nih.gov/Taxonomy/Browser/wwwtax.cgi?mode=Info&amp;id=9771&amp;lvl=3&amp;lin=f&amp;keep=1&amp;srchmode=1&amp;unlock","Balaenoptera musculus")</f>
        <v>Balaenoptera musculus</v>
      </c>
      <c r="H473" t="s">
        <v>482</v>
      </c>
      <c r="I473" t="str">
        <f>HYPERLINK("http://www.ncbi.nlm.nih.gov/protein/XP_036688393.1","ryanodine receptor 1 isoform X1")</f>
        <v>ryanodine receptor 1 isoform X1</v>
      </c>
      <c r="J473">
        <v>6694.37</v>
      </c>
      <c r="K473" t="s">
        <v>19</v>
      </c>
      <c r="L473">
        <v>276</v>
      </c>
      <c r="M473">
        <v>9.75</v>
      </c>
      <c r="N473">
        <v>64.040000000000006</v>
      </c>
      <c r="O473" t="s">
        <v>19</v>
      </c>
      <c r="P473" t="s">
        <v>20</v>
      </c>
      <c r="Q473" t="s">
        <v>19</v>
      </c>
      <c r="R473" t="str">
        <f>HYPERLINK("https://cfpub.epa.gov/ecotox/explore.cfm?ncbi=9771","Explore in ECOTOX")</f>
        <v>Explore in ECOTOX</v>
      </c>
    </row>
    <row r="474" spans="1:18" x14ac:dyDescent="0.45">
      <c r="A474" t="s">
        <v>1264</v>
      </c>
      <c r="B474">
        <v>8</v>
      </c>
      <c r="C474" t="str">
        <f>HYPERLINK("http://www.ncbi.nlm.nih.gov/protein/XP_060047922.1","XP_060047922.1")</f>
        <v>XP_060047922.1</v>
      </c>
      <c r="D474">
        <v>51727</v>
      </c>
      <c r="E474" t="str">
        <f>HYPERLINK("http://www.ncbi.nlm.nih.gov/Taxonomy/Browser/wwwtax.cgi?mode=Info&amp;id=9365&amp;lvl=3&amp;lin=f&amp;keep=1&amp;srchmode=1&amp;unlock","9365")</f>
        <v>9365</v>
      </c>
      <c r="F474" t="s">
        <v>96</v>
      </c>
      <c r="G474" t="str">
        <f>HYPERLINK("http://www.ncbi.nlm.nih.gov/Taxonomy/Browser/wwwtax.cgi?mode=Info&amp;id=9365&amp;lvl=3&amp;lin=f&amp;keep=1&amp;srchmode=1&amp;unlock","Erinaceus europaeus")</f>
        <v>Erinaceus europaeus</v>
      </c>
      <c r="H474" t="s">
        <v>483</v>
      </c>
      <c r="I474" t="str">
        <f>HYPERLINK("http://www.ncbi.nlm.nih.gov/protein/XP_060047922.1","ryanodine receptor 2 isoform X2")</f>
        <v>ryanodine receptor 2 isoform X2</v>
      </c>
      <c r="J474">
        <v>6692.83</v>
      </c>
      <c r="K474" t="s">
        <v>22</v>
      </c>
      <c r="L474">
        <v>276</v>
      </c>
      <c r="M474">
        <v>9.75</v>
      </c>
      <c r="N474">
        <v>64.02</v>
      </c>
      <c r="O474" t="s">
        <v>19</v>
      </c>
      <c r="P474" t="s">
        <v>20</v>
      </c>
      <c r="Q474" t="s">
        <v>19</v>
      </c>
      <c r="R474" t="str">
        <f>HYPERLINK("https://cfpub.epa.gov/ecotox/explore.cfm?ncbi=9365","Explore in ECOTOX")</f>
        <v>Explore in ECOTOX</v>
      </c>
    </row>
    <row r="475" spans="1:18" x14ac:dyDescent="0.45">
      <c r="A475" t="s">
        <v>1264</v>
      </c>
      <c r="B475">
        <v>8</v>
      </c>
      <c r="C475" t="str">
        <f>HYPERLINK("http://www.ncbi.nlm.nih.gov/protein/XP_061028990.1","XP_061028990.1")</f>
        <v>XP_061028990.1</v>
      </c>
      <c r="D475">
        <v>43123</v>
      </c>
      <c r="E475" t="str">
        <f>HYPERLINK("http://www.ncbi.nlm.nih.gov/Taxonomy/Browser/wwwtax.cgi?mode=Info&amp;id=27606&amp;lvl=3&amp;lin=f&amp;keep=1&amp;srchmode=1&amp;unlock","27606")</f>
        <v>27606</v>
      </c>
      <c r="F475" t="s">
        <v>96</v>
      </c>
      <c r="G475" t="str">
        <f>HYPERLINK("http://www.ncbi.nlm.nih.gov/Taxonomy/Browser/wwwtax.cgi?mode=Info&amp;id=27606&amp;lvl=3&amp;lin=f&amp;keep=1&amp;srchmode=1&amp;unlock","Eubalaena glacialis")</f>
        <v>Eubalaena glacialis</v>
      </c>
      <c r="H475" t="s">
        <v>484</v>
      </c>
      <c r="I475" t="str">
        <f>HYPERLINK("http://www.ncbi.nlm.nih.gov/protein/XP_061028990.1","ryanodine receptor 1 isoform X2")</f>
        <v>ryanodine receptor 1 isoform X2</v>
      </c>
      <c r="J475">
        <v>6688.59</v>
      </c>
      <c r="K475" t="s">
        <v>19</v>
      </c>
      <c r="L475">
        <v>276</v>
      </c>
      <c r="M475">
        <v>9.75</v>
      </c>
      <c r="N475">
        <v>63.98</v>
      </c>
      <c r="O475" t="s">
        <v>19</v>
      </c>
      <c r="P475" t="s">
        <v>20</v>
      </c>
      <c r="Q475" t="s">
        <v>19</v>
      </c>
      <c r="R475" t="str">
        <f>HYPERLINK("https://cfpub.epa.gov/ecotox/explore.cfm?ncbi=27606","Explore in ECOTOX")</f>
        <v>Explore in ECOTOX</v>
      </c>
    </row>
    <row r="476" spans="1:18" x14ac:dyDescent="0.45">
      <c r="A476" t="s">
        <v>1264</v>
      </c>
      <c r="B476">
        <v>8</v>
      </c>
      <c r="C476" t="str">
        <f>HYPERLINK("http://www.ncbi.nlm.nih.gov/protein/XP_059759550.1","XP_059759550.1")</f>
        <v>XP_059759550.1</v>
      </c>
      <c r="D476">
        <v>50351</v>
      </c>
      <c r="E476" t="str">
        <f>HYPERLINK("http://www.ncbi.nlm.nih.gov/Taxonomy/Browser/wwwtax.cgi?mode=Info&amp;id=2746895&amp;lvl=3&amp;lin=f&amp;keep=1&amp;srchmode=1&amp;unlock","2746895")</f>
        <v>2746895</v>
      </c>
      <c r="F476" t="s">
        <v>96</v>
      </c>
      <c r="G476" t="str">
        <f>HYPERLINK("http://www.ncbi.nlm.nih.gov/Taxonomy/Browser/wwwtax.cgi?mode=Info&amp;id=2746895&amp;lvl=3&amp;lin=f&amp;keep=1&amp;srchmode=1&amp;unlock","Balaenoptera ricei")</f>
        <v>Balaenoptera ricei</v>
      </c>
      <c r="H476" t="s">
        <v>485</v>
      </c>
      <c r="I476" t="str">
        <f>HYPERLINK("http://www.ncbi.nlm.nih.gov/protein/XP_059759550.1","ryanodine receptor 1")</f>
        <v>ryanodine receptor 1</v>
      </c>
      <c r="J476">
        <v>6682.81</v>
      </c>
      <c r="K476" t="s">
        <v>19</v>
      </c>
      <c r="L476">
        <v>276</v>
      </c>
      <c r="M476">
        <v>9.75</v>
      </c>
      <c r="N476">
        <v>63.93</v>
      </c>
      <c r="O476" t="s">
        <v>19</v>
      </c>
      <c r="P476" t="s">
        <v>20</v>
      </c>
      <c r="Q476" t="s">
        <v>19</v>
      </c>
      <c r="R476" t="str">
        <f>HYPERLINK("https://cfpub.epa.gov/ecotox/explore.cfm?ncbi=2746895","Explore in ECOTOX")</f>
        <v>Explore in ECOTOX</v>
      </c>
    </row>
    <row r="477" spans="1:18" x14ac:dyDescent="0.45">
      <c r="A477" t="s">
        <v>1264</v>
      </c>
      <c r="B477">
        <v>8</v>
      </c>
      <c r="C477" t="str">
        <f>HYPERLINK("http://www.ncbi.nlm.nih.gov/protein/XP_045378478.1","XP_045378478.1")</f>
        <v>XP_045378478.1</v>
      </c>
      <c r="D477">
        <v>45071</v>
      </c>
      <c r="E477" t="str">
        <f>HYPERLINK("http://www.ncbi.nlm.nih.gov/Taxonomy/Browser/wwwtax.cgi?mode=Info&amp;id=9837&amp;lvl=3&amp;lin=f&amp;keep=1&amp;srchmode=1&amp;unlock","9837")</f>
        <v>9837</v>
      </c>
      <c r="F477" t="s">
        <v>96</v>
      </c>
      <c r="G477" t="str">
        <f>HYPERLINK("http://www.ncbi.nlm.nih.gov/Taxonomy/Browser/wwwtax.cgi?mode=Info&amp;id=9837&amp;lvl=3&amp;lin=f&amp;keep=1&amp;srchmode=1&amp;unlock","Camelus bactrianus")</f>
        <v>Camelus bactrianus</v>
      </c>
      <c r="H477" t="s">
        <v>486</v>
      </c>
      <c r="I477" t="str">
        <f>HYPERLINK("http://www.ncbi.nlm.nih.gov/protein/XP_045378478.1","ryanodine receptor 2")</f>
        <v>ryanodine receptor 2</v>
      </c>
      <c r="J477">
        <v>6682.81</v>
      </c>
      <c r="K477" t="s">
        <v>22</v>
      </c>
      <c r="L477">
        <v>276</v>
      </c>
      <c r="M477">
        <v>9.75</v>
      </c>
      <c r="N477">
        <v>63.93</v>
      </c>
      <c r="O477" t="s">
        <v>19</v>
      </c>
      <c r="P477" t="s">
        <v>20</v>
      </c>
      <c r="Q477" t="s">
        <v>19</v>
      </c>
      <c r="R477" t="str">
        <f>HYPERLINK("https://cfpub.epa.gov/ecotox/explore.cfm?ncbi=9837","Explore in ECOTOX")</f>
        <v>Explore in ECOTOX</v>
      </c>
    </row>
    <row r="478" spans="1:18" x14ac:dyDescent="0.45">
      <c r="A478" t="s">
        <v>1264</v>
      </c>
      <c r="B478">
        <v>8</v>
      </c>
      <c r="C478" t="str">
        <f>HYPERLINK("http://www.ncbi.nlm.nih.gov/protein/MBN3304979.1","MBN3304979.1")</f>
        <v>MBN3304979.1</v>
      </c>
      <c r="D478">
        <v>16716</v>
      </c>
      <c r="E478" t="str">
        <f>HYPERLINK("http://www.ncbi.nlm.nih.gov/Taxonomy/Browser/wwwtax.cgi?mode=Info&amp;id=7924&amp;lvl=3&amp;lin=f&amp;keep=1&amp;srchmode=1&amp;unlock","7924")</f>
        <v>7924</v>
      </c>
      <c r="F478" t="s">
        <v>17</v>
      </c>
      <c r="G478" t="str">
        <f>HYPERLINK("http://www.ncbi.nlm.nih.gov/Taxonomy/Browser/wwwtax.cgi?mode=Info&amp;id=7924&amp;lvl=3&amp;lin=f&amp;keep=1&amp;srchmode=1&amp;unlock","Amia calva")</f>
        <v>Amia calva</v>
      </c>
      <c r="H478" t="s">
        <v>487</v>
      </c>
      <c r="I478" t="str">
        <f>HYPERLINK("http://www.ncbi.nlm.nih.gov/protein/MBN3304979.1","RYR3 protein")</f>
        <v>RYR3 protein</v>
      </c>
      <c r="J478">
        <v>6678.58</v>
      </c>
      <c r="K478" t="s">
        <v>22</v>
      </c>
      <c r="L478">
        <v>276</v>
      </c>
      <c r="M478">
        <v>9.75</v>
      </c>
      <c r="N478">
        <v>63.89</v>
      </c>
      <c r="O478" t="s">
        <v>19</v>
      </c>
      <c r="P478" t="s">
        <v>20</v>
      </c>
      <c r="Q478" t="s">
        <v>19</v>
      </c>
      <c r="R478" t="str">
        <f>HYPERLINK("https://cfpub.epa.gov/ecotox/explore.cfm?ncbi=7924","Explore in ECOTOX")</f>
        <v>Explore in ECOTOX</v>
      </c>
    </row>
    <row r="479" spans="1:18" x14ac:dyDescent="0.45">
      <c r="A479" t="s">
        <v>1264</v>
      </c>
      <c r="B479">
        <v>8</v>
      </c>
      <c r="C479" t="str">
        <f>HYPERLINK("http://www.ncbi.nlm.nih.gov/protein/XP_020644001.1","XP_020644001.1")</f>
        <v>XP_020644001.1</v>
      </c>
      <c r="D479">
        <v>38822</v>
      </c>
      <c r="E479" t="str">
        <f>HYPERLINK("http://www.ncbi.nlm.nih.gov/Taxonomy/Browser/wwwtax.cgi?mode=Info&amp;id=103695&amp;lvl=3&amp;lin=f&amp;keep=1&amp;srchmode=1&amp;unlock","103695")</f>
        <v>103695</v>
      </c>
      <c r="F479" t="s">
        <v>192</v>
      </c>
      <c r="G479" t="str">
        <f>HYPERLINK("http://www.ncbi.nlm.nih.gov/Taxonomy/Browser/wwwtax.cgi?mode=Info&amp;id=103695&amp;lvl=3&amp;lin=f&amp;keep=1&amp;srchmode=1&amp;unlock","Pogona vitticeps")</f>
        <v>Pogona vitticeps</v>
      </c>
      <c r="H479" t="s">
        <v>488</v>
      </c>
      <c r="I479" t="str">
        <f>HYPERLINK("http://www.ncbi.nlm.nih.gov/protein/XP_020644001.1","ryanodine receptor 2")</f>
        <v>ryanodine receptor 2</v>
      </c>
      <c r="J479">
        <v>6671.64</v>
      </c>
      <c r="K479" t="s">
        <v>22</v>
      </c>
      <c r="L479">
        <v>276</v>
      </c>
      <c r="M479">
        <v>9.75</v>
      </c>
      <c r="N479">
        <v>63.82</v>
      </c>
      <c r="O479" t="s">
        <v>19</v>
      </c>
      <c r="P479" t="s">
        <v>20</v>
      </c>
      <c r="Q479" t="s">
        <v>19</v>
      </c>
      <c r="R479" t="str">
        <f>HYPERLINK("https://cfpub.epa.gov/ecotox/explore.cfm?ncbi=103695","Explore in ECOTOX")</f>
        <v>Explore in ECOTOX</v>
      </c>
    </row>
    <row r="480" spans="1:18" x14ac:dyDescent="0.45">
      <c r="A480" t="s">
        <v>1264</v>
      </c>
      <c r="B480">
        <v>8</v>
      </c>
      <c r="C480" t="str">
        <f>HYPERLINK("http://www.ncbi.nlm.nih.gov/protein/NWU60664.1","NWU60664.1")</f>
        <v>NWU60664.1</v>
      </c>
      <c r="D480">
        <v>13883</v>
      </c>
      <c r="E480" t="str">
        <f>HYPERLINK("http://www.ncbi.nlm.nih.gov/Taxonomy/Browser/wwwtax.cgi?mode=Info&amp;id=2585816&amp;lvl=3&amp;lin=f&amp;keep=1&amp;srchmode=1&amp;unlock","2585816")</f>
        <v>2585816</v>
      </c>
      <c r="F480" t="s">
        <v>241</v>
      </c>
      <c r="G480" t="str">
        <f>HYPERLINK("http://www.ncbi.nlm.nih.gov/Taxonomy/Browser/wwwtax.cgi?mode=Info&amp;id=2585816&amp;lvl=3&amp;lin=f&amp;keep=1&amp;srchmode=1&amp;unlock","Pterocles burchelli")</f>
        <v>Pterocles burchelli</v>
      </c>
      <c r="H480" t="s">
        <v>419</v>
      </c>
      <c r="I480" t="str">
        <f>HYPERLINK("http://www.ncbi.nlm.nih.gov/protein/NWU60664.1","RYR2 protein")</f>
        <v>RYR2 protein</v>
      </c>
      <c r="J480">
        <v>6671.64</v>
      </c>
      <c r="K480" t="s">
        <v>22</v>
      </c>
      <c r="L480">
        <v>276</v>
      </c>
      <c r="M480">
        <v>9.75</v>
      </c>
      <c r="N480">
        <v>63.82</v>
      </c>
      <c r="O480" t="s">
        <v>19</v>
      </c>
      <c r="P480" t="s">
        <v>20</v>
      </c>
      <c r="Q480" t="s">
        <v>19</v>
      </c>
      <c r="R480" t="str">
        <f>HYPERLINK("https://cfpub.epa.gov/ecotox/explore.cfm?ncbi=2585816","Explore in ECOTOX")</f>
        <v>Explore in ECOTOX</v>
      </c>
    </row>
    <row r="481" spans="1:18" x14ac:dyDescent="0.45">
      <c r="A481" t="s">
        <v>1264</v>
      </c>
      <c r="B481">
        <v>8</v>
      </c>
      <c r="C481" t="str">
        <f>HYPERLINK("http://www.ncbi.nlm.nih.gov/protein/XP_032804178.1","XP_032804178.1")</f>
        <v>XP_032804178.1</v>
      </c>
      <c r="D481">
        <v>40633</v>
      </c>
      <c r="E481" t="str">
        <f>HYPERLINK("http://www.ncbi.nlm.nih.gov/Taxonomy/Browser/wwwtax.cgi?mode=Info&amp;id=7757&amp;lvl=3&amp;lin=f&amp;keep=1&amp;srchmode=1&amp;unlock","7757")</f>
        <v>7757</v>
      </c>
      <c r="F481" t="s">
        <v>489</v>
      </c>
      <c r="G481" t="str">
        <f>HYPERLINK("http://www.ncbi.nlm.nih.gov/Taxonomy/Browser/wwwtax.cgi?mode=Info&amp;id=7757&amp;lvl=3&amp;lin=f&amp;keep=1&amp;srchmode=1&amp;unlock","Petromyzon marinus")</f>
        <v>Petromyzon marinus</v>
      </c>
      <c r="H481" t="s">
        <v>490</v>
      </c>
      <c r="I481" t="str">
        <f>HYPERLINK("http://www.ncbi.nlm.nih.gov/protein/XP_032804178.1","ryanodine receptor 2-like isoform X24")</f>
        <v>ryanodine receptor 2-like isoform X24</v>
      </c>
      <c r="J481">
        <v>6669.33</v>
      </c>
      <c r="K481" t="s">
        <v>22</v>
      </c>
      <c r="L481">
        <v>276</v>
      </c>
      <c r="M481">
        <v>9.75</v>
      </c>
      <c r="N481">
        <v>63.8</v>
      </c>
      <c r="O481" t="s">
        <v>19</v>
      </c>
      <c r="P481" t="s">
        <v>20</v>
      </c>
      <c r="Q481" t="s">
        <v>19</v>
      </c>
      <c r="R481" t="str">
        <f>HYPERLINK("https://cfpub.epa.gov/ecotox/explore.cfm?ncbi=7757","Explore in ECOTOX")</f>
        <v>Explore in ECOTOX</v>
      </c>
    </row>
    <row r="482" spans="1:18" x14ac:dyDescent="0.45">
      <c r="A482" t="s">
        <v>1264</v>
      </c>
      <c r="B482">
        <v>8</v>
      </c>
      <c r="C482" t="str">
        <f>HYPERLINK("http://www.ncbi.nlm.nih.gov/protein/XP_059987746.1","XP_059987746.1")</f>
        <v>XP_059987746.1</v>
      </c>
      <c r="D482">
        <v>50311</v>
      </c>
      <c r="E482" t="str">
        <f>HYPERLINK("http://www.ncbi.nlm.nih.gov/Taxonomy/Browser/wwwtax.cgi?mode=Info&amp;id=27610&amp;lvl=3&amp;lin=f&amp;keep=1&amp;srchmode=1&amp;unlock","27610")</f>
        <v>27610</v>
      </c>
      <c r="F482" t="s">
        <v>96</v>
      </c>
      <c r="G482" t="str">
        <f>HYPERLINK("http://www.ncbi.nlm.nih.gov/Taxonomy/Browser/wwwtax.cgi?mode=Info&amp;id=27610&amp;lvl=3&amp;lin=f&amp;keep=1&amp;srchmode=1&amp;unlock","Lagenorhynchus albirostris")</f>
        <v>Lagenorhynchus albirostris</v>
      </c>
      <c r="H482" t="s">
        <v>491</v>
      </c>
      <c r="I482" t="str">
        <f>HYPERLINK("http://www.ncbi.nlm.nih.gov/protein/XP_059987746.1","ryanodine receptor 1 isoform X1")</f>
        <v>ryanodine receptor 1 isoform X1</v>
      </c>
      <c r="J482">
        <v>6668.18</v>
      </c>
      <c r="K482" t="s">
        <v>19</v>
      </c>
      <c r="L482">
        <v>276</v>
      </c>
      <c r="M482">
        <v>9.75</v>
      </c>
      <c r="N482">
        <v>63.79</v>
      </c>
      <c r="O482" t="s">
        <v>19</v>
      </c>
      <c r="P482" t="s">
        <v>20</v>
      </c>
      <c r="Q482" t="s">
        <v>19</v>
      </c>
      <c r="R482" t="str">
        <f>HYPERLINK("https://cfpub.epa.gov/ecotox/explore.cfm?ncbi=27610","Explore in ECOTOX")</f>
        <v>Explore in ECOTOX</v>
      </c>
    </row>
    <row r="483" spans="1:18" x14ac:dyDescent="0.45">
      <c r="A483" t="s">
        <v>1264</v>
      </c>
      <c r="B483">
        <v>8</v>
      </c>
      <c r="C483" t="str">
        <f>HYPERLINK("http://www.ncbi.nlm.nih.gov/protein/XP_012512433.1","XP_012512433.1")</f>
        <v>XP_012512433.1</v>
      </c>
      <c r="D483">
        <v>28381</v>
      </c>
      <c r="E483" t="str">
        <f>HYPERLINK("http://www.ncbi.nlm.nih.gov/Taxonomy/Browser/wwwtax.cgi?mode=Info&amp;id=379532&amp;lvl=3&amp;lin=f&amp;keep=1&amp;srchmode=1&amp;unlock","379532")</f>
        <v>379532</v>
      </c>
      <c r="F483" t="s">
        <v>96</v>
      </c>
      <c r="G483" t="str">
        <f>HYPERLINK("http://www.ncbi.nlm.nih.gov/Taxonomy/Browser/wwwtax.cgi?mode=Info&amp;id=379532&amp;lvl=3&amp;lin=f&amp;keep=1&amp;srchmode=1&amp;unlock","Propithecus coquereli")</f>
        <v>Propithecus coquereli</v>
      </c>
      <c r="H483" t="s">
        <v>492</v>
      </c>
      <c r="I483" t="str">
        <f>HYPERLINK("http://www.ncbi.nlm.nih.gov/protein/XP_012512433.1","PREDICTED: ryanodine receptor 1")</f>
        <v>PREDICTED: ryanodine receptor 1</v>
      </c>
      <c r="J483">
        <v>6665.86</v>
      </c>
      <c r="K483" t="s">
        <v>19</v>
      </c>
      <c r="L483">
        <v>276</v>
      </c>
      <c r="M483">
        <v>9.75</v>
      </c>
      <c r="N483">
        <v>63.76</v>
      </c>
      <c r="O483" t="s">
        <v>19</v>
      </c>
      <c r="P483" t="s">
        <v>20</v>
      </c>
      <c r="Q483" t="s">
        <v>19</v>
      </c>
      <c r="R483" t="str">
        <f>HYPERLINK("https://cfpub.epa.gov/ecotox/explore.cfm?ncbi=379532","Explore in ECOTOX")</f>
        <v>Explore in ECOTOX</v>
      </c>
    </row>
    <row r="484" spans="1:18" x14ac:dyDescent="0.45">
      <c r="A484" t="s">
        <v>1264</v>
      </c>
      <c r="B484">
        <v>8</v>
      </c>
      <c r="C484" t="str">
        <f>HYPERLINK("http://www.ncbi.nlm.nih.gov/protein/KAH0631540.1","KAH0631540.1")</f>
        <v>KAH0631540.1</v>
      </c>
      <c r="D484">
        <v>16952</v>
      </c>
      <c r="E484" t="str">
        <f>HYPERLINK("http://www.ncbi.nlm.nih.gov/Taxonomy/Browser/wwwtax.cgi?mode=Info&amp;id=52577&amp;lvl=3&amp;lin=f&amp;keep=1&amp;srchmode=1&amp;unlock","52577")</f>
        <v>52577</v>
      </c>
      <c r="F484" t="s">
        <v>192</v>
      </c>
      <c r="G484" t="str">
        <f>HYPERLINK("http://www.ncbi.nlm.nih.gov/Taxonomy/Browser/wwwtax.cgi?mode=Info&amp;id=52577&amp;lvl=3&amp;lin=f&amp;keep=1&amp;srchmode=1&amp;unlock","Phrynosoma platyrhinos")</f>
        <v>Phrynosoma platyrhinos</v>
      </c>
      <c r="H484" t="s">
        <v>493</v>
      </c>
      <c r="I484" t="str">
        <f>HYPERLINK("http://www.ncbi.nlm.nih.gov/protein/KAH0631540.1","hypothetical protein JD844_005911")</f>
        <v>hypothetical protein JD844_005911</v>
      </c>
      <c r="J484">
        <v>6665.86</v>
      </c>
      <c r="K484" t="s">
        <v>19</v>
      </c>
      <c r="L484">
        <v>276</v>
      </c>
      <c r="M484">
        <v>9.75</v>
      </c>
      <c r="N484">
        <v>63.76</v>
      </c>
      <c r="O484" t="s">
        <v>19</v>
      </c>
      <c r="P484" t="s">
        <v>20</v>
      </c>
      <c r="Q484" t="s">
        <v>19</v>
      </c>
      <c r="R484" t="str">
        <f>HYPERLINK("https://cfpub.epa.gov/ecotox/explore.cfm?ncbi=52577","Explore in ECOTOX")</f>
        <v>Explore in ECOTOX</v>
      </c>
    </row>
    <row r="485" spans="1:18" x14ac:dyDescent="0.45">
      <c r="A485" t="s">
        <v>1264</v>
      </c>
      <c r="B485">
        <v>8</v>
      </c>
      <c r="C485" t="str">
        <f>HYPERLINK("http://www.ncbi.nlm.nih.gov/protein/XP_006872072.1","XP_006872072.1")</f>
        <v>XP_006872072.1</v>
      </c>
      <c r="D485">
        <v>25294</v>
      </c>
      <c r="E485" t="str">
        <f>HYPERLINK("http://www.ncbi.nlm.nih.gov/Taxonomy/Browser/wwwtax.cgi?mode=Info&amp;id=185453&amp;lvl=3&amp;lin=f&amp;keep=1&amp;srchmode=1&amp;unlock","185453")</f>
        <v>185453</v>
      </c>
      <c r="F485" t="s">
        <v>96</v>
      </c>
      <c r="G485" t="str">
        <f>HYPERLINK("http://www.ncbi.nlm.nih.gov/Taxonomy/Browser/wwwtax.cgi?mode=Info&amp;id=185453&amp;lvl=3&amp;lin=f&amp;keep=1&amp;srchmode=1&amp;unlock","Chrysochloris asiatica")</f>
        <v>Chrysochloris asiatica</v>
      </c>
      <c r="H485" t="s">
        <v>494</v>
      </c>
      <c r="I485" t="str">
        <f>HYPERLINK("http://www.ncbi.nlm.nih.gov/protein/XP_006872072.1","PREDICTED: ryanodine receptor 2")</f>
        <v>PREDICTED: ryanodine receptor 2</v>
      </c>
      <c r="J485">
        <v>6663.17</v>
      </c>
      <c r="K485" t="s">
        <v>22</v>
      </c>
      <c r="L485">
        <v>276</v>
      </c>
      <c r="M485">
        <v>9.75</v>
      </c>
      <c r="N485">
        <v>63.74</v>
      </c>
      <c r="O485" t="s">
        <v>19</v>
      </c>
      <c r="P485" t="s">
        <v>20</v>
      </c>
      <c r="Q485" t="s">
        <v>19</v>
      </c>
      <c r="R485" t="str">
        <f>HYPERLINK("https://cfpub.epa.gov/ecotox/explore.cfm?ncbi=185453","Explore in ECOTOX")</f>
        <v>Explore in ECOTOX</v>
      </c>
    </row>
    <row r="486" spans="1:18" x14ac:dyDescent="0.45">
      <c r="A486" t="s">
        <v>1264</v>
      </c>
      <c r="B486">
        <v>8</v>
      </c>
      <c r="C486" t="str">
        <f>HYPERLINK("http://www.ncbi.nlm.nih.gov/protein/NXL86064.1","NXL86064.1")</f>
        <v>NXL86064.1</v>
      </c>
      <c r="D486">
        <v>13506</v>
      </c>
      <c r="E486" t="str">
        <f>HYPERLINK("http://www.ncbi.nlm.nih.gov/Taxonomy/Browser/wwwtax.cgi?mode=Info&amp;id=81907&amp;lvl=3&amp;lin=f&amp;keep=1&amp;srchmode=1&amp;unlock","81907")</f>
        <v>81907</v>
      </c>
      <c r="F486" t="s">
        <v>241</v>
      </c>
      <c r="G486" t="str">
        <f>HYPERLINK("http://www.ncbi.nlm.nih.gov/Taxonomy/Browser/wwwtax.cgi?mode=Info&amp;id=81907&amp;lvl=3&amp;lin=f&amp;keep=1&amp;srchmode=1&amp;unlock","Alectura lathami")</f>
        <v>Alectura lathami</v>
      </c>
      <c r="H486" t="s">
        <v>495</v>
      </c>
      <c r="I486" t="str">
        <f>HYPERLINK("http://www.ncbi.nlm.nih.gov/protein/NXL86064.1","RYR2 protein")</f>
        <v>RYR2 protein</v>
      </c>
      <c r="J486">
        <v>6663.17</v>
      </c>
      <c r="K486" t="s">
        <v>22</v>
      </c>
      <c r="L486">
        <v>276</v>
      </c>
      <c r="M486">
        <v>9.75</v>
      </c>
      <c r="N486">
        <v>63.74</v>
      </c>
      <c r="O486" t="s">
        <v>19</v>
      </c>
      <c r="P486" t="s">
        <v>20</v>
      </c>
      <c r="Q486" t="s">
        <v>19</v>
      </c>
      <c r="R486" t="str">
        <f>HYPERLINK("https://cfpub.epa.gov/ecotox/explore.cfm?ncbi=81907","Explore in ECOTOX")</f>
        <v>Explore in ECOTOX</v>
      </c>
    </row>
    <row r="487" spans="1:18" x14ac:dyDescent="0.45">
      <c r="A487" t="s">
        <v>1264</v>
      </c>
      <c r="B487">
        <v>8</v>
      </c>
      <c r="C487" t="str">
        <f>HYPERLINK("http://www.ncbi.nlm.nih.gov/protein/XP_061415356.1","XP_061415356.1")</f>
        <v>XP_061415356.1</v>
      </c>
      <c r="D487">
        <v>35223</v>
      </c>
      <c r="E487" t="str">
        <f>HYPERLINK("http://www.ncbi.nlm.nih.gov/Taxonomy/Browser/wwwtax.cgi?mode=Info&amp;id=7753&amp;lvl=3&amp;lin=f&amp;keep=1&amp;srchmode=1&amp;unlock","7753")</f>
        <v>7753</v>
      </c>
      <c r="F487" t="s">
        <v>489</v>
      </c>
      <c r="G487" t="str">
        <f>HYPERLINK("http://www.ncbi.nlm.nih.gov/Taxonomy/Browser/wwwtax.cgi?mode=Info&amp;id=7753&amp;lvl=3&amp;lin=f&amp;keep=1&amp;srchmode=1&amp;unlock","Lethenteron reissneri")</f>
        <v>Lethenteron reissneri</v>
      </c>
      <c r="H487" t="s">
        <v>496</v>
      </c>
      <c r="I487" t="str">
        <f>HYPERLINK("http://www.ncbi.nlm.nih.gov/protein/XP_061415356.1","LOW QUALITY PROTEIN: ryanodine receptor 2-like")</f>
        <v>LOW QUALITY PROTEIN: ryanodine receptor 2-like</v>
      </c>
      <c r="J487">
        <v>6657.39</v>
      </c>
      <c r="K487" t="s">
        <v>22</v>
      </c>
      <c r="L487">
        <v>276</v>
      </c>
      <c r="M487">
        <v>9.75</v>
      </c>
      <c r="N487">
        <v>63.68</v>
      </c>
      <c r="O487" t="s">
        <v>19</v>
      </c>
      <c r="P487" t="s">
        <v>20</v>
      </c>
      <c r="Q487" t="s">
        <v>19</v>
      </c>
      <c r="R487" t="str">
        <f>HYPERLINK("https://cfpub.epa.gov/ecotox/explore.cfm?ncbi=7753","Explore in ECOTOX")</f>
        <v>Explore in ECOTOX</v>
      </c>
    </row>
    <row r="488" spans="1:18" x14ac:dyDescent="0.45">
      <c r="A488" t="s">
        <v>1264</v>
      </c>
      <c r="B488">
        <v>8</v>
      </c>
      <c r="C488" t="str">
        <f>HYPERLINK("http://www.ncbi.nlm.nih.gov/protein/OPJ72696.1","OPJ72696.1")</f>
        <v>OPJ72696.1</v>
      </c>
      <c r="D488">
        <v>24828</v>
      </c>
      <c r="E488" t="str">
        <f>HYPERLINK("http://www.ncbi.nlm.nih.gov/Taxonomy/Browser/wwwtax.cgi?mode=Info&amp;id=372326&amp;lvl=3&amp;lin=f&amp;keep=1&amp;srchmode=1&amp;unlock","372326")</f>
        <v>372326</v>
      </c>
      <c r="F488" t="s">
        <v>241</v>
      </c>
      <c r="G488" t="str">
        <f>HYPERLINK("http://www.ncbi.nlm.nih.gov/Taxonomy/Browser/wwwtax.cgi?mode=Info&amp;id=372326&amp;lvl=3&amp;lin=f&amp;keep=1&amp;srchmode=1&amp;unlock","Patagioenas fasciata monilis")</f>
        <v>Patagioenas fasciata monilis</v>
      </c>
      <c r="H488" t="s">
        <v>497</v>
      </c>
      <c r="I488" t="str">
        <f>HYPERLINK("http://www.ncbi.nlm.nih.gov/protein/OPJ72696.1","ryanodine receptor 2 isoform B")</f>
        <v>ryanodine receptor 2 isoform B</v>
      </c>
      <c r="J488">
        <v>6653.54</v>
      </c>
      <c r="K488" t="s">
        <v>22</v>
      </c>
      <c r="L488">
        <v>276</v>
      </c>
      <c r="M488">
        <v>9.75</v>
      </c>
      <c r="N488">
        <v>63.65</v>
      </c>
      <c r="O488" t="s">
        <v>19</v>
      </c>
      <c r="P488" t="s">
        <v>20</v>
      </c>
      <c r="Q488" t="s">
        <v>19</v>
      </c>
      <c r="R488" t="str">
        <f>HYPERLINK("https://cfpub.epa.gov/ecotox/explore.cfm?ncbi=372326","Explore in ECOTOX")</f>
        <v>Explore in ECOTOX</v>
      </c>
    </row>
    <row r="489" spans="1:18" x14ac:dyDescent="0.45">
      <c r="A489" t="s">
        <v>1264</v>
      </c>
      <c r="B489">
        <v>8</v>
      </c>
      <c r="C489" t="str">
        <f>HYPERLINK("http://www.ncbi.nlm.nih.gov/protein/MBN3320313.1","MBN3320313.1")</f>
        <v>MBN3320313.1</v>
      </c>
      <c r="D489">
        <v>15567</v>
      </c>
      <c r="E489" t="str">
        <f>HYPERLINK("http://www.ncbi.nlm.nih.gov/Taxonomy/Browser/wwwtax.cgi?mode=Info&amp;id=7917&amp;lvl=3&amp;lin=f&amp;keep=1&amp;srchmode=1&amp;unlock","7917")</f>
        <v>7917</v>
      </c>
      <c r="F489" t="s">
        <v>17</v>
      </c>
      <c r="G489" t="str">
        <f>HYPERLINK("http://www.ncbi.nlm.nih.gov/Taxonomy/Browser/wwwtax.cgi?mode=Info&amp;id=7917&amp;lvl=3&amp;lin=f&amp;keep=1&amp;srchmode=1&amp;unlock","Atractosteus spatula")</f>
        <v>Atractosteus spatula</v>
      </c>
      <c r="H489" t="s">
        <v>498</v>
      </c>
      <c r="I489" t="str">
        <f>HYPERLINK("http://www.ncbi.nlm.nih.gov/protein/MBN3320313.1","RYR2 protein")</f>
        <v>RYR2 protein</v>
      </c>
      <c r="J489">
        <v>6648.15</v>
      </c>
      <c r="K489" t="s">
        <v>22</v>
      </c>
      <c r="L489">
        <v>276</v>
      </c>
      <c r="M489">
        <v>9.75</v>
      </c>
      <c r="N489">
        <v>63.59</v>
      </c>
      <c r="O489" t="s">
        <v>19</v>
      </c>
      <c r="P489" t="s">
        <v>20</v>
      </c>
      <c r="Q489" t="s">
        <v>19</v>
      </c>
      <c r="R489" t="str">
        <f>HYPERLINK("https://cfpub.epa.gov/ecotox/explore.cfm?ncbi=7917","Explore in ECOTOX")</f>
        <v>Explore in ECOTOX</v>
      </c>
    </row>
    <row r="490" spans="1:18" x14ac:dyDescent="0.45">
      <c r="A490" t="s">
        <v>1264</v>
      </c>
      <c r="B490">
        <v>8</v>
      </c>
      <c r="C490" t="str">
        <f>HYPERLINK("http://www.ncbi.nlm.nih.gov/protein/XP_007471136.1","XP_007471136.1")</f>
        <v>XP_007471136.1</v>
      </c>
      <c r="D490">
        <v>26246</v>
      </c>
      <c r="E490" t="str">
        <f>HYPERLINK("http://www.ncbi.nlm.nih.gov/Taxonomy/Browser/wwwtax.cgi?mode=Info&amp;id=118797&amp;lvl=3&amp;lin=f&amp;keep=1&amp;srchmode=1&amp;unlock","118797")</f>
        <v>118797</v>
      </c>
      <c r="F490" t="s">
        <v>96</v>
      </c>
      <c r="G490" t="str">
        <f>HYPERLINK("http://www.ncbi.nlm.nih.gov/Taxonomy/Browser/wwwtax.cgi?mode=Info&amp;id=118797&amp;lvl=3&amp;lin=f&amp;keep=1&amp;srchmode=1&amp;unlock","Lipotes vexillifer")</f>
        <v>Lipotes vexillifer</v>
      </c>
      <c r="H490" t="s">
        <v>499</v>
      </c>
      <c r="I490" t="str">
        <f>HYPERLINK("http://www.ncbi.nlm.nih.gov/protein/XP_007471136.1","PREDICTED: ryanodine receptor 1 isoform X2")</f>
        <v>PREDICTED: ryanodine receptor 1 isoform X2</v>
      </c>
      <c r="J490">
        <v>6645.45</v>
      </c>
      <c r="K490" t="s">
        <v>19</v>
      </c>
      <c r="L490">
        <v>276</v>
      </c>
      <c r="M490">
        <v>9.75</v>
      </c>
      <c r="N490">
        <v>63.57</v>
      </c>
      <c r="O490" t="s">
        <v>19</v>
      </c>
      <c r="P490" t="s">
        <v>20</v>
      </c>
      <c r="Q490" t="s">
        <v>19</v>
      </c>
      <c r="R490" t="str">
        <f>HYPERLINK("https://cfpub.epa.gov/ecotox/explore.cfm?ncbi=118797","Explore in ECOTOX")</f>
        <v>Explore in ECOTOX</v>
      </c>
    </row>
    <row r="491" spans="1:18" x14ac:dyDescent="0.45">
      <c r="A491" t="s">
        <v>1264</v>
      </c>
      <c r="B491">
        <v>8</v>
      </c>
      <c r="C491" t="str">
        <f>HYPERLINK("http://www.ncbi.nlm.nih.gov/protein/NXG65947.1","NXG65947.1")</f>
        <v>NXG65947.1</v>
      </c>
      <c r="D491">
        <v>13817</v>
      </c>
      <c r="E491" t="str">
        <f>HYPERLINK("http://www.ncbi.nlm.nih.gov/Taxonomy/Browser/wwwtax.cgi?mode=Info&amp;id=243314&amp;lvl=3&amp;lin=f&amp;keep=1&amp;srchmode=1&amp;unlock","243314")</f>
        <v>243314</v>
      </c>
      <c r="F491" t="s">
        <v>241</v>
      </c>
      <c r="G491" t="str">
        <f>HYPERLINK("http://www.ncbi.nlm.nih.gov/Taxonomy/Browser/wwwtax.cgi?mode=Info&amp;id=243314&amp;lvl=3&amp;lin=f&amp;keep=1&amp;srchmode=1&amp;unlock","Hemiprocne comata")</f>
        <v>Hemiprocne comata</v>
      </c>
      <c r="H491" t="s">
        <v>500</v>
      </c>
      <c r="I491" t="str">
        <f>HYPERLINK("http://www.ncbi.nlm.nih.gov/protein/NXG65947.1","RYR2 protein")</f>
        <v>RYR2 protein</v>
      </c>
      <c r="J491">
        <v>6631.2</v>
      </c>
      <c r="K491" t="s">
        <v>22</v>
      </c>
      <c r="L491">
        <v>276</v>
      </c>
      <c r="M491">
        <v>9.75</v>
      </c>
      <c r="N491">
        <v>63.43</v>
      </c>
      <c r="O491" t="s">
        <v>19</v>
      </c>
      <c r="P491" t="s">
        <v>20</v>
      </c>
      <c r="Q491" t="s">
        <v>19</v>
      </c>
      <c r="R491" t="str">
        <f>HYPERLINK("https://cfpub.epa.gov/ecotox/explore.cfm?ncbi=243314","Explore in ECOTOX")</f>
        <v>Explore in ECOTOX</v>
      </c>
    </row>
    <row r="492" spans="1:18" x14ac:dyDescent="0.45">
      <c r="A492" t="s">
        <v>1264</v>
      </c>
      <c r="B492">
        <v>8</v>
      </c>
      <c r="C492" t="str">
        <f>HYPERLINK("http://www.ncbi.nlm.nih.gov/protein/XP_056432662.1","XP_056432662.1")</f>
        <v>XP_056432662.1</v>
      </c>
      <c r="D492">
        <v>37803</v>
      </c>
      <c r="E492" t="str">
        <f>HYPERLINK("http://www.ncbi.nlm.nih.gov/Taxonomy/Browser/wwwtax.cgi?mode=Info&amp;id=1042646&amp;lvl=3&amp;lin=f&amp;keep=1&amp;srchmode=1&amp;unlock","1042646")</f>
        <v>1042646</v>
      </c>
      <c r="F492" t="s">
        <v>17</v>
      </c>
      <c r="G492" t="str">
        <f>HYPERLINK("http://www.ncbi.nlm.nih.gov/Taxonomy/Browser/wwwtax.cgi?mode=Info&amp;id=1042646&amp;lvl=3&amp;lin=f&amp;keep=1&amp;srchmode=1&amp;unlock","Gadus chalcogrammus")</f>
        <v>Gadus chalcogrammus</v>
      </c>
      <c r="H492" t="s">
        <v>501</v>
      </c>
      <c r="I492" t="str">
        <f>HYPERLINK("http://www.ncbi.nlm.nih.gov/protein/XP_056432662.1","ryanodine receptor 2")</f>
        <v>ryanodine receptor 2</v>
      </c>
      <c r="J492">
        <v>6619.64</v>
      </c>
      <c r="K492" t="s">
        <v>22</v>
      </c>
      <c r="L492">
        <v>276</v>
      </c>
      <c r="M492">
        <v>9.75</v>
      </c>
      <c r="N492">
        <v>63.32</v>
      </c>
      <c r="O492" t="s">
        <v>19</v>
      </c>
      <c r="P492" t="s">
        <v>20</v>
      </c>
      <c r="Q492" t="s">
        <v>19</v>
      </c>
      <c r="R492" t="str">
        <f>HYPERLINK("https://cfpub.epa.gov/ecotox/explore.cfm?ncbi=1042646","Explore in ECOTOX")</f>
        <v>Explore in ECOTOX</v>
      </c>
    </row>
    <row r="493" spans="1:18" x14ac:dyDescent="0.45">
      <c r="A493" t="s">
        <v>1264</v>
      </c>
      <c r="B493">
        <v>8</v>
      </c>
      <c r="C493" t="str">
        <f>HYPERLINK("http://www.ncbi.nlm.nih.gov/protein/XP_043390469.1","XP_043390469.1")</f>
        <v>XP_043390469.1</v>
      </c>
      <c r="D493">
        <v>90498</v>
      </c>
      <c r="E493" t="str">
        <f>HYPERLINK("http://www.ncbi.nlm.nih.gov/Taxonomy/Browser/wwwtax.cgi?mode=Info&amp;id=8469&amp;lvl=3&amp;lin=f&amp;keep=1&amp;srchmode=1&amp;unlock","8469")</f>
        <v>8469</v>
      </c>
      <c r="F493" t="s">
        <v>203</v>
      </c>
      <c r="G493" t="str">
        <f>HYPERLINK("http://www.ncbi.nlm.nih.gov/Taxonomy/Browser/wwwtax.cgi?mode=Info&amp;id=8469&amp;lvl=3&amp;lin=f&amp;keep=1&amp;srchmode=1&amp;unlock","Chelonia mydas")</f>
        <v>Chelonia mydas</v>
      </c>
      <c r="H493" t="s">
        <v>502</v>
      </c>
      <c r="I493" t="str">
        <f>HYPERLINK("http://www.ncbi.nlm.nih.gov/protein/XP_043390469.1","ryanodine receptor 1 isoform X2")</f>
        <v>ryanodine receptor 1 isoform X2</v>
      </c>
      <c r="J493">
        <v>6573.03</v>
      </c>
      <c r="K493" t="s">
        <v>19</v>
      </c>
      <c r="L493">
        <v>276</v>
      </c>
      <c r="M493">
        <v>9.75</v>
      </c>
      <c r="N493">
        <v>62.88</v>
      </c>
      <c r="O493" t="s">
        <v>19</v>
      </c>
      <c r="P493" t="s">
        <v>20</v>
      </c>
      <c r="Q493" t="s">
        <v>19</v>
      </c>
      <c r="R493" t="str">
        <f>HYPERLINK("https://cfpub.epa.gov/ecotox/explore.cfm?ncbi=8469","Explore in ECOTOX")</f>
        <v>Explore in ECOTOX</v>
      </c>
    </row>
    <row r="494" spans="1:18" x14ac:dyDescent="0.45">
      <c r="A494" t="s">
        <v>1264</v>
      </c>
      <c r="B494">
        <v>8</v>
      </c>
      <c r="C494" t="str">
        <f>HYPERLINK("http://www.ncbi.nlm.nih.gov/protein/XP_014384760.1","XP_014384760.1")</f>
        <v>XP_014384760.1</v>
      </c>
      <c r="D494">
        <v>60320</v>
      </c>
      <c r="E494" t="str">
        <f>HYPERLINK("http://www.ncbi.nlm.nih.gov/Taxonomy/Browser/wwwtax.cgi?mode=Info&amp;id=109478&amp;lvl=3&amp;lin=f&amp;keep=1&amp;srchmode=1&amp;unlock","109478")</f>
        <v>109478</v>
      </c>
      <c r="F494" t="s">
        <v>96</v>
      </c>
      <c r="G494" t="str">
        <f>HYPERLINK("http://www.ncbi.nlm.nih.gov/Taxonomy/Browser/wwwtax.cgi?mode=Info&amp;id=109478&amp;lvl=3&amp;lin=f&amp;keep=1&amp;srchmode=1&amp;unlock","Myotis brandtii")</f>
        <v>Myotis brandtii</v>
      </c>
      <c r="H494" t="s">
        <v>503</v>
      </c>
      <c r="I494" t="str">
        <f>HYPERLINK("http://www.ncbi.nlm.nih.gov/protein/XP_014384760.1","PREDICTED: ryanodine receptor 2")</f>
        <v>PREDICTED: ryanodine receptor 2</v>
      </c>
      <c r="J494">
        <v>6551.46</v>
      </c>
      <c r="K494" t="s">
        <v>22</v>
      </c>
      <c r="L494">
        <v>276</v>
      </c>
      <c r="M494">
        <v>9.75</v>
      </c>
      <c r="N494">
        <v>62.67</v>
      </c>
      <c r="O494" t="s">
        <v>19</v>
      </c>
      <c r="P494" t="s">
        <v>20</v>
      </c>
      <c r="Q494" t="s">
        <v>19</v>
      </c>
      <c r="R494" t="str">
        <f>HYPERLINK("https://cfpub.epa.gov/ecotox/explore.cfm?ncbi=109478","Explore in ECOTOX")</f>
        <v>Explore in ECOTOX</v>
      </c>
    </row>
    <row r="495" spans="1:18" x14ac:dyDescent="0.45">
      <c r="A495" t="s">
        <v>1264</v>
      </c>
      <c r="B495">
        <v>8</v>
      </c>
      <c r="C495" t="str">
        <f>HYPERLINK("http://www.ncbi.nlm.nih.gov/protein/NWY06141.1","NWY06141.1")</f>
        <v>NWY06141.1</v>
      </c>
      <c r="D495">
        <v>13760</v>
      </c>
      <c r="E495" t="str">
        <f>HYPERLINK("http://www.ncbi.nlm.nih.gov/Taxonomy/Browser/wwwtax.cgi?mode=Info&amp;id=83376&amp;lvl=3&amp;lin=f&amp;keep=1&amp;srchmode=1&amp;unlock","83376")</f>
        <v>83376</v>
      </c>
      <c r="F495" t="s">
        <v>241</v>
      </c>
      <c r="G495" t="str">
        <f>HYPERLINK("http://www.ncbi.nlm.nih.gov/Taxonomy/Browser/wwwtax.cgi?mode=Info&amp;id=83376&amp;lvl=3&amp;lin=f&amp;keep=1&amp;srchmode=1&amp;unlock","Nothoprocta ornata")</f>
        <v>Nothoprocta ornata</v>
      </c>
      <c r="H495" t="s">
        <v>367</v>
      </c>
      <c r="I495" t="str">
        <f>HYPERLINK("http://www.ncbi.nlm.nih.gov/protein/NWY06141.1","RYR2 protein")</f>
        <v>RYR2 protein</v>
      </c>
      <c r="J495">
        <v>6522.57</v>
      </c>
      <c r="K495" t="s">
        <v>22</v>
      </c>
      <c r="L495">
        <v>276</v>
      </c>
      <c r="M495">
        <v>9.75</v>
      </c>
      <c r="N495">
        <v>62.39</v>
      </c>
      <c r="O495" t="s">
        <v>19</v>
      </c>
      <c r="P495" t="s">
        <v>20</v>
      </c>
      <c r="Q495" t="s">
        <v>19</v>
      </c>
      <c r="R495" t="str">
        <f>HYPERLINK("https://cfpub.epa.gov/ecotox/explore.cfm?ncbi=83376","Explore in ECOTOX")</f>
        <v>Explore in ECOTOX</v>
      </c>
    </row>
    <row r="496" spans="1:18" x14ac:dyDescent="0.45">
      <c r="A496" t="s">
        <v>1264</v>
      </c>
      <c r="B496">
        <v>8</v>
      </c>
      <c r="C496" t="str">
        <f>HYPERLINK("http://www.ncbi.nlm.nih.gov/protein/XP_017166271.1","XP_017166271.1")</f>
        <v>XP_017166271.1</v>
      </c>
      <c r="D496">
        <v>45432</v>
      </c>
      <c r="E496" t="str">
        <f>HYPERLINK("http://www.ncbi.nlm.nih.gov/Taxonomy/Browser/wwwtax.cgi?mode=Info&amp;id=8081&amp;lvl=3&amp;lin=f&amp;keep=1&amp;srchmode=1&amp;unlock","8081")</f>
        <v>8081</v>
      </c>
      <c r="F496" t="s">
        <v>17</v>
      </c>
      <c r="G496" t="str">
        <f>HYPERLINK("http://www.ncbi.nlm.nih.gov/Taxonomy/Browser/wwwtax.cgi?mode=Info&amp;id=8081&amp;lvl=3&amp;lin=f&amp;keep=1&amp;srchmode=1&amp;unlock","Poecilia reticulata")</f>
        <v>Poecilia reticulata</v>
      </c>
      <c r="H496" t="s">
        <v>504</v>
      </c>
      <c r="I496" t="str">
        <f>HYPERLINK("http://www.ncbi.nlm.nih.gov/protein/XP_017166271.1","PREDICTED: ryanodine receptor 2 isoform X2")</f>
        <v>PREDICTED: ryanodine receptor 2 isoform X2</v>
      </c>
      <c r="J496">
        <v>6504.85</v>
      </c>
      <c r="K496" t="s">
        <v>22</v>
      </c>
      <c r="L496">
        <v>276</v>
      </c>
      <c r="M496">
        <v>9.75</v>
      </c>
      <c r="N496">
        <v>62.22</v>
      </c>
      <c r="O496" t="s">
        <v>19</v>
      </c>
      <c r="P496" t="s">
        <v>20</v>
      </c>
      <c r="Q496" t="s">
        <v>19</v>
      </c>
      <c r="R496" t="str">
        <f>HYPERLINK("https://cfpub.epa.gov/ecotox/explore.cfm?ncbi=8081","Explore in ECOTOX")</f>
        <v>Explore in ECOTOX</v>
      </c>
    </row>
    <row r="497" spans="1:18" x14ac:dyDescent="0.45">
      <c r="A497" t="s">
        <v>1264</v>
      </c>
      <c r="B497">
        <v>8</v>
      </c>
      <c r="C497" t="str">
        <f>HYPERLINK("http://www.ncbi.nlm.nih.gov/protein/XP_023600319.1","XP_023600319.1")</f>
        <v>XP_023600319.1</v>
      </c>
      <c r="D497">
        <v>44097</v>
      </c>
      <c r="E497" t="str">
        <f>HYPERLINK("http://www.ncbi.nlm.nih.gov/Taxonomy/Browser/wwwtax.cgi?mode=Info&amp;id=59463&amp;lvl=3&amp;lin=f&amp;keep=1&amp;srchmode=1&amp;unlock","59463")</f>
        <v>59463</v>
      </c>
      <c r="F497" t="s">
        <v>96</v>
      </c>
      <c r="G497" t="str">
        <f>HYPERLINK("http://www.ncbi.nlm.nih.gov/Taxonomy/Browser/wwwtax.cgi?mode=Info&amp;id=59463&amp;lvl=3&amp;lin=f&amp;keep=1&amp;srchmode=1&amp;unlock","Myotis lucifugus")</f>
        <v>Myotis lucifugus</v>
      </c>
      <c r="H497" t="s">
        <v>505</v>
      </c>
      <c r="I497" t="str">
        <f>HYPERLINK("http://www.ncbi.nlm.nih.gov/protein/XP_023600319.1","LOW QUALITY PROTEIN: ryanodine receptor 2")</f>
        <v>LOW QUALITY PROTEIN: ryanodine receptor 2</v>
      </c>
      <c r="J497">
        <v>6492.52</v>
      </c>
      <c r="K497" t="s">
        <v>22</v>
      </c>
      <c r="L497">
        <v>276</v>
      </c>
      <c r="M497">
        <v>9.75</v>
      </c>
      <c r="N497">
        <v>62.11</v>
      </c>
      <c r="O497" t="s">
        <v>19</v>
      </c>
      <c r="P497" t="s">
        <v>20</v>
      </c>
      <c r="Q497" t="s">
        <v>19</v>
      </c>
      <c r="R497" t="str">
        <f>HYPERLINK("https://cfpub.epa.gov/ecotox/explore.cfm?ncbi=59463","Explore in ECOTOX")</f>
        <v>Explore in ECOTOX</v>
      </c>
    </row>
    <row r="498" spans="1:18" x14ac:dyDescent="0.45">
      <c r="A498" t="s">
        <v>1264</v>
      </c>
      <c r="B498">
        <v>8</v>
      </c>
      <c r="C498" t="str">
        <f>HYPERLINK("http://www.ncbi.nlm.nih.gov/protein/XP_031983065.1","XP_031983065.1")</f>
        <v>XP_031983065.1</v>
      </c>
      <c r="D498">
        <v>56759</v>
      </c>
      <c r="E498" t="str">
        <f>HYPERLINK("http://www.ncbi.nlm.nih.gov/Taxonomy/Browser/wwwtax.cgi?mode=Info&amp;id=1196302&amp;lvl=3&amp;lin=f&amp;keep=1&amp;srchmode=1&amp;unlock","1196302")</f>
        <v>1196302</v>
      </c>
      <c r="F498" t="s">
        <v>241</v>
      </c>
      <c r="G498" t="str">
        <f>HYPERLINK("http://www.ncbi.nlm.nih.gov/Taxonomy/Browser/wwwtax.cgi?mode=Info&amp;id=1196302&amp;lvl=3&amp;lin=f&amp;keep=1&amp;srchmode=1&amp;unlock","Corvus moneduloides")</f>
        <v>Corvus moneduloides</v>
      </c>
      <c r="H498" t="s">
        <v>506</v>
      </c>
      <c r="I498" t="str">
        <f>HYPERLINK("http://www.ncbi.nlm.nih.gov/protein/XP_031983065.1","ryanodine receptor 1")</f>
        <v>ryanodine receptor 1</v>
      </c>
      <c r="J498">
        <v>6449.77</v>
      </c>
      <c r="K498" t="s">
        <v>19</v>
      </c>
      <c r="L498">
        <v>276</v>
      </c>
      <c r="M498">
        <v>9.75</v>
      </c>
      <c r="N498">
        <v>61.7</v>
      </c>
      <c r="O498" t="s">
        <v>19</v>
      </c>
      <c r="P498" t="s">
        <v>20</v>
      </c>
      <c r="Q498" t="s">
        <v>19</v>
      </c>
      <c r="R498" t="str">
        <f>HYPERLINK("https://cfpub.epa.gov/ecotox/explore.cfm?ncbi=1196302","Explore in ECOTOX")</f>
        <v>Explore in ECOTOX</v>
      </c>
    </row>
    <row r="499" spans="1:18" x14ac:dyDescent="0.45">
      <c r="A499" t="s">
        <v>1264</v>
      </c>
      <c r="B499">
        <v>8</v>
      </c>
      <c r="C499" t="str">
        <f>HYPERLINK("http://www.ncbi.nlm.nih.gov/protein/KFV20152.1","KFV20152.1")</f>
        <v>KFV20152.1</v>
      </c>
      <c r="D499">
        <v>28571</v>
      </c>
      <c r="E499" t="str">
        <f>HYPERLINK("http://www.ncbi.nlm.nih.gov/Taxonomy/Browser/wwwtax.cgi?mode=Info&amp;id=121530&amp;lvl=3&amp;lin=f&amp;keep=1&amp;srchmode=1&amp;unlock","121530")</f>
        <v>121530</v>
      </c>
      <c r="F499" t="s">
        <v>241</v>
      </c>
      <c r="G499" t="str">
        <f>HYPERLINK("http://www.ncbi.nlm.nih.gov/Taxonomy/Browser/wwwtax.cgi?mode=Info&amp;id=121530&amp;lvl=3&amp;lin=f&amp;keep=1&amp;srchmode=1&amp;unlock","Tauraco erythrolophus")</f>
        <v>Tauraco erythrolophus</v>
      </c>
      <c r="H499" t="s">
        <v>507</v>
      </c>
      <c r="I499" t="str">
        <f>HYPERLINK("http://www.ncbi.nlm.nih.gov/protein/KFV20152.1","Ryanodine receptor 2, partial")</f>
        <v>Ryanodine receptor 2, partial</v>
      </c>
      <c r="J499">
        <v>6447.46</v>
      </c>
      <c r="K499" t="s">
        <v>22</v>
      </c>
      <c r="L499">
        <v>276</v>
      </c>
      <c r="M499">
        <v>9.75</v>
      </c>
      <c r="N499">
        <v>61.68</v>
      </c>
      <c r="O499" t="s">
        <v>19</v>
      </c>
      <c r="P499" t="s">
        <v>20</v>
      </c>
      <c r="Q499" t="s">
        <v>19</v>
      </c>
      <c r="R499" t="str">
        <f>HYPERLINK("https://cfpub.epa.gov/ecotox/explore.cfm?ncbi=121530","Explore in ECOTOX")</f>
        <v>Explore in ECOTOX</v>
      </c>
    </row>
    <row r="500" spans="1:18" x14ac:dyDescent="0.45">
      <c r="A500" t="s">
        <v>1264</v>
      </c>
      <c r="B500">
        <v>8</v>
      </c>
      <c r="C500" t="str">
        <f>HYPERLINK("http://www.ncbi.nlm.nih.gov/protein/XP_058678819.1","XP_058678819.1")</f>
        <v>XP_058678819.1</v>
      </c>
      <c r="D500">
        <v>25903</v>
      </c>
      <c r="E500" t="str">
        <f>HYPERLINK("http://www.ncbi.nlm.nih.gov/Taxonomy/Browser/wwwtax.cgi?mode=Info&amp;id=2857398&amp;lvl=3&amp;lin=f&amp;keep=1&amp;srchmode=1&amp;unlock","2857398")</f>
        <v>2857398</v>
      </c>
      <c r="F500" t="s">
        <v>241</v>
      </c>
      <c r="G500" t="str">
        <f>HYPERLINK("http://www.ncbi.nlm.nih.gov/Taxonomy/Browser/wwwtax.cgi?mode=Info&amp;id=2857398&amp;lvl=3&amp;lin=f&amp;keep=1&amp;srchmode=1&amp;unlock","Ammospiza caudacuta")</f>
        <v>Ammospiza caudacuta</v>
      </c>
      <c r="H500" t="s">
        <v>435</v>
      </c>
      <c r="I500" t="str">
        <f>HYPERLINK("http://www.ncbi.nlm.nih.gov/protein/XP_058678819.1","ryanodine receptor 1")</f>
        <v>ryanodine receptor 1</v>
      </c>
      <c r="J500">
        <v>6423.57</v>
      </c>
      <c r="K500" t="s">
        <v>19</v>
      </c>
      <c r="L500">
        <v>276</v>
      </c>
      <c r="M500">
        <v>9.75</v>
      </c>
      <c r="N500">
        <v>61.45</v>
      </c>
      <c r="O500" t="s">
        <v>19</v>
      </c>
      <c r="P500" t="s">
        <v>20</v>
      </c>
      <c r="Q500" t="s">
        <v>19</v>
      </c>
      <c r="R500" t="str">
        <f>HYPERLINK("https://cfpub.epa.gov/ecotox/explore.cfm?ncbi=2857398","Explore in ECOTOX")</f>
        <v>Explore in ECOTOX</v>
      </c>
    </row>
    <row r="501" spans="1:18" x14ac:dyDescent="0.45">
      <c r="A501" t="s">
        <v>1264</v>
      </c>
      <c r="B501">
        <v>8</v>
      </c>
      <c r="C501" t="str">
        <f>HYPERLINK("http://www.ncbi.nlm.nih.gov/protein/XP_009960230.1","XP_009960230.1")</f>
        <v>XP_009960230.1</v>
      </c>
      <c r="D501">
        <v>28808</v>
      </c>
      <c r="E501" t="str">
        <f>HYPERLINK("http://www.ncbi.nlm.nih.gov/Taxonomy/Browser/wwwtax.cgi?mode=Info&amp;id=188344&amp;lvl=3&amp;lin=f&amp;keep=1&amp;srchmode=1&amp;unlock","188344")</f>
        <v>188344</v>
      </c>
      <c r="F501" t="s">
        <v>241</v>
      </c>
      <c r="G501" t="str">
        <f>HYPERLINK("http://www.ncbi.nlm.nih.gov/Taxonomy/Browser/wwwtax.cgi?mode=Info&amp;id=188344&amp;lvl=3&amp;lin=f&amp;keep=1&amp;srchmode=1&amp;unlock","Leptosomus discolor")</f>
        <v>Leptosomus discolor</v>
      </c>
      <c r="H501" t="s">
        <v>508</v>
      </c>
      <c r="I501" t="str">
        <f>HYPERLINK("http://www.ncbi.nlm.nih.gov/protein/XP_009960230.1","PREDICTED: ryanodine receptor 2, partial")</f>
        <v>PREDICTED: ryanodine receptor 2, partial</v>
      </c>
      <c r="J501">
        <v>6417.41</v>
      </c>
      <c r="K501" t="s">
        <v>22</v>
      </c>
      <c r="L501">
        <v>276</v>
      </c>
      <c r="M501">
        <v>9.75</v>
      </c>
      <c r="N501">
        <v>61.39</v>
      </c>
      <c r="O501" t="s">
        <v>19</v>
      </c>
      <c r="P501" t="s">
        <v>20</v>
      </c>
      <c r="Q501" t="s">
        <v>19</v>
      </c>
      <c r="R501" t="str">
        <f>HYPERLINK("https://cfpub.epa.gov/ecotox/explore.cfm?ncbi=188344","Explore in ECOTOX")</f>
        <v>Explore in ECOTOX</v>
      </c>
    </row>
    <row r="502" spans="1:18" x14ac:dyDescent="0.45">
      <c r="A502" t="s">
        <v>1264</v>
      </c>
      <c r="B502">
        <v>8</v>
      </c>
      <c r="C502" t="str">
        <f>HYPERLINK("http://www.ncbi.nlm.nih.gov/protein/XP_056888726.1","XP_056888726.1")</f>
        <v>XP_056888726.1</v>
      </c>
      <c r="D502">
        <v>77522</v>
      </c>
      <c r="E502" t="str">
        <f>HYPERLINK("http://www.ncbi.nlm.nih.gov/Taxonomy/Browser/wwwtax.cgi?mode=Info&amp;id=433684&amp;lvl=3&amp;lin=f&amp;keep=1&amp;srchmode=1&amp;unlock","433684")</f>
        <v>433684</v>
      </c>
      <c r="F502" t="s">
        <v>17</v>
      </c>
      <c r="G502" t="str">
        <f>HYPERLINK("http://www.ncbi.nlm.nih.gov/Taxonomy/Browser/wwwtax.cgi?mode=Info&amp;id=433684&amp;lvl=3&amp;lin=f&amp;keep=1&amp;srchmode=1&amp;unlock","Takifugu flavidus")</f>
        <v>Takifugu flavidus</v>
      </c>
      <c r="H502" t="s">
        <v>509</v>
      </c>
      <c r="I502" t="str">
        <f>HYPERLINK("http://www.ncbi.nlm.nih.gov/protein/XP_056888726.1","ryanodine receptor 2 isoform X1")</f>
        <v>ryanodine receptor 2 isoform X1</v>
      </c>
      <c r="J502">
        <v>6380.82</v>
      </c>
      <c r="K502" t="s">
        <v>22</v>
      </c>
      <c r="L502">
        <v>276</v>
      </c>
      <c r="M502">
        <v>9.75</v>
      </c>
      <c r="N502">
        <v>61.04</v>
      </c>
      <c r="O502" t="s">
        <v>19</v>
      </c>
      <c r="P502" t="s">
        <v>20</v>
      </c>
      <c r="Q502" t="s">
        <v>19</v>
      </c>
      <c r="R502" t="str">
        <f>HYPERLINK("https://cfpub.epa.gov/ecotox/explore.cfm?ncbi=433684","Explore in ECOTOX")</f>
        <v>Explore in ECOTOX</v>
      </c>
    </row>
    <row r="503" spans="1:18" x14ac:dyDescent="0.45">
      <c r="A503" t="s">
        <v>1264</v>
      </c>
      <c r="B503">
        <v>8</v>
      </c>
      <c r="C503" t="str">
        <f>HYPERLINK("http://www.ncbi.nlm.nih.gov/protein/XP_009068059.1","XP_009068059.1")</f>
        <v>XP_009068059.1</v>
      </c>
      <c r="D503">
        <v>28093</v>
      </c>
      <c r="E503" t="str">
        <f>HYPERLINK("http://www.ncbi.nlm.nih.gov/Taxonomy/Browser/wwwtax.cgi?mode=Info&amp;id=57068&amp;lvl=3&amp;lin=f&amp;keep=1&amp;srchmode=1&amp;unlock","57068")</f>
        <v>57068</v>
      </c>
      <c r="F503" t="s">
        <v>241</v>
      </c>
      <c r="G503" t="str">
        <f>HYPERLINK("http://www.ncbi.nlm.nih.gov/Taxonomy/Browser/wwwtax.cgi?mode=Info&amp;id=57068&amp;lvl=3&amp;lin=f&amp;keep=1&amp;srchmode=1&amp;unlock","Acanthisitta chloris")</f>
        <v>Acanthisitta chloris</v>
      </c>
      <c r="H503" t="s">
        <v>510</v>
      </c>
      <c r="I503" t="str">
        <f>HYPERLINK("http://www.ncbi.nlm.nih.gov/protein/XP_009068059.1","PREDICTED: ryanodine receptor 2, partial")</f>
        <v>PREDICTED: ryanodine receptor 2, partial</v>
      </c>
      <c r="J503">
        <v>6370.8</v>
      </c>
      <c r="K503" t="s">
        <v>22</v>
      </c>
      <c r="L503">
        <v>276</v>
      </c>
      <c r="M503">
        <v>9.75</v>
      </c>
      <c r="N503">
        <v>60.94</v>
      </c>
      <c r="O503" t="s">
        <v>19</v>
      </c>
      <c r="P503" t="s">
        <v>20</v>
      </c>
      <c r="Q503" t="s">
        <v>19</v>
      </c>
      <c r="R503" t="str">
        <f>HYPERLINK("https://cfpub.epa.gov/ecotox/explore.cfm?ncbi=57068","Explore in ECOTOX")</f>
        <v>Explore in ECOTOX</v>
      </c>
    </row>
    <row r="504" spans="1:18" x14ac:dyDescent="0.45">
      <c r="A504" t="s">
        <v>1264</v>
      </c>
      <c r="B504">
        <v>8</v>
      </c>
      <c r="C504" t="str">
        <f>HYPERLINK("http://www.ncbi.nlm.nih.gov/protein/XP_020732882.1","XP_020732882.1")</f>
        <v>XP_020732882.1</v>
      </c>
      <c r="D504">
        <v>48222</v>
      </c>
      <c r="E504" t="str">
        <f>HYPERLINK("http://www.ncbi.nlm.nih.gov/Taxonomy/Browser/wwwtax.cgi?mode=Info&amp;id=9880&amp;lvl=3&amp;lin=f&amp;keep=1&amp;srchmode=1&amp;unlock","9880")</f>
        <v>9880</v>
      </c>
      <c r="F504" t="s">
        <v>96</v>
      </c>
      <c r="G504" t="str">
        <f>HYPERLINK("http://www.ncbi.nlm.nih.gov/Taxonomy/Browser/wwwtax.cgi?mode=Info&amp;id=9880&amp;lvl=3&amp;lin=f&amp;keep=1&amp;srchmode=1&amp;unlock","Odocoileus virginianus texanus")</f>
        <v>Odocoileus virginianus texanus</v>
      </c>
      <c r="H504" t="s">
        <v>511</v>
      </c>
      <c r="I504" t="str">
        <f>HYPERLINK("http://www.ncbi.nlm.nih.gov/protein/XP_020732882.1","ryanodine receptor 2")</f>
        <v>ryanodine receptor 2</v>
      </c>
      <c r="J504">
        <v>6348.46</v>
      </c>
      <c r="K504" t="s">
        <v>22</v>
      </c>
      <c r="L504">
        <v>276</v>
      </c>
      <c r="M504">
        <v>9.75</v>
      </c>
      <c r="N504">
        <v>60.73</v>
      </c>
      <c r="O504" t="s">
        <v>19</v>
      </c>
      <c r="P504" t="s">
        <v>20</v>
      </c>
      <c r="Q504" t="s">
        <v>19</v>
      </c>
      <c r="R504" t="str">
        <f>HYPERLINK("https://cfpub.epa.gov/ecotox/explore.cfm?ncbi=9880","Explore in ECOTOX")</f>
        <v>Explore in ECOTOX</v>
      </c>
    </row>
    <row r="505" spans="1:18" x14ac:dyDescent="0.45">
      <c r="A505" t="s">
        <v>1264</v>
      </c>
      <c r="B505">
        <v>8</v>
      </c>
      <c r="C505" t="str">
        <f>HYPERLINK("http://www.ncbi.nlm.nih.gov/protein/XP_053825321.1","XP_053825321.1")</f>
        <v>XP_053825321.1</v>
      </c>
      <c r="D505">
        <v>48332</v>
      </c>
      <c r="E505" t="str">
        <f>HYPERLINK("http://www.ncbi.nlm.nih.gov/Taxonomy/Browser/wwwtax.cgi?mode=Info&amp;id=187451&amp;lvl=3&amp;lin=f&amp;keep=1&amp;srchmode=1&amp;unlock","187451")</f>
        <v>187451</v>
      </c>
      <c r="F505" t="s">
        <v>241</v>
      </c>
      <c r="G505" t="str">
        <f>HYPERLINK("http://www.ncbi.nlm.nih.gov/Taxonomy/Browser/wwwtax.cgi?mode=Info&amp;id=187451&amp;lvl=3&amp;lin=f&amp;keep=1&amp;srchmode=1&amp;unlock","Vidua macroura")</f>
        <v>Vidua macroura</v>
      </c>
      <c r="H505" t="s">
        <v>512</v>
      </c>
      <c r="I505" t="str">
        <f>HYPERLINK("http://www.ncbi.nlm.nih.gov/protein/XP_053825321.1","LOW QUALITY PROTEIN: ryanodine receptor 1-like, partial")</f>
        <v>LOW QUALITY PROTEIN: ryanodine receptor 1-like, partial</v>
      </c>
      <c r="J505">
        <v>6337.67</v>
      </c>
      <c r="K505" t="s">
        <v>19</v>
      </c>
      <c r="L505">
        <v>276</v>
      </c>
      <c r="M505">
        <v>9.75</v>
      </c>
      <c r="N505">
        <v>60.62</v>
      </c>
      <c r="O505" t="s">
        <v>19</v>
      </c>
      <c r="P505" t="s">
        <v>20</v>
      </c>
      <c r="Q505" t="s">
        <v>19</v>
      </c>
      <c r="R505" t="str">
        <f>HYPERLINK("https://cfpub.epa.gov/ecotox/explore.cfm?ncbi=187451","Explore in ECOTOX")</f>
        <v>Explore in ECOTOX</v>
      </c>
    </row>
    <row r="506" spans="1:18" x14ac:dyDescent="0.45">
      <c r="A506" t="s">
        <v>1264</v>
      </c>
      <c r="B506">
        <v>8</v>
      </c>
      <c r="C506" t="str">
        <f>HYPERLINK("http://www.ncbi.nlm.nih.gov/protein/XP_026171554.1","XP_026171554.1")</f>
        <v>XP_026171554.1</v>
      </c>
      <c r="D506">
        <v>42546</v>
      </c>
      <c r="E506" t="str">
        <f>HYPERLINK("http://www.ncbi.nlm.nih.gov/Taxonomy/Browser/wwwtax.cgi?mode=Info&amp;id=205130&amp;lvl=3&amp;lin=f&amp;keep=1&amp;srchmode=1&amp;unlock","205130")</f>
        <v>205130</v>
      </c>
      <c r="F506" t="s">
        <v>17</v>
      </c>
      <c r="G506" t="str">
        <f>HYPERLINK("http://www.ncbi.nlm.nih.gov/Taxonomy/Browser/wwwtax.cgi?mode=Info&amp;id=205130&amp;lvl=3&amp;lin=f&amp;keep=1&amp;srchmode=1&amp;unlock","Mastacembelus armatus")</f>
        <v>Mastacembelus armatus</v>
      </c>
      <c r="H506" t="s">
        <v>513</v>
      </c>
      <c r="I506" t="str">
        <f>HYPERLINK("http://www.ncbi.nlm.nih.gov/protein/XP_026171554.1","LOW QUALITY PROTEIN: ryanodine receptor 2")</f>
        <v>LOW QUALITY PROTEIN: ryanodine receptor 2</v>
      </c>
      <c r="J506">
        <v>6331.9</v>
      </c>
      <c r="K506" t="s">
        <v>22</v>
      </c>
      <c r="L506">
        <v>276</v>
      </c>
      <c r="M506">
        <v>9.75</v>
      </c>
      <c r="N506">
        <v>60.57</v>
      </c>
      <c r="O506" t="s">
        <v>19</v>
      </c>
      <c r="P506" t="s">
        <v>20</v>
      </c>
      <c r="Q506" t="s">
        <v>19</v>
      </c>
      <c r="R506" t="str">
        <f>HYPERLINK("https://cfpub.epa.gov/ecotox/explore.cfm?ncbi=205130","Explore in ECOTOX")</f>
        <v>Explore in ECOTOX</v>
      </c>
    </row>
    <row r="507" spans="1:18" x14ac:dyDescent="0.45">
      <c r="A507" t="s">
        <v>1264</v>
      </c>
      <c r="B507">
        <v>8</v>
      </c>
      <c r="C507" t="str">
        <f>HYPERLINK("http://www.ncbi.nlm.nih.gov/protein/XP_023843847.1","XP_023843847.1")</f>
        <v>XP_023843847.1</v>
      </c>
      <c r="D507">
        <v>60852</v>
      </c>
      <c r="E507" t="str">
        <f>HYPERLINK("http://www.ncbi.nlm.nih.gov/Taxonomy/Browser/wwwtax.cgi?mode=Info&amp;id=8036&amp;lvl=3&amp;lin=f&amp;keep=1&amp;srchmode=1&amp;unlock","8036")</f>
        <v>8036</v>
      </c>
      <c r="F507" t="s">
        <v>17</v>
      </c>
      <c r="G507" t="str">
        <f>HYPERLINK("http://www.ncbi.nlm.nih.gov/Taxonomy/Browser/wwwtax.cgi?mode=Info&amp;id=8036&amp;lvl=3&amp;lin=f&amp;keep=1&amp;srchmode=1&amp;unlock","Salvelinus alpinus")</f>
        <v>Salvelinus alpinus</v>
      </c>
      <c r="H507" t="s">
        <v>514</v>
      </c>
      <c r="I507" t="str">
        <f>HYPERLINK("http://www.ncbi.nlm.nih.gov/protein/XP_023843847.1","LOW QUALITY PROTEIN: ryanodine receptor 1-like")</f>
        <v>LOW QUALITY PROTEIN: ryanodine receptor 1-like</v>
      </c>
      <c r="J507">
        <v>6319.96</v>
      </c>
      <c r="K507" t="s">
        <v>22</v>
      </c>
      <c r="L507">
        <v>276</v>
      </c>
      <c r="M507">
        <v>9.75</v>
      </c>
      <c r="N507">
        <v>60.46</v>
      </c>
      <c r="O507" t="s">
        <v>19</v>
      </c>
      <c r="P507" t="s">
        <v>20</v>
      </c>
      <c r="Q507" t="s">
        <v>19</v>
      </c>
      <c r="R507" t="str">
        <f>HYPERLINK("https://cfpub.epa.gov/ecotox/explore.cfm?ncbi=8036","Explore in ECOTOX")</f>
        <v>Explore in ECOTOX</v>
      </c>
    </row>
    <row r="508" spans="1:18" x14ac:dyDescent="0.45">
      <c r="A508" t="s">
        <v>1264</v>
      </c>
      <c r="B508">
        <v>8</v>
      </c>
      <c r="C508" t="str">
        <f>HYPERLINK("http://www.ncbi.nlm.nih.gov/protein/XP_023583920.1","XP_023583920.1")</f>
        <v>XP_023583920.1</v>
      </c>
      <c r="D508">
        <v>37488</v>
      </c>
      <c r="E508" t="str">
        <f>HYPERLINK("http://www.ncbi.nlm.nih.gov/Taxonomy/Browser/wwwtax.cgi?mode=Info&amp;id=127582&amp;lvl=3&amp;lin=f&amp;keep=1&amp;srchmode=1&amp;unlock","127582")</f>
        <v>127582</v>
      </c>
      <c r="F508" t="s">
        <v>96</v>
      </c>
      <c r="G508" t="str">
        <f>HYPERLINK("http://www.ncbi.nlm.nih.gov/Taxonomy/Browser/wwwtax.cgi?mode=Info&amp;id=127582&amp;lvl=3&amp;lin=f&amp;keep=1&amp;srchmode=1&amp;unlock","Trichechus manatus latirostris")</f>
        <v>Trichechus manatus latirostris</v>
      </c>
      <c r="H508" t="s">
        <v>515</v>
      </c>
      <c r="I508" t="str">
        <f>HYPERLINK("http://www.ncbi.nlm.nih.gov/protein/XP_023583920.1","ryanodine receptor 2")</f>
        <v>ryanodine receptor 2</v>
      </c>
      <c r="J508">
        <v>6313.41</v>
      </c>
      <c r="K508" t="s">
        <v>22</v>
      </c>
      <c r="L508">
        <v>276</v>
      </c>
      <c r="M508">
        <v>9.75</v>
      </c>
      <c r="N508">
        <v>60.39</v>
      </c>
      <c r="O508" t="s">
        <v>19</v>
      </c>
      <c r="P508" t="s">
        <v>20</v>
      </c>
      <c r="Q508" t="s">
        <v>19</v>
      </c>
      <c r="R508" t="str">
        <f>HYPERLINK("https://cfpub.epa.gov/ecotox/explore.cfm?ncbi=127582","Explore in ECOTOX")</f>
        <v>Explore in ECOTOX</v>
      </c>
    </row>
    <row r="509" spans="1:18" x14ac:dyDescent="0.45">
      <c r="A509" t="s">
        <v>1264</v>
      </c>
      <c r="B509">
        <v>8</v>
      </c>
      <c r="C509" t="str">
        <f>HYPERLINK("http://www.ncbi.nlm.nih.gov/protein/XP_054151350.1","XP_054151350.1")</f>
        <v>XP_054151350.1</v>
      </c>
      <c r="D509">
        <v>27149</v>
      </c>
      <c r="E509" t="str">
        <f>HYPERLINK("http://www.ncbi.nlm.nih.gov/Taxonomy/Browser/wwwtax.cgi?mode=Info&amp;id=40204&amp;lvl=3&amp;lin=f&amp;keep=1&amp;srchmode=1&amp;unlock","40204")</f>
        <v>40204</v>
      </c>
      <c r="F509" t="s">
        <v>241</v>
      </c>
      <c r="G509" t="str">
        <f>HYPERLINK("http://www.ncbi.nlm.nih.gov/Taxonomy/Browser/wwwtax.cgi?mode=Info&amp;id=40204&amp;lvl=3&amp;lin=f&amp;keep=1&amp;srchmode=1&amp;unlock","Melozone crissalis")</f>
        <v>Melozone crissalis</v>
      </c>
      <c r="H509" t="s">
        <v>516</v>
      </c>
      <c r="I509" t="str">
        <f>HYPERLINK("http://www.ncbi.nlm.nih.gov/protein/XP_054151350.1","LOW QUALITY PROTEIN: ryanodine receptor 1-like, partial")</f>
        <v>LOW QUALITY PROTEIN: ryanodine receptor 1-like, partial</v>
      </c>
      <c r="J509">
        <v>6260.63</v>
      </c>
      <c r="K509" t="s">
        <v>19</v>
      </c>
      <c r="L509">
        <v>276</v>
      </c>
      <c r="M509">
        <v>9.75</v>
      </c>
      <c r="N509">
        <v>59.89</v>
      </c>
      <c r="O509" t="s">
        <v>19</v>
      </c>
      <c r="P509" t="s">
        <v>20</v>
      </c>
      <c r="Q509" t="s">
        <v>19</v>
      </c>
      <c r="R509" t="str">
        <f>HYPERLINK("https://cfpub.epa.gov/ecotox/explore.cfm?ncbi=40204","Explore in ECOTOX")</f>
        <v>Explore in ECOTOX</v>
      </c>
    </row>
    <row r="510" spans="1:18" x14ac:dyDescent="0.45">
      <c r="A510" t="s">
        <v>1264</v>
      </c>
      <c r="B510">
        <v>8</v>
      </c>
      <c r="C510" t="str">
        <f>HYPERLINK("http://www.ncbi.nlm.nih.gov/protein/NWJ07526.1","NWJ07526.1")</f>
        <v>NWJ07526.1</v>
      </c>
      <c r="D510">
        <v>14090</v>
      </c>
      <c r="E510" t="str">
        <f>HYPERLINK("http://www.ncbi.nlm.nih.gov/Taxonomy/Browser/wwwtax.cgi?mode=Info&amp;id=48396&amp;lvl=3&amp;lin=f&amp;keep=1&amp;srchmode=1&amp;unlock","48396")</f>
        <v>48396</v>
      </c>
      <c r="F510" t="s">
        <v>241</v>
      </c>
      <c r="G510" t="str">
        <f>HYPERLINK("http://www.ncbi.nlm.nih.gov/Taxonomy/Browser/wwwtax.cgi?mode=Info&amp;id=48396&amp;lvl=3&amp;lin=f&amp;keep=1&amp;srchmode=1&amp;unlock","Crypturellus undulatus")</f>
        <v>Crypturellus undulatus</v>
      </c>
      <c r="H510" t="s">
        <v>367</v>
      </c>
      <c r="I510" t="str">
        <f>HYPERLINK("http://www.ncbi.nlm.nih.gov/protein/NWJ07526.1","RYR2 protein")</f>
        <v>RYR2 protein</v>
      </c>
      <c r="J510">
        <v>6240.99</v>
      </c>
      <c r="K510" t="s">
        <v>22</v>
      </c>
      <c r="L510">
        <v>276</v>
      </c>
      <c r="M510">
        <v>9.75</v>
      </c>
      <c r="N510">
        <v>59.7</v>
      </c>
      <c r="O510" t="s">
        <v>19</v>
      </c>
      <c r="P510" t="s">
        <v>20</v>
      </c>
      <c r="Q510" t="s">
        <v>19</v>
      </c>
      <c r="R510" t="str">
        <f>HYPERLINK("https://cfpub.epa.gov/ecotox/explore.cfm?ncbi=48396","Explore in ECOTOX")</f>
        <v>Explore in ECOTOX</v>
      </c>
    </row>
    <row r="511" spans="1:18" x14ac:dyDescent="0.45">
      <c r="A511" t="s">
        <v>1264</v>
      </c>
      <c r="B511">
        <v>8</v>
      </c>
      <c r="C511" t="str">
        <f>HYPERLINK("http://www.ncbi.nlm.nih.gov/protein/XP_021532857.1","XP_021532857.1")</f>
        <v>XP_021532857.1</v>
      </c>
      <c r="D511">
        <v>48145</v>
      </c>
      <c r="E511" t="str">
        <f>HYPERLINK("http://www.ncbi.nlm.nih.gov/Taxonomy/Browser/wwwtax.cgi?mode=Info&amp;id=37293&amp;lvl=3&amp;lin=f&amp;keep=1&amp;srchmode=1&amp;unlock","37293")</f>
        <v>37293</v>
      </c>
      <c r="F511" t="s">
        <v>96</v>
      </c>
      <c r="G511" t="str">
        <f>HYPERLINK("http://www.ncbi.nlm.nih.gov/Taxonomy/Browser/wwwtax.cgi?mode=Info&amp;id=37293&amp;lvl=3&amp;lin=f&amp;keep=1&amp;srchmode=1&amp;unlock","Aotus nancymaae")</f>
        <v>Aotus nancymaae</v>
      </c>
      <c r="H511" t="s">
        <v>517</v>
      </c>
      <c r="I511" t="str">
        <f>HYPERLINK("http://www.ncbi.nlm.nih.gov/protein/XP_021532857.1","LOW QUALITY PROTEIN: ryanodine receptor 2")</f>
        <v>LOW QUALITY PROTEIN: ryanodine receptor 2</v>
      </c>
      <c r="J511">
        <v>6217.11</v>
      </c>
      <c r="K511" t="s">
        <v>22</v>
      </c>
      <c r="L511">
        <v>276</v>
      </c>
      <c r="M511">
        <v>9.75</v>
      </c>
      <c r="N511">
        <v>59.47</v>
      </c>
      <c r="O511" t="s">
        <v>19</v>
      </c>
      <c r="P511" t="s">
        <v>20</v>
      </c>
      <c r="Q511" t="s">
        <v>19</v>
      </c>
      <c r="R511" t="str">
        <f>HYPERLINK("https://cfpub.epa.gov/ecotox/explore.cfm?ncbi=37293","Explore in ECOTOX")</f>
        <v>Explore in ECOTOX</v>
      </c>
    </row>
    <row r="512" spans="1:18" x14ac:dyDescent="0.45">
      <c r="A512" t="s">
        <v>1264</v>
      </c>
      <c r="B512">
        <v>8</v>
      </c>
      <c r="C512" t="str">
        <f>HYPERLINK("http://www.ncbi.nlm.nih.gov/protein/TSL04189.1","TSL04189.1")</f>
        <v>TSL04189.1</v>
      </c>
      <c r="D512">
        <v>17329</v>
      </c>
      <c r="E512" t="str">
        <f>HYPERLINK("http://www.ncbi.nlm.nih.gov/Taxonomy/Browser/wwwtax.cgi?mode=Info&amp;id=175774&amp;lvl=3&amp;lin=f&amp;keep=1&amp;srchmode=1&amp;unlock","175774")</f>
        <v>175774</v>
      </c>
      <c r="F512" t="s">
        <v>17</v>
      </c>
      <c r="G512" t="str">
        <f>HYPERLINK("http://www.ncbi.nlm.nih.gov/Taxonomy/Browser/wwwtax.cgi?mode=Info&amp;id=175774&amp;lvl=3&amp;lin=f&amp;keep=1&amp;srchmode=1&amp;unlock","Bagarius yarrelli")</f>
        <v>Bagarius yarrelli</v>
      </c>
      <c r="H512" t="s">
        <v>518</v>
      </c>
      <c r="I512" t="str">
        <f>HYPERLINK("http://www.ncbi.nlm.nih.gov/protein/TSL04189.1","Ryanodine receptor 2")</f>
        <v>Ryanodine receptor 2</v>
      </c>
      <c r="J512">
        <v>6213.25</v>
      </c>
      <c r="K512" t="s">
        <v>22</v>
      </c>
      <c r="L512">
        <v>276</v>
      </c>
      <c r="M512">
        <v>9.75</v>
      </c>
      <c r="N512">
        <v>59.43</v>
      </c>
      <c r="O512" t="s">
        <v>19</v>
      </c>
      <c r="P512" t="s">
        <v>20</v>
      </c>
      <c r="Q512" t="s">
        <v>19</v>
      </c>
      <c r="R512" t="str">
        <f>HYPERLINK("https://cfpub.epa.gov/ecotox/explore.cfm?ncbi=175774","Explore in ECOTOX")</f>
        <v>Explore in ECOTOX</v>
      </c>
    </row>
    <row r="513" spans="1:18" x14ac:dyDescent="0.45">
      <c r="A513" t="s">
        <v>1264</v>
      </c>
      <c r="B513">
        <v>8</v>
      </c>
      <c r="C513" t="str">
        <f>HYPERLINK("http://www.ncbi.nlm.nih.gov/protein/XP_032040817.1","XP_032040817.1")</f>
        <v>XP_032040817.1</v>
      </c>
      <c r="D513">
        <v>27822</v>
      </c>
      <c r="E513" t="str">
        <f>HYPERLINK("http://www.ncbi.nlm.nih.gov/Taxonomy/Browser/wwwtax.cgi?mode=Info&amp;id=219594&amp;lvl=3&amp;lin=f&amp;keep=1&amp;srchmode=1&amp;unlock","219594")</f>
        <v>219594</v>
      </c>
      <c r="F513" t="s">
        <v>241</v>
      </c>
      <c r="G513" t="str">
        <f>HYPERLINK("http://www.ncbi.nlm.nih.gov/Taxonomy/Browser/wwwtax.cgi?mode=Info&amp;id=219594&amp;lvl=3&amp;lin=f&amp;keep=1&amp;srchmode=1&amp;unlock","Aythya fuligula")</f>
        <v>Aythya fuligula</v>
      </c>
      <c r="H513" t="s">
        <v>519</v>
      </c>
      <c r="I513" t="str">
        <f>HYPERLINK("http://www.ncbi.nlm.nih.gov/protein/XP_032040817.1","ryanodine receptor 2 isoform X13")</f>
        <v>ryanodine receptor 2 isoform X13</v>
      </c>
      <c r="J513">
        <v>6136.99</v>
      </c>
      <c r="K513" t="s">
        <v>22</v>
      </c>
      <c r="L513">
        <v>276</v>
      </c>
      <c r="M513">
        <v>9.75</v>
      </c>
      <c r="N513">
        <v>58.71</v>
      </c>
      <c r="O513" t="s">
        <v>19</v>
      </c>
      <c r="P513" t="s">
        <v>20</v>
      </c>
      <c r="Q513" t="s">
        <v>19</v>
      </c>
      <c r="R513" t="str">
        <f>HYPERLINK("https://cfpub.epa.gov/ecotox/explore.cfm?ncbi=219594","Explore in ECOTOX")</f>
        <v>Explore in ECOTOX</v>
      </c>
    </row>
    <row r="514" spans="1:18" x14ac:dyDescent="0.45">
      <c r="A514" t="s">
        <v>1264</v>
      </c>
      <c r="B514">
        <v>8</v>
      </c>
      <c r="C514" t="str">
        <f>HYPERLINK("http://www.ncbi.nlm.nih.gov/protein/XP_039423888.1","XP_039423888.1")</f>
        <v>XP_039423888.1</v>
      </c>
      <c r="D514">
        <v>36909</v>
      </c>
      <c r="E514" t="str">
        <f>HYPERLINK("http://www.ncbi.nlm.nih.gov/Taxonomy/Browser/wwwtax.cgi?mode=Info&amp;id=932674&amp;lvl=3&amp;lin=f&amp;keep=1&amp;srchmode=1&amp;unlock","932674")</f>
        <v>932674</v>
      </c>
      <c r="F514" t="s">
        <v>241</v>
      </c>
      <c r="G514" t="str">
        <f>HYPERLINK("http://www.ncbi.nlm.nih.gov/Taxonomy/Browser/wwwtax.cgi?mode=Info&amp;id=932674&amp;lvl=3&amp;lin=f&amp;keep=1&amp;srchmode=1&amp;unlock","Corvus cornix cornix")</f>
        <v>Corvus cornix cornix</v>
      </c>
      <c r="H514" t="s">
        <v>520</v>
      </c>
      <c r="I514" t="str">
        <f>HYPERLINK("http://www.ncbi.nlm.nih.gov/protein/XP_039423888.1","ryanodine receptor 2 isoform X16")</f>
        <v>ryanodine receptor 2 isoform X16</v>
      </c>
      <c r="J514">
        <v>6132.75</v>
      </c>
      <c r="K514" t="s">
        <v>22</v>
      </c>
      <c r="L514">
        <v>276</v>
      </c>
      <c r="M514">
        <v>9.75</v>
      </c>
      <c r="N514">
        <v>58.66</v>
      </c>
      <c r="O514" t="s">
        <v>19</v>
      </c>
      <c r="P514" t="s">
        <v>20</v>
      </c>
      <c r="Q514" t="s">
        <v>19</v>
      </c>
      <c r="R514" t="str">
        <f>HYPERLINK("https://cfpub.epa.gov/ecotox/explore.cfm?ncbi=932674","Explore in ECOTOX")</f>
        <v>Explore in ECOTOX</v>
      </c>
    </row>
    <row r="515" spans="1:18" x14ac:dyDescent="0.45">
      <c r="A515" t="s">
        <v>1264</v>
      </c>
      <c r="B515">
        <v>8</v>
      </c>
      <c r="C515" t="str">
        <f>HYPERLINK("http://www.ncbi.nlm.nih.gov/protein/XP_042744466.1","XP_042744466.1")</f>
        <v>XP_042744466.1</v>
      </c>
      <c r="D515">
        <v>33199</v>
      </c>
      <c r="E515" t="str">
        <f>HYPERLINK("http://www.ncbi.nlm.nih.gov/Taxonomy/Browser/wwwtax.cgi?mode=Info&amp;id=30410&amp;lvl=3&amp;lin=f&amp;keep=1&amp;srchmode=1&amp;unlock","30410")</f>
        <v>30410</v>
      </c>
      <c r="F515" t="s">
        <v>241</v>
      </c>
      <c r="G515" t="str">
        <f>HYPERLINK("http://www.ncbi.nlm.nih.gov/Taxonomy/Browser/wwwtax.cgi?mode=Info&amp;id=30410&amp;lvl=3&amp;lin=f&amp;keep=1&amp;srchmode=1&amp;unlock","Lagopus leucura")</f>
        <v>Lagopus leucura</v>
      </c>
      <c r="H515" t="s">
        <v>521</v>
      </c>
      <c r="I515" t="str">
        <f>HYPERLINK("http://www.ncbi.nlm.nih.gov/protein/XP_042744466.1","ryanodine receptor 2 isoform X4")</f>
        <v>ryanodine receptor 2 isoform X4</v>
      </c>
      <c r="J515">
        <v>6128.13</v>
      </c>
      <c r="K515" t="s">
        <v>22</v>
      </c>
      <c r="L515">
        <v>276</v>
      </c>
      <c r="M515">
        <v>9.75</v>
      </c>
      <c r="N515">
        <v>58.62</v>
      </c>
      <c r="O515" t="s">
        <v>19</v>
      </c>
      <c r="P515" t="s">
        <v>20</v>
      </c>
      <c r="Q515" t="s">
        <v>19</v>
      </c>
      <c r="R515" t="str">
        <f>HYPERLINK("https://cfpub.epa.gov/ecotox/explore.cfm?ncbi=30410","Explore in ECOTOX")</f>
        <v>Explore in ECOTOX</v>
      </c>
    </row>
    <row r="516" spans="1:18" x14ac:dyDescent="0.45">
      <c r="A516" t="s">
        <v>1264</v>
      </c>
      <c r="B516">
        <v>8</v>
      </c>
      <c r="C516" t="str">
        <f>HYPERLINK("http://www.ncbi.nlm.nih.gov/protein/XP_029890800.1","XP_029890800.1")</f>
        <v>XP_029890800.1</v>
      </c>
      <c r="D516">
        <v>52421</v>
      </c>
      <c r="E516" t="str">
        <f>HYPERLINK("http://www.ncbi.nlm.nih.gov/Taxonomy/Browser/wwwtax.cgi?mode=Info&amp;id=223781&amp;lvl=3&amp;lin=f&amp;keep=1&amp;srchmode=1&amp;unlock","223781")</f>
        <v>223781</v>
      </c>
      <c r="F516" t="s">
        <v>241</v>
      </c>
      <c r="G516" t="str">
        <f>HYPERLINK("http://www.ncbi.nlm.nih.gov/Taxonomy/Browser/wwwtax.cgi?mode=Info&amp;id=223781&amp;lvl=3&amp;lin=f&amp;keep=1&amp;srchmode=1&amp;unlock","Aquila chrysaetos chrysaetos")</f>
        <v>Aquila chrysaetos chrysaetos</v>
      </c>
      <c r="H516" t="s">
        <v>522</v>
      </c>
      <c r="I516" t="str">
        <f>HYPERLINK("http://www.ncbi.nlm.nih.gov/protein/XP_029890800.1","ryanodine receptor 2 isoform X9")</f>
        <v>ryanodine receptor 2 isoform X9</v>
      </c>
      <c r="J516">
        <v>6126.97</v>
      </c>
      <c r="K516" t="s">
        <v>22</v>
      </c>
      <c r="L516">
        <v>276</v>
      </c>
      <c r="M516">
        <v>9.75</v>
      </c>
      <c r="N516">
        <v>58.61</v>
      </c>
      <c r="O516" t="s">
        <v>19</v>
      </c>
      <c r="P516" t="s">
        <v>20</v>
      </c>
      <c r="Q516" t="s">
        <v>19</v>
      </c>
      <c r="R516" t="str">
        <f>HYPERLINK("https://cfpub.epa.gov/ecotox/explore.cfm?ncbi=223781","Explore in ECOTOX")</f>
        <v>Explore in ECOTOX</v>
      </c>
    </row>
    <row r="517" spans="1:18" x14ac:dyDescent="0.45">
      <c r="A517" t="s">
        <v>1264</v>
      </c>
      <c r="B517">
        <v>8</v>
      </c>
      <c r="C517" t="str">
        <f>HYPERLINK("http://www.ncbi.nlm.nih.gov/protein/XP_052661704.1","XP_052661704.1")</f>
        <v>XP_052661704.1</v>
      </c>
      <c r="D517">
        <v>44817</v>
      </c>
      <c r="E517" t="str">
        <f>HYPERLINK("http://www.ncbi.nlm.nih.gov/Taxonomy/Browser/wwwtax.cgi?mode=Info&amp;id=202280&amp;lvl=3&amp;lin=f&amp;keep=1&amp;srchmode=1&amp;unlock","202280")</f>
        <v>202280</v>
      </c>
      <c r="F517" t="s">
        <v>241</v>
      </c>
      <c r="G517" t="str">
        <f>HYPERLINK("http://www.ncbi.nlm.nih.gov/Taxonomy/Browser/wwwtax.cgi?mode=Info&amp;id=202280&amp;lvl=3&amp;lin=f&amp;keep=1&amp;srchmode=1&amp;unlock","Harpia harpyja")</f>
        <v>Harpia harpyja</v>
      </c>
      <c r="H517" t="s">
        <v>523</v>
      </c>
      <c r="I517" t="str">
        <f>HYPERLINK("http://www.ncbi.nlm.nih.gov/protein/XP_052661704.1","ryanodine receptor 2 isoform X8")</f>
        <v>ryanodine receptor 2 isoform X8</v>
      </c>
      <c r="J517">
        <v>6126.59</v>
      </c>
      <c r="K517" t="s">
        <v>22</v>
      </c>
      <c r="L517">
        <v>276</v>
      </c>
      <c r="M517">
        <v>9.75</v>
      </c>
      <c r="N517">
        <v>58.61</v>
      </c>
      <c r="O517" t="s">
        <v>19</v>
      </c>
      <c r="P517" t="s">
        <v>20</v>
      </c>
      <c r="Q517" t="s">
        <v>19</v>
      </c>
      <c r="R517" t="str">
        <f>HYPERLINK("https://cfpub.epa.gov/ecotox/explore.cfm?ncbi=202280","Explore in ECOTOX")</f>
        <v>Explore in ECOTOX</v>
      </c>
    </row>
    <row r="518" spans="1:18" x14ac:dyDescent="0.45">
      <c r="A518" t="s">
        <v>1264</v>
      </c>
      <c r="B518">
        <v>8</v>
      </c>
      <c r="C518" t="str">
        <f>HYPERLINK("http://www.ncbi.nlm.nih.gov/protein/XP_057270532.1","XP_057270532.1")</f>
        <v>XP_057270532.1</v>
      </c>
      <c r="D518">
        <v>36893</v>
      </c>
      <c r="E518" t="str">
        <f>HYPERLINK("http://www.ncbi.nlm.nih.gov/Taxonomy/Browser/wwwtax.cgi?mode=Info&amp;id=35540&amp;lvl=3&amp;lin=f&amp;keep=1&amp;srchmode=1&amp;unlock","35540")</f>
        <v>35540</v>
      </c>
      <c r="F518" t="s">
        <v>241</v>
      </c>
      <c r="G518" t="str">
        <f>HYPERLINK("http://www.ncbi.nlm.nih.gov/Taxonomy/Browser/wwwtax.cgi?mode=Info&amp;id=35540&amp;lvl=3&amp;lin=f&amp;keep=1&amp;srchmode=1&amp;unlock","Pezoporus wallicus")</f>
        <v>Pezoporus wallicus</v>
      </c>
      <c r="H518" t="s">
        <v>524</v>
      </c>
      <c r="I518" t="str">
        <f>HYPERLINK("http://www.ncbi.nlm.nih.gov/protein/XP_057270532.1","ryanodine receptor 2 isoform X7")</f>
        <v>ryanodine receptor 2 isoform X7</v>
      </c>
      <c r="J518">
        <v>6125.43</v>
      </c>
      <c r="K518" t="s">
        <v>22</v>
      </c>
      <c r="L518">
        <v>276</v>
      </c>
      <c r="M518">
        <v>9.75</v>
      </c>
      <c r="N518">
        <v>58.59</v>
      </c>
      <c r="O518" t="s">
        <v>19</v>
      </c>
      <c r="P518" t="s">
        <v>20</v>
      </c>
      <c r="Q518" t="s">
        <v>19</v>
      </c>
      <c r="R518" t="str">
        <f>HYPERLINK("https://cfpub.epa.gov/ecotox/explore.cfm?ncbi=35540","Explore in ECOTOX")</f>
        <v>Explore in ECOTOX</v>
      </c>
    </row>
    <row r="519" spans="1:18" x14ac:dyDescent="0.45">
      <c r="A519" t="s">
        <v>1264</v>
      </c>
      <c r="B519">
        <v>8</v>
      </c>
      <c r="C519" t="str">
        <f>HYPERLINK("http://www.ncbi.nlm.nih.gov/protein/XP_061327179.1","XP_061327179.1")</f>
        <v>XP_061327179.1</v>
      </c>
      <c r="D519">
        <v>39521</v>
      </c>
      <c r="E519" t="str">
        <f>HYPERLINK("http://www.ncbi.nlm.nih.gov/Taxonomy/Browser/wwwtax.cgi?mode=Info&amp;id=889875&amp;lvl=3&amp;lin=f&amp;keep=1&amp;srchmode=1&amp;unlock","889875")</f>
        <v>889875</v>
      </c>
      <c r="F519" t="s">
        <v>241</v>
      </c>
      <c r="G519" t="str">
        <f>HYPERLINK("http://www.ncbi.nlm.nih.gov/Taxonomy/Browser/wwwtax.cgi?mode=Info&amp;id=889875&amp;lvl=3&amp;lin=f&amp;keep=1&amp;srchmode=1&amp;unlock","Pezoporus flaviventris")</f>
        <v>Pezoporus flaviventris</v>
      </c>
      <c r="H519" t="s">
        <v>525</v>
      </c>
      <c r="I519" t="str">
        <f>HYPERLINK("http://www.ncbi.nlm.nih.gov/protein/XP_061327179.1","ryanodine receptor 2 isoform X5")</f>
        <v>ryanodine receptor 2 isoform X5</v>
      </c>
      <c r="J519">
        <v>6125.43</v>
      </c>
      <c r="K519" t="s">
        <v>22</v>
      </c>
      <c r="L519">
        <v>276</v>
      </c>
      <c r="M519">
        <v>9.75</v>
      </c>
      <c r="N519">
        <v>58.59</v>
      </c>
      <c r="O519" t="s">
        <v>19</v>
      </c>
      <c r="P519" t="s">
        <v>20</v>
      </c>
      <c r="Q519" t="s">
        <v>19</v>
      </c>
      <c r="R519" t="str">
        <f>HYPERLINK("https://cfpub.epa.gov/ecotox/explore.cfm?ncbi=889875","Explore in ECOTOX")</f>
        <v>Explore in ECOTOX</v>
      </c>
    </row>
    <row r="520" spans="1:18" x14ac:dyDescent="0.45">
      <c r="A520" t="s">
        <v>1264</v>
      </c>
      <c r="B520">
        <v>8</v>
      </c>
      <c r="C520" t="str">
        <f>HYPERLINK("http://www.ncbi.nlm.nih.gov/protein/XP_047376926.1","XP_047376926.1")</f>
        <v>XP_047376926.1</v>
      </c>
      <c r="D520">
        <v>75123</v>
      </c>
      <c r="E520" t="str">
        <f>HYPERLINK("http://www.ncbi.nlm.nih.gov/Taxonomy/Browser/wwwtax.cgi?mode=Info&amp;id=30640&amp;lvl=3&amp;lin=f&amp;keep=1&amp;srchmode=1&amp;unlock","30640")</f>
        <v>30640</v>
      </c>
      <c r="F520" t="s">
        <v>96</v>
      </c>
      <c r="G520" t="str">
        <f>HYPERLINK("http://www.ncbi.nlm.nih.gov/Taxonomy/Browser/wwwtax.cgi?mode=Info&amp;id=30640&amp;lvl=3&amp;lin=f&amp;keep=1&amp;srchmode=1&amp;unlock","Sciurus carolinensis")</f>
        <v>Sciurus carolinensis</v>
      </c>
      <c r="H520" t="s">
        <v>526</v>
      </c>
      <c r="I520" t="str">
        <f>HYPERLINK("http://www.ncbi.nlm.nih.gov/protein/XP_047376926.1","ryanodine receptor 2 isoform X6")</f>
        <v>ryanodine receptor 2 isoform X6</v>
      </c>
      <c r="J520">
        <v>6125.04</v>
      </c>
      <c r="K520" t="s">
        <v>22</v>
      </c>
      <c r="L520">
        <v>276</v>
      </c>
      <c r="M520">
        <v>9.75</v>
      </c>
      <c r="N520">
        <v>58.59</v>
      </c>
      <c r="O520" t="s">
        <v>19</v>
      </c>
      <c r="P520" t="s">
        <v>20</v>
      </c>
      <c r="Q520" t="s">
        <v>19</v>
      </c>
      <c r="R520" t="str">
        <f>HYPERLINK("https://cfpub.epa.gov/ecotox/explore.cfm?ncbi=30640","Explore in ECOTOX")</f>
        <v>Explore in ECOTOX</v>
      </c>
    </row>
    <row r="521" spans="1:18" x14ac:dyDescent="0.45">
      <c r="A521" t="s">
        <v>1264</v>
      </c>
      <c r="B521">
        <v>8</v>
      </c>
      <c r="C521" t="str">
        <f>HYPERLINK("http://www.ncbi.nlm.nih.gov/protein/XP_030355477.1","XP_030355477.1")</f>
        <v>XP_030355477.1</v>
      </c>
      <c r="D521">
        <v>43826</v>
      </c>
      <c r="E521" t="str">
        <f>HYPERLINK("http://www.ncbi.nlm.nih.gov/Taxonomy/Browser/wwwtax.cgi?mode=Info&amp;id=2489341&amp;lvl=3&amp;lin=f&amp;keep=1&amp;srchmode=1&amp;unlock","2489341")</f>
        <v>2489341</v>
      </c>
      <c r="F521" t="s">
        <v>241</v>
      </c>
      <c r="G521" t="str">
        <f>HYPERLINK("http://www.ncbi.nlm.nih.gov/Taxonomy/Browser/wwwtax.cgi?mode=Info&amp;id=2489341&amp;lvl=3&amp;lin=f&amp;keep=1&amp;srchmode=1&amp;unlock","Strigops habroptila")</f>
        <v>Strigops habroptila</v>
      </c>
      <c r="H521" t="s">
        <v>527</v>
      </c>
      <c r="I521" t="str">
        <f>HYPERLINK("http://www.ncbi.nlm.nih.gov/protein/XP_030355477.1","ryanodine receptor 2 isoform X7")</f>
        <v>ryanodine receptor 2 isoform X7</v>
      </c>
      <c r="J521">
        <v>6124.66</v>
      </c>
      <c r="K521" t="s">
        <v>22</v>
      </c>
      <c r="L521">
        <v>276</v>
      </c>
      <c r="M521">
        <v>9.75</v>
      </c>
      <c r="N521">
        <v>58.59</v>
      </c>
      <c r="O521" t="s">
        <v>19</v>
      </c>
      <c r="P521" t="s">
        <v>20</v>
      </c>
      <c r="Q521" t="s">
        <v>19</v>
      </c>
      <c r="R521" t="str">
        <f>HYPERLINK("https://cfpub.epa.gov/ecotox/explore.cfm?ncbi=2489341","Explore in ECOTOX")</f>
        <v>Explore in ECOTOX</v>
      </c>
    </row>
    <row r="522" spans="1:18" x14ac:dyDescent="0.45">
      <c r="A522" t="s">
        <v>1264</v>
      </c>
      <c r="B522">
        <v>8</v>
      </c>
      <c r="C522" t="str">
        <f>HYPERLINK("http://www.ncbi.nlm.nih.gov/protein/XP_045882779.1","XP_045882779.1")</f>
        <v>XP_045882779.1</v>
      </c>
      <c r="D522">
        <v>50759</v>
      </c>
      <c r="E522" t="str">
        <f>HYPERLINK("http://www.ncbi.nlm.nih.gov/Taxonomy/Browser/wwwtax.cgi?mode=Info&amp;id=9662&amp;lvl=3&amp;lin=f&amp;keep=1&amp;srchmode=1&amp;unlock","9662")</f>
        <v>9662</v>
      </c>
      <c r="F522" t="s">
        <v>96</v>
      </c>
      <c r="G522" t="str">
        <f>HYPERLINK("http://www.ncbi.nlm.nih.gov/Taxonomy/Browser/wwwtax.cgi?mode=Info&amp;id=9662&amp;lvl=3&amp;lin=f&amp;keep=1&amp;srchmode=1&amp;unlock","Meles meles")</f>
        <v>Meles meles</v>
      </c>
      <c r="H522" t="s">
        <v>528</v>
      </c>
      <c r="I522" t="str">
        <f>HYPERLINK("http://www.ncbi.nlm.nih.gov/protein/XP_045882779.1","ryanodine receptor 2 isoform X12")</f>
        <v>ryanodine receptor 2 isoform X12</v>
      </c>
      <c r="J522">
        <v>6123.89</v>
      </c>
      <c r="K522" t="s">
        <v>22</v>
      </c>
      <c r="L522">
        <v>276</v>
      </c>
      <c r="M522">
        <v>9.75</v>
      </c>
      <c r="N522">
        <v>58.58</v>
      </c>
      <c r="O522" t="s">
        <v>19</v>
      </c>
      <c r="P522" t="s">
        <v>20</v>
      </c>
      <c r="Q522" t="s">
        <v>19</v>
      </c>
      <c r="R522" t="str">
        <f>HYPERLINK("https://cfpub.epa.gov/ecotox/explore.cfm?ncbi=9662","Explore in ECOTOX")</f>
        <v>Explore in ECOTOX</v>
      </c>
    </row>
    <row r="523" spans="1:18" x14ac:dyDescent="0.45">
      <c r="A523" t="s">
        <v>1264</v>
      </c>
      <c r="B523">
        <v>8</v>
      </c>
      <c r="C523" t="str">
        <f>HYPERLINK("http://www.ncbi.nlm.nih.gov/protein/XP_058431009.1","XP_058431009.1")</f>
        <v>XP_058431009.1</v>
      </c>
      <c r="D523">
        <v>143547</v>
      </c>
      <c r="E523" t="str">
        <f>HYPERLINK("http://www.ncbi.nlm.nih.gov/Taxonomy/Browser/wwwtax.cgi?mode=Info&amp;id=9995&amp;lvl=3&amp;lin=f&amp;keep=1&amp;srchmode=1&amp;unlock","9995")</f>
        <v>9995</v>
      </c>
      <c r="F523" t="s">
        <v>96</v>
      </c>
      <c r="G523" t="str">
        <f>HYPERLINK("http://www.ncbi.nlm.nih.gov/Taxonomy/Browser/wwwtax.cgi?mode=Info&amp;id=9995&amp;lvl=3&amp;lin=f&amp;keep=1&amp;srchmode=1&amp;unlock","Marmota monax")</f>
        <v>Marmota monax</v>
      </c>
      <c r="H523" t="s">
        <v>529</v>
      </c>
      <c r="I523" t="str">
        <f>HYPERLINK("http://www.ncbi.nlm.nih.gov/protein/XP_058431009.1","ryanodine receptor 2 isoform X4")</f>
        <v>ryanodine receptor 2 isoform X4</v>
      </c>
      <c r="J523">
        <v>6121.58</v>
      </c>
      <c r="K523" t="s">
        <v>22</v>
      </c>
      <c r="L523">
        <v>276</v>
      </c>
      <c r="M523">
        <v>9.75</v>
      </c>
      <c r="N523">
        <v>58.56</v>
      </c>
      <c r="O523" t="s">
        <v>19</v>
      </c>
      <c r="P523" t="s">
        <v>20</v>
      </c>
      <c r="Q523" t="s">
        <v>19</v>
      </c>
      <c r="R523" t="str">
        <f>HYPERLINK("https://cfpub.epa.gov/ecotox/explore.cfm?ncbi=9995","Explore in ECOTOX")</f>
        <v>Explore in ECOTOX</v>
      </c>
    </row>
    <row r="524" spans="1:18" x14ac:dyDescent="0.45">
      <c r="A524" t="s">
        <v>1264</v>
      </c>
      <c r="B524">
        <v>8</v>
      </c>
      <c r="C524" t="str">
        <f>HYPERLINK("http://www.ncbi.nlm.nih.gov/protein/XP_032167988.1","XP_032167988.1")</f>
        <v>XP_032167988.1</v>
      </c>
      <c r="D524">
        <v>60709</v>
      </c>
      <c r="E524" t="str">
        <f>HYPERLINK("http://www.ncbi.nlm.nih.gov/Taxonomy/Browser/wwwtax.cgi?mode=Info&amp;id=36723&amp;lvl=3&amp;lin=f&amp;keep=1&amp;srchmode=1&amp;unlock","36723")</f>
        <v>36723</v>
      </c>
      <c r="F524" t="s">
        <v>96</v>
      </c>
      <c r="G524" t="str">
        <f>HYPERLINK("http://www.ncbi.nlm.nih.gov/Taxonomy/Browser/wwwtax.cgi?mode=Info&amp;id=36723&amp;lvl=3&amp;lin=f&amp;keep=1&amp;srchmode=1&amp;unlock","Mustela erminea")</f>
        <v>Mustela erminea</v>
      </c>
      <c r="H524" t="s">
        <v>530</v>
      </c>
      <c r="I524" t="str">
        <f>HYPERLINK("http://www.ncbi.nlm.nih.gov/protein/XP_032167988.1","ryanodine receptor 2 isoform X7")</f>
        <v>ryanodine receptor 2 isoform X7</v>
      </c>
      <c r="J524">
        <v>6121.58</v>
      </c>
      <c r="K524" t="s">
        <v>22</v>
      </c>
      <c r="L524">
        <v>276</v>
      </c>
      <c r="M524">
        <v>9.75</v>
      </c>
      <c r="N524">
        <v>58.56</v>
      </c>
      <c r="O524" t="s">
        <v>19</v>
      </c>
      <c r="P524" t="s">
        <v>20</v>
      </c>
      <c r="Q524" t="s">
        <v>19</v>
      </c>
      <c r="R524" t="str">
        <f>HYPERLINK("https://cfpub.epa.gov/ecotox/explore.cfm?ncbi=36723","Explore in ECOTOX")</f>
        <v>Explore in ECOTOX</v>
      </c>
    </row>
    <row r="525" spans="1:18" x14ac:dyDescent="0.45">
      <c r="A525" t="s">
        <v>1264</v>
      </c>
      <c r="B525">
        <v>8</v>
      </c>
      <c r="C525" t="str">
        <f>HYPERLINK("http://www.ncbi.nlm.nih.gov/protein/XP_029953435.1","XP_029953435.1")</f>
        <v>XP_029953435.1</v>
      </c>
      <c r="D525">
        <v>39290</v>
      </c>
      <c r="E525" t="str">
        <f>HYPERLINK("http://www.ncbi.nlm.nih.gov/Taxonomy/Browser/wwwtax.cgi?mode=Info&amp;id=181472&amp;lvl=3&amp;lin=f&amp;keep=1&amp;srchmode=1&amp;unlock","181472")</f>
        <v>181472</v>
      </c>
      <c r="F525" t="s">
        <v>17</v>
      </c>
      <c r="G525" t="str">
        <f>HYPERLINK("http://www.ncbi.nlm.nih.gov/Taxonomy/Browser/wwwtax.cgi?mode=Info&amp;id=181472&amp;lvl=3&amp;lin=f&amp;keep=1&amp;srchmode=1&amp;unlock","Salarias fasciatus")</f>
        <v>Salarias fasciatus</v>
      </c>
      <c r="H525" t="s">
        <v>531</v>
      </c>
      <c r="I525" t="str">
        <f>HYPERLINK("http://www.ncbi.nlm.nih.gov/protein/XP_029953435.1","LOW QUALITY PROTEIN: ryanodine receptor 2-like")</f>
        <v>LOW QUALITY PROTEIN: ryanodine receptor 2-like</v>
      </c>
      <c r="J525">
        <v>6121.19</v>
      </c>
      <c r="K525" t="s">
        <v>22</v>
      </c>
      <c r="L525">
        <v>276</v>
      </c>
      <c r="M525">
        <v>9.75</v>
      </c>
      <c r="N525">
        <v>58.55</v>
      </c>
      <c r="O525" t="s">
        <v>19</v>
      </c>
      <c r="P525" t="s">
        <v>20</v>
      </c>
      <c r="Q525" t="s">
        <v>19</v>
      </c>
      <c r="R525" t="str">
        <f>HYPERLINK("https://cfpub.epa.gov/ecotox/explore.cfm?ncbi=181472","Explore in ECOTOX")</f>
        <v>Explore in ECOTOX</v>
      </c>
    </row>
    <row r="526" spans="1:18" x14ac:dyDescent="0.45">
      <c r="A526" t="s">
        <v>1264</v>
      </c>
      <c r="B526">
        <v>8</v>
      </c>
      <c r="C526" t="str">
        <f>HYPERLINK("http://www.ncbi.nlm.nih.gov/protein/XP_052552130.1","XP_052552130.1")</f>
        <v>XP_052552130.1</v>
      </c>
      <c r="D526">
        <v>41594</v>
      </c>
      <c r="E526" t="str">
        <f>HYPERLINK("http://www.ncbi.nlm.nih.gov/Taxonomy/Browser/wwwtax.cgi?mode=Info&amp;id=109042&amp;lvl=3&amp;lin=f&amp;keep=1&amp;srchmode=1&amp;unlock","109042")</f>
        <v>109042</v>
      </c>
      <c r="F526" t="s">
        <v>241</v>
      </c>
      <c r="G526" t="str">
        <f>HYPERLINK("http://www.ncbi.nlm.nih.gov/Taxonomy/Browser/wwwtax.cgi?mode=Info&amp;id=109042&amp;lvl=3&amp;lin=f&amp;keep=1&amp;srchmode=1&amp;unlock","Tympanuchus pallidicinctus")</f>
        <v>Tympanuchus pallidicinctus</v>
      </c>
      <c r="H526" t="s">
        <v>532</v>
      </c>
      <c r="I526" t="str">
        <f>HYPERLINK("http://www.ncbi.nlm.nih.gov/protein/XP_052552130.1","ryanodine receptor 2 isoform X5")</f>
        <v>ryanodine receptor 2 isoform X5</v>
      </c>
      <c r="J526">
        <v>6120.42</v>
      </c>
      <c r="K526" t="s">
        <v>22</v>
      </c>
      <c r="L526">
        <v>276</v>
      </c>
      <c r="M526">
        <v>9.75</v>
      </c>
      <c r="N526">
        <v>58.55</v>
      </c>
      <c r="O526" t="s">
        <v>19</v>
      </c>
      <c r="P526" t="s">
        <v>20</v>
      </c>
      <c r="Q526" t="s">
        <v>19</v>
      </c>
      <c r="R526" t="str">
        <f>HYPERLINK("https://cfpub.epa.gov/ecotox/explore.cfm?ncbi=109042","Explore in ECOTOX")</f>
        <v>Explore in ECOTOX</v>
      </c>
    </row>
    <row r="527" spans="1:18" x14ac:dyDescent="0.45">
      <c r="A527" t="s">
        <v>1264</v>
      </c>
      <c r="B527">
        <v>8</v>
      </c>
      <c r="C527" t="str">
        <f>HYPERLINK("http://www.ncbi.nlm.nih.gov/protein/NXK72125.1","NXK72125.1")</f>
        <v>NXK72125.1</v>
      </c>
      <c r="D527">
        <v>14236</v>
      </c>
      <c r="E527" t="str">
        <f>HYPERLINK("http://www.ncbi.nlm.nih.gov/Taxonomy/Browser/wwwtax.cgi?mode=Info&amp;id=175529&amp;lvl=3&amp;lin=f&amp;keep=1&amp;srchmode=1&amp;unlock","175529")</f>
        <v>175529</v>
      </c>
      <c r="F527" t="s">
        <v>241</v>
      </c>
      <c r="G527" t="str">
        <f>HYPERLINK("http://www.ncbi.nlm.nih.gov/Taxonomy/Browser/wwwtax.cgi?mode=Info&amp;id=175529&amp;lvl=3&amp;lin=f&amp;keep=1&amp;srchmode=1&amp;unlock","Amazona guildingii")</f>
        <v>Amazona guildingii</v>
      </c>
      <c r="H527" t="s">
        <v>525</v>
      </c>
      <c r="I527" t="str">
        <f>HYPERLINK("http://www.ncbi.nlm.nih.gov/protein/NXK72125.1","RYR2 protein")</f>
        <v>RYR2 protein</v>
      </c>
      <c r="J527">
        <v>6120.04</v>
      </c>
      <c r="K527" t="s">
        <v>22</v>
      </c>
      <c r="L527">
        <v>276</v>
      </c>
      <c r="M527">
        <v>9.75</v>
      </c>
      <c r="N527">
        <v>58.54</v>
      </c>
      <c r="O527" t="s">
        <v>19</v>
      </c>
      <c r="P527" t="s">
        <v>20</v>
      </c>
      <c r="Q527" t="s">
        <v>19</v>
      </c>
      <c r="R527" t="str">
        <f>HYPERLINK("https://cfpub.epa.gov/ecotox/explore.cfm?ncbi=175529","Explore in ECOTOX")</f>
        <v>Explore in ECOTOX</v>
      </c>
    </row>
    <row r="528" spans="1:18" x14ac:dyDescent="0.45">
      <c r="A528" t="s">
        <v>1264</v>
      </c>
      <c r="B528">
        <v>8</v>
      </c>
      <c r="C528" t="str">
        <f>HYPERLINK("http://www.ncbi.nlm.nih.gov/protein/XP_035176294.1","XP_035176294.1")</f>
        <v>XP_035176294.1</v>
      </c>
      <c r="D528">
        <v>39835</v>
      </c>
      <c r="E528" t="str">
        <f>HYPERLINK("http://www.ncbi.nlm.nih.gov/Taxonomy/Browser/wwwtax.cgi?mode=Info&amp;id=8884&amp;lvl=3&amp;lin=f&amp;keep=1&amp;srchmode=1&amp;unlock","8884")</f>
        <v>8884</v>
      </c>
      <c r="F528" t="s">
        <v>241</v>
      </c>
      <c r="G528" t="str">
        <f>HYPERLINK("http://www.ncbi.nlm.nih.gov/Taxonomy/Browser/wwwtax.cgi?mode=Info&amp;id=8884&amp;lvl=3&amp;lin=f&amp;keep=1&amp;srchmode=1&amp;unlock","Oxyura jamaicensis")</f>
        <v>Oxyura jamaicensis</v>
      </c>
      <c r="H528" t="s">
        <v>533</v>
      </c>
      <c r="I528" t="str">
        <f>HYPERLINK("http://www.ncbi.nlm.nih.gov/protein/XP_035176294.1","ryanodine receptor 2 isoform X4")</f>
        <v>ryanodine receptor 2 isoform X4</v>
      </c>
      <c r="J528">
        <v>6118.5</v>
      </c>
      <c r="K528" t="s">
        <v>22</v>
      </c>
      <c r="L528">
        <v>276</v>
      </c>
      <c r="M528">
        <v>9.75</v>
      </c>
      <c r="N528">
        <v>58.53</v>
      </c>
      <c r="O528" t="s">
        <v>19</v>
      </c>
      <c r="P528" t="s">
        <v>20</v>
      </c>
      <c r="Q528" t="s">
        <v>19</v>
      </c>
      <c r="R528" t="str">
        <f>HYPERLINK("https://cfpub.epa.gov/ecotox/explore.cfm?ncbi=8884","Explore in ECOTOX")</f>
        <v>Explore in ECOTOX</v>
      </c>
    </row>
    <row r="529" spans="1:18" x14ac:dyDescent="0.45">
      <c r="A529" t="s">
        <v>1264</v>
      </c>
      <c r="B529">
        <v>8</v>
      </c>
      <c r="C529" t="str">
        <f>HYPERLINK("http://www.ncbi.nlm.nih.gov/protein/XP_059253350.1","XP_059253350.1")</f>
        <v>XP_059253350.1</v>
      </c>
      <c r="D529">
        <v>47519</v>
      </c>
      <c r="E529" t="str">
        <f>HYPERLINK("http://www.ncbi.nlm.nih.gov/Taxonomy/Browser/wwwtax.cgi?mode=Info&amp;id=77151&amp;lvl=3&amp;lin=f&amp;keep=1&amp;srchmode=1&amp;unlock","77151")</f>
        <v>77151</v>
      </c>
      <c r="F529" t="s">
        <v>96</v>
      </c>
      <c r="G529" t="str">
        <f>HYPERLINK("http://www.ncbi.nlm.nih.gov/Taxonomy/Browser/wwwtax.cgi?mode=Info&amp;id=77151&amp;lvl=3&amp;lin=f&amp;keep=1&amp;srchmode=1&amp;unlock","Mustela nigripes")</f>
        <v>Mustela nigripes</v>
      </c>
      <c r="H529" t="s">
        <v>534</v>
      </c>
      <c r="I529" t="str">
        <f>HYPERLINK("http://www.ncbi.nlm.nih.gov/protein/XP_059253350.1","ryanodine receptor 2 isoform X7")</f>
        <v>ryanodine receptor 2 isoform X7</v>
      </c>
      <c r="J529">
        <v>6118.11</v>
      </c>
      <c r="K529" t="s">
        <v>22</v>
      </c>
      <c r="L529">
        <v>276</v>
      </c>
      <c r="M529">
        <v>9.75</v>
      </c>
      <c r="N529">
        <v>58.52</v>
      </c>
      <c r="O529" t="s">
        <v>19</v>
      </c>
      <c r="P529" t="s">
        <v>20</v>
      </c>
      <c r="Q529" t="s">
        <v>19</v>
      </c>
      <c r="R529" t="str">
        <f>HYPERLINK("https://cfpub.epa.gov/ecotox/explore.cfm?ncbi=77151","Explore in ECOTOX")</f>
        <v>Explore in ECOTOX</v>
      </c>
    </row>
    <row r="530" spans="1:18" x14ac:dyDescent="0.45">
      <c r="A530" t="s">
        <v>1264</v>
      </c>
      <c r="B530">
        <v>8</v>
      </c>
      <c r="C530" t="str">
        <f>HYPERLINK("http://www.ncbi.nlm.nih.gov/protein/XP_014806099.1","XP_014806099.1")</f>
        <v>XP_014806099.1</v>
      </c>
      <c r="D530">
        <v>30960</v>
      </c>
      <c r="E530" t="str">
        <f>HYPERLINK("http://www.ncbi.nlm.nih.gov/Taxonomy/Browser/wwwtax.cgi?mode=Info&amp;id=198806&amp;lvl=3&amp;lin=f&amp;keep=1&amp;srchmode=1&amp;unlock","198806")</f>
        <v>198806</v>
      </c>
      <c r="F530" t="s">
        <v>241</v>
      </c>
      <c r="G530" t="str">
        <f>HYPERLINK("http://www.ncbi.nlm.nih.gov/Taxonomy/Browser/wwwtax.cgi?mode=Info&amp;id=198806&amp;lvl=3&amp;lin=f&amp;keep=1&amp;srchmode=1&amp;unlock","Calidris pugnax")</f>
        <v>Calidris pugnax</v>
      </c>
      <c r="H530" t="s">
        <v>535</v>
      </c>
      <c r="I530" t="str">
        <f>HYPERLINK("http://www.ncbi.nlm.nih.gov/protein/XP_014806099.1","PREDICTED: ryanodine receptor 2 isoform X5")</f>
        <v>PREDICTED: ryanodine receptor 2 isoform X5</v>
      </c>
      <c r="J530">
        <v>6117.73</v>
      </c>
      <c r="K530" t="s">
        <v>22</v>
      </c>
      <c r="L530">
        <v>276</v>
      </c>
      <c r="M530">
        <v>9.75</v>
      </c>
      <c r="N530">
        <v>58.52</v>
      </c>
      <c r="O530" t="s">
        <v>19</v>
      </c>
      <c r="P530" t="s">
        <v>20</v>
      </c>
      <c r="Q530" t="s">
        <v>19</v>
      </c>
      <c r="R530" t="str">
        <f>HYPERLINK("https://cfpub.epa.gov/ecotox/explore.cfm?ncbi=198806","Explore in ECOTOX")</f>
        <v>Explore in ECOTOX</v>
      </c>
    </row>
    <row r="531" spans="1:18" x14ac:dyDescent="0.45">
      <c r="A531" t="s">
        <v>1264</v>
      </c>
      <c r="B531">
        <v>8</v>
      </c>
      <c r="C531" t="str">
        <f>HYPERLINK("http://www.ncbi.nlm.nih.gov/protein/XP_032738984.1","XP_032738984.1")</f>
        <v>XP_032738984.1</v>
      </c>
      <c r="D531">
        <v>48430</v>
      </c>
      <c r="E531" t="str">
        <f>HYPERLINK("http://www.ncbi.nlm.nih.gov/Taxonomy/Browser/wwwtax.cgi?mode=Info&amp;id=76717&amp;lvl=3&amp;lin=f&amp;keep=1&amp;srchmode=1&amp;unlock","76717")</f>
        <v>76717</v>
      </c>
      <c r="F531" t="s">
        <v>96</v>
      </c>
      <c r="G531" t="str">
        <f>HYPERLINK("http://www.ncbi.nlm.nih.gov/Taxonomy/Browser/wwwtax.cgi?mode=Info&amp;id=76717&amp;lvl=3&amp;lin=f&amp;keep=1&amp;srchmode=1&amp;unlock","Lontra canadensis")</f>
        <v>Lontra canadensis</v>
      </c>
      <c r="H531" t="s">
        <v>536</v>
      </c>
      <c r="I531" t="str">
        <f>HYPERLINK("http://www.ncbi.nlm.nih.gov/protein/XP_032738984.1","ryanodine receptor 2 isoform X7")</f>
        <v>ryanodine receptor 2 isoform X7</v>
      </c>
      <c r="J531">
        <v>6117.73</v>
      </c>
      <c r="K531" t="s">
        <v>22</v>
      </c>
      <c r="L531">
        <v>276</v>
      </c>
      <c r="M531">
        <v>9.75</v>
      </c>
      <c r="N531">
        <v>58.52</v>
      </c>
      <c r="O531" t="s">
        <v>19</v>
      </c>
      <c r="P531" t="s">
        <v>20</v>
      </c>
      <c r="Q531" t="s">
        <v>19</v>
      </c>
      <c r="R531" t="str">
        <f>HYPERLINK("https://cfpub.epa.gov/ecotox/explore.cfm?ncbi=76717","Explore in ECOTOX")</f>
        <v>Explore in ECOTOX</v>
      </c>
    </row>
    <row r="532" spans="1:18" x14ac:dyDescent="0.45">
      <c r="A532" t="s">
        <v>1264</v>
      </c>
      <c r="B532">
        <v>8</v>
      </c>
      <c r="C532" t="str">
        <f>HYPERLINK("http://www.ncbi.nlm.nih.gov/protein/XP_019405355.1","XP_019405355.1")</f>
        <v>XP_019405355.1</v>
      </c>
      <c r="D532">
        <v>29041</v>
      </c>
      <c r="E532" t="str">
        <f>HYPERLINK("http://www.ncbi.nlm.nih.gov/Taxonomy/Browser/wwwtax.cgi?mode=Info&amp;id=8502&amp;lvl=3&amp;lin=f&amp;keep=1&amp;srchmode=1&amp;unlock","8502")</f>
        <v>8502</v>
      </c>
      <c r="F532" t="s">
        <v>214</v>
      </c>
      <c r="G532" t="str">
        <f>HYPERLINK("http://www.ncbi.nlm.nih.gov/Taxonomy/Browser/wwwtax.cgi?mode=Info&amp;id=8502&amp;lvl=3&amp;lin=f&amp;keep=1&amp;srchmode=1&amp;unlock","Crocodylus porosus")</f>
        <v>Crocodylus porosus</v>
      </c>
      <c r="H532" t="s">
        <v>537</v>
      </c>
      <c r="I532" t="str">
        <f>HYPERLINK("http://www.ncbi.nlm.nih.gov/protein/XP_019405355.1","PREDICTED: ryanodine receptor 2")</f>
        <v>PREDICTED: ryanodine receptor 2</v>
      </c>
      <c r="J532">
        <v>6116.57</v>
      </c>
      <c r="K532" t="s">
        <v>22</v>
      </c>
      <c r="L532">
        <v>276</v>
      </c>
      <c r="M532">
        <v>9.75</v>
      </c>
      <c r="N532">
        <v>58.51</v>
      </c>
      <c r="O532" t="s">
        <v>19</v>
      </c>
      <c r="P532" t="s">
        <v>20</v>
      </c>
      <c r="Q532" t="s">
        <v>19</v>
      </c>
      <c r="R532" t="str">
        <f>HYPERLINK("https://cfpub.epa.gov/ecotox/explore.cfm?ncbi=8502","Explore in ECOTOX")</f>
        <v>Explore in ECOTOX</v>
      </c>
    </row>
    <row r="533" spans="1:18" x14ac:dyDescent="0.45">
      <c r="A533" t="s">
        <v>1264</v>
      </c>
      <c r="B533">
        <v>8</v>
      </c>
      <c r="C533" t="str">
        <f>HYPERLINK("http://www.ncbi.nlm.nih.gov/protein/XP_061221715.1","XP_061221715.1")</f>
        <v>XP_061221715.1</v>
      </c>
      <c r="D533">
        <v>38094</v>
      </c>
      <c r="E533" t="str">
        <f>HYPERLINK("http://www.ncbi.nlm.nih.gov/Taxonomy/Browser/wwwtax.cgi?mode=Info&amp;id=309878&amp;lvl=3&amp;lin=f&amp;keep=1&amp;srchmode=1&amp;unlock","309878")</f>
        <v>309878</v>
      </c>
      <c r="F533" t="s">
        <v>241</v>
      </c>
      <c r="G533" t="str">
        <f>HYPERLINK("http://www.ncbi.nlm.nih.gov/Taxonomy/Browser/wwwtax.cgi?mode=Info&amp;id=309878&amp;lvl=3&amp;lin=f&amp;keep=1&amp;srchmode=1&amp;unlock","Neopsephotus bourkii")</f>
        <v>Neopsephotus bourkii</v>
      </c>
      <c r="H533" t="s">
        <v>538</v>
      </c>
      <c r="I533" t="str">
        <f>HYPERLINK("http://www.ncbi.nlm.nih.gov/protein/XP_061221715.1","ryanodine receptor 2 isoform X6")</f>
        <v>ryanodine receptor 2 isoform X6</v>
      </c>
      <c r="J533">
        <v>6116.18</v>
      </c>
      <c r="K533" t="s">
        <v>22</v>
      </c>
      <c r="L533">
        <v>276</v>
      </c>
      <c r="M533">
        <v>9.75</v>
      </c>
      <c r="N533">
        <v>58.51</v>
      </c>
      <c r="O533" t="s">
        <v>19</v>
      </c>
      <c r="P533" t="s">
        <v>20</v>
      </c>
      <c r="Q533" t="s">
        <v>19</v>
      </c>
      <c r="R533" t="str">
        <f>HYPERLINK("https://cfpub.epa.gov/ecotox/explore.cfm?ncbi=309878","Explore in ECOTOX")</f>
        <v>Explore in ECOTOX</v>
      </c>
    </row>
    <row r="534" spans="1:18" x14ac:dyDescent="0.45">
      <c r="A534" t="s">
        <v>1264</v>
      </c>
      <c r="B534">
        <v>8</v>
      </c>
      <c r="C534" t="str">
        <f>HYPERLINK("http://www.ncbi.nlm.nih.gov/protein/XP_059026319.1","XP_059026319.1")</f>
        <v>XP_059026319.1</v>
      </c>
      <c r="D534">
        <v>56651</v>
      </c>
      <c r="E534" t="str">
        <f>HYPERLINK("http://www.ncbi.nlm.nih.gov/Taxonomy/Browser/wwwtax.cgi?mode=Info&amp;id=9666&amp;lvl=3&amp;lin=f&amp;keep=1&amp;srchmode=1&amp;unlock","9666")</f>
        <v>9666</v>
      </c>
      <c r="F534" t="s">
        <v>96</v>
      </c>
      <c r="G534" t="str">
        <f>HYPERLINK("http://www.ncbi.nlm.nih.gov/Taxonomy/Browser/wwwtax.cgi?mode=Info&amp;id=9666&amp;lvl=3&amp;lin=f&amp;keep=1&amp;srchmode=1&amp;unlock","Mustela lutreola")</f>
        <v>Mustela lutreola</v>
      </c>
      <c r="H534" t="s">
        <v>539</v>
      </c>
      <c r="I534" t="str">
        <f>HYPERLINK("http://www.ncbi.nlm.nih.gov/protein/XP_059026319.1","ryanodine receptor 2 isoform X1")</f>
        <v>ryanodine receptor 2 isoform X1</v>
      </c>
      <c r="J534">
        <v>6116.18</v>
      </c>
      <c r="K534" t="s">
        <v>22</v>
      </c>
      <c r="L534">
        <v>276</v>
      </c>
      <c r="M534">
        <v>9.75</v>
      </c>
      <c r="N534">
        <v>58.51</v>
      </c>
      <c r="O534" t="s">
        <v>19</v>
      </c>
      <c r="P534" t="s">
        <v>20</v>
      </c>
      <c r="Q534" t="s">
        <v>19</v>
      </c>
      <c r="R534" t="str">
        <f>HYPERLINK("https://cfpub.epa.gov/ecotox/explore.cfm?ncbi=9666","Explore in ECOTOX")</f>
        <v>Explore in ECOTOX</v>
      </c>
    </row>
    <row r="535" spans="1:18" x14ac:dyDescent="0.45">
      <c r="A535" t="s">
        <v>1264</v>
      </c>
      <c r="B535">
        <v>8</v>
      </c>
      <c r="C535" t="str">
        <f>HYPERLINK("http://www.ncbi.nlm.nih.gov/protein/XP_047558034.1","XP_047558034.1")</f>
        <v>XP_047558034.1</v>
      </c>
      <c r="D535">
        <v>57788</v>
      </c>
      <c r="E535" t="str">
        <f>HYPERLINK("http://www.ncbi.nlm.nih.gov/Taxonomy/Browser/wwwtax.cgi?mode=Info&amp;id=9657&amp;lvl=3&amp;lin=f&amp;keep=1&amp;srchmode=1&amp;unlock","9657")</f>
        <v>9657</v>
      </c>
      <c r="F535" t="s">
        <v>96</v>
      </c>
      <c r="G535" t="str">
        <f>HYPERLINK("http://www.ncbi.nlm.nih.gov/Taxonomy/Browser/wwwtax.cgi?mode=Info&amp;id=9657&amp;lvl=3&amp;lin=f&amp;keep=1&amp;srchmode=1&amp;unlock","Lutra lutra")</f>
        <v>Lutra lutra</v>
      </c>
      <c r="H535" t="s">
        <v>540</v>
      </c>
      <c r="I535" t="str">
        <f>HYPERLINK("http://www.ncbi.nlm.nih.gov/protein/XP_047558034.1","ryanodine receptor 2 isoform X7")</f>
        <v>ryanodine receptor 2 isoform X7</v>
      </c>
      <c r="J535">
        <v>6115.41</v>
      </c>
      <c r="K535" t="s">
        <v>22</v>
      </c>
      <c r="L535">
        <v>276</v>
      </c>
      <c r="M535">
        <v>9.75</v>
      </c>
      <c r="N535">
        <v>58.5</v>
      </c>
      <c r="O535" t="s">
        <v>19</v>
      </c>
      <c r="P535" t="s">
        <v>20</v>
      </c>
      <c r="Q535" t="s">
        <v>19</v>
      </c>
      <c r="R535" t="str">
        <f>HYPERLINK("https://cfpub.epa.gov/ecotox/explore.cfm?ncbi=9657","Explore in ECOTOX")</f>
        <v>Explore in ECOTOX</v>
      </c>
    </row>
    <row r="536" spans="1:18" x14ac:dyDescent="0.45">
      <c r="A536" t="s">
        <v>1264</v>
      </c>
      <c r="B536">
        <v>8</v>
      </c>
      <c r="C536" t="str">
        <f>HYPERLINK("http://www.ncbi.nlm.nih.gov/protein/XP_038032576.1","XP_038032576.1")</f>
        <v>XP_038032576.1</v>
      </c>
      <c r="D536">
        <v>64066</v>
      </c>
      <c r="E536" t="str">
        <f>HYPERLINK("http://www.ncbi.nlm.nih.gov/Taxonomy/Browser/wwwtax.cgi?mode=Info&amp;id=8839&amp;lvl=3&amp;lin=f&amp;keep=1&amp;srchmode=1&amp;unlock","8839")</f>
        <v>8839</v>
      </c>
      <c r="F536" t="s">
        <v>241</v>
      </c>
      <c r="G536" t="str">
        <f>HYPERLINK("http://www.ncbi.nlm.nih.gov/Taxonomy/Browser/wwwtax.cgi?mode=Info&amp;id=8839&amp;lvl=3&amp;lin=f&amp;keep=1&amp;srchmode=1&amp;unlock","Anas platyrhynchos")</f>
        <v>Anas platyrhynchos</v>
      </c>
      <c r="H536" t="s">
        <v>541</v>
      </c>
      <c r="I536" t="str">
        <f>HYPERLINK("http://www.ncbi.nlm.nih.gov/protein/XP_038032576.1","ryanodine receptor 2 isoform X10")</f>
        <v>ryanodine receptor 2 isoform X10</v>
      </c>
      <c r="J536">
        <v>6114.64</v>
      </c>
      <c r="K536" t="s">
        <v>22</v>
      </c>
      <c r="L536">
        <v>276</v>
      </c>
      <c r="M536">
        <v>9.75</v>
      </c>
      <c r="N536">
        <v>58.49</v>
      </c>
      <c r="O536" t="s">
        <v>19</v>
      </c>
      <c r="P536" t="s">
        <v>20</v>
      </c>
      <c r="Q536" t="s">
        <v>19</v>
      </c>
      <c r="R536" t="str">
        <f>HYPERLINK("https://cfpub.epa.gov/ecotox/explore.cfm?ncbi=8839","Explore in ECOTOX")</f>
        <v>Explore in ECOTOX</v>
      </c>
    </row>
    <row r="537" spans="1:18" x14ac:dyDescent="0.45">
      <c r="A537" t="s">
        <v>1264</v>
      </c>
      <c r="B537">
        <v>8</v>
      </c>
      <c r="C537" t="str">
        <f>HYPERLINK("http://www.ncbi.nlm.nih.gov/protein/XP_050172644.1","XP_050172644.1")</f>
        <v>XP_050172644.1</v>
      </c>
      <c r="D537">
        <v>35686</v>
      </c>
      <c r="E537" t="str">
        <f>HYPERLINK("http://www.ncbi.nlm.nih.gov/Taxonomy/Browser/wwwtax.cgi?mode=Info&amp;id=478635&amp;lvl=3&amp;lin=f&amp;keep=1&amp;srchmode=1&amp;unlock","478635")</f>
        <v>478635</v>
      </c>
      <c r="F537" t="s">
        <v>241</v>
      </c>
      <c r="G537" t="str">
        <f>HYPERLINK("http://www.ncbi.nlm.nih.gov/Taxonomy/Browser/wwwtax.cgi?mode=Info&amp;id=478635&amp;lvl=3&amp;lin=f&amp;keep=1&amp;srchmode=1&amp;unlock","Myiozetetes cayanensis")</f>
        <v>Myiozetetes cayanensis</v>
      </c>
      <c r="H537" t="s">
        <v>435</v>
      </c>
      <c r="I537" t="str">
        <f>HYPERLINK("http://www.ncbi.nlm.nih.gov/protein/XP_050172644.1","ryanodine receptor 2 isoform X6")</f>
        <v>ryanodine receptor 2 isoform X6</v>
      </c>
      <c r="J537">
        <v>6114.26</v>
      </c>
      <c r="K537" t="s">
        <v>22</v>
      </c>
      <c r="L537">
        <v>276</v>
      </c>
      <c r="M537">
        <v>9.75</v>
      </c>
      <c r="N537">
        <v>58.49</v>
      </c>
      <c r="O537" t="s">
        <v>19</v>
      </c>
      <c r="P537" t="s">
        <v>20</v>
      </c>
      <c r="Q537" t="s">
        <v>19</v>
      </c>
      <c r="R537" t="str">
        <f>HYPERLINK("https://cfpub.epa.gov/ecotox/explore.cfm?ncbi=478635","Explore in ECOTOX")</f>
        <v>Explore in ECOTOX</v>
      </c>
    </row>
    <row r="538" spans="1:18" x14ac:dyDescent="0.45">
      <c r="A538" t="s">
        <v>1264</v>
      </c>
      <c r="B538">
        <v>8</v>
      </c>
      <c r="C538" t="str">
        <f>HYPERLINK("http://www.ncbi.nlm.nih.gov/protein/XP_048155723.1","XP_048155723.1")</f>
        <v>XP_048155723.1</v>
      </c>
      <c r="D538">
        <v>43175</v>
      </c>
      <c r="E538" t="str">
        <f>HYPERLINK("http://www.ncbi.nlm.nih.gov/Taxonomy/Browser/wwwtax.cgi?mode=Info&amp;id=134902&amp;lvl=3&amp;lin=f&amp;keep=1&amp;srchmode=1&amp;unlock","134902")</f>
        <v>134902</v>
      </c>
      <c r="F538" t="s">
        <v>241</v>
      </c>
      <c r="G538" t="str">
        <f>HYPERLINK("http://www.ncbi.nlm.nih.gov/Taxonomy/Browser/wwwtax.cgi?mode=Info&amp;id=134902&amp;lvl=3&amp;lin=f&amp;keep=1&amp;srchmode=1&amp;unlock","Corvus hawaiiensis")</f>
        <v>Corvus hawaiiensis</v>
      </c>
      <c r="H538" t="s">
        <v>542</v>
      </c>
      <c r="I538" t="str">
        <f>HYPERLINK("http://www.ncbi.nlm.nih.gov/protein/XP_048155723.1","ryanodine receptor 2 isoform X2")</f>
        <v>ryanodine receptor 2 isoform X2</v>
      </c>
      <c r="J538">
        <v>6111.56</v>
      </c>
      <c r="K538" t="s">
        <v>22</v>
      </c>
      <c r="L538">
        <v>276</v>
      </c>
      <c r="M538">
        <v>9.75</v>
      </c>
      <c r="N538">
        <v>58.46</v>
      </c>
      <c r="O538" t="s">
        <v>19</v>
      </c>
      <c r="P538" t="s">
        <v>20</v>
      </c>
      <c r="Q538" t="s">
        <v>19</v>
      </c>
      <c r="R538" t="str">
        <f>HYPERLINK("https://cfpub.epa.gov/ecotox/explore.cfm?ncbi=134902","Explore in ECOTOX")</f>
        <v>Explore in ECOTOX</v>
      </c>
    </row>
    <row r="539" spans="1:18" x14ac:dyDescent="0.45">
      <c r="A539" t="s">
        <v>1264</v>
      </c>
      <c r="B539">
        <v>8</v>
      </c>
      <c r="C539" t="str">
        <f>HYPERLINK("http://www.ncbi.nlm.nih.gov/protein/XP_041881257.1","XP_041881257.1")</f>
        <v>XP_041881257.1</v>
      </c>
      <c r="D539">
        <v>41339</v>
      </c>
      <c r="E539" t="str">
        <f>HYPERLINK("http://www.ncbi.nlm.nih.gov/Taxonomy/Browser/wwwtax.cgi?mode=Info&amp;id=68294&amp;lvl=3&amp;lin=f&amp;keep=1&amp;srchmode=1&amp;unlock","68294")</f>
        <v>68294</v>
      </c>
      <c r="F539" t="s">
        <v>241</v>
      </c>
      <c r="G539" t="str">
        <f>HYPERLINK("http://www.ncbi.nlm.nih.gov/Taxonomy/Browser/wwwtax.cgi?mode=Info&amp;id=68294&amp;lvl=3&amp;lin=f&amp;keep=1&amp;srchmode=1&amp;unlock","Corvus kubaryi")</f>
        <v>Corvus kubaryi</v>
      </c>
      <c r="H539" t="s">
        <v>543</v>
      </c>
      <c r="I539" t="str">
        <f>HYPERLINK("http://www.ncbi.nlm.nih.gov/protein/XP_041881257.1","ryanodine receptor 2 isoform X2")</f>
        <v>ryanodine receptor 2 isoform X2</v>
      </c>
      <c r="J539">
        <v>6111.56</v>
      </c>
      <c r="K539" t="s">
        <v>22</v>
      </c>
      <c r="L539">
        <v>276</v>
      </c>
      <c r="M539">
        <v>9.75</v>
      </c>
      <c r="N539">
        <v>58.46</v>
      </c>
      <c r="O539" t="s">
        <v>19</v>
      </c>
      <c r="P539" t="s">
        <v>20</v>
      </c>
      <c r="Q539" t="s">
        <v>19</v>
      </c>
      <c r="R539" t="str">
        <f>HYPERLINK("https://cfpub.epa.gov/ecotox/explore.cfm?ncbi=68294","Explore in ECOTOX")</f>
        <v>Explore in ECOTOX</v>
      </c>
    </row>
    <row r="540" spans="1:18" x14ac:dyDescent="0.45">
      <c r="A540" t="s">
        <v>1264</v>
      </c>
      <c r="B540">
        <v>8</v>
      </c>
      <c r="C540" t="str">
        <f>HYPERLINK("http://www.ncbi.nlm.nih.gov/protein/XP_014122909.1","XP_014122909.1")</f>
        <v>XP_014122909.1</v>
      </c>
      <c r="D540">
        <v>26792</v>
      </c>
      <c r="E540" t="str">
        <f>HYPERLINK("http://www.ncbi.nlm.nih.gov/Taxonomy/Browser/wwwtax.cgi?mode=Info&amp;id=44394&amp;lvl=3&amp;lin=f&amp;keep=1&amp;srchmode=1&amp;unlock","44394")</f>
        <v>44394</v>
      </c>
      <c r="F540" t="s">
        <v>241</v>
      </c>
      <c r="G540" t="str">
        <f>HYPERLINK("http://www.ncbi.nlm.nih.gov/Taxonomy/Browser/wwwtax.cgi?mode=Info&amp;id=44394&amp;lvl=3&amp;lin=f&amp;keep=1&amp;srchmode=1&amp;unlock","Zonotrichia albicollis")</f>
        <v>Zonotrichia albicollis</v>
      </c>
      <c r="H540" t="s">
        <v>544</v>
      </c>
      <c r="I540" t="str">
        <f>HYPERLINK("http://www.ncbi.nlm.nih.gov/protein/XP_014122909.1","ryanodine receptor 2 isoform X12")</f>
        <v>ryanodine receptor 2 isoform X12</v>
      </c>
      <c r="J540">
        <v>6111.18</v>
      </c>
      <c r="K540" t="s">
        <v>22</v>
      </c>
      <c r="L540">
        <v>276</v>
      </c>
      <c r="M540">
        <v>9.75</v>
      </c>
      <c r="N540">
        <v>58.46</v>
      </c>
      <c r="O540" t="s">
        <v>19</v>
      </c>
      <c r="P540" t="s">
        <v>20</v>
      </c>
      <c r="Q540" t="s">
        <v>19</v>
      </c>
      <c r="R540" t="str">
        <f>HYPERLINK("https://cfpub.epa.gov/ecotox/explore.cfm?ncbi=44394","Explore in ECOTOX")</f>
        <v>Explore in ECOTOX</v>
      </c>
    </row>
    <row r="541" spans="1:18" x14ac:dyDescent="0.45">
      <c r="A541" t="s">
        <v>1264</v>
      </c>
      <c r="B541">
        <v>8</v>
      </c>
      <c r="C541" t="str">
        <f>HYPERLINK("http://www.ncbi.nlm.nih.gov/protein/XP_058165473.1","XP_058165473.1")</f>
        <v>XP_058165473.1</v>
      </c>
      <c r="D541">
        <v>55881</v>
      </c>
      <c r="E541" t="str">
        <f>HYPERLINK("http://www.ncbi.nlm.nih.gov/Taxonomy/Browser/wwwtax.cgi?mode=Info&amp;id=9361&amp;lvl=3&amp;lin=f&amp;keep=1&amp;srchmode=1&amp;unlock","9361")</f>
        <v>9361</v>
      </c>
      <c r="F541" t="s">
        <v>96</v>
      </c>
      <c r="G541" t="str">
        <f>HYPERLINK("http://www.ncbi.nlm.nih.gov/Taxonomy/Browser/wwwtax.cgi?mode=Info&amp;id=9361&amp;lvl=3&amp;lin=f&amp;keep=1&amp;srchmode=1&amp;unlock","Dasypus novemcinctus")</f>
        <v>Dasypus novemcinctus</v>
      </c>
      <c r="H541" t="s">
        <v>545</v>
      </c>
      <c r="I541" t="str">
        <f>HYPERLINK("http://www.ncbi.nlm.nih.gov/protein/XP_058165473.1","ryanodine receptor 2 isoform X4")</f>
        <v>ryanodine receptor 2 isoform X4</v>
      </c>
      <c r="J541">
        <v>6110.79</v>
      </c>
      <c r="K541" t="s">
        <v>22</v>
      </c>
      <c r="L541">
        <v>276</v>
      </c>
      <c r="M541">
        <v>9.75</v>
      </c>
      <c r="N541">
        <v>58.45</v>
      </c>
      <c r="O541" t="s">
        <v>19</v>
      </c>
      <c r="P541" t="s">
        <v>20</v>
      </c>
      <c r="Q541" t="s">
        <v>19</v>
      </c>
      <c r="R541" t="str">
        <f>HYPERLINK("https://cfpub.epa.gov/ecotox/explore.cfm?ncbi=9361","Explore in ECOTOX")</f>
        <v>Explore in ECOTOX</v>
      </c>
    </row>
    <row r="542" spans="1:18" x14ac:dyDescent="0.45">
      <c r="A542" t="s">
        <v>1264</v>
      </c>
      <c r="B542">
        <v>8</v>
      </c>
      <c r="C542" t="str">
        <f>HYPERLINK("http://www.ncbi.nlm.nih.gov/protein/XP_040407848.1","XP_040407848.1")</f>
        <v>XP_040407848.1</v>
      </c>
      <c r="D542">
        <v>47844</v>
      </c>
      <c r="E542" t="str">
        <f>HYPERLINK("http://www.ncbi.nlm.nih.gov/Taxonomy/Browser/wwwtax.cgi?mode=Info&amp;id=8869&amp;lvl=3&amp;lin=f&amp;keep=1&amp;srchmode=1&amp;unlock","8869")</f>
        <v>8869</v>
      </c>
      <c r="F542" t="s">
        <v>241</v>
      </c>
      <c r="G542" t="str">
        <f>HYPERLINK("http://www.ncbi.nlm.nih.gov/Taxonomy/Browser/wwwtax.cgi?mode=Info&amp;id=8869&amp;lvl=3&amp;lin=f&amp;keep=1&amp;srchmode=1&amp;unlock","Cygnus olor")</f>
        <v>Cygnus olor</v>
      </c>
      <c r="H542" t="s">
        <v>546</v>
      </c>
      <c r="I542" t="str">
        <f>HYPERLINK("http://www.ncbi.nlm.nih.gov/protein/XP_040407848.1","ryanodine receptor 2")</f>
        <v>ryanodine receptor 2</v>
      </c>
      <c r="J542">
        <v>6108.87</v>
      </c>
      <c r="K542" t="s">
        <v>22</v>
      </c>
      <c r="L542">
        <v>276</v>
      </c>
      <c r="M542">
        <v>9.75</v>
      </c>
      <c r="N542">
        <v>58.44</v>
      </c>
      <c r="O542" t="s">
        <v>19</v>
      </c>
      <c r="P542" t="s">
        <v>20</v>
      </c>
      <c r="Q542" t="s">
        <v>19</v>
      </c>
      <c r="R542" t="str">
        <f>HYPERLINK("https://cfpub.epa.gov/ecotox/explore.cfm?ncbi=8869","Explore in ECOTOX")</f>
        <v>Explore in ECOTOX</v>
      </c>
    </row>
    <row r="543" spans="1:18" x14ac:dyDescent="0.45">
      <c r="A543" t="s">
        <v>1264</v>
      </c>
      <c r="B543">
        <v>8</v>
      </c>
      <c r="C543" t="str">
        <f>HYPERLINK("http://www.ncbi.nlm.nih.gov/protein/XP_055228363.1","XP_055228363.1")</f>
        <v>XP_055228363.1</v>
      </c>
      <c r="D543">
        <v>82505</v>
      </c>
      <c r="E543" t="str">
        <f>HYPERLINK("http://www.ncbi.nlm.nih.gov/Taxonomy/Browser/wwwtax.cgi?mode=Info&amp;id=9595&amp;lvl=3&amp;lin=f&amp;keep=1&amp;srchmode=1&amp;unlock","9595")</f>
        <v>9595</v>
      </c>
      <c r="F543" t="s">
        <v>96</v>
      </c>
      <c r="G543" t="str">
        <f>HYPERLINK("http://www.ncbi.nlm.nih.gov/Taxonomy/Browser/wwwtax.cgi?mode=Info&amp;id=9595&amp;lvl=3&amp;lin=f&amp;keep=1&amp;srchmode=1&amp;unlock","Gorilla gorilla gorilla")</f>
        <v>Gorilla gorilla gorilla</v>
      </c>
      <c r="H543" t="s">
        <v>547</v>
      </c>
      <c r="I543" t="str">
        <f>HYPERLINK("http://www.ncbi.nlm.nih.gov/protein/XP_055228363.1","ryanodine receptor 2 isoform X5")</f>
        <v>ryanodine receptor 2 isoform X5</v>
      </c>
      <c r="J543">
        <v>6108.48</v>
      </c>
      <c r="K543" t="s">
        <v>22</v>
      </c>
      <c r="L543">
        <v>276</v>
      </c>
      <c r="M543">
        <v>9.75</v>
      </c>
      <c r="N543">
        <v>58.43</v>
      </c>
      <c r="O543" t="s">
        <v>19</v>
      </c>
      <c r="P543" t="s">
        <v>20</v>
      </c>
      <c r="Q543" t="s">
        <v>19</v>
      </c>
      <c r="R543" t="str">
        <f>HYPERLINK("https://cfpub.epa.gov/ecotox/explore.cfm?ncbi=9595","Explore in ECOTOX")</f>
        <v>Explore in ECOTOX</v>
      </c>
    </row>
    <row r="544" spans="1:18" x14ac:dyDescent="0.45">
      <c r="A544" t="s">
        <v>1264</v>
      </c>
      <c r="B544">
        <v>8</v>
      </c>
      <c r="C544" t="str">
        <f>HYPERLINK("http://www.ncbi.nlm.nih.gov/protein/PNJ43430.1","PNJ43430.1")</f>
        <v>PNJ43430.1</v>
      </c>
      <c r="D544">
        <v>166350</v>
      </c>
      <c r="E544" t="str">
        <f>HYPERLINK("http://www.ncbi.nlm.nih.gov/Taxonomy/Browser/wwwtax.cgi?mode=Info&amp;id=9601&amp;lvl=3&amp;lin=f&amp;keep=1&amp;srchmode=1&amp;unlock","9601")</f>
        <v>9601</v>
      </c>
      <c r="F544" t="s">
        <v>96</v>
      </c>
      <c r="G544" t="str">
        <f>HYPERLINK("http://www.ncbi.nlm.nih.gov/Taxonomy/Browser/wwwtax.cgi?mode=Info&amp;id=9601&amp;lvl=3&amp;lin=f&amp;keep=1&amp;srchmode=1&amp;unlock","Pongo abelii")</f>
        <v>Pongo abelii</v>
      </c>
      <c r="H544" t="s">
        <v>548</v>
      </c>
      <c r="I544" t="str">
        <f>HYPERLINK("http://www.ncbi.nlm.nih.gov/protein/PNJ43430.1","RYR2 isoform 1")</f>
        <v>RYR2 isoform 1</v>
      </c>
      <c r="J544">
        <v>6104.63</v>
      </c>
      <c r="K544" t="s">
        <v>22</v>
      </c>
      <c r="L544">
        <v>276</v>
      </c>
      <c r="M544">
        <v>9.75</v>
      </c>
      <c r="N544">
        <v>58.4</v>
      </c>
      <c r="O544" t="s">
        <v>19</v>
      </c>
      <c r="P544" t="s">
        <v>20</v>
      </c>
      <c r="Q544" t="s">
        <v>19</v>
      </c>
      <c r="R544" t="str">
        <f>HYPERLINK("https://cfpub.epa.gov/ecotox/explore.cfm?ncbi=9601","Explore in ECOTOX")</f>
        <v>Explore in ECOTOX</v>
      </c>
    </row>
    <row r="545" spans="1:18" x14ac:dyDescent="0.45">
      <c r="A545" t="s">
        <v>1264</v>
      </c>
      <c r="B545">
        <v>8</v>
      </c>
      <c r="C545" t="str">
        <f>HYPERLINK("http://www.ncbi.nlm.nih.gov/protein/XP_058275575.1","XP_058275575.1")</f>
        <v>XP_058275575.1</v>
      </c>
      <c r="D545">
        <v>51036</v>
      </c>
      <c r="E545" t="str">
        <f>HYPERLINK("http://www.ncbi.nlm.nih.gov/Taxonomy/Browser/wwwtax.cgi?mode=Info&amp;id=43150&amp;lvl=3&amp;lin=f&amp;keep=1&amp;srchmode=1&amp;unlock","43150")</f>
        <v>43150</v>
      </c>
      <c r="F545" t="s">
        <v>241</v>
      </c>
      <c r="G545" t="str">
        <f>HYPERLINK("http://www.ncbi.nlm.nih.gov/Taxonomy/Browser/wwwtax.cgi?mode=Info&amp;id=43150&amp;lvl=3&amp;lin=f&amp;keep=1&amp;srchmode=1&amp;unlock","Hirundo rustica")</f>
        <v>Hirundo rustica</v>
      </c>
      <c r="H545" t="s">
        <v>549</v>
      </c>
      <c r="I545" t="str">
        <f>HYPERLINK("http://www.ncbi.nlm.nih.gov/protein/XP_058275575.1","ryanodine receptor 2 isoform X4")</f>
        <v>ryanodine receptor 2 isoform X4</v>
      </c>
      <c r="J545">
        <v>6104.63</v>
      </c>
      <c r="K545" t="s">
        <v>22</v>
      </c>
      <c r="L545">
        <v>276</v>
      </c>
      <c r="M545">
        <v>9.75</v>
      </c>
      <c r="N545">
        <v>58.4</v>
      </c>
      <c r="O545" t="s">
        <v>19</v>
      </c>
      <c r="P545" t="s">
        <v>20</v>
      </c>
      <c r="Q545" t="s">
        <v>19</v>
      </c>
      <c r="R545" t="str">
        <f>HYPERLINK("https://cfpub.epa.gov/ecotox/explore.cfm?ncbi=43150","Explore in ECOTOX")</f>
        <v>Explore in ECOTOX</v>
      </c>
    </row>
    <row r="546" spans="1:18" x14ac:dyDescent="0.45">
      <c r="A546" t="s">
        <v>1264</v>
      </c>
      <c r="B546">
        <v>8</v>
      </c>
      <c r="C546" t="str">
        <f>HYPERLINK("http://www.ncbi.nlm.nih.gov/protein/XP_030791951.1","XP_030791951.1")</f>
        <v>XP_030791951.1</v>
      </c>
      <c r="D546">
        <v>53912</v>
      </c>
      <c r="E546" t="str">
        <f>HYPERLINK("http://www.ncbi.nlm.nih.gov/Taxonomy/Browser/wwwtax.cgi?mode=Info&amp;id=61622&amp;lvl=3&amp;lin=f&amp;keep=1&amp;srchmode=1&amp;unlock","61622")</f>
        <v>61622</v>
      </c>
      <c r="F546" t="s">
        <v>96</v>
      </c>
      <c r="G546" t="str">
        <f>HYPERLINK("http://www.ncbi.nlm.nih.gov/Taxonomy/Browser/wwwtax.cgi?mode=Info&amp;id=61622&amp;lvl=3&amp;lin=f&amp;keep=1&amp;srchmode=1&amp;unlock","Rhinopithecus roxellana")</f>
        <v>Rhinopithecus roxellana</v>
      </c>
      <c r="H546" t="s">
        <v>550</v>
      </c>
      <c r="I546" t="str">
        <f>HYPERLINK("http://www.ncbi.nlm.nih.gov/protein/XP_030791951.1","ryanodine receptor 2 isoform X4")</f>
        <v>ryanodine receptor 2 isoform X4</v>
      </c>
      <c r="J546">
        <v>6102.32</v>
      </c>
      <c r="K546" t="s">
        <v>22</v>
      </c>
      <c r="L546">
        <v>276</v>
      </c>
      <c r="M546">
        <v>9.75</v>
      </c>
      <c r="N546">
        <v>58.37</v>
      </c>
      <c r="O546" t="s">
        <v>19</v>
      </c>
      <c r="P546" t="s">
        <v>20</v>
      </c>
      <c r="Q546" t="s">
        <v>19</v>
      </c>
      <c r="R546" t="str">
        <f>HYPERLINK("https://cfpub.epa.gov/ecotox/explore.cfm?ncbi=61622","Explore in ECOTOX")</f>
        <v>Explore in ECOTOX</v>
      </c>
    </row>
    <row r="547" spans="1:18" x14ac:dyDescent="0.45">
      <c r="A547" t="s">
        <v>1264</v>
      </c>
      <c r="B547">
        <v>8</v>
      </c>
      <c r="C547" t="str">
        <f>HYPERLINK("http://www.ncbi.nlm.nih.gov/protein/XP_032911635.1","XP_032911635.1")</f>
        <v>XP_032911635.1</v>
      </c>
      <c r="D547">
        <v>36262</v>
      </c>
      <c r="E547" t="str">
        <f>HYPERLINK("http://www.ncbi.nlm.nih.gov/Taxonomy/Browser/wwwtax.cgi?mode=Info&amp;id=91951&amp;lvl=3&amp;lin=f&amp;keep=1&amp;srchmode=1&amp;unlock","91951")</f>
        <v>91951</v>
      </c>
      <c r="F547" t="s">
        <v>241</v>
      </c>
      <c r="G547" t="str">
        <f>HYPERLINK("http://www.ncbi.nlm.nih.gov/Taxonomy/Browser/wwwtax.cgi?mode=Info&amp;id=91951&amp;lvl=3&amp;lin=f&amp;keep=1&amp;srchmode=1&amp;unlock","Catharus ustulatus")</f>
        <v>Catharus ustulatus</v>
      </c>
      <c r="H547" t="s">
        <v>551</v>
      </c>
      <c r="I547" t="str">
        <f>HYPERLINK("http://www.ncbi.nlm.nih.gov/protein/XP_032911635.1","ryanodine receptor 2 isoform X15")</f>
        <v>ryanodine receptor 2 isoform X15</v>
      </c>
      <c r="J547">
        <v>6101.16</v>
      </c>
      <c r="K547" t="s">
        <v>22</v>
      </c>
      <c r="L547">
        <v>276</v>
      </c>
      <c r="M547">
        <v>9.75</v>
      </c>
      <c r="N547">
        <v>58.36</v>
      </c>
      <c r="O547" t="s">
        <v>19</v>
      </c>
      <c r="P547" t="s">
        <v>20</v>
      </c>
      <c r="Q547" t="s">
        <v>19</v>
      </c>
      <c r="R547" t="str">
        <f>HYPERLINK("https://cfpub.epa.gov/ecotox/explore.cfm?ncbi=91951","Explore in ECOTOX")</f>
        <v>Explore in ECOTOX</v>
      </c>
    </row>
    <row r="548" spans="1:18" x14ac:dyDescent="0.45">
      <c r="A548" t="s">
        <v>1264</v>
      </c>
      <c r="B548">
        <v>8</v>
      </c>
      <c r="C548" t="str">
        <f>HYPERLINK("http://www.ncbi.nlm.nih.gov/protein/XP_054550871.1","XP_054550871.1")</f>
        <v>XP_054550871.1</v>
      </c>
      <c r="D548">
        <v>46938</v>
      </c>
      <c r="E548" t="str">
        <f>HYPERLINK("http://www.ncbi.nlm.nih.gov/Taxonomy/Browser/wwwtax.cgi?mode=Info&amp;id=50954&amp;lvl=3&amp;lin=f&amp;keep=1&amp;srchmode=1&amp;unlock","50954")</f>
        <v>50954</v>
      </c>
      <c r="F548" t="s">
        <v>96</v>
      </c>
      <c r="G548" t="str">
        <f>HYPERLINK("http://www.ncbi.nlm.nih.gov/Taxonomy/Browser/wwwtax.cgi?mode=Info&amp;id=50954&amp;lvl=3&amp;lin=f&amp;keep=1&amp;srchmode=1&amp;unlock","Talpa occidentalis")</f>
        <v>Talpa occidentalis</v>
      </c>
      <c r="H548" t="s">
        <v>552</v>
      </c>
      <c r="I548" t="str">
        <f>HYPERLINK("http://www.ncbi.nlm.nih.gov/protein/XP_054550871.1","ryanodine receptor 2")</f>
        <v>ryanodine receptor 2</v>
      </c>
      <c r="J548">
        <v>6100.78</v>
      </c>
      <c r="K548" t="s">
        <v>22</v>
      </c>
      <c r="L548">
        <v>276</v>
      </c>
      <c r="M548">
        <v>9.75</v>
      </c>
      <c r="N548">
        <v>58.36</v>
      </c>
      <c r="O548" t="s">
        <v>19</v>
      </c>
      <c r="P548" t="s">
        <v>20</v>
      </c>
      <c r="Q548" t="s">
        <v>19</v>
      </c>
      <c r="R548" t="str">
        <f>HYPERLINK("https://cfpub.epa.gov/ecotox/explore.cfm?ncbi=50954","Explore in ECOTOX")</f>
        <v>Explore in ECOTOX</v>
      </c>
    </row>
    <row r="549" spans="1:18" x14ac:dyDescent="0.45">
      <c r="A549" t="s">
        <v>1264</v>
      </c>
      <c r="B549">
        <v>8</v>
      </c>
      <c r="C549" t="str">
        <f>HYPERLINK("http://www.ncbi.nlm.nih.gov/protein/XP_050828612.1","XP_050828612.1")</f>
        <v>XP_050828612.1</v>
      </c>
      <c r="D549">
        <v>36254</v>
      </c>
      <c r="E549" t="str">
        <f>HYPERLINK("http://www.ncbi.nlm.nih.gov/Taxonomy/Browser/wwwtax.cgi?mode=Info&amp;id=9135&amp;lvl=3&amp;lin=f&amp;keep=1&amp;srchmode=1&amp;unlock","9135")</f>
        <v>9135</v>
      </c>
      <c r="F549" t="s">
        <v>241</v>
      </c>
      <c r="G549" t="str">
        <f>HYPERLINK("http://www.ncbi.nlm.nih.gov/Taxonomy/Browser/wwwtax.cgi?mode=Info&amp;id=9135&amp;lvl=3&amp;lin=f&amp;keep=1&amp;srchmode=1&amp;unlock","Serinus canaria")</f>
        <v>Serinus canaria</v>
      </c>
      <c r="H549" t="s">
        <v>553</v>
      </c>
      <c r="I549" t="str">
        <f>HYPERLINK("http://www.ncbi.nlm.nih.gov/protein/XP_050828612.1","ryanodine receptor 2")</f>
        <v>ryanodine receptor 2</v>
      </c>
      <c r="J549">
        <v>6100.39</v>
      </c>
      <c r="K549" t="s">
        <v>22</v>
      </c>
      <c r="L549">
        <v>276</v>
      </c>
      <c r="M549">
        <v>9.75</v>
      </c>
      <c r="N549">
        <v>58.36</v>
      </c>
      <c r="O549" t="s">
        <v>19</v>
      </c>
      <c r="P549" t="s">
        <v>20</v>
      </c>
      <c r="Q549" t="s">
        <v>19</v>
      </c>
      <c r="R549" t="str">
        <f>HYPERLINK("https://cfpub.epa.gov/ecotox/explore.cfm?ncbi=9135","Explore in ECOTOX")</f>
        <v>Explore in ECOTOX</v>
      </c>
    </row>
    <row r="550" spans="1:18" x14ac:dyDescent="0.45">
      <c r="A550" t="s">
        <v>1264</v>
      </c>
      <c r="B550">
        <v>8</v>
      </c>
      <c r="C550" t="str">
        <f>HYPERLINK("http://www.ncbi.nlm.nih.gov/protein/XP_039562810.1","XP_039562810.1")</f>
        <v>XP_039562810.1</v>
      </c>
      <c r="D550">
        <v>39382</v>
      </c>
      <c r="E550" t="str">
        <f>HYPERLINK("http://www.ncbi.nlm.nih.gov/Taxonomy/Browser/wwwtax.cgi?mode=Info&amp;id=9160&amp;lvl=3&amp;lin=f&amp;keep=1&amp;srchmode=1&amp;unlock","9160")</f>
        <v>9160</v>
      </c>
      <c r="F550" t="s">
        <v>241</v>
      </c>
      <c r="G550" t="str">
        <f>HYPERLINK("http://www.ncbi.nlm.nih.gov/Taxonomy/Browser/wwwtax.cgi?mode=Info&amp;id=9160&amp;lvl=3&amp;lin=f&amp;keep=1&amp;srchmode=1&amp;unlock","Passer montanus")</f>
        <v>Passer montanus</v>
      </c>
      <c r="H550" t="s">
        <v>554</v>
      </c>
      <c r="I550" t="str">
        <f>HYPERLINK("http://www.ncbi.nlm.nih.gov/protein/XP_039562810.1","ryanodine receptor 2 isoform X10")</f>
        <v>ryanodine receptor 2 isoform X10</v>
      </c>
      <c r="J550">
        <v>6099.24</v>
      </c>
      <c r="K550" t="s">
        <v>22</v>
      </c>
      <c r="L550">
        <v>276</v>
      </c>
      <c r="M550">
        <v>9.75</v>
      </c>
      <c r="N550">
        <v>58.34</v>
      </c>
      <c r="O550" t="s">
        <v>19</v>
      </c>
      <c r="P550" t="s">
        <v>20</v>
      </c>
      <c r="Q550" t="s">
        <v>19</v>
      </c>
      <c r="R550" t="str">
        <f>HYPERLINK("https://cfpub.epa.gov/ecotox/explore.cfm?ncbi=9160","Explore in ECOTOX")</f>
        <v>Explore in ECOTOX</v>
      </c>
    </row>
    <row r="551" spans="1:18" x14ac:dyDescent="0.45">
      <c r="A551" t="s">
        <v>1264</v>
      </c>
      <c r="B551">
        <v>8</v>
      </c>
      <c r="C551" t="str">
        <f>HYPERLINK("http://www.ncbi.nlm.nih.gov/protein/XP_032299205.1","XP_032299205.1")</f>
        <v>XP_032299205.1</v>
      </c>
      <c r="D551">
        <v>41859</v>
      </c>
      <c r="E551" t="str">
        <f>HYPERLINK("http://www.ncbi.nlm.nih.gov/Taxonomy/Browser/wwwtax.cgi?mode=Info&amp;id=93934&amp;lvl=3&amp;lin=f&amp;keep=1&amp;srchmode=1&amp;unlock","93934")</f>
        <v>93934</v>
      </c>
      <c r="F551" t="s">
        <v>241</v>
      </c>
      <c r="G551" t="str">
        <f>HYPERLINK("http://www.ncbi.nlm.nih.gov/Taxonomy/Browser/wwwtax.cgi?mode=Info&amp;id=93934&amp;lvl=3&amp;lin=f&amp;keep=1&amp;srchmode=1&amp;unlock","Coturnix japonica")</f>
        <v>Coturnix japonica</v>
      </c>
      <c r="H551" t="s">
        <v>555</v>
      </c>
      <c r="I551" t="str">
        <f>HYPERLINK("http://www.ncbi.nlm.nih.gov/protein/XP_032299205.1","ryanodine receptor 2")</f>
        <v>ryanodine receptor 2</v>
      </c>
      <c r="J551">
        <v>6098.47</v>
      </c>
      <c r="K551" t="s">
        <v>22</v>
      </c>
      <c r="L551">
        <v>276</v>
      </c>
      <c r="M551">
        <v>9.75</v>
      </c>
      <c r="N551">
        <v>58.34</v>
      </c>
      <c r="O551" t="s">
        <v>19</v>
      </c>
      <c r="P551" t="s">
        <v>20</v>
      </c>
      <c r="Q551" t="s">
        <v>19</v>
      </c>
      <c r="R551" t="str">
        <f>HYPERLINK("https://cfpub.epa.gov/ecotox/explore.cfm?ncbi=93934","Explore in ECOTOX")</f>
        <v>Explore in ECOTOX</v>
      </c>
    </row>
    <row r="552" spans="1:18" x14ac:dyDescent="0.45">
      <c r="A552" t="s">
        <v>1264</v>
      </c>
      <c r="B552">
        <v>8</v>
      </c>
      <c r="C552" t="str">
        <f>HYPERLINK("http://www.ncbi.nlm.nih.gov/protein/XP_055089413.1","XP_055089413.1")</f>
        <v>XP_055089413.1</v>
      </c>
      <c r="D552">
        <v>67561</v>
      </c>
      <c r="E552" t="str">
        <f>HYPERLINK("http://www.ncbi.nlm.nih.gov/Taxonomy/Browser/wwwtax.cgi?mode=Info&amp;id=9590&amp;lvl=3&amp;lin=f&amp;keep=1&amp;srchmode=1&amp;unlock","9590")</f>
        <v>9590</v>
      </c>
      <c r="F552" t="s">
        <v>96</v>
      </c>
      <c r="G552" t="str">
        <f>HYPERLINK("http://www.ncbi.nlm.nih.gov/Taxonomy/Browser/wwwtax.cgi?mode=Info&amp;id=9590&amp;lvl=3&amp;lin=f&amp;keep=1&amp;srchmode=1&amp;unlock","Symphalangus syndactylus")</f>
        <v>Symphalangus syndactylus</v>
      </c>
      <c r="H552" t="s">
        <v>556</v>
      </c>
      <c r="I552" t="str">
        <f>HYPERLINK("http://www.ncbi.nlm.nih.gov/protein/XP_055089413.1","ryanodine receptor 2")</f>
        <v>ryanodine receptor 2</v>
      </c>
      <c r="J552">
        <v>6098.47</v>
      </c>
      <c r="K552" t="s">
        <v>22</v>
      </c>
      <c r="L552">
        <v>276</v>
      </c>
      <c r="M552">
        <v>9.75</v>
      </c>
      <c r="N552">
        <v>58.34</v>
      </c>
      <c r="O552" t="s">
        <v>19</v>
      </c>
      <c r="P552" t="s">
        <v>20</v>
      </c>
      <c r="Q552" t="s">
        <v>19</v>
      </c>
      <c r="R552" t="str">
        <f>HYPERLINK("https://cfpub.epa.gov/ecotox/explore.cfm?ncbi=9590","Explore in ECOTOX")</f>
        <v>Explore in ECOTOX</v>
      </c>
    </row>
    <row r="553" spans="1:18" x14ac:dyDescent="0.45">
      <c r="A553" t="s">
        <v>1264</v>
      </c>
      <c r="B553">
        <v>8</v>
      </c>
      <c r="C553" t="str">
        <f>HYPERLINK("http://www.ncbi.nlm.nih.gov/protein/XP_044095356.1","XP_044095356.1")</f>
        <v>XP_044095356.1</v>
      </c>
      <c r="D553">
        <v>44674</v>
      </c>
      <c r="E553" t="str">
        <f>HYPERLINK("http://www.ncbi.nlm.nih.gov/Taxonomy/Browser/wwwtax.cgi?mode=Info&amp;id=452646&amp;lvl=3&amp;lin=f&amp;keep=1&amp;srchmode=1&amp;unlock","452646")</f>
        <v>452646</v>
      </c>
      <c r="F553" t="s">
        <v>96</v>
      </c>
      <c r="G553" t="str">
        <f>HYPERLINK("http://www.ncbi.nlm.nih.gov/Taxonomy/Browser/wwwtax.cgi?mode=Info&amp;id=452646&amp;lvl=3&amp;lin=f&amp;keep=1&amp;srchmode=1&amp;unlock","Neogale vison")</f>
        <v>Neogale vison</v>
      </c>
      <c r="H553" t="s">
        <v>557</v>
      </c>
      <c r="I553" t="str">
        <f>HYPERLINK("http://www.ncbi.nlm.nih.gov/protein/XP_044095356.1","ryanodine receptor 2 isoform X6")</f>
        <v>ryanodine receptor 2 isoform X6</v>
      </c>
      <c r="J553">
        <v>6096.92</v>
      </c>
      <c r="K553" t="s">
        <v>22</v>
      </c>
      <c r="L553">
        <v>276</v>
      </c>
      <c r="M553">
        <v>9.75</v>
      </c>
      <c r="N553">
        <v>58.32</v>
      </c>
      <c r="O553" t="s">
        <v>19</v>
      </c>
      <c r="P553" t="s">
        <v>20</v>
      </c>
      <c r="Q553" t="s">
        <v>19</v>
      </c>
      <c r="R553" t="str">
        <f>HYPERLINK("https://cfpub.epa.gov/ecotox/explore.cfm?ncbi=452646","Explore in ECOTOX")</f>
        <v>Explore in ECOTOX</v>
      </c>
    </row>
    <row r="554" spans="1:18" x14ac:dyDescent="0.45">
      <c r="A554" t="s">
        <v>1264</v>
      </c>
      <c r="B554">
        <v>8</v>
      </c>
      <c r="C554" t="str">
        <f>HYPERLINK("http://www.ncbi.nlm.nih.gov/protein/XP_037986332.1","XP_037986332.1")</f>
        <v>XP_037986332.1</v>
      </c>
      <c r="D554">
        <v>42237</v>
      </c>
      <c r="E554" t="str">
        <f>HYPERLINK("http://www.ncbi.nlm.nih.gov/Taxonomy/Browser/wwwtax.cgi?mode=Info&amp;id=1094192&amp;lvl=3&amp;lin=f&amp;keep=1&amp;srchmode=1&amp;unlock","1094192")</f>
        <v>1094192</v>
      </c>
      <c r="F554" t="s">
        <v>241</v>
      </c>
      <c r="G554" t="str">
        <f>HYPERLINK("http://www.ncbi.nlm.nih.gov/Taxonomy/Browser/wwwtax.cgi?mode=Info&amp;id=1094192&amp;lvl=3&amp;lin=f&amp;keep=1&amp;srchmode=1&amp;unlock","Motacilla alba alba")</f>
        <v>Motacilla alba alba</v>
      </c>
      <c r="H554" t="s">
        <v>558</v>
      </c>
      <c r="I554" t="str">
        <f>HYPERLINK("http://www.ncbi.nlm.nih.gov/protein/XP_037986332.1","ryanodine receptor 2 isoform X10")</f>
        <v>ryanodine receptor 2 isoform X10</v>
      </c>
      <c r="J554">
        <v>6096.15</v>
      </c>
      <c r="K554" t="s">
        <v>22</v>
      </c>
      <c r="L554">
        <v>276</v>
      </c>
      <c r="M554">
        <v>9.75</v>
      </c>
      <c r="N554">
        <v>58.31</v>
      </c>
      <c r="O554" t="s">
        <v>19</v>
      </c>
      <c r="P554" t="s">
        <v>20</v>
      </c>
      <c r="Q554" t="s">
        <v>19</v>
      </c>
      <c r="R554" t="str">
        <f>HYPERLINK("https://cfpub.epa.gov/ecotox/explore.cfm?ncbi=1094192","Explore in ECOTOX")</f>
        <v>Explore in ECOTOX</v>
      </c>
    </row>
    <row r="555" spans="1:18" x14ac:dyDescent="0.45">
      <c r="A555" t="s">
        <v>1264</v>
      </c>
      <c r="B555">
        <v>8</v>
      </c>
      <c r="C555" t="str">
        <f>HYPERLINK("http://www.ncbi.nlm.nih.gov/protein/XP_025069548.1","XP_025069548.1")</f>
        <v>XP_025069548.1</v>
      </c>
      <c r="D555">
        <v>43415</v>
      </c>
      <c r="E555" t="str">
        <f>HYPERLINK("http://www.ncbi.nlm.nih.gov/Taxonomy/Browser/wwwtax.cgi?mode=Info&amp;id=38654&amp;lvl=3&amp;lin=f&amp;keep=1&amp;srchmode=1&amp;unlock","38654")</f>
        <v>38654</v>
      </c>
      <c r="F555" t="s">
        <v>214</v>
      </c>
      <c r="G555" t="str">
        <f>HYPERLINK("http://www.ncbi.nlm.nih.gov/Taxonomy/Browser/wwwtax.cgi?mode=Info&amp;id=38654&amp;lvl=3&amp;lin=f&amp;keep=1&amp;srchmode=1&amp;unlock","Alligator sinensis")</f>
        <v>Alligator sinensis</v>
      </c>
      <c r="H555" t="s">
        <v>559</v>
      </c>
      <c r="I555" t="str">
        <f>HYPERLINK("http://www.ncbi.nlm.nih.gov/protein/XP_025069548.1","ryanodine receptor 2 isoform X16")</f>
        <v>ryanodine receptor 2 isoform X16</v>
      </c>
      <c r="J555">
        <v>6095</v>
      </c>
      <c r="K555" t="s">
        <v>22</v>
      </c>
      <c r="L555">
        <v>276</v>
      </c>
      <c r="M555">
        <v>9.75</v>
      </c>
      <c r="N555">
        <v>58.3</v>
      </c>
      <c r="O555" t="s">
        <v>19</v>
      </c>
      <c r="P555" t="s">
        <v>20</v>
      </c>
      <c r="Q555" t="s">
        <v>19</v>
      </c>
      <c r="R555" t="str">
        <f>HYPERLINK("https://cfpub.epa.gov/ecotox/explore.cfm?ncbi=38654","Explore in ECOTOX")</f>
        <v>Explore in ECOTOX</v>
      </c>
    </row>
    <row r="556" spans="1:18" x14ac:dyDescent="0.45">
      <c r="A556" t="s">
        <v>1264</v>
      </c>
      <c r="B556">
        <v>8</v>
      </c>
      <c r="C556" t="str">
        <f>HYPERLINK("http://www.ncbi.nlm.nih.gov/protein/XP_057876327.1","XP_057876327.1")</f>
        <v>XP_057876327.1</v>
      </c>
      <c r="D556">
        <v>27661</v>
      </c>
      <c r="E556" t="str">
        <f>HYPERLINK("http://www.ncbi.nlm.nih.gov/Taxonomy/Browser/wwwtax.cgi?mode=Info&amp;id=44398&amp;lvl=3&amp;lin=f&amp;keep=1&amp;srchmode=1&amp;unlock","44398")</f>
        <v>44398</v>
      </c>
      <c r="F556" t="s">
        <v>241</v>
      </c>
      <c r="G556" t="str">
        <f>HYPERLINK("http://www.ncbi.nlm.nih.gov/Taxonomy/Browser/wwwtax.cgi?mode=Info&amp;id=44398&amp;lvl=3&amp;lin=f&amp;keep=1&amp;srchmode=1&amp;unlock","Melospiza georgiana")</f>
        <v>Melospiza georgiana</v>
      </c>
      <c r="H556" t="s">
        <v>435</v>
      </c>
      <c r="I556" t="str">
        <f>HYPERLINK("http://www.ncbi.nlm.nih.gov/protein/XP_057876327.1","ryanodine receptor 2 isoform X4")</f>
        <v>ryanodine receptor 2 isoform X4</v>
      </c>
      <c r="J556">
        <v>6093.07</v>
      </c>
      <c r="K556" t="s">
        <v>22</v>
      </c>
      <c r="L556">
        <v>276</v>
      </c>
      <c r="M556">
        <v>9.75</v>
      </c>
      <c r="N556">
        <v>58.29</v>
      </c>
      <c r="O556" t="s">
        <v>19</v>
      </c>
      <c r="P556" t="s">
        <v>20</v>
      </c>
      <c r="Q556" t="s">
        <v>19</v>
      </c>
      <c r="R556" t="str">
        <f>HYPERLINK("https://cfpub.epa.gov/ecotox/explore.cfm?ncbi=44398","Explore in ECOTOX")</f>
        <v>Explore in ECOTOX</v>
      </c>
    </row>
    <row r="557" spans="1:18" x14ac:dyDescent="0.45">
      <c r="A557" t="s">
        <v>1264</v>
      </c>
      <c r="B557">
        <v>8</v>
      </c>
      <c r="C557" t="str">
        <f>HYPERLINK("http://www.ncbi.nlm.nih.gov/protein/XP_053793408.1","XP_053793408.1")</f>
        <v>XP_053793408.1</v>
      </c>
      <c r="D557">
        <v>52025</v>
      </c>
      <c r="E557" t="str">
        <f>HYPERLINK("http://www.ncbi.nlm.nih.gov/Taxonomy/Browser/wwwtax.cgi?mode=Info&amp;id=81927&amp;lvl=3&amp;lin=f&amp;keep=1&amp;srchmode=1&amp;unlock","81927")</f>
        <v>81927</v>
      </c>
      <c r="F557" t="s">
        <v>241</v>
      </c>
      <c r="G557" t="str">
        <f>HYPERLINK("http://www.ncbi.nlm.nih.gov/Taxonomy/Browser/wwwtax.cgi?mode=Info&amp;id=81927&amp;lvl=3&amp;lin=f&amp;keep=1&amp;srchmode=1&amp;unlock","Vidua chalybeata")</f>
        <v>Vidua chalybeata</v>
      </c>
      <c r="H557" t="s">
        <v>435</v>
      </c>
      <c r="I557" t="str">
        <f>HYPERLINK("http://www.ncbi.nlm.nih.gov/protein/XP_053793408.1","ryanodine receptor 2")</f>
        <v>ryanodine receptor 2</v>
      </c>
      <c r="J557">
        <v>6092.3</v>
      </c>
      <c r="K557" t="s">
        <v>22</v>
      </c>
      <c r="L557">
        <v>276</v>
      </c>
      <c r="M557">
        <v>9.75</v>
      </c>
      <c r="N557">
        <v>58.28</v>
      </c>
      <c r="O557" t="s">
        <v>19</v>
      </c>
      <c r="P557" t="s">
        <v>20</v>
      </c>
      <c r="Q557" t="s">
        <v>19</v>
      </c>
      <c r="R557" t="str">
        <f>HYPERLINK("https://cfpub.epa.gov/ecotox/explore.cfm?ncbi=81927","Explore in ECOTOX")</f>
        <v>Explore in ECOTOX</v>
      </c>
    </row>
    <row r="558" spans="1:18" x14ac:dyDescent="0.45">
      <c r="A558" t="s">
        <v>1264</v>
      </c>
      <c r="B558">
        <v>8</v>
      </c>
      <c r="C558" t="str">
        <f>HYPERLINK("http://www.ncbi.nlm.nih.gov/protein/XP_019382265.1","XP_019382265.1")</f>
        <v>XP_019382265.1</v>
      </c>
      <c r="D558">
        <v>27419</v>
      </c>
      <c r="E558" t="str">
        <f>HYPERLINK("http://www.ncbi.nlm.nih.gov/Taxonomy/Browser/wwwtax.cgi?mode=Info&amp;id=94835&amp;lvl=3&amp;lin=f&amp;keep=1&amp;srchmode=1&amp;unlock","94835")</f>
        <v>94835</v>
      </c>
      <c r="F558" t="s">
        <v>214</v>
      </c>
      <c r="G558" t="str">
        <f>HYPERLINK("http://www.ncbi.nlm.nih.gov/Taxonomy/Browser/wwwtax.cgi?mode=Info&amp;id=94835&amp;lvl=3&amp;lin=f&amp;keep=1&amp;srchmode=1&amp;unlock","Gavialis gangeticus")</f>
        <v>Gavialis gangeticus</v>
      </c>
      <c r="H558" t="s">
        <v>560</v>
      </c>
      <c r="I558" t="str">
        <f>HYPERLINK("http://www.ncbi.nlm.nih.gov/protein/XP_019382265.1","PREDICTED: ryanodine receptor 2")</f>
        <v>PREDICTED: ryanodine receptor 2</v>
      </c>
      <c r="J558">
        <v>6091.92</v>
      </c>
      <c r="K558" t="s">
        <v>22</v>
      </c>
      <c r="L558">
        <v>276</v>
      </c>
      <c r="M558">
        <v>9.75</v>
      </c>
      <c r="N558">
        <v>58.27</v>
      </c>
      <c r="O558" t="s">
        <v>19</v>
      </c>
      <c r="P558" t="s">
        <v>20</v>
      </c>
      <c r="Q558" t="s">
        <v>19</v>
      </c>
      <c r="R558" t="str">
        <f>HYPERLINK("https://cfpub.epa.gov/ecotox/explore.cfm?ncbi=94835","Explore in ECOTOX")</f>
        <v>Explore in ECOTOX</v>
      </c>
    </row>
    <row r="559" spans="1:18" x14ac:dyDescent="0.45">
      <c r="A559" t="s">
        <v>1264</v>
      </c>
      <c r="B559">
        <v>8</v>
      </c>
      <c r="C559" t="str">
        <f>HYPERLINK("http://www.ncbi.nlm.nih.gov/protein/XP_030800548.1","XP_030800548.1")</f>
        <v>XP_030800548.1</v>
      </c>
      <c r="D559">
        <v>28938</v>
      </c>
      <c r="E559" t="str">
        <f>HYPERLINK("http://www.ncbi.nlm.nih.gov/Taxonomy/Browser/wwwtax.cgi?mode=Info&amp;id=87175&amp;lvl=3&amp;lin=f&amp;keep=1&amp;srchmode=1&amp;unlock","87175")</f>
        <v>87175</v>
      </c>
      <c r="F559" t="s">
        <v>241</v>
      </c>
      <c r="G559" t="str">
        <f>HYPERLINK("http://www.ncbi.nlm.nih.gov/Taxonomy/Browser/wwwtax.cgi?mode=Info&amp;id=87175&amp;lvl=3&amp;lin=f&amp;keep=1&amp;srchmode=1&amp;unlock","Camarhynchus parvulus")</f>
        <v>Camarhynchus parvulus</v>
      </c>
      <c r="H559" t="s">
        <v>561</v>
      </c>
      <c r="I559" t="str">
        <f>HYPERLINK("http://www.ncbi.nlm.nih.gov/protein/XP_030800548.1","ryanodine receptor 2")</f>
        <v>ryanodine receptor 2</v>
      </c>
      <c r="J559">
        <v>6090.76</v>
      </c>
      <c r="K559" t="s">
        <v>22</v>
      </c>
      <c r="L559">
        <v>276</v>
      </c>
      <c r="M559">
        <v>9.75</v>
      </c>
      <c r="N559">
        <v>58.26</v>
      </c>
      <c r="O559" t="s">
        <v>19</v>
      </c>
      <c r="P559" t="s">
        <v>20</v>
      </c>
      <c r="Q559" t="s">
        <v>19</v>
      </c>
      <c r="R559" t="str">
        <f>HYPERLINK("https://cfpub.epa.gov/ecotox/explore.cfm?ncbi=87175","Explore in ECOTOX")</f>
        <v>Explore in ECOTOX</v>
      </c>
    </row>
    <row r="560" spans="1:18" x14ac:dyDescent="0.45">
      <c r="A560" t="s">
        <v>1264</v>
      </c>
      <c r="B560">
        <v>8</v>
      </c>
      <c r="C560" t="str">
        <f>HYPERLINK("http://www.ncbi.nlm.nih.gov/protein/XP_023556598.1","XP_023556598.1")</f>
        <v>XP_023556598.1</v>
      </c>
      <c r="D560">
        <v>42561</v>
      </c>
      <c r="E560" t="str">
        <f>HYPERLINK("http://www.ncbi.nlm.nih.gov/Taxonomy/Browser/wwwtax.cgi?mode=Info&amp;id=10160&amp;lvl=3&amp;lin=f&amp;keep=1&amp;srchmode=1&amp;unlock","10160")</f>
        <v>10160</v>
      </c>
      <c r="F560" t="s">
        <v>96</v>
      </c>
      <c r="G560" t="str">
        <f>HYPERLINK("http://www.ncbi.nlm.nih.gov/Taxonomy/Browser/wwwtax.cgi?mode=Info&amp;id=10160&amp;lvl=3&amp;lin=f&amp;keep=1&amp;srchmode=1&amp;unlock","Octodon degus")</f>
        <v>Octodon degus</v>
      </c>
      <c r="H560" t="s">
        <v>562</v>
      </c>
      <c r="I560" t="str">
        <f>HYPERLINK("http://www.ncbi.nlm.nih.gov/protein/XP_023556598.1","ryanodine receptor 2 isoform X6")</f>
        <v>ryanodine receptor 2 isoform X6</v>
      </c>
      <c r="J560">
        <v>6090.38</v>
      </c>
      <c r="K560" t="s">
        <v>22</v>
      </c>
      <c r="L560">
        <v>276</v>
      </c>
      <c r="M560">
        <v>9.75</v>
      </c>
      <c r="N560">
        <v>58.26</v>
      </c>
      <c r="O560" t="s">
        <v>19</v>
      </c>
      <c r="P560" t="s">
        <v>20</v>
      </c>
      <c r="Q560" t="s">
        <v>19</v>
      </c>
      <c r="R560" t="str">
        <f>HYPERLINK("https://cfpub.epa.gov/ecotox/explore.cfm?ncbi=10160","Explore in ECOTOX")</f>
        <v>Explore in ECOTOX</v>
      </c>
    </row>
    <row r="561" spans="1:18" x14ac:dyDescent="0.45">
      <c r="A561" t="s">
        <v>1264</v>
      </c>
      <c r="B561">
        <v>8</v>
      </c>
      <c r="C561" t="str">
        <f>HYPERLINK("http://www.ncbi.nlm.nih.gov/protein/XP_030124095.3","XP_030124095.3")</f>
        <v>XP_030124095.3</v>
      </c>
      <c r="D561">
        <v>43980</v>
      </c>
      <c r="E561" t="str">
        <f>HYPERLINK("http://www.ncbi.nlm.nih.gov/Taxonomy/Browser/wwwtax.cgi?mode=Info&amp;id=59729&amp;lvl=3&amp;lin=f&amp;keep=1&amp;srchmode=1&amp;unlock","59729")</f>
        <v>59729</v>
      </c>
      <c r="F561" t="s">
        <v>241</v>
      </c>
      <c r="G561" t="str">
        <f>HYPERLINK("http://www.ncbi.nlm.nih.gov/Taxonomy/Browser/wwwtax.cgi?mode=Info&amp;id=59729&amp;lvl=3&amp;lin=f&amp;keep=1&amp;srchmode=1&amp;unlock","Taeniopygia guttata")</f>
        <v>Taeniopygia guttata</v>
      </c>
      <c r="H561" t="s">
        <v>563</v>
      </c>
      <c r="I561" t="str">
        <f>HYPERLINK("http://www.ncbi.nlm.nih.gov/protein/XP_030124095.3","ryanodine receptor 2 isoform X8")</f>
        <v>ryanodine receptor 2 isoform X8</v>
      </c>
      <c r="J561">
        <v>6089.61</v>
      </c>
      <c r="K561" t="s">
        <v>22</v>
      </c>
      <c r="L561">
        <v>276</v>
      </c>
      <c r="M561">
        <v>9.75</v>
      </c>
      <c r="N561">
        <v>58.25</v>
      </c>
      <c r="O561" t="s">
        <v>19</v>
      </c>
      <c r="P561" t="s">
        <v>20</v>
      </c>
      <c r="Q561" t="s">
        <v>19</v>
      </c>
      <c r="R561" t="str">
        <f>HYPERLINK("https://cfpub.epa.gov/ecotox/explore.cfm?ncbi=59729","Explore in ECOTOX")</f>
        <v>Explore in ECOTOX</v>
      </c>
    </row>
    <row r="562" spans="1:18" x14ac:dyDescent="0.45">
      <c r="A562" t="s">
        <v>1264</v>
      </c>
      <c r="B562">
        <v>8</v>
      </c>
      <c r="C562" t="str">
        <f>HYPERLINK("http://www.ncbi.nlm.nih.gov/protein/XP_033916657.1","XP_033916657.1")</f>
        <v>XP_033916657.1</v>
      </c>
      <c r="D562">
        <v>29330</v>
      </c>
      <c r="E562" t="str">
        <f>HYPERLINK("http://www.ncbi.nlm.nih.gov/Taxonomy/Browser/wwwtax.cgi?mode=Info&amp;id=13146&amp;lvl=3&amp;lin=f&amp;keep=1&amp;srchmode=1&amp;unlock","13146")</f>
        <v>13146</v>
      </c>
      <c r="F562" t="s">
        <v>241</v>
      </c>
      <c r="G562" t="str">
        <f>HYPERLINK("http://www.ncbi.nlm.nih.gov/Taxonomy/Browser/wwwtax.cgi?mode=Info&amp;id=13146&amp;lvl=3&amp;lin=f&amp;keep=1&amp;srchmode=1&amp;unlock","Melopsittacus undulatus")</f>
        <v>Melopsittacus undulatus</v>
      </c>
      <c r="H562" t="s">
        <v>564</v>
      </c>
      <c r="I562" t="str">
        <f>HYPERLINK("http://www.ncbi.nlm.nih.gov/protein/XP_033916657.1","ryanodine receptor 2")</f>
        <v>ryanodine receptor 2</v>
      </c>
      <c r="J562">
        <v>6089.22</v>
      </c>
      <c r="K562" t="s">
        <v>22</v>
      </c>
      <c r="L562">
        <v>276</v>
      </c>
      <c r="M562">
        <v>9.75</v>
      </c>
      <c r="N562">
        <v>58.25</v>
      </c>
      <c r="O562" t="s">
        <v>19</v>
      </c>
      <c r="P562" t="s">
        <v>20</v>
      </c>
      <c r="Q562" t="s">
        <v>19</v>
      </c>
      <c r="R562" t="str">
        <f>HYPERLINK("https://cfpub.epa.gov/ecotox/explore.cfm?ncbi=13146","Explore in ECOTOX")</f>
        <v>Explore in ECOTOX</v>
      </c>
    </row>
    <row r="563" spans="1:18" x14ac:dyDescent="0.45">
      <c r="A563" t="s">
        <v>1264</v>
      </c>
      <c r="B563">
        <v>8</v>
      </c>
      <c r="C563" t="str">
        <f>HYPERLINK("http://www.ncbi.nlm.nih.gov/protein/XP_037677811.1","XP_037677811.1")</f>
        <v>XP_037677811.1</v>
      </c>
      <c r="D563">
        <v>54619</v>
      </c>
      <c r="E563" t="str">
        <f>HYPERLINK("http://www.ncbi.nlm.nih.gov/Taxonomy/Browser/wwwtax.cgi?mode=Info&amp;id=27675&amp;lvl=3&amp;lin=f&amp;keep=1&amp;srchmode=1&amp;unlock","27675")</f>
        <v>27675</v>
      </c>
      <c r="F563" t="s">
        <v>96</v>
      </c>
      <c r="G563" t="str">
        <f>HYPERLINK("http://www.ncbi.nlm.nih.gov/Taxonomy/Browser/wwwtax.cgi?mode=Info&amp;id=27675&amp;lvl=3&amp;lin=f&amp;keep=1&amp;srchmode=1&amp;unlock","Choloepus didactylus")</f>
        <v>Choloepus didactylus</v>
      </c>
      <c r="H563" t="s">
        <v>565</v>
      </c>
      <c r="I563" t="str">
        <f>HYPERLINK("http://www.ncbi.nlm.nih.gov/protein/XP_037677811.1","ryanodine receptor 2 isoform X5")</f>
        <v>ryanodine receptor 2 isoform X5</v>
      </c>
      <c r="J563">
        <v>6088.45</v>
      </c>
      <c r="K563" t="s">
        <v>22</v>
      </c>
      <c r="L563">
        <v>276</v>
      </c>
      <c r="M563">
        <v>9.75</v>
      </c>
      <c r="N563">
        <v>58.24</v>
      </c>
      <c r="O563" t="s">
        <v>19</v>
      </c>
      <c r="P563" t="s">
        <v>20</v>
      </c>
      <c r="Q563" t="s">
        <v>19</v>
      </c>
      <c r="R563" t="str">
        <f>HYPERLINK("https://cfpub.epa.gov/ecotox/explore.cfm?ncbi=27675","Explore in ECOTOX")</f>
        <v>Explore in ECOTOX</v>
      </c>
    </row>
    <row r="564" spans="1:18" x14ac:dyDescent="0.45">
      <c r="A564" t="s">
        <v>1264</v>
      </c>
      <c r="B564">
        <v>8</v>
      </c>
      <c r="C564" t="str">
        <f>HYPERLINK("http://www.ncbi.nlm.nih.gov/protein/XP_021382747.1","XP_021382747.1")</f>
        <v>XP_021382747.1</v>
      </c>
      <c r="D564">
        <v>43823</v>
      </c>
      <c r="E564" t="str">
        <f>HYPERLINK("http://www.ncbi.nlm.nih.gov/Taxonomy/Browser/wwwtax.cgi?mode=Info&amp;id=299123&amp;lvl=3&amp;lin=f&amp;keep=1&amp;srchmode=1&amp;unlock","299123")</f>
        <v>299123</v>
      </c>
      <c r="F564" t="s">
        <v>241</v>
      </c>
      <c r="G564" t="str">
        <f>HYPERLINK("http://www.ncbi.nlm.nih.gov/Taxonomy/Browser/wwwtax.cgi?mode=Info&amp;id=299123&amp;lvl=3&amp;lin=f&amp;keep=1&amp;srchmode=1&amp;unlock","Lonchura striata domestica")</f>
        <v>Lonchura striata domestica</v>
      </c>
      <c r="H564" t="s">
        <v>566</v>
      </c>
      <c r="I564" t="str">
        <f>HYPERLINK("http://www.ncbi.nlm.nih.gov/protein/XP_021382747.1","ryanodine receptor 2 isoform X6")</f>
        <v>ryanodine receptor 2 isoform X6</v>
      </c>
      <c r="J564">
        <v>6088.45</v>
      </c>
      <c r="K564" t="s">
        <v>22</v>
      </c>
      <c r="L564">
        <v>276</v>
      </c>
      <c r="M564">
        <v>9.75</v>
      </c>
      <c r="N564">
        <v>58.24</v>
      </c>
      <c r="O564" t="s">
        <v>19</v>
      </c>
      <c r="P564" t="s">
        <v>20</v>
      </c>
      <c r="Q564" t="s">
        <v>19</v>
      </c>
      <c r="R564" t="str">
        <f>HYPERLINK("https://cfpub.epa.gov/ecotox/explore.cfm?ncbi=299123","Explore in ECOTOX")</f>
        <v>Explore in ECOTOX</v>
      </c>
    </row>
    <row r="565" spans="1:18" x14ac:dyDescent="0.45">
      <c r="A565" t="s">
        <v>1264</v>
      </c>
      <c r="B565">
        <v>8</v>
      </c>
      <c r="C565" t="str">
        <f>HYPERLINK("http://www.ncbi.nlm.nih.gov/protein/XP_059324865.1","XP_059324865.1")</f>
        <v>XP_059324865.1</v>
      </c>
      <c r="D565">
        <v>28293</v>
      </c>
      <c r="E565" t="str">
        <f>HYPERLINK("http://www.ncbi.nlm.nih.gov/Taxonomy/Browser/wwwtax.cgi?mode=Info&amp;id=2857394&amp;lvl=3&amp;lin=f&amp;keep=1&amp;srchmode=1&amp;unlock","2857394")</f>
        <v>2857394</v>
      </c>
      <c r="F565" t="s">
        <v>241</v>
      </c>
      <c r="G565" t="str">
        <f>HYPERLINK("http://www.ncbi.nlm.nih.gov/Taxonomy/Browser/wwwtax.cgi?mode=Info&amp;id=2857394&amp;lvl=3&amp;lin=f&amp;keep=1&amp;srchmode=1&amp;unlock","Ammospiza nelsoni")</f>
        <v>Ammospiza nelsoni</v>
      </c>
      <c r="H565" t="s">
        <v>435</v>
      </c>
      <c r="I565" t="str">
        <f>HYPERLINK("http://www.ncbi.nlm.nih.gov/protein/XP_059324865.1","ryanodine receptor 2 isoform X3")</f>
        <v>ryanodine receptor 2 isoform X3</v>
      </c>
      <c r="J565">
        <v>6085.37</v>
      </c>
      <c r="K565" t="s">
        <v>22</v>
      </c>
      <c r="L565">
        <v>276</v>
      </c>
      <c r="M565">
        <v>9.75</v>
      </c>
      <c r="N565">
        <v>58.21</v>
      </c>
      <c r="O565" t="s">
        <v>19</v>
      </c>
      <c r="P565" t="s">
        <v>20</v>
      </c>
      <c r="Q565" t="s">
        <v>19</v>
      </c>
      <c r="R565" t="str">
        <f>HYPERLINK("https://cfpub.epa.gov/ecotox/explore.cfm?ncbi=2857394","Explore in ECOTOX")</f>
        <v>Explore in ECOTOX</v>
      </c>
    </row>
    <row r="566" spans="1:18" x14ac:dyDescent="0.45">
      <c r="A566" t="s">
        <v>1264</v>
      </c>
      <c r="B566">
        <v>8</v>
      </c>
      <c r="C566" t="str">
        <f>HYPERLINK("http://www.ncbi.nlm.nih.gov/protein/XP_014118778.1","XP_014118778.1")</f>
        <v>XP_014118778.1</v>
      </c>
      <c r="D566">
        <v>27658</v>
      </c>
      <c r="E566" t="str">
        <f>HYPERLINK("http://www.ncbi.nlm.nih.gov/Taxonomy/Browser/wwwtax.cgi?mode=Info&amp;id=181119&amp;lvl=3&amp;lin=f&amp;keep=1&amp;srchmode=1&amp;unlock","181119")</f>
        <v>181119</v>
      </c>
      <c r="F566" t="s">
        <v>241</v>
      </c>
      <c r="G566" t="str">
        <f>HYPERLINK("http://www.ncbi.nlm.nih.gov/Taxonomy/Browser/wwwtax.cgi?mode=Info&amp;id=181119&amp;lvl=3&amp;lin=f&amp;keep=1&amp;srchmode=1&amp;unlock","Pseudopodoces humilis")</f>
        <v>Pseudopodoces humilis</v>
      </c>
      <c r="H566" t="s">
        <v>567</v>
      </c>
      <c r="I566" t="str">
        <f>HYPERLINK("http://www.ncbi.nlm.nih.gov/protein/XP_014118778.1","PREDICTED: ryanodine receptor 2")</f>
        <v>PREDICTED: ryanodine receptor 2</v>
      </c>
      <c r="J566">
        <v>6084.98</v>
      </c>
      <c r="K566" t="s">
        <v>22</v>
      </c>
      <c r="L566">
        <v>276</v>
      </c>
      <c r="M566">
        <v>9.75</v>
      </c>
      <c r="N566">
        <v>58.21</v>
      </c>
      <c r="O566" t="s">
        <v>19</v>
      </c>
      <c r="P566" t="s">
        <v>20</v>
      </c>
      <c r="Q566" t="s">
        <v>19</v>
      </c>
      <c r="R566" t="str">
        <f>HYPERLINK("https://cfpub.epa.gov/ecotox/explore.cfm?ncbi=181119","Explore in ECOTOX")</f>
        <v>Explore in ECOTOX</v>
      </c>
    </row>
    <row r="567" spans="1:18" x14ac:dyDescent="0.45">
      <c r="A567" t="s">
        <v>1264</v>
      </c>
      <c r="B567">
        <v>8</v>
      </c>
      <c r="C567" t="str">
        <f>HYPERLINK("http://www.ncbi.nlm.nih.gov/protein/XP_013360158.1","XP_013360158.1")</f>
        <v>XP_013360158.1</v>
      </c>
      <c r="D567">
        <v>45557</v>
      </c>
      <c r="E567" t="str">
        <f>HYPERLINK("http://www.ncbi.nlm.nih.gov/Taxonomy/Browser/wwwtax.cgi?mode=Info&amp;id=34839&amp;lvl=3&amp;lin=f&amp;keep=1&amp;srchmode=1&amp;unlock","34839")</f>
        <v>34839</v>
      </c>
      <c r="F567" t="s">
        <v>96</v>
      </c>
      <c r="G567" t="str">
        <f>HYPERLINK("http://www.ncbi.nlm.nih.gov/Taxonomy/Browser/wwwtax.cgi?mode=Info&amp;id=34839&amp;lvl=3&amp;lin=f&amp;keep=1&amp;srchmode=1&amp;unlock","Chinchilla lanigera")</f>
        <v>Chinchilla lanigera</v>
      </c>
      <c r="H567" t="s">
        <v>568</v>
      </c>
      <c r="I567" t="str">
        <f>HYPERLINK("http://www.ncbi.nlm.nih.gov/protein/XP_013360158.1","PREDICTED: ryanodine receptor 2 isoform X5")</f>
        <v>PREDICTED: ryanodine receptor 2 isoform X5</v>
      </c>
      <c r="J567">
        <v>6084.6</v>
      </c>
      <c r="K567" t="s">
        <v>22</v>
      </c>
      <c r="L567">
        <v>276</v>
      </c>
      <c r="M567">
        <v>9.75</v>
      </c>
      <c r="N567">
        <v>58.2</v>
      </c>
      <c r="O567" t="s">
        <v>19</v>
      </c>
      <c r="P567" t="s">
        <v>20</v>
      </c>
      <c r="Q567" t="s">
        <v>19</v>
      </c>
      <c r="R567" t="str">
        <f>HYPERLINK("https://cfpub.epa.gov/ecotox/explore.cfm?ncbi=34839","Explore in ECOTOX")</f>
        <v>Explore in ECOTOX</v>
      </c>
    </row>
    <row r="568" spans="1:18" x14ac:dyDescent="0.45">
      <c r="A568" t="s">
        <v>1264</v>
      </c>
      <c r="B568">
        <v>8</v>
      </c>
      <c r="C568" t="str">
        <f>HYPERLINK("http://www.ncbi.nlm.nih.gov/protein/XP_010561247.1","XP_010561247.1")</f>
        <v>XP_010561247.1</v>
      </c>
      <c r="D568">
        <v>25385</v>
      </c>
      <c r="E568" t="str">
        <f>HYPERLINK("http://www.ncbi.nlm.nih.gov/Taxonomy/Browser/wwwtax.cgi?mode=Info&amp;id=52644&amp;lvl=3&amp;lin=f&amp;keep=1&amp;srchmode=1&amp;unlock","52644")</f>
        <v>52644</v>
      </c>
      <c r="F568" t="s">
        <v>241</v>
      </c>
      <c r="G568" t="str">
        <f>HYPERLINK("http://www.ncbi.nlm.nih.gov/Taxonomy/Browser/wwwtax.cgi?mode=Info&amp;id=52644&amp;lvl=3&amp;lin=f&amp;keep=1&amp;srchmode=1&amp;unlock","Haliaeetus leucocephalus")</f>
        <v>Haliaeetus leucocephalus</v>
      </c>
      <c r="H568" t="s">
        <v>569</v>
      </c>
      <c r="I568" t="str">
        <f>HYPERLINK("http://www.ncbi.nlm.nih.gov/protein/XP_010561247.1","PREDICTED: ryanodine receptor 2")</f>
        <v>PREDICTED: ryanodine receptor 2</v>
      </c>
      <c r="J568">
        <v>6084.21</v>
      </c>
      <c r="K568" t="s">
        <v>22</v>
      </c>
      <c r="L568">
        <v>276</v>
      </c>
      <c r="M568">
        <v>9.75</v>
      </c>
      <c r="N568">
        <v>58.2</v>
      </c>
      <c r="O568" t="s">
        <v>19</v>
      </c>
      <c r="P568" t="s">
        <v>20</v>
      </c>
      <c r="Q568" t="s">
        <v>19</v>
      </c>
      <c r="R568" t="str">
        <f>HYPERLINK("https://cfpub.epa.gov/ecotox/explore.cfm?ncbi=52644","Explore in ECOTOX")</f>
        <v>Explore in ECOTOX</v>
      </c>
    </row>
    <row r="569" spans="1:18" x14ac:dyDescent="0.45">
      <c r="A569" t="s">
        <v>1264</v>
      </c>
      <c r="B569">
        <v>8</v>
      </c>
      <c r="C569" t="str">
        <f>HYPERLINK("http://www.ncbi.nlm.nih.gov/protein/XP_054370395.1","XP_054370395.1")</f>
        <v>XP_054370395.1</v>
      </c>
      <c r="D569">
        <v>44512</v>
      </c>
      <c r="E569" t="str">
        <f>HYPERLINK("http://www.ncbi.nlm.nih.gov/Taxonomy/Browser/wwwtax.cgi?mode=Info&amp;id=84834&amp;lvl=3&amp;lin=f&amp;keep=1&amp;srchmode=1&amp;unlock","84834")</f>
        <v>84834</v>
      </c>
      <c r="F569" t="s">
        <v>241</v>
      </c>
      <c r="G569" t="str">
        <f>HYPERLINK("http://www.ncbi.nlm.nih.gov/Taxonomy/Browser/wwwtax.cgi?mode=Info&amp;id=84834&amp;lvl=3&amp;lin=f&amp;keep=1&amp;srchmode=1&amp;unlock","Molothrus ater")</f>
        <v>Molothrus ater</v>
      </c>
      <c r="H569" t="s">
        <v>570</v>
      </c>
      <c r="I569" t="str">
        <f>HYPERLINK("http://www.ncbi.nlm.nih.gov/protein/XP_054370395.1","LOW QUALITY PROTEIN: ryanodine receptor 2")</f>
        <v>LOW QUALITY PROTEIN: ryanodine receptor 2</v>
      </c>
      <c r="J569">
        <v>6082.29</v>
      </c>
      <c r="K569" t="s">
        <v>22</v>
      </c>
      <c r="L569">
        <v>276</v>
      </c>
      <c r="M569">
        <v>9.75</v>
      </c>
      <c r="N569">
        <v>58.18</v>
      </c>
      <c r="O569" t="s">
        <v>19</v>
      </c>
      <c r="P569" t="s">
        <v>20</v>
      </c>
      <c r="Q569" t="s">
        <v>19</v>
      </c>
      <c r="R569" t="str">
        <f>HYPERLINK("https://cfpub.epa.gov/ecotox/explore.cfm?ncbi=84834","Explore in ECOTOX")</f>
        <v>Explore in ECOTOX</v>
      </c>
    </row>
    <row r="570" spans="1:18" x14ac:dyDescent="0.45">
      <c r="A570" t="s">
        <v>1264</v>
      </c>
      <c r="B570">
        <v>8</v>
      </c>
      <c r="C570" t="str">
        <f>HYPERLINK("http://www.ncbi.nlm.nih.gov/protein/XP_026702240.1","XP_026702240.1")</f>
        <v>XP_026702240.1</v>
      </c>
      <c r="D570">
        <v>27798</v>
      </c>
      <c r="E570" t="str">
        <f>HYPERLINK("http://www.ncbi.nlm.nih.gov/Taxonomy/Browser/wwwtax.cgi?mode=Info&amp;id=194338&amp;lvl=3&amp;lin=f&amp;keep=1&amp;srchmode=1&amp;unlock","194338")</f>
        <v>194338</v>
      </c>
      <c r="F570" t="s">
        <v>241</v>
      </c>
      <c r="G570" t="str">
        <f>HYPERLINK("http://www.ncbi.nlm.nih.gov/Taxonomy/Browser/wwwtax.cgi?mode=Info&amp;id=194338&amp;lvl=3&amp;lin=f&amp;keep=1&amp;srchmode=1&amp;unlock","Athene cunicularia")</f>
        <v>Athene cunicularia</v>
      </c>
      <c r="H570" t="s">
        <v>571</v>
      </c>
      <c r="I570" t="str">
        <f>HYPERLINK("http://www.ncbi.nlm.nih.gov/protein/XP_026702240.1","ryanodine receptor 2")</f>
        <v>ryanodine receptor 2</v>
      </c>
      <c r="J570">
        <v>6081.9</v>
      </c>
      <c r="K570" t="s">
        <v>22</v>
      </c>
      <c r="L570">
        <v>276</v>
      </c>
      <c r="M570">
        <v>9.75</v>
      </c>
      <c r="N570">
        <v>58.18</v>
      </c>
      <c r="O570" t="s">
        <v>19</v>
      </c>
      <c r="P570" t="s">
        <v>20</v>
      </c>
      <c r="Q570" t="s">
        <v>19</v>
      </c>
      <c r="R570" t="str">
        <f>HYPERLINK("https://cfpub.epa.gov/ecotox/explore.cfm?ncbi=194338","Explore in ECOTOX")</f>
        <v>Explore in ECOTOX</v>
      </c>
    </row>
    <row r="571" spans="1:18" x14ac:dyDescent="0.45">
      <c r="A571" t="s">
        <v>1264</v>
      </c>
      <c r="B571">
        <v>8</v>
      </c>
      <c r="C571" t="str">
        <f>HYPERLINK("http://www.ncbi.nlm.nih.gov/protein/XP_009327490.1","XP_009327490.1")</f>
        <v>XP_009327490.1</v>
      </c>
      <c r="D571">
        <v>29694</v>
      </c>
      <c r="E571" t="str">
        <f>HYPERLINK("http://www.ncbi.nlm.nih.gov/Taxonomy/Browser/wwwtax.cgi?mode=Info&amp;id=9238&amp;lvl=3&amp;lin=f&amp;keep=1&amp;srchmode=1&amp;unlock","9238")</f>
        <v>9238</v>
      </c>
      <c r="F571" t="s">
        <v>241</v>
      </c>
      <c r="G571" t="str">
        <f>HYPERLINK("http://www.ncbi.nlm.nih.gov/Taxonomy/Browser/wwwtax.cgi?mode=Info&amp;id=9238&amp;lvl=3&amp;lin=f&amp;keep=1&amp;srchmode=1&amp;unlock","Pygoscelis adeliae")</f>
        <v>Pygoscelis adeliae</v>
      </c>
      <c r="H571" t="s">
        <v>572</v>
      </c>
      <c r="I571" t="str">
        <f>HYPERLINK("http://www.ncbi.nlm.nih.gov/protein/XP_009327490.1","PREDICTED: ryanodine receptor 2")</f>
        <v>PREDICTED: ryanodine receptor 2</v>
      </c>
      <c r="J571">
        <v>6080.75</v>
      </c>
      <c r="K571" t="s">
        <v>22</v>
      </c>
      <c r="L571">
        <v>276</v>
      </c>
      <c r="M571">
        <v>9.75</v>
      </c>
      <c r="N571">
        <v>58.17</v>
      </c>
      <c r="O571" t="s">
        <v>19</v>
      </c>
      <c r="P571" t="s">
        <v>20</v>
      </c>
      <c r="Q571" t="s">
        <v>19</v>
      </c>
      <c r="R571" t="str">
        <f>HYPERLINK("https://cfpub.epa.gov/ecotox/explore.cfm?ncbi=9238","Explore in ECOTOX")</f>
        <v>Explore in ECOTOX</v>
      </c>
    </row>
    <row r="572" spans="1:18" x14ac:dyDescent="0.45">
      <c r="A572" t="s">
        <v>1264</v>
      </c>
      <c r="B572">
        <v>8</v>
      </c>
      <c r="C572" t="str">
        <f>HYPERLINK("http://www.ncbi.nlm.nih.gov/protein/XP_015477486.1","XP_015477486.1")</f>
        <v>XP_015477486.1</v>
      </c>
      <c r="D572">
        <v>39863</v>
      </c>
      <c r="E572" t="str">
        <f>HYPERLINK("http://www.ncbi.nlm.nih.gov/Taxonomy/Browser/wwwtax.cgi?mode=Info&amp;id=9157&amp;lvl=3&amp;lin=f&amp;keep=1&amp;srchmode=1&amp;unlock","9157")</f>
        <v>9157</v>
      </c>
      <c r="F572" t="s">
        <v>241</v>
      </c>
      <c r="G572" t="str">
        <f>HYPERLINK("http://www.ncbi.nlm.nih.gov/Taxonomy/Browser/wwwtax.cgi?mode=Info&amp;id=9157&amp;lvl=3&amp;lin=f&amp;keep=1&amp;srchmode=1&amp;unlock","Parus major")</f>
        <v>Parus major</v>
      </c>
      <c r="H572" t="s">
        <v>573</v>
      </c>
      <c r="I572" t="str">
        <f>HYPERLINK("http://www.ncbi.nlm.nih.gov/protein/XP_015477486.1","ryanodine receptor 2 isoform X6")</f>
        <v>ryanodine receptor 2 isoform X6</v>
      </c>
      <c r="J572">
        <v>6080.36</v>
      </c>
      <c r="K572" t="s">
        <v>22</v>
      </c>
      <c r="L572">
        <v>276</v>
      </c>
      <c r="M572">
        <v>9.75</v>
      </c>
      <c r="N572">
        <v>58.16</v>
      </c>
      <c r="O572" t="s">
        <v>19</v>
      </c>
      <c r="P572" t="s">
        <v>20</v>
      </c>
      <c r="Q572" t="s">
        <v>19</v>
      </c>
      <c r="R572" t="str">
        <f>HYPERLINK("https://cfpub.epa.gov/ecotox/explore.cfm?ncbi=9157","Explore in ECOTOX")</f>
        <v>Explore in ECOTOX</v>
      </c>
    </row>
    <row r="573" spans="1:18" x14ac:dyDescent="0.45">
      <c r="A573" t="s">
        <v>1264</v>
      </c>
      <c r="B573">
        <v>8</v>
      </c>
      <c r="C573" t="str">
        <f>HYPERLINK("http://www.ncbi.nlm.nih.gov/protein/XP_027803793.1","XP_027803793.1")</f>
        <v>XP_027803793.1</v>
      </c>
      <c r="D573">
        <v>37689</v>
      </c>
      <c r="E573" t="str">
        <f>HYPERLINK("http://www.ncbi.nlm.nih.gov/Taxonomy/Browser/wwwtax.cgi?mode=Info&amp;id=93162&amp;lvl=3&amp;lin=f&amp;keep=1&amp;srchmode=1&amp;unlock","93162")</f>
        <v>93162</v>
      </c>
      <c r="F573" t="s">
        <v>96</v>
      </c>
      <c r="G573" t="str">
        <f>HYPERLINK("http://www.ncbi.nlm.nih.gov/Taxonomy/Browser/wwwtax.cgi?mode=Info&amp;id=93162&amp;lvl=3&amp;lin=f&amp;keep=1&amp;srchmode=1&amp;unlock","Marmota flaviventris")</f>
        <v>Marmota flaviventris</v>
      </c>
      <c r="H573" t="s">
        <v>574</v>
      </c>
      <c r="I573" t="str">
        <f>HYPERLINK("http://www.ncbi.nlm.nih.gov/protein/XP_027803793.1","ryanodine receptor 2")</f>
        <v>ryanodine receptor 2</v>
      </c>
      <c r="J573">
        <v>6077.66</v>
      </c>
      <c r="K573" t="s">
        <v>22</v>
      </c>
      <c r="L573">
        <v>276</v>
      </c>
      <c r="M573">
        <v>9.75</v>
      </c>
      <c r="N573">
        <v>58.14</v>
      </c>
      <c r="O573" t="s">
        <v>19</v>
      </c>
      <c r="P573" t="s">
        <v>20</v>
      </c>
      <c r="Q573" t="s">
        <v>19</v>
      </c>
      <c r="R573" t="str">
        <f>HYPERLINK("https://cfpub.epa.gov/ecotox/explore.cfm?ncbi=93162","Explore in ECOTOX")</f>
        <v>Explore in ECOTOX</v>
      </c>
    </row>
    <row r="574" spans="1:18" x14ac:dyDescent="0.45">
      <c r="A574" t="s">
        <v>1264</v>
      </c>
      <c r="B574">
        <v>8</v>
      </c>
      <c r="C574" t="str">
        <f>HYPERLINK("http://www.ncbi.nlm.nih.gov/protein/VFV47226.1","VFV47226.1")</f>
        <v>VFV47226.1</v>
      </c>
      <c r="D574">
        <v>31255</v>
      </c>
      <c r="E574" t="str">
        <f>HYPERLINK("http://www.ncbi.nlm.nih.gov/Taxonomy/Browser/wwwtax.cgi?mode=Info&amp;id=191816&amp;lvl=3&amp;lin=f&amp;keep=1&amp;srchmode=1&amp;unlock","191816")</f>
        <v>191816</v>
      </c>
      <c r="F574" t="s">
        <v>96</v>
      </c>
      <c r="G574" t="str">
        <f>HYPERLINK("http://www.ncbi.nlm.nih.gov/Taxonomy/Browser/wwwtax.cgi?mode=Info&amp;id=191816&amp;lvl=3&amp;lin=f&amp;keep=1&amp;srchmode=1&amp;unlock","Lynx pardinus")</f>
        <v>Lynx pardinus</v>
      </c>
      <c r="H574" t="s">
        <v>575</v>
      </c>
      <c r="I574" t="str">
        <f>HYPERLINK("http://www.ncbi.nlm.nih.gov/protein/VFV47226.1","low quality protein: ryanodine")</f>
        <v>low quality protein: ryanodine</v>
      </c>
      <c r="J574">
        <v>6077.28</v>
      </c>
      <c r="K574" t="s">
        <v>22</v>
      </c>
      <c r="L574">
        <v>276</v>
      </c>
      <c r="M574">
        <v>9.75</v>
      </c>
      <c r="N574">
        <v>58.13</v>
      </c>
      <c r="O574" t="s">
        <v>19</v>
      </c>
      <c r="P574" t="s">
        <v>20</v>
      </c>
      <c r="Q574" t="s">
        <v>19</v>
      </c>
      <c r="R574" t="str">
        <f>HYPERLINK("https://cfpub.epa.gov/ecotox/explore.cfm?ncbi=191816","Explore in ECOTOX")</f>
        <v>Explore in ECOTOX</v>
      </c>
    </row>
    <row r="575" spans="1:18" x14ac:dyDescent="0.45">
      <c r="A575" t="s">
        <v>1264</v>
      </c>
      <c r="B575">
        <v>8</v>
      </c>
      <c r="C575" t="str">
        <f>HYPERLINK("http://www.ncbi.nlm.nih.gov/protein/XP_043781837.1","XP_043781837.1")</f>
        <v>XP_043781837.1</v>
      </c>
      <c r="D575">
        <v>58386</v>
      </c>
      <c r="E575" t="str">
        <f>HYPERLINK("http://www.ncbi.nlm.nih.gov/Taxonomy/Browser/wwwtax.cgi?mode=Info&amp;id=9860&amp;lvl=3&amp;lin=f&amp;keep=1&amp;srchmode=1&amp;unlock","9860")</f>
        <v>9860</v>
      </c>
      <c r="F575" t="s">
        <v>96</v>
      </c>
      <c r="G575" t="str">
        <f>HYPERLINK("http://www.ncbi.nlm.nih.gov/Taxonomy/Browser/wwwtax.cgi?mode=Info&amp;id=9860&amp;lvl=3&amp;lin=f&amp;keep=1&amp;srchmode=1&amp;unlock","Cervus elaphus")</f>
        <v>Cervus elaphus</v>
      </c>
      <c r="H575" t="s">
        <v>576</v>
      </c>
      <c r="I575" t="str">
        <f>HYPERLINK("http://www.ncbi.nlm.nih.gov/protein/XP_043781837.1","ryanodine receptor 2 isoform X8")</f>
        <v>ryanodine receptor 2 isoform X8</v>
      </c>
      <c r="J575">
        <v>6076.89</v>
      </c>
      <c r="K575" t="s">
        <v>22</v>
      </c>
      <c r="L575">
        <v>276</v>
      </c>
      <c r="M575">
        <v>9.75</v>
      </c>
      <c r="N575">
        <v>58.13</v>
      </c>
      <c r="O575" t="s">
        <v>19</v>
      </c>
      <c r="P575" t="s">
        <v>20</v>
      </c>
      <c r="Q575" t="s">
        <v>19</v>
      </c>
      <c r="R575" t="str">
        <f>HYPERLINK("https://cfpub.epa.gov/ecotox/explore.cfm?ncbi=9860","Explore in ECOTOX")</f>
        <v>Explore in ECOTOX</v>
      </c>
    </row>
    <row r="576" spans="1:18" x14ac:dyDescent="0.45">
      <c r="A576" t="s">
        <v>1264</v>
      </c>
      <c r="B576">
        <v>8</v>
      </c>
      <c r="C576" t="str">
        <f>HYPERLINK("http://www.ncbi.nlm.nih.gov/protein/XP_041341383.1","XP_041341383.1")</f>
        <v>XP_041341383.1</v>
      </c>
      <c r="D576">
        <v>32675</v>
      </c>
      <c r="E576" t="str">
        <f>HYPERLINK("http://www.ncbi.nlm.nih.gov/Taxonomy/Browser/wwwtax.cgi?mode=Info&amp;id=221976&amp;lvl=3&amp;lin=f&amp;keep=1&amp;srchmode=1&amp;unlock","221976")</f>
        <v>221976</v>
      </c>
      <c r="F576" t="s">
        <v>241</v>
      </c>
      <c r="G576" t="str">
        <f>HYPERLINK("http://www.ncbi.nlm.nih.gov/Taxonomy/Browser/wwwtax.cgi?mode=Info&amp;id=221976&amp;lvl=3&amp;lin=f&amp;keep=1&amp;srchmode=1&amp;unlock","Pyrgilauda ruficollis")</f>
        <v>Pyrgilauda ruficollis</v>
      </c>
      <c r="H576" t="s">
        <v>577</v>
      </c>
      <c r="I576" t="str">
        <f>HYPERLINK("http://www.ncbi.nlm.nih.gov/protein/XP_041341383.1","ryanodine receptor 2")</f>
        <v>ryanodine receptor 2</v>
      </c>
      <c r="J576">
        <v>6074.58</v>
      </c>
      <c r="K576" t="s">
        <v>22</v>
      </c>
      <c r="L576">
        <v>276</v>
      </c>
      <c r="M576">
        <v>9.75</v>
      </c>
      <c r="N576">
        <v>58.11</v>
      </c>
      <c r="O576" t="s">
        <v>19</v>
      </c>
      <c r="P576" t="s">
        <v>20</v>
      </c>
      <c r="Q576" t="s">
        <v>19</v>
      </c>
      <c r="R576" t="str">
        <f>HYPERLINK("https://cfpub.epa.gov/ecotox/explore.cfm?ncbi=221976","Explore in ECOTOX")</f>
        <v>Explore in ECOTOX</v>
      </c>
    </row>
    <row r="577" spans="1:18" x14ac:dyDescent="0.45">
      <c r="A577" t="s">
        <v>1264</v>
      </c>
      <c r="B577">
        <v>8</v>
      </c>
      <c r="C577" t="str">
        <f>HYPERLINK("http://www.ncbi.nlm.nih.gov/protein/XP_026267995.1","XP_026267995.1")</f>
        <v>XP_026267995.1</v>
      </c>
      <c r="D577">
        <v>36507</v>
      </c>
      <c r="E577" t="str">
        <f>HYPERLINK("http://www.ncbi.nlm.nih.gov/Taxonomy/Browser/wwwtax.cgi?mode=Info&amp;id=9999&amp;lvl=3&amp;lin=f&amp;keep=1&amp;srchmode=1&amp;unlock","9999")</f>
        <v>9999</v>
      </c>
      <c r="F577" t="s">
        <v>96</v>
      </c>
      <c r="G577" t="str">
        <f>HYPERLINK("http://www.ncbi.nlm.nih.gov/Taxonomy/Browser/wwwtax.cgi?mode=Info&amp;id=9999&amp;lvl=3&amp;lin=f&amp;keep=1&amp;srchmode=1&amp;unlock","Urocitellus parryii")</f>
        <v>Urocitellus parryii</v>
      </c>
      <c r="H577" t="s">
        <v>578</v>
      </c>
      <c r="I577" t="str">
        <f>HYPERLINK("http://www.ncbi.nlm.nih.gov/protein/XP_026267995.1","ryanodine receptor 2")</f>
        <v>ryanodine receptor 2</v>
      </c>
      <c r="J577">
        <v>6074.2</v>
      </c>
      <c r="K577" t="s">
        <v>22</v>
      </c>
      <c r="L577">
        <v>276</v>
      </c>
      <c r="M577">
        <v>9.75</v>
      </c>
      <c r="N577">
        <v>58.1</v>
      </c>
      <c r="O577" t="s">
        <v>19</v>
      </c>
      <c r="P577" t="s">
        <v>20</v>
      </c>
      <c r="Q577" t="s">
        <v>19</v>
      </c>
      <c r="R577" t="str">
        <f>HYPERLINK("https://cfpub.epa.gov/ecotox/explore.cfm?ncbi=9999","Explore in ECOTOX")</f>
        <v>Explore in ECOTOX</v>
      </c>
    </row>
    <row r="578" spans="1:18" x14ac:dyDescent="0.45">
      <c r="A578" t="s">
        <v>1264</v>
      </c>
      <c r="B578">
        <v>8</v>
      </c>
      <c r="C578" t="str">
        <f>HYPERLINK("http://www.ncbi.nlm.nih.gov/protein/XP_054485605.1","XP_054485605.1")</f>
        <v>XP_054485605.1</v>
      </c>
      <c r="D578">
        <v>41278</v>
      </c>
      <c r="E578" t="str">
        <f>HYPERLINK("http://www.ncbi.nlm.nih.gov/Taxonomy/Browser/wwwtax.cgi?mode=Info&amp;id=39638&amp;lvl=3&amp;lin=f&amp;keep=1&amp;srchmode=1&amp;unlock","39638")</f>
        <v>39638</v>
      </c>
      <c r="F578" t="s">
        <v>241</v>
      </c>
      <c r="G578" t="str">
        <f>HYPERLINK("http://www.ncbi.nlm.nih.gov/Taxonomy/Browser/wwwtax.cgi?mode=Info&amp;id=39638&amp;lvl=3&amp;lin=f&amp;keep=1&amp;srchmode=1&amp;unlock","Agelaius phoeniceus")</f>
        <v>Agelaius phoeniceus</v>
      </c>
      <c r="H578" t="s">
        <v>579</v>
      </c>
      <c r="I578" t="str">
        <f>HYPERLINK("http://www.ncbi.nlm.nih.gov/protein/XP_054485605.1","ryanodine receptor 2")</f>
        <v>ryanodine receptor 2</v>
      </c>
      <c r="J578">
        <v>6073.81</v>
      </c>
      <c r="K578" t="s">
        <v>22</v>
      </c>
      <c r="L578">
        <v>276</v>
      </c>
      <c r="M578">
        <v>9.75</v>
      </c>
      <c r="N578">
        <v>58.1</v>
      </c>
      <c r="O578" t="s">
        <v>19</v>
      </c>
      <c r="P578" t="s">
        <v>20</v>
      </c>
      <c r="Q578" t="s">
        <v>19</v>
      </c>
      <c r="R578" t="str">
        <f>HYPERLINK("https://cfpub.epa.gov/ecotox/explore.cfm?ncbi=39638","Explore in ECOTOX")</f>
        <v>Explore in ECOTOX</v>
      </c>
    </row>
    <row r="579" spans="1:18" x14ac:dyDescent="0.45">
      <c r="A579" t="s">
        <v>1264</v>
      </c>
      <c r="B579">
        <v>8</v>
      </c>
      <c r="C579" t="str">
        <f>HYPERLINK("http://www.ncbi.nlm.nih.gov/protein/XP_031824387.1","XP_031824387.1")</f>
        <v>XP_031824387.1</v>
      </c>
      <c r="D579">
        <v>46296</v>
      </c>
      <c r="E579" t="str">
        <f>HYPERLINK("http://www.ncbi.nlm.nih.gov/Taxonomy/Browser/wwwtax.cgi?mode=Info&amp;id=9305&amp;lvl=3&amp;lin=f&amp;keep=1&amp;srchmode=1&amp;unlock","9305")</f>
        <v>9305</v>
      </c>
      <c r="F579" t="s">
        <v>96</v>
      </c>
      <c r="G579" t="str">
        <f>HYPERLINK("http://www.ncbi.nlm.nih.gov/Taxonomy/Browser/wwwtax.cgi?mode=Info&amp;id=9305&amp;lvl=3&amp;lin=f&amp;keep=1&amp;srchmode=1&amp;unlock","Sarcophilus harrisii")</f>
        <v>Sarcophilus harrisii</v>
      </c>
      <c r="H579" t="s">
        <v>580</v>
      </c>
      <c r="I579" t="str">
        <f>HYPERLINK("http://www.ncbi.nlm.nih.gov/protein/XP_031824387.1","ryanodine receptor 2 isoform X15")</f>
        <v>ryanodine receptor 2 isoform X15</v>
      </c>
      <c r="J579">
        <v>6073.04</v>
      </c>
      <c r="K579" t="s">
        <v>22</v>
      </c>
      <c r="L579">
        <v>276</v>
      </c>
      <c r="M579">
        <v>9.75</v>
      </c>
      <c r="N579">
        <v>58.09</v>
      </c>
      <c r="O579" t="s">
        <v>19</v>
      </c>
      <c r="P579" t="s">
        <v>20</v>
      </c>
      <c r="Q579" t="s">
        <v>19</v>
      </c>
      <c r="R579" t="str">
        <f>HYPERLINK("https://cfpub.epa.gov/ecotox/explore.cfm?ncbi=9305","Explore in ECOTOX")</f>
        <v>Explore in ECOTOX</v>
      </c>
    </row>
    <row r="580" spans="1:18" x14ac:dyDescent="0.45">
      <c r="A580" t="s">
        <v>1264</v>
      </c>
      <c r="B580">
        <v>8</v>
      </c>
      <c r="C580" t="str">
        <f>HYPERLINK("http://www.ncbi.nlm.nih.gov/protein/XP_028625688.1","XP_028625688.1")</f>
        <v>XP_028625688.1</v>
      </c>
      <c r="D580">
        <v>38291</v>
      </c>
      <c r="E580" t="str">
        <f>HYPERLINK("http://www.ncbi.nlm.nih.gov/Taxonomy/Browser/wwwtax.cgi?mode=Info&amp;id=491861&amp;lvl=3&amp;lin=f&amp;keep=1&amp;srchmode=1&amp;unlock","491861")</f>
        <v>491861</v>
      </c>
      <c r="F580" t="s">
        <v>96</v>
      </c>
      <c r="G580" t="str">
        <f>HYPERLINK("http://www.ncbi.nlm.nih.gov/Taxonomy/Browser/wwwtax.cgi?mode=Info&amp;id=491861&amp;lvl=3&amp;lin=f&amp;keep=1&amp;srchmode=1&amp;unlock","Grammomys surdaster")</f>
        <v>Grammomys surdaster</v>
      </c>
      <c r="H580" t="s">
        <v>581</v>
      </c>
      <c r="I580" t="str">
        <f>HYPERLINK("http://www.ncbi.nlm.nih.gov/protein/XP_028625688.1","ryanodine receptor 2")</f>
        <v>ryanodine receptor 2</v>
      </c>
      <c r="J580">
        <v>6073.04</v>
      </c>
      <c r="K580" t="s">
        <v>22</v>
      </c>
      <c r="L580">
        <v>276</v>
      </c>
      <c r="M580">
        <v>9.75</v>
      </c>
      <c r="N580">
        <v>58.09</v>
      </c>
      <c r="O580" t="s">
        <v>19</v>
      </c>
      <c r="P580" t="s">
        <v>20</v>
      </c>
      <c r="Q580" t="s">
        <v>19</v>
      </c>
      <c r="R580" t="str">
        <f>HYPERLINK("https://cfpub.epa.gov/ecotox/explore.cfm?ncbi=491861","Explore in ECOTOX")</f>
        <v>Explore in ECOTOX</v>
      </c>
    </row>
    <row r="581" spans="1:18" x14ac:dyDescent="0.45">
      <c r="A581" t="s">
        <v>1264</v>
      </c>
      <c r="B581">
        <v>8</v>
      </c>
      <c r="C581" t="str">
        <f>HYPERLINK("http://www.ncbi.nlm.nih.gov/protein/XP_041269700.1","XP_041269700.1")</f>
        <v>XP_041269700.1</v>
      </c>
      <c r="D581">
        <v>32404</v>
      </c>
      <c r="E581" t="str">
        <f>HYPERLINK("http://www.ncbi.nlm.nih.gov/Taxonomy/Browser/wwwtax.cgi?mode=Info&amp;id=356909&amp;lvl=3&amp;lin=f&amp;keep=1&amp;srchmode=1&amp;unlock","356909")</f>
        <v>356909</v>
      </c>
      <c r="F581" t="s">
        <v>241</v>
      </c>
      <c r="G581" t="str">
        <f>HYPERLINK("http://www.ncbi.nlm.nih.gov/Taxonomy/Browser/wwwtax.cgi?mode=Info&amp;id=356909&amp;lvl=3&amp;lin=f&amp;keep=1&amp;srchmode=1&amp;unlock","Onychostruthus taczanowskii")</f>
        <v>Onychostruthus taczanowskii</v>
      </c>
      <c r="H581" t="s">
        <v>582</v>
      </c>
      <c r="I581" t="str">
        <f>HYPERLINK("http://www.ncbi.nlm.nih.gov/protein/XP_041269700.1","ryanodine receptor 2")</f>
        <v>ryanodine receptor 2</v>
      </c>
      <c r="J581">
        <v>6071.89</v>
      </c>
      <c r="K581" t="s">
        <v>22</v>
      </c>
      <c r="L581">
        <v>276</v>
      </c>
      <c r="M581">
        <v>9.75</v>
      </c>
      <c r="N581">
        <v>58.08</v>
      </c>
      <c r="O581" t="s">
        <v>19</v>
      </c>
      <c r="P581" t="s">
        <v>20</v>
      </c>
      <c r="Q581" t="s">
        <v>19</v>
      </c>
      <c r="R581" t="str">
        <f>HYPERLINK("https://cfpub.epa.gov/ecotox/explore.cfm?ncbi=356909","Explore in ECOTOX")</f>
        <v>Explore in ECOTOX</v>
      </c>
    </row>
    <row r="582" spans="1:18" x14ac:dyDescent="0.45">
      <c r="A582" t="s">
        <v>1264</v>
      </c>
      <c r="B582">
        <v>8</v>
      </c>
      <c r="C582" t="str">
        <f>HYPERLINK("http://www.ncbi.nlm.nih.gov/protein/XP_030302591.1","XP_030302591.1")</f>
        <v>XP_030302591.1</v>
      </c>
      <c r="D582">
        <v>42938</v>
      </c>
      <c r="E582" t="str">
        <f>HYPERLINK("http://www.ncbi.nlm.nih.gov/Taxonomy/Browser/wwwtax.cgi?mode=Info&amp;id=9244&amp;lvl=3&amp;lin=f&amp;keep=1&amp;srchmode=1&amp;unlock","9244")</f>
        <v>9244</v>
      </c>
      <c r="F582" t="s">
        <v>241</v>
      </c>
      <c r="G582" t="str">
        <f>HYPERLINK("http://www.ncbi.nlm.nih.gov/Taxonomy/Browser/wwwtax.cgi?mode=Info&amp;id=9244&amp;lvl=3&amp;lin=f&amp;keep=1&amp;srchmode=1&amp;unlock","Calypte anna")</f>
        <v>Calypte anna</v>
      </c>
      <c r="H582" t="s">
        <v>583</v>
      </c>
      <c r="I582" t="str">
        <f>HYPERLINK("http://www.ncbi.nlm.nih.gov/protein/XP_030302591.1","ryanodine receptor 2")</f>
        <v>ryanodine receptor 2</v>
      </c>
      <c r="J582">
        <v>6070.73</v>
      </c>
      <c r="K582" t="s">
        <v>22</v>
      </c>
      <c r="L582">
        <v>276</v>
      </c>
      <c r="M582">
        <v>9.75</v>
      </c>
      <c r="N582">
        <v>58.07</v>
      </c>
      <c r="O582" t="s">
        <v>19</v>
      </c>
      <c r="P582" t="s">
        <v>20</v>
      </c>
      <c r="Q582" t="s">
        <v>19</v>
      </c>
      <c r="R582" t="str">
        <f>HYPERLINK("https://cfpub.epa.gov/ecotox/explore.cfm?ncbi=9244","Explore in ECOTOX")</f>
        <v>Explore in ECOTOX</v>
      </c>
    </row>
    <row r="583" spans="1:18" x14ac:dyDescent="0.45">
      <c r="A583" t="s">
        <v>1264</v>
      </c>
      <c r="B583">
        <v>8</v>
      </c>
      <c r="C583" t="str">
        <f>HYPERLINK("http://www.ncbi.nlm.nih.gov/protein/5GO9_A","5GO9_A")</f>
        <v>5GO9_A</v>
      </c>
      <c r="D583">
        <v>90396</v>
      </c>
      <c r="E583" t="str">
        <f>HYPERLINK("http://www.ncbi.nlm.nih.gov/Taxonomy/Browser/wwwtax.cgi?mode=Info&amp;id=9823&amp;lvl=3&amp;lin=f&amp;keep=1&amp;srchmode=1&amp;unlock","9823")</f>
        <v>9823</v>
      </c>
      <c r="F583" t="s">
        <v>96</v>
      </c>
      <c r="G583" t="str">
        <f>HYPERLINK("http://www.ncbi.nlm.nih.gov/Taxonomy/Browser/wwwtax.cgi?mode=Info&amp;id=9823&amp;lvl=3&amp;lin=f&amp;keep=1&amp;srchmode=1&amp;unlock","Sus scrofa")</f>
        <v>Sus scrofa</v>
      </c>
      <c r="H583" t="s">
        <v>584</v>
      </c>
      <c r="I583" t="str">
        <f>HYPERLINK("http://www.ncbi.nlm.nih.gov/protein/5GO9_A","Chain A, RyR2")</f>
        <v>Chain A, RyR2</v>
      </c>
      <c r="J583">
        <v>6070.73</v>
      </c>
      <c r="K583" t="s">
        <v>22</v>
      </c>
      <c r="L583">
        <v>276</v>
      </c>
      <c r="M583">
        <v>9.75</v>
      </c>
      <c r="N583">
        <v>58.07</v>
      </c>
      <c r="O583" t="s">
        <v>19</v>
      </c>
      <c r="P583" t="s">
        <v>20</v>
      </c>
      <c r="Q583" t="s">
        <v>19</v>
      </c>
      <c r="R583" t="str">
        <f>HYPERLINK("https://cfpub.epa.gov/ecotox/explore.cfm?ncbi=9823","Explore in ECOTOX")</f>
        <v>Explore in ECOTOX</v>
      </c>
    </row>
    <row r="584" spans="1:18" x14ac:dyDescent="0.45">
      <c r="A584" t="s">
        <v>1264</v>
      </c>
      <c r="B584">
        <v>8</v>
      </c>
      <c r="C584" t="str">
        <f>HYPERLINK("http://www.ncbi.nlm.nih.gov/protein/XP_050565782.1","XP_050565782.1")</f>
        <v>XP_050565782.1</v>
      </c>
      <c r="D584">
        <v>36870</v>
      </c>
      <c r="E584" t="str">
        <f>HYPERLINK("http://www.ncbi.nlm.nih.gov/Taxonomy/Browser/wwwtax.cgi?mode=Info&amp;id=8868&amp;lvl=3&amp;lin=f&amp;keep=1&amp;srchmode=1&amp;unlock","8868")</f>
        <v>8868</v>
      </c>
      <c r="F584" t="s">
        <v>241</v>
      </c>
      <c r="G584" t="str">
        <f>HYPERLINK("http://www.ncbi.nlm.nih.gov/Taxonomy/Browser/wwwtax.cgi?mode=Info&amp;id=8868&amp;lvl=3&amp;lin=f&amp;keep=1&amp;srchmode=1&amp;unlock","Cygnus atratus")</f>
        <v>Cygnus atratus</v>
      </c>
      <c r="H584" t="s">
        <v>585</v>
      </c>
      <c r="I584" t="str">
        <f>HYPERLINK("http://www.ncbi.nlm.nih.gov/protein/XP_050565782.1","ryanodine receptor 2")</f>
        <v>ryanodine receptor 2</v>
      </c>
      <c r="J584">
        <v>6068.81</v>
      </c>
      <c r="K584" t="s">
        <v>22</v>
      </c>
      <c r="L584">
        <v>276</v>
      </c>
      <c r="M584">
        <v>9.75</v>
      </c>
      <c r="N584">
        <v>58.05</v>
      </c>
      <c r="O584" t="s">
        <v>19</v>
      </c>
      <c r="P584" t="s">
        <v>20</v>
      </c>
      <c r="Q584" t="s">
        <v>19</v>
      </c>
      <c r="R584" t="str">
        <f>HYPERLINK("https://cfpub.epa.gov/ecotox/explore.cfm?ncbi=8868","Explore in ECOTOX")</f>
        <v>Explore in ECOTOX</v>
      </c>
    </row>
    <row r="585" spans="1:18" x14ac:dyDescent="0.45">
      <c r="A585" t="s">
        <v>1264</v>
      </c>
      <c r="B585">
        <v>8</v>
      </c>
      <c r="C585" t="str">
        <f>HYPERLINK("http://www.ncbi.nlm.nih.gov/protein/XP_022408780.1","XP_022408780.1")</f>
        <v>XP_022408780.1</v>
      </c>
      <c r="D585">
        <v>51122</v>
      </c>
      <c r="E585" t="str">
        <f>HYPERLINK("http://www.ncbi.nlm.nih.gov/Taxonomy/Browser/wwwtax.cgi?mode=Info&amp;id=9749&amp;lvl=3&amp;lin=f&amp;keep=1&amp;srchmode=1&amp;unlock","9749")</f>
        <v>9749</v>
      </c>
      <c r="F585" t="s">
        <v>96</v>
      </c>
      <c r="G585" t="str">
        <f>HYPERLINK("http://www.ncbi.nlm.nih.gov/Taxonomy/Browser/wwwtax.cgi?mode=Info&amp;id=9749&amp;lvl=3&amp;lin=f&amp;keep=1&amp;srchmode=1&amp;unlock","Delphinapterus leucas")</f>
        <v>Delphinapterus leucas</v>
      </c>
      <c r="H585" t="s">
        <v>586</v>
      </c>
      <c r="I585" t="str">
        <f>HYPERLINK("http://www.ncbi.nlm.nih.gov/protein/XP_022408780.1","ryanodine receptor 2 isoform X3")</f>
        <v>ryanodine receptor 2 isoform X3</v>
      </c>
      <c r="J585">
        <v>6067.26</v>
      </c>
      <c r="K585" t="s">
        <v>22</v>
      </c>
      <c r="L585">
        <v>276</v>
      </c>
      <c r="M585">
        <v>9.75</v>
      </c>
      <c r="N585">
        <v>58.04</v>
      </c>
      <c r="O585" t="s">
        <v>19</v>
      </c>
      <c r="P585" t="s">
        <v>20</v>
      </c>
      <c r="Q585" t="s">
        <v>19</v>
      </c>
      <c r="R585" t="str">
        <f>HYPERLINK("https://cfpub.epa.gov/ecotox/explore.cfm?ncbi=9749","Explore in ECOTOX")</f>
        <v>Explore in ECOTOX</v>
      </c>
    </row>
    <row r="586" spans="1:18" x14ac:dyDescent="0.45">
      <c r="A586" t="s">
        <v>1264</v>
      </c>
      <c r="B586">
        <v>8</v>
      </c>
      <c r="C586" t="str">
        <f>HYPERLINK("http://www.ncbi.nlm.nih.gov/protein/XP_060142429.1","XP_060142429.1")</f>
        <v>XP_060142429.1</v>
      </c>
      <c r="D586">
        <v>87350</v>
      </c>
      <c r="E586" t="str">
        <f>HYPERLINK("http://www.ncbi.nlm.nih.gov/Taxonomy/Browser/wwwtax.cgi?mode=Info&amp;id=9731&amp;lvl=3&amp;lin=f&amp;keep=1&amp;srchmode=1&amp;unlock","9731")</f>
        <v>9731</v>
      </c>
      <c r="F586" t="s">
        <v>96</v>
      </c>
      <c r="G586" t="str">
        <f>HYPERLINK("http://www.ncbi.nlm.nih.gov/Taxonomy/Browser/wwwtax.cgi?mode=Info&amp;id=9731&amp;lvl=3&amp;lin=f&amp;keep=1&amp;srchmode=1&amp;unlock","Globicephala melas")</f>
        <v>Globicephala melas</v>
      </c>
      <c r="H586" t="s">
        <v>587</v>
      </c>
      <c r="I586" t="str">
        <f>HYPERLINK("http://www.ncbi.nlm.nih.gov/protein/XP_060142429.1","ryanodine receptor 2")</f>
        <v>ryanodine receptor 2</v>
      </c>
      <c r="J586">
        <v>6064.95</v>
      </c>
      <c r="K586" t="s">
        <v>22</v>
      </c>
      <c r="L586">
        <v>276</v>
      </c>
      <c r="M586">
        <v>9.75</v>
      </c>
      <c r="N586">
        <v>58.02</v>
      </c>
      <c r="O586" t="s">
        <v>19</v>
      </c>
      <c r="P586" t="s">
        <v>20</v>
      </c>
      <c r="Q586" t="s">
        <v>19</v>
      </c>
      <c r="R586" t="str">
        <f>HYPERLINK("https://cfpub.epa.gov/ecotox/explore.cfm?ncbi=9731","Explore in ECOTOX")</f>
        <v>Explore in ECOTOX</v>
      </c>
    </row>
    <row r="587" spans="1:18" x14ac:dyDescent="0.45">
      <c r="A587" t="s">
        <v>1264</v>
      </c>
      <c r="B587">
        <v>8</v>
      </c>
      <c r="C587" t="str">
        <f>HYPERLINK("http://www.ncbi.nlm.nih.gov/protein/XP_014730064.1","XP_014730064.1")</f>
        <v>XP_014730064.1</v>
      </c>
      <c r="D587">
        <v>26794</v>
      </c>
      <c r="E587" t="str">
        <f>HYPERLINK("http://www.ncbi.nlm.nih.gov/Taxonomy/Browser/wwwtax.cgi?mode=Info&amp;id=9172&amp;lvl=3&amp;lin=f&amp;keep=1&amp;srchmode=1&amp;unlock","9172")</f>
        <v>9172</v>
      </c>
      <c r="F587" t="s">
        <v>241</v>
      </c>
      <c r="G587" t="str">
        <f>HYPERLINK("http://www.ncbi.nlm.nih.gov/Taxonomy/Browser/wwwtax.cgi?mode=Info&amp;id=9172&amp;lvl=3&amp;lin=f&amp;keep=1&amp;srchmode=1&amp;unlock","Sturnus vulgaris")</f>
        <v>Sturnus vulgaris</v>
      </c>
      <c r="H587" t="s">
        <v>588</v>
      </c>
      <c r="I587" t="str">
        <f>HYPERLINK("http://www.ncbi.nlm.nih.gov/protein/XP_014730064.1","PREDICTED: ryanodine receptor 2")</f>
        <v>PREDICTED: ryanodine receptor 2</v>
      </c>
      <c r="J587">
        <v>6063.41</v>
      </c>
      <c r="K587" t="s">
        <v>22</v>
      </c>
      <c r="L587">
        <v>276</v>
      </c>
      <c r="M587">
        <v>9.75</v>
      </c>
      <c r="N587">
        <v>58</v>
      </c>
      <c r="O587" t="s">
        <v>19</v>
      </c>
      <c r="P587" t="s">
        <v>20</v>
      </c>
      <c r="Q587" t="s">
        <v>19</v>
      </c>
      <c r="R587" t="str">
        <f>HYPERLINK("https://cfpub.epa.gov/ecotox/explore.cfm?ncbi=9172","Explore in ECOTOX")</f>
        <v>Explore in ECOTOX</v>
      </c>
    </row>
    <row r="588" spans="1:18" x14ac:dyDescent="0.45">
      <c r="A588" t="s">
        <v>1264</v>
      </c>
      <c r="B588">
        <v>8</v>
      </c>
      <c r="C588" t="str">
        <f>HYPERLINK("http://www.ncbi.nlm.nih.gov/protein/XP_027626632.1","XP_027626632.1")</f>
        <v>XP_027626632.1</v>
      </c>
      <c r="D588">
        <v>59511</v>
      </c>
      <c r="E588" t="str">
        <f>HYPERLINK("http://www.ncbi.nlm.nih.gov/Taxonomy/Browser/wwwtax.cgi?mode=Info&amp;id=246437&amp;lvl=3&amp;lin=f&amp;keep=1&amp;srchmode=1&amp;unlock","246437")</f>
        <v>246437</v>
      </c>
      <c r="F588" t="s">
        <v>96</v>
      </c>
      <c r="G588" t="str">
        <f>HYPERLINK("http://www.ncbi.nlm.nih.gov/Taxonomy/Browser/wwwtax.cgi?mode=Info&amp;id=246437&amp;lvl=3&amp;lin=f&amp;keep=1&amp;srchmode=1&amp;unlock","Tupaia chinensis")</f>
        <v>Tupaia chinensis</v>
      </c>
      <c r="H588" t="s">
        <v>589</v>
      </c>
      <c r="I588" t="str">
        <f>HYPERLINK("http://www.ncbi.nlm.nih.gov/protein/XP_027626632.1","ryanodine receptor 2")</f>
        <v>ryanodine receptor 2</v>
      </c>
      <c r="J588">
        <v>6063.03</v>
      </c>
      <c r="K588" t="s">
        <v>22</v>
      </c>
      <c r="L588">
        <v>276</v>
      </c>
      <c r="M588">
        <v>9.75</v>
      </c>
      <c r="N588">
        <v>58</v>
      </c>
      <c r="O588" t="s">
        <v>19</v>
      </c>
      <c r="P588" t="s">
        <v>20</v>
      </c>
      <c r="Q588" t="s">
        <v>19</v>
      </c>
      <c r="R588" t="str">
        <f>HYPERLINK("https://cfpub.epa.gov/ecotox/explore.cfm?ncbi=246437","Explore in ECOTOX")</f>
        <v>Explore in ECOTOX</v>
      </c>
    </row>
    <row r="589" spans="1:18" x14ac:dyDescent="0.45">
      <c r="A589" t="s">
        <v>1264</v>
      </c>
      <c r="B589">
        <v>8</v>
      </c>
      <c r="C589" t="str">
        <f>HYPERLINK("http://www.ncbi.nlm.nih.gov/protein/XP_059890986.1","XP_059890986.1")</f>
        <v>XP_059890986.1</v>
      </c>
      <c r="D589">
        <v>41088</v>
      </c>
      <c r="E589" t="str">
        <f>HYPERLINK("http://www.ncbi.nlm.nih.gov/Taxonomy/Browser/wwwtax.cgi?mode=Info&amp;id=9728&amp;lvl=3&amp;lin=f&amp;keep=1&amp;srchmode=1&amp;unlock","9728")</f>
        <v>9728</v>
      </c>
      <c r="F589" t="s">
        <v>96</v>
      </c>
      <c r="G589" t="str">
        <f>HYPERLINK("http://www.ncbi.nlm.nih.gov/Taxonomy/Browser/wwwtax.cgi?mode=Info&amp;id=9728&amp;lvl=3&amp;lin=f&amp;keep=1&amp;srchmode=1&amp;unlock","Delphinus delphis")</f>
        <v>Delphinus delphis</v>
      </c>
      <c r="H589" t="s">
        <v>590</v>
      </c>
      <c r="I589" t="str">
        <f>HYPERLINK("http://www.ncbi.nlm.nih.gov/protein/XP_059890986.1","ryanodine receptor 2")</f>
        <v>ryanodine receptor 2</v>
      </c>
      <c r="J589">
        <v>6062.26</v>
      </c>
      <c r="K589" t="s">
        <v>22</v>
      </c>
      <c r="L589">
        <v>276</v>
      </c>
      <c r="M589">
        <v>9.75</v>
      </c>
      <c r="N589">
        <v>57.99</v>
      </c>
      <c r="O589" t="s">
        <v>19</v>
      </c>
      <c r="P589" t="s">
        <v>20</v>
      </c>
      <c r="Q589" t="s">
        <v>19</v>
      </c>
      <c r="R589" t="str">
        <f>HYPERLINK("https://cfpub.epa.gov/ecotox/explore.cfm?ncbi=9728","Explore in ECOTOX")</f>
        <v>Explore in ECOTOX</v>
      </c>
    </row>
    <row r="590" spans="1:18" x14ac:dyDescent="0.45">
      <c r="A590" t="s">
        <v>1264</v>
      </c>
      <c r="B590">
        <v>8</v>
      </c>
      <c r="C590" t="str">
        <f>HYPERLINK("http://www.ncbi.nlm.nih.gov/protein/XP_029101417.1","XP_029101417.1")</f>
        <v>XP_029101417.1</v>
      </c>
      <c r="D590">
        <v>65828</v>
      </c>
      <c r="E590" t="str">
        <f>HYPERLINK("http://www.ncbi.nlm.nih.gov/Taxonomy/Browser/wwwtax.cgi?mode=Info&amp;id=40151&amp;lvl=3&amp;lin=f&amp;keep=1&amp;srchmode=1&amp;unlock","40151")</f>
        <v>40151</v>
      </c>
      <c r="F590" t="s">
        <v>96</v>
      </c>
      <c r="G590" t="str">
        <f>HYPERLINK("http://www.ncbi.nlm.nih.gov/Taxonomy/Browser/wwwtax.cgi?mode=Info&amp;id=40151&amp;lvl=3&amp;lin=f&amp;keep=1&amp;srchmode=1&amp;unlock","Monodon monoceros")</f>
        <v>Monodon monoceros</v>
      </c>
      <c r="H590" t="s">
        <v>591</v>
      </c>
      <c r="I590" t="str">
        <f>HYPERLINK("http://www.ncbi.nlm.nih.gov/protein/XP_029101417.1","ryanodine receptor 2")</f>
        <v>ryanodine receptor 2</v>
      </c>
      <c r="J590">
        <v>6060.72</v>
      </c>
      <c r="K590" t="s">
        <v>22</v>
      </c>
      <c r="L590">
        <v>276</v>
      </c>
      <c r="M590">
        <v>9.75</v>
      </c>
      <c r="N590">
        <v>57.98</v>
      </c>
      <c r="O590" t="s">
        <v>19</v>
      </c>
      <c r="P590" t="s">
        <v>20</v>
      </c>
      <c r="Q590" t="s">
        <v>19</v>
      </c>
      <c r="R590" t="str">
        <f>HYPERLINK("https://cfpub.epa.gov/ecotox/explore.cfm?ncbi=40151","Explore in ECOTOX")</f>
        <v>Explore in ECOTOX</v>
      </c>
    </row>
    <row r="591" spans="1:18" x14ac:dyDescent="0.45">
      <c r="A591" t="s">
        <v>1264</v>
      </c>
      <c r="B591">
        <v>8</v>
      </c>
      <c r="C591" t="str">
        <f>HYPERLINK("http://www.ncbi.nlm.nih.gov/protein/XP_031408049.1","XP_031408049.1")</f>
        <v>XP_031408049.1</v>
      </c>
      <c r="D591">
        <v>30643</v>
      </c>
      <c r="E591" t="str">
        <f>HYPERLINK("http://www.ncbi.nlm.nih.gov/Taxonomy/Browser/wwwtax.cgi?mode=Info&amp;id=9103&amp;lvl=3&amp;lin=f&amp;keep=1&amp;srchmode=1&amp;unlock","9103")</f>
        <v>9103</v>
      </c>
      <c r="F591" t="s">
        <v>241</v>
      </c>
      <c r="G591" t="str">
        <f>HYPERLINK("http://www.ncbi.nlm.nih.gov/Taxonomy/Browser/wwwtax.cgi?mode=Info&amp;id=9103&amp;lvl=3&amp;lin=f&amp;keep=1&amp;srchmode=1&amp;unlock","Meleagris gallopavo")</f>
        <v>Meleagris gallopavo</v>
      </c>
      <c r="H591" t="s">
        <v>592</v>
      </c>
      <c r="I591" t="str">
        <f>HYPERLINK("http://www.ncbi.nlm.nih.gov/protein/XP_031408049.1","LOW QUALITY PROTEIN: ryanodine receptor 2")</f>
        <v>LOW QUALITY PROTEIN: ryanodine receptor 2</v>
      </c>
      <c r="J591">
        <v>6060.33</v>
      </c>
      <c r="K591" t="s">
        <v>22</v>
      </c>
      <c r="L591">
        <v>276</v>
      </c>
      <c r="M591">
        <v>9.75</v>
      </c>
      <c r="N591">
        <v>57.97</v>
      </c>
      <c r="O591" t="s">
        <v>19</v>
      </c>
      <c r="P591" t="s">
        <v>20</v>
      </c>
      <c r="Q591" t="s">
        <v>19</v>
      </c>
      <c r="R591" t="str">
        <f>HYPERLINK("https://cfpub.epa.gov/ecotox/explore.cfm?ncbi=9103","Explore in ECOTOX")</f>
        <v>Explore in ECOTOX</v>
      </c>
    </row>
    <row r="592" spans="1:18" x14ac:dyDescent="0.45">
      <c r="A592" t="s">
        <v>1264</v>
      </c>
      <c r="B592">
        <v>8</v>
      </c>
      <c r="C592" t="str">
        <f>HYPERLINK("http://www.ncbi.nlm.nih.gov/protein/XP_057235464.1","XP_057235464.1")</f>
        <v>XP_057235464.1</v>
      </c>
      <c r="D592">
        <v>27245</v>
      </c>
      <c r="E592" t="str">
        <f>HYPERLINK("http://www.ncbi.nlm.nih.gov/Taxonomy/Browser/wwwtax.cgi?mode=Info&amp;id=175006&amp;lvl=3&amp;lin=f&amp;keep=1&amp;srchmode=1&amp;unlock","175006")</f>
        <v>175006</v>
      </c>
      <c r="F592" t="s">
        <v>241</v>
      </c>
      <c r="G592" t="str">
        <f>HYPERLINK("http://www.ncbi.nlm.nih.gov/Taxonomy/Browser/wwwtax.cgi?mode=Info&amp;id=175006&amp;lvl=3&amp;lin=f&amp;keep=1&amp;srchmode=1&amp;unlock","Malurus melanocephalus")</f>
        <v>Malurus melanocephalus</v>
      </c>
      <c r="H592" t="s">
        <v>593</v>
      </c>
      <c r="I592" t="str">
        <f>HYPERLINK("http://www.ncbi.nlm.nih.gov/protein/XP_057235464.1","ryanodine receptor 2")</f>
        <v>ryanodine receptor 2</v>
      </c>
      <c r="J592">
        <v>6060.33</v>
      </c>
      <c r="K592" t="s">
        <v>22</v>
      </c>
      <c r="L592">
        <v>276</v>
      </c>
      <c r="M592">
        <v>9.75</v>
      </c>
      <c r="N592">
        <v>57.97</v>
      </c>
      <c r="O592" t="s">
        <v>19</v>
      </c>
      <c r="P592" t="s">
        <v>20</v>
      </c>
      <c r="Q592" t="s">
        <v>19</v>
      </c>
      <c r="R592" t="str">
        <f>HYPERLINK("https://cfpub.epa.gov/ecotox/explore.cfm?ncbi=175006","Explore in ECOTOX")</f>
        <v>Explore in ECOTOX</v>
      </c>
    </row>
    <row r="593" spans="1:18" x14ac:dyDescent="0.45">
      <c r="A593" t="s">
        <v>1264</v>
      </c>
      <c r="B593">
        <v>8</v>
      </c>
      <c r="C593" t="str">
        <f>HYPERLINK("http://www.ncbi.nlm.nih.gov/protein/XP_048656368.1","XP_048656368.1")</f>
        <v>XP_048656368.1</v>
      </c>
      <c r="D593">
        <v>56614</v>
      </c>
      <c r="E593" t="str">
        <f>HYPERLINK("http://www.ncbi.nlm.nih.gov/Taxonomy/Browser/wwwtax.cgi?mode=Info&amp;id=9994&amp;lvl=3&amp;lin=f&amp;keep=1&amp;srchmode=1&amp;unlock","9994")</f>
        <v>9994</v>
      </c>
      <c r="F593" t="s">
        <v>96</v>
      </c>
      <c r="G593" t="str">
        <f>HYPERLINK("http://www.ncbi.nlm.nih.gov/Taxonomy/Browser/wwwtax.cgi?mode=Info&amp;id=9994&amp;lvl=3&amp;lin=f&amp;keep=1&amp;srchmode=1&amp;unlock","Marmota marmota marmota")</f>
        <v>Marmota marmota marmota</v>
      </c>
      <c r="H593" t="s">
        <v>594</v>
      </c>
      <c r="I593" t="str">
        <f>HYPERLINK("http://www.ncbi.nlm.nih.gov/protein/XP_048656368.1","ryanodine receptor 2")</f>
        <v>ryanodine receptor 2</v>
      </c>
      <c r="J593">
        <v>6059.18</v>
      </c>
      <c r="K593" t="s">
        <v>22</v>
      </c>
      <c r="L593">
        <v>276</v>
      </c>
      <c r="M593">
        <v>9.75</v>
      </c>
      <c r="N593">
        <v>57.96</v>
      </c>
      <c r="O593" t="s">
        <v>19</v>
      </c>
      <c r="P593" t="s">
        <v>20</v>
      </c>
      <c r="Q593" t="s">
        <v>19</v>
      </c>
      <c r="R593" t="str">
        <f>HYPERLINK("https://cfpub.epa.gov/ecotox/explore.cfm?ncbi=9994","Explore in ECOTOX")</f>
        <v>Explore in ECOTOX</v>
      </c>
    </row>
    <row r="594" spans="1:18" x14ac:dyDescent="0.45">
      <c r="A594" t="s">
        <v>1264</v>
      </c>
      <c r="B594">
        <v>8</v>
      </c>
      <c r="C594" t="str">
        <f>HYPERLINK("http://www.ncbi.nlm.nih.gov/protein/XP_036609822.1","XP_036609822.1")</f>
        <v>XP_036609822.1</v>
      </c>
      <c r="D594">
        <v>36165</v>
      </c>
      <c r="E594" t="str">
        <f>HYPERLINK("http://www.ncbi.nlm.nih.gov/Taxonomy/Browser/wwwtax.cgi?mode=Info&amp;id=9337&amp;lvl=3&amp;lin=f&amp;keep=1&amp;srchmode=1&amp;unlock","9337")</f>
        <v>9337</v>
      </c>
      <c r="F594" t="s">
        <v>96</v>
      </c>
      <c r="G594" t="str">
        <f>HYPERLINK("http://www.ncbi.nlm.nih.gov/Taxonomy/Browser/wwwtax.cgi?mode=Info&amp;id=9337&amp;lvl=3&amp;lin=f&amp;keep=1&amp;srchmode=1&amp;unlock","Trichosurus vulpecula")</f>
        <v>Trichosurus vulpecula</v>
      </c>
      <c r="H594" t="s">
        <v>595</v>
      </c>
      <c r="I594" t="str">
        <f>HYPERLINK("http://www.ncbi.nlm.nih.gov/protein/XP_036609822.1","ryanodine receptor 2 isoform X4")</f>
        <v>ryanodine receptor 2 isoform X4</v>
      </c>
      <c r="J594">
        <v>6054.17</v>
      </c>
      <c r="K594" t="s">
        <v>22</v>
      </c>
      <c r="L594">
        <v>276</v>
      </c>
      <c r="M594">
        <v>9.75</v>
      </c>
      <c r="N594">
        <v>57.91</v>
      </c>
      <c r="O594" t="s">
        <v>19</v>
      </c>
      <c r="P594" t="s">
        <v>20</v>
      </c>
      <c r="Q594" t="s">
        <v>19</v>
      </c>
      <c r="R594" t="str">
        <f>HYPERLINK("https://cfpub.epa.gov/ecotox/explore.cfm?ncbi=9337","Explore in ECOTOX")</f>
        <v>Explore in ECOTOX</v>
      </c>
    </row>
    <row r="595" spans="1:18" x14ac:dyDescent="0.45">
      <c r="A595" t="s">
        <v>1264</v>
      </c>
      <c r="B595">
        <v>8</v>
      </c>
      <c r="C595" t="str">
        <f>HYPERLINK("http://www.ncbi.nlm.nih.gov/protein/XP_020856068.1","XP_020856068.1")</f>
        <v>XP_020856068.1</v>
      </c>
      <c r="D595">
        <v>47308</v>
      </c>
      <c r="E595" t="str">
        <f>HYPERLINK("http://www.ncbi.nlm.nih.gov/Taxonomy/Browser/wwwtax.cgi?mode=Info&amp;id=38626&amp;lvl=3&amp;lin=f&amp;keep=1&amp;srchmode=1&amp;unlock","38626")</f>
        <v>38626</v>
      </c>
      <c r="F595" t="s">
        <v>96</v>
      </c>
      <c r="G595" t="str">
        <f>HYPERLINK("http://www.ncbi.nlm.nih.gov/Taxonomy/Browser/wwwtax.cgi?mode=Info&amp;id=38626&amp;lvl=3&amp;lin=f&amp;keep=1&amp;srchmode=1&amp;unlock","Phascolarctos cinereus")</f>
        <v>Phascolarctos cinereus</v>
      </c>
      <c r="H595" t="s">
        <v>596</v>
      </c>
      <c r="I595" t="str">
        <f>HYPERLINK("http://www.ncbi.nlm.nih.gov/protein/XP_020856068.1","LOW QUALITY PROTEIN: ryanodine receptor 2")</f>
        <v>LOW QUALITY PROTEIN: ryanodine receptor 2</v>
      </c>
      <c r="J595">
        <v>6053.01</v>
      </c>
      <c r="K595" t="s">
        <v>22</v>
      </c>
      <c r="L595">
        <v>276</v>
      </c>
      <c r="M595">
        <v>9.75</v>
      </c>
      <c r="N595">
        <v>57.9</v>
      </c>
      <c r="O595" t="s">
        <v>19</v>
      </c>
      <c r="P595" t="s">
        <v>20</v>
      </c>
      <c r="Q595" t="s">
        <v>19</v>
      </c>
      <c r="R595" t="str">
        <f>HYPERLINK("https://cfpub.epa.gov/ecotox/explore.cfm?ncbi=38626","Explore in ECOTOX")</f>
        <v>Explore in ECOTOX</v>
      </c>
    </row>
    <row r="596" spans="1:18" x14ac:dyDescent="0.45">
      <c r="A596" t="s">
        <v>1264</v>
      </c>
      <c r="B596">
        <v>8</v>
      </c>
      <c r="C596" t="str">
        <f>HYPERLINK("http://www.ncbi.nlm.nih.gov/protein/XP_059952720.1","XP_059952720.1")</f>
        <v>XP_059952720.1</v>
      </c>
      <c r="D596">
        <v>43350</v>
      </c>
      <c r="E596" t="str">
        <f>HYPERLINK("http://www.ncbi.nlm.nih.gov/Taxonomy/Browser/wwwtax.cgi?mode=Info&amp;id=48708&amp;lvl=3&amp;lin=f&amp;keep=1&amp;srchmode=1&amp;unlock","48708")</f>
        <v>48708</v>
      </c>
      <c r="F596" t="s">
        <v>96</v>
      </c>
      <c r="G596" t="str">
        <f>HYPERLINK("http://www.ncbi.nlm.nih.gov/Taxonomy/Browser/wwwtax.cgi?mode=Info&amp;id=48708&amp;lvl=3&amp;lin=f&amp;keep=1&amp;srchmode=1&amp;unlock","Mesoplodon densirostris")</f>
        <v>Mesoplodon densirostris</v>
      </c>
      <c r="H596" t="s">
        <v>597</v>
      </c>
      <c r="I596" t="str">
        <f>HYPERLINK("http://www.ncbi.nlm.nih.gov/protein/XP_059952720.1","ryanodine receptor 2")</f>
        <v>ryanodine receptor 2</v>
      </c>
      <c r="J596">
        <v>6051.86</v>
      </c>
      <c r="K596" t="s">
        <v>22</v>
      </c>
      <c r="L596">
        <v>276</v>
      </c>
      <c r="M596">
        <v>9.75</v>
      </c>
      <c r="N596">
        <v>57.89</v>
      </c>
      <c r="O596" t="s">
        <v>19</v>
      </c>
      <c r="P596" t="s">
        <v>20</v>
      </c>
      <c r="Q596" t="s">
        <v>19</v>
      </c>
      <c r="R596" t="str">
        <f>HYPERLINK("https://cfpub.epa.gov/ecotox/explore.cfm?ncbi=48708","Explore in ECOTOX")</f>
        <v>Explore in ECOTOX</v>
      </c>
    </row>
    <row r="597" spans="1:18" x14ac:dyDescent="0.45">
      <c r="A597" t="s">
        <v>1264</v>
      </c>
      <c r="B597">
        <v>8</v>
      </c>
      <c r="C597" t="str">
        <f>HYPERLINK("http://www.ncbi.nlm.nih.gov/protein/XP_056343727.1","XP_056343727.1")</f>
        <v>XP_056343727.1</v>
      </c>
      <c r="D597">
        <v>34711</v>
      </c>
      <c r="E597" t="str">
        <f>HYPERLINK("http://www.ncbi.nlm.nih.gov/Taxonomy/Browser/wwwtax.cgi?mode=Info&amp;id=2939378&amp;lvl=3&amp;lin=f&amp;keep=1&amp;srchmode=1&amp;unlock","2939378")</f>
        <v>2939378</v>
      </c>
      <c r="F597" t="s">
        <v>241</v>
      </c>
      <c r="G597" t="str">
        <f>HYPERLINK("http://www.ncbi.nlm.nih.gov/Taxonomy/Browser/wwwtax.cgi?mode=Info&amp;id=2939378&amp;lvl=3&amp;lin=f&amp;keep=1&amp;srchmode=1&amp;unlock","Oenanthe melanoleuca")</f>
        <v>Oenanthe melanoleuca</v>
      </c>
      <c r="H597" t="s">
        <v>598</v>
      </c>
      <c r="I597" t="str">
        <f>HYPERLINK("http://www.ncbi.nlm.nih.gov/protein/XP_056343727.1","LOW QUALITY PROTEIN: ryanodine receptor 2")</f>
        <v>LOW QUALITY PROTEIN: ryanodine receptor 2</v>
      </c>
      <c r="J597">
        <v>6051.09</v>
      </c>
      <c r="K597" t="s">
        <v>22</v>
      </c>
      <c r="L597">
        <v>276</v>
      </c>
      <c r="M597">
        <v>9.75</v>
      </c>
      <c r="N597">
        <v>57.88</v>
      </c>
      <c r="O597" t="s">
        <v>19</v>
      </c>
      <c r="P597" t="s">
        <v>20</v>
      </c>
      <c r="Q597" t="s">
        <v>19</v>
      </c>
      <c r="R597" t="str">
        <f>HYPERLINK("https://cfpub.epa.gov/ecotox/explore.cfm?ncbi=2939378","Explore in ECOTOX")</f>
        <v>Explore in ECOTOX</v>
      </c>
    </row>
    <row r="598" spans="1:18" x14ac:dyDescent="0.45">
      <c r="A598" t="s">
        <v>1264</v>
      </c>
      <c r="B598">
        <v>8</v>
      </c>
      <c r="C598" t="str">
        <f>HYPERLINK("http://www.ncbi.nlm.nih.gov/protein/KAK1170997.1","KAK1170997.1")</f>
        <v>KAK1170997.1</v>
      </c>
      <c r="D598">
        <v>28028</v>
      </c>
      <c r="E598" t="str">
        <f>HYPERLINK("http://www.ncbi.nlm.nih.gov/Taxonomy/Browser/wwwtax.cgi?mode=Info&amp;id=40147&amp;lvl=3&amp;lin=f&amp;keep=1&amp;srchmode=1&amp;unlock","40147")</f>
        <v>40147</v>
      </c>
      <c r="F598" t="s">
        <v>17</v>
      </c>
      <c r="G598" t="str">
        <f>HYPERLINK("http://www.ncbi.nlm.nih.gov/Taxonomy/Browser/wwwtax.cgi?mode=Info&amp;id=40147&amp;lvl=3&amp;lin=f&amp;keep=1&amp;srchmode=1&amp;unlock","Acipenser oxyrinchus oxyrinchus")</f>
        <v>Acipenser oxyrinchus oxyrinchus</v>
      </c>
      <c r="H598" t="s">
        <v>599</v>
      </c>
      <c r="I598" t="str">
        <f>HYPERLINK("http://www.ncbi.nlm.nih.gov/protein/KAK1170997.1","ryanodine receptor 2")</f>
        <v>ryanodine receptor 2</v>
      </c>
      <c r="J598">
        <v>6046.08</v>
      </c>
      <c r="K598" t="s">
        <v>22</v>
      </c>
      <c r="L598">
        <v>276</v>
      </c>
      <c r="M598">
        <v>9.75</v>
      </c>
      <c r="N598">
        <v>57.84</v>
      </c>
      <c r="O598" t="s">
        <v>19</v>
      </c>
      <c r="P598" t="s">
        <v>20</v>
      </c>
      <c r="Q598" t="s">
        <v>19</v>
      </c>
      <c r="R598" t="str">
        <f>HYPERLINK("https://cfpub.epa.gov/ecotox/explore.cfm?ncbi=40147","Explore in ECOTOX")</f>
        <v>Explore in ECOTOX</v>
      </c>
    </row>
    <row r="599" spans="1:18" x14ac:dyDescent="0.45">
      <c r="A599" t="s">
        <v>1264</v>
      </c>
      <c r="B599">
        <v>8</v>
      </c>
      <c r="C599" t="str">
        <f>HYPERLINK("http://www.ncbi.nlm.nih.gov/protein/NXI54774.1","NXI54774.1")</f>
        <v>NXI54774.1</v>
      </c>
      <c r="D599">
        <v>12275</v>
      </c>
      <c r="E599" t="str">
        <f>HYPERLINK("http://www.ncbi.nlm.nih.gov/Taxonomy/Browser/wwwtax.cgi?mode=Info&amp;id=176938&amp;lvl=3&amp;lin=f&amp;keep=1&amp;srchmode=1&amp;unlock","176938")</f>
        <v>176938</v>
      </c>
      <c r="F599" t="s">
        <v>241</v>
      </c>
      <c r="G599" t="str">
        <f>HYPERLINK("http://www.ncbi.nlm.nih.gov/Taxonomy/Browser/wwwtax.cgi?mode=Info&amp;id=176938&amp;lvl=3&amp;lin=f&amp;keep=1&amp;srchmode=1&amp;unlock","Chloroceryle aenea")</f>
        <v>Chloroceryle aenea</v>
      </c>
      <c r="H599" t="s">
        <v>600</v>
      </c>
      <c r="I599" t="str">
        <f>HYPERLINK("http://www.ncbi.nlm.nih.gov/protein/NXI54774.1","RYR2 protein")</f>
        <v>RYR2 protein</v>
      </c>
      <c r="J599">
        <v>6042.23</v>
      </c>
      <c r="K599" t="s">
        <v>22</v>
      </c>
      <c r="L599">
        <v>276</v>
      </c>
      <c r="M599">
        <v>9.75</v>
      </c>
      <c r="N599">
        <v>57.8</v>
      </c>
      <c r="O599" t="s">
        <v>19</v>
      </c>
      <c r="P599" t="s">
        <v>20</v>
      </c>
      <c r="Q599" t="s">
        <v>19</v>
      </c>
      <c r="R599" t="str">
        <f>HYPERLINK("https://cfpub.epa.gov/ecotox/explore.cfm?ncbi=176938","Explore in ECOTOX")</f>
        <v>Explore in ECOTOX</v>
      </c>
    </row>
    <row r="600" spans="1:18" x14ac:dyDescent="0.45">
      <c r="A600" t="s">
        <v>1264</v>
      </c>
      <c r="B600">
        <v>8</v>
      </c>
      <c r="C600" t="str">
        <f>HYPERLINK("http://www.ncbi.nlm.nih.gov/protein/XP_022354891.1","XP_022354891.1")</f>
        <v>XP_022354891.1</v>
      </c>
      <c r="D600">
        <v>36593</v>
      </c>
      <c r="E600" t="str">
        <f>HYPERLINK("http://www.ncbi.nlm.nih.gov/Taxonomy/Browser/wwwtax.cgi?mode=Info&amp;id=391180&amp;lvl=3&amp;lin=f&amp;keep=1&amp;srchmode=1&amp;unlock","391180")</f>
        <v>391180</v>
      </c>
      <c r="F600" t="s">
        <v>96</v>
      </c>
      <c r="G600" t="str">
        <f>HYPERLINK("http://www.ncbi.nlm.nih.gov/Taxonomy/Browser/wwwtax.cgi?mode=Info&amp;id=391180&amp;lvl=3&amp;lin=f&amp;keep=1&amp;srchmode=1&amp;unlock","Enhydra lutris kenyoni")</f>
        <v>Enhydra lutris kenyoni</v>
      </c>
      <c r="H600" t="s">
        <v>601</v>
      </c>
      <c r="I600" t="str">
        <f>HYPERLINK("http://www.ncbi.nlm.nih.gov/protein/XP_022354891.1","LOW QUALITY PROTEIN: ryanodine receptor 2")</f>
        <v>LOW QUALITY PROTEIN: ryanodine receptor 2</v>
      </c>
      <c r="J600">
        <v>6041.46</v>
      </c>
      <c r="K600" t="s">
        <v>22</v>
      </c>
      <c r="L600">
        <v>276</v>
      </c>
      <c r="M600">
        <v>9.75</v>
      </c>
      <c r="N600">
        <v>57.79</v>
      </c>
      <c r="O600" t="s">
        <v>19</v>
      </c>
      <c r="P600" t="s">
        <v>20</v>
      </c>
      <c r="Q600" t="s">
        <v>19</v>
      </c>
      <c r="R600" t="str">
        <f>HYPERLINK("https://cfpub.epa.gov/ecotox/explore.cfm?ncbi=391180","Explore in ECOTOX")</f>
        <v>Explore in ECOTOX</v>
      </c>
    </row>
    <row r="601" spans="1:18" x14ac:dyDescent="0.45">
      <c r="A601" t="s">
        <v>1264</v>
      </c>
      <c r="B601">
        <v>8</v>
      </c>
      <c r="C601" t="str">
        <f>HYPERLINK("http://www.ncbi.nlm.nih.gov/protein/XP_016152469.1","XP_016152469.1")</f>
        <v>XP_016152469.1</v>
      </c>
      <c r="D601">
        <v>26783</v>
      </c>
      <c r="E601" t="str">
        <f>HYPERLINK("http://www.ncbi.nlm.nih.gov/Taxonomy/Browser/wwwtax.cgi?mode=Info&amp;id=59894&amp;lvl=3&amp;lin=f&amp;keep=1&amp;srchmode=1&amp;unlock","59894")</f>
        <v>59894</v>
      </c>
      <c r="F601" t="s">
        <v>241</v>
      </c>
      <c r="G601" t="str">
        <f>HYPERLINK("http://www.ncbi.nlm.nih.gov/Taxonomy/Browser/wwwtax.cgi?mode=Info&amp;id=59894&amp;lvl=3&amp;lin=f&amp;keep=1&amp;srchmode=1&amp;unlock","Ficedula albicollis")</f>
        <v>Ficedula albicollis</v>
      </c>
      <c r="H601" t="s">
        <v>602</v>
      </c>
      <c r="I601" t="str">
        <f>HYPERLINK("http://www.ncbi.nlm.nih.gov/protein/XP_016152469.1","PREDICTED: ryanodine receptor 2")</f>
        <v>PREDICTED: ryanodine receptor 2</v>
      </c>
      <c r="J601">
        <v>6040.69</v>
      </c>
      <c r="K601" t="s">
        <v>22</v>
      </c>
      <c r="L601">
        <v>276</v>
      </c>
      <c r="M601">
        <v>9.75</v>
      </c>
      <c r="N601">
        <v>57.78</v>
      </c>
      <c r="O601" t="s">
        <v>19</v>
      </c>
      <c r="P601" t="s">
        <v>20</v>
      </c>
      <c r="Q601" t="s">
        <v>19</v>
      </c>
      <c r="R601" t="str">
        <f>HYPERLINK("https://cfpub.epa.gov/ecotox/explore.cfm?ncbi=59894","Explore in ECOTOX")</f>
        <v>Explore in ECOTOX</v>
      </c>
    </row>
    <row r="602" spans="1:18" x14ac:dyDescent="0.45">
      <c r="A602" t="s">
        <v>1264</v>
      </c>
      <c r="B602">
        <v>8</v>
      </c>
      <c r="C602" t="str">
        <f>HYPERLINK("http://www.ncbi.nlm.nih.gov/protein/NXI83404.1","NXI83404.1")</f>
        <v>NXI83404.1</v>
      </c>
      <c r="D602">
        <v>14200</v>
      </c>
      <c r="E602" t="str">
        <f>HYPERLINK("http://www.ncbi.nlm.nih.gov/Taxonomy/Browser/wwwtax.cgi?mode=Info&amp;id=667186&amp;lvl=3&amp;lin=f&amp;keep=1&amp;srchmode=1&amp;unlock","667186")</f>
        <v>667186</v>
      </c>
      <c r="F602" t="s">
        <v>241</v>
      </c>
      <c r="G602" t="str">
        <f>HYPERLINK("http://www.ncbi.nlm.nih.gov/Taxonomy/Browser/wwwtax.cgi?mode=Info&amp;id=667186&amp;lvl=3&amp;lin=f&amp;keep=1&amp;srchmode=1&amp;unlock","Rhipidura dahli")</f>
        <v>Rhipidura dahli</v>
      </c>
      <c r="H602" t="s">
        <v>435</v>
      </c>
      <c r="I602" t="str">
        <f>HYPERLINK("http://www.ncbi.nlm.nih.gov/protein/NXI83404.1","RYR2 protein")</f>
        <v>RYR2 protein</v>
      </c>
      <c r="J602">
        <v>6039.92</v>
      </c>
      <c r="K602" t="s">
        <v>22</v>
      </c>
      <c r="L602">
        <v>276</v>
      </c>
      <c r="M602">
        <v>9.75</v>
      </c>
      <c r="N602">
        <v>57.78</v>
      </c>
      <c r="O602" t="s">
        <v>19</v>
      </c>
      <c r="P602" t="s">
        <v>20</v>
      </c>
      <c r="Q602" t="s">
        <v>19</v>
      </c>
      <c r="R602" t="str">
        <f>HYPERLINK("https://cfpub.epa.gov/ecotox/explore.cfm?ncbi=667186","Explore in ECOTOX")</f>
        <v>Explore in ECOTOX</v>
      </c>
    </row>
    <row r="603" spans="1:18" x14ac:dyDescent="0.45">
      <c r="A603" t="s">
        <v>1264</v>
      </c>
      <c r="B603">
        <v>8</v>
      </c>
      <c r="C603" t="str">
        <f>HYPERLINK("http://www.ncbi.nlm.nih.gov/protein/XP_025706623.1","XP_025706623.1")</f>
        <v>XP_025706623.1</v>
      </c>
      <c r="D603">
        <v>46265</v>
      </c>
      <c r="E603" t="str">
        <f>HYPERLINK("http://www.ncbi.nlm.nih.gov/Taxonomy/Browser/wwwtax.cgi?mode=Info&amp;id=34884&amp;lvl=3&amp;lin=f&amp;keep=1&amp;srchmode=1&amp;unlock","34884")</f>
        <v>34884</v>
      </c>
      <c r="F603" t="s">
        <v>96</v>
      </c>
      <c r="G603" t="str">
        <f>HYPERLINK("http://www.ncbi.nlm.nih.gov/Taxonomy/Browser/wwwtax.cgi?mode=Info&amp;id=34884&amp;lvl=3&amp;lin=f&amp;keep=1&amp;srchmode=1&amp;unlock","Callorhinus ursinus")</f>
        <v>Callorhinus ursinus</v>
      </c>
      <c r="H603" t="s">
        <v>603</v>
      </c>
      <c r="I603" t="str">
        <f>HYPERLINK("http://www.ncbi.nlm.nih.gov/protein/XP_025706623.1","ryanodine receptor 2")</f>
        <v>ryanodine receptor 2</v>
      </c>
      <c r="J603">
        <v>6039.14</v>
      </c>
      <c r="K603" t="s">
        <v>22</v>
      </c>
      <c r="L603">
        <v>276</v>
      </c>
      <c r="M603">
        <v>9.75</v>
      </c>
      <c r="N603">
        <v>57.77</v>
      </c>
      <c r="O603" t="s">
        <v>19</v>
      </c>
      <c r="P603" t="s">
        <v>20</v>
      </c>
      <c r="Q603" t="s">
        <v>19</v>
      </c>
      <c r="R603" t="str">
        <f>HYPERLINK("https://cfpub.epa.gov/ecotox/explore.cfm?ncbi=34884","Explore in ECOTOX")</f>
        <v>Explore in ECOTOX</v>
      </c>
    </row>
    <row r="604" spans="1:18" x14ac:dyDescent="0.45">
      <c r="A604" t="s">
        <v>1264</v>
      </c>
      <c r="B604">
        <v>8</v>
      </c>
      <c r="C604" t="str">
        <f>HYPERLINK("http://www.ncbi.nlm.nih.gov/protein/XP_033697600.1","XP_033697600.1")</f>
        <v>XP_033697600.1</v>
      </c>
      <c r="D604">
        <v>57134</v>
      </c>
      <c r="E604" t="str">
        <f>HYPERLINK("http://www.ncbi.nlm.nih.gov/Taxonomy/Browser/wwwtax.cgi?mode=Info&amp;id=9739&amp;lvl=3&amp;lin=f&amp;keep=1&amp;srchmode=1&amp;unlock","9739")</f>
        <v>9739</v>
      </c>
      <c r="F604" t="s">
        <v>96</v>
      </c>
      <c r="G604" t="str">
        <f>HYPERLINK("http://www.ncbi.nlm.nih.gov/Taxonomy/Browser/wwwtax.cgi?mode=Info&amp;id=9739&amp;lvl=3&amp;lin=f&amp;keep=1&amp;srchmode=1&amp;unlock","Tursiops truncatus")</f>
        <v>Tursiops truncatus</v>
      </c>
      <c r="H604" t="s">
        <v>604</v>
      </c>
      <c r="I604" t="str">
        <f>HYPERLINK("http://www.ncbi.nlm.nih.gov/protein/XP_033697600.1","ryanodine receptor 2")</f>
        <v>ryanodine receptor 2</v>
      </c>
      <c r="J604">
        <v>6038.37</v>
      </c>
      <c r="K604" t="s">
        <v>22</v>
      </c>
      <c r="L604">
        <v>276</v>
      </c>
      <c r="M604">
        <v>9.75</v>
      </c>
      <c r="N604">
        <v>57.76</v>
      </c>
      <c r="O604" t="s">
        <v>19</v>
      </c>
      <c r="P604" t="s">
        <v>20</v>
      </c>
      <c r="Q604" t="s">
        <v>19</v>
      </c>
      <c r="R604" t="str">
        <f>HYPERLINK("https://cfpub.epa.gov/ecotox/explore.cfm?ncbi=9739","Explore in ECOTOX")</f>
        <v>Explore in ECOTOX</v>
      </c>
    </row>
    <row r="605" spans="1:18" x14ac:dyDescent="0.45">
      <c r="A605" t="s">
        <v>1264</v>
      </c>
      <c r="B605">
        <v>8</v>
      </c>
      <c r="C605" t="str">
        <f>HYPERLINK("http://www.ncbi.nlm.nih.gov/protein/XP_049553176.1","XP_049553176.1")</f>
        <v>XP_049553176.1</v>
      </c>
      <c r="D605">
        <v>63778</v>
      </c>
      <c r="E605" t="str">
        <f>HYPERLINK("http://www.ncbi.nlm.nih.gov/Taxonomy/Browser/wwwtax.cgi?mode=Info&amp;id=9733&amp;lvl=3&amp;lin=f&amp;keep=1&amp;srchmode=1&amp;unlock","9733")</f>
        <v>9733</v>
      </c>
      <c r="F605" t="s">
        <v>96</v>
      </c>
      <c r="G605" t="str">
        <f>HYPERLINK("http://www.ncbi.nlm.nih.gov/Taxonomy/Browser/wwwtax.cgi?mode=Info&amp;id=9733&amp;lvl=3&amp;lin=f&amp;keep=1&amp;srchmode=1&amp;unlock","Orcinus orca")</f>
        <v>Orcinus orca</v>
      </c>
      <c r="H605" t="s">
        <v>605</v>
      </c>
      <c r="I605" t="str">
        <f>HYPERLINK("http://www.ncbi.nlm.nih.gov/protein/XP_049553176.1","ryanodine receptor 2")</f>
        <v>ryanodine receptor 2</v>
      </c>
      <c r="J605">
        <v>6037.6</v>
      </c>
      <c r="K605" t="s">
        <v>22</v>
      </c>
      <c r="L605">
        <v>276</v>
      </c>
      <c r="M605">
        <v>9.75</v>
      </c>
      <c r="N605">
        <v>57.75</v>
      </c>
      <c r="O605" t="s">
        <v>19</v>
      </c>
      <c r="P605" t="s">
        <v>20</v>
      </c>
      <c r="Q605" t="s">
        <v>19</v>
      </c>
      <c r="R605" t="str">
        <f>HYPERLINK("https://cfpub.epa.gov/ecotox/explore.cfm?ncbi=9733","Explore in ECOTOX")</f>
        <v>Explore in ECOTOX</v>
      </c>
    </row>
    <row r="606" spans="1:18" x14ac:dyDescent="0.45">
      <c r="A606" t="s">
        <v>1264</v>
      </c>
      <c r="B606">
        <v>8</v>
      </c>
      <c r="C606" t="str">
        <f>HYPERLINK("http://www.ncbi.nlm.nih.gov/protein/XP_026947662.1","XP_026947662.1")</f>
        <v>XP_026947662.1</v>
      </c>
      <c r="D606">
        <v>54700</v>
      </c>
      <c r="E606" t="str">
        <f>HYPERLINK("http://www.ncbi.nlm.nih.gov/Taxonomy/Browser/wwwtax.cgi?mode=Info&amp;id=90247&amp;lvl=3&amp;lin=f&amp;keep=1&amp;srchmode=1&amp;unlock","90247")</f>
        <v>90247</v>
      </c>
      <c r="F606" t="s">
        <v>96</v>
      </c>
      <c r="G606" t="str">
        <f>HYPERLINK("http://www.ncbi.nlm.nih.gov/Taxonomy/Browser/wwwtax.cgi?mode=Info&amp;id=90247&amp;lvl=3&amp;lin=f&amp;keep=1&amp;srchmode=1&amp;unlock","Lagenorhynchus obliquidens")</f>
        <v>Lagenorhynchus obliquidens</v>
      </c>
      <c r="H606" t="s">
        <v>606</v>
      </c>
      <c r="I606" t="str">
        <f>HYPERLINK("http://www.ncbi.nlm.nih.gov/protein/XP_026947662.1","ryanodine receptor 2")</f>
        <v>ryanodine receptor 2</v>
      </c>
      <c r="J606">
        <v>6036.83</v>
      </c>
      <c r="K606" t="s">
        <v>22</v>
      </c>
      <c r="L606">
        <v>276</v>
      </c>
      <c r="M606">
        <v>9.75</v>
      </c>
      <c r="N606">
        <v>57.75</v>
      </c>
      <c r="O606" t="s">
        <v>19</v>
      </c>
      <c r="P606" t="s">
        <v>20</v>
      </c>
      <c r="Q606" t="s">
        <v>19</v>
      </c>
      <c r="R606" t="str">
        <f>HYPERLINK("https://cfpub.epa.gov/ecotox/explore.cfm?ncbi=90247","Explore in ECOTOX")</f>
        <v>Explore in ECOTOX</v>
      </c>
    </row>
    <row r="607" spans="1:18" x14ac:dyDescent="0.45">
      <c r="A607" t="s">
        <v>1264</v>
      </c>
      <c r="B607">
        <v>8</v>
      </c>
      <c r="C607" t="str">
        <f>HYPERLINK("http://www.ncbi.nlm.nih.gov/protein/XP_053768908.1","XP_053768908.1")</f>
        <v>XP_053768908.1</v>
      </c>
      <c r="D607">
        <v>52085</v>
      </c>
      <c r="E607" t="str">
        <f>HYPERLINK("http://www.ncbi.nlm.nih.gov/Taxonomy/Browser/wwwtax.cgi?mode=Info&amp;id=9430&amp;lvl=3&amp;lin=f&amp;keep=1&amp;srchmode=1&amp;unlock","9430")</f>
        <v>9430</v>
      </c>
      <c r="F607" t="s">
        <v>96</v>
      </c>
      <c r="G607" t="str">
        <f>HYPERLINK("http://www.ncbi.nlm.nih.gov/Taxonomy/Browser/wwwtax.cgi?mode=Info&amp;id=9430&amp;lvl=3&amp;lin=f&amp;keep=1&amp;srchmode=1&amp;unlock","Desmodus rotundus")</f>
        <v>Desmodus rotundus</v>
      </c>
      <c r="H607" t="s">
        <v>607</v>
      </c>
      <c r="I607" t="str">
        <f>HYPERLINK("http://www.ncbi.nlm.nih.gov/protein/XP_053768908.1","ryanodine receptor 2")</f>
        <v>ryanodine receptor 2</v>
      </c>
      <c r="J607">
        <v>6036.45</v>
      </c>
      <c r="K607" t="s">
        <v>22</v>
      </c>
      <c r="L607">
        <v>276</v>
      </c>
      <c r="M607">
        <v>9.75</v>
      </c>
      <c r="N607">
        <v>57.74</v>
      </c>
      <c r="O607" t="s">
        <v>19</v>
      </c>
      <c r="P607" t="s">
        <v>20</v>
      </c>
      <c r="Q607" t="s">
        <v>19</v>
      </c>
      <c r="R607" t="str">
        <f>HYPERLINK("https://cfpub.epa.gov/ecotox/explore.cfm?ncbi=9430","Explore in ECOTOX")</f>
        <v>Explore in ECOTOX</v>
      </c>
    </row>
    <row r="608" spans="1:18" x14ac:dyDescent="0.45">
      <c r="A608" t="s">
        <v>1264</v>
      </c>
      <c r="B608">
        <v>8</v>
      </c>
      <c r="C608" t="str">
        <f>HYPERLINK("http://www.ncbi.nlm.nih.gov/protein/XP_012586309.1","XP_012586309.1")</f>
        <v>XP_012586309.1</v>
      </c>
      <c r="D608">
        <v>29270</v>
      </c>
      <c r="E608" t="str">
        <f>HYPERLINK("http://www.ncbi.nlm.nih.gov/Taxonomy/Browser/wwwtax.cgi?mode=Info&amp;id=143302&amp;lvl=3&amp;lin=f&amp;keep=1&amp;srchmode=1&amp;unlock","143302")</f>
        <v>143302</v>
      </c>
      <c r="F608" t="s">
        <v>96</v>
      </c>
      <c r="G608" t="str">
        <f>HYPERLINK("http://www.ncbi.nlm.nih.gov/Taxonomy/Browser/wwwtax.cgi?mode=Info&amp;id=143302&amp;lvl=3&amp;lin=f&amp;keep=1&amp;srchmode=1&amp;unlock","Condylura cristata")</f>
        <v>Condylura cristata</v>
      </c>
      <c r="H608" t="s">
        <v>608</v>
      </c>
      <c r="I608" t="str">
        <f>HYPERLINK("http://www.ncbi.nlm.nih.gov/protein/XP_012586309.1","PREDICTED: ryanodine receptor 2")</f>
        <v>PREDICTED: ryanodine receptor 2</v>
      </c>
      <c r="J608">
        <v>6036.45</v>
      </c>
      <c r="K608" t="s">
        <v>22</v>
      </c>
      <c r="L608">
        <v>276</v>
      </c>
      <c r="M608">
        <v>9.75</v>
      </c>
      <c r="N608">
        <v>57.74</v>
      </c>
      <c r="O608" t="s">
        <v>19</v>
      </c>
      <c r="P608" t="s">
        <v>20</v>
      </c>
      <c r="Q608" t="s">
        <v>19</v>
      </c>
      <c r="R608" t="str">
        <f>HYPERLINK("https://cfpub.epa.gov/ecotox/explore.cfm?ncbi=143302","Explore in ECOTOX")</f>
        <v>Explore in ECOTOX</v>
      </c>
    </row>
    <row r="609" spans="1:18" x14ac:dyDescent="0.45">
      <c r="A609" t="s">
        <v>1264</v>
      </c>
      <c r="B609">
        <v>8</v>
      </c>
      <c r="C609" t="str">
        <f>HYPERLINK("http://www.ncbi.nlm.nih.gov/protein/XP_019809208.1","XP_019809208.1")</f>
        <v>XP_019809208.1</v>
      </c>
      <c r="D609">
        <v>38094</v>
      </c>
      <c r="E609" t="str">
        <f>HYPERLINK("http://www.ncbi.nlm.nih.gov/Taxonomy/Browser/wwwtax.cgi?mode=Info&amp;id=9915&amp;lvl=3&amp;lin=f&amp;keep=1&amp;srchmode=1&amp;unlock","9915")</f>
        <v>9915</v>
      </c>
      <c r="F609" t="s">
        <v>96</v>
      </c>
      <c r="G609" t="str">
        <f>HYPERLINK("http://www.ncbi.nlm.nih.gov/Taxonomy/Browser/wwwtax.cgi?mode=Info&amp;id=9915&amp;lvl=3&amp;lin=f&amp;keep=1&amp;srchmode=1&amp;unlock","Bos indicus")</f>
        <v>Bos indicus</v>
      </c>
      <c r="H609" t="s">
        <v>609</v>
      </c>
      <c r="I609" t="str">
        <f>HYPERLINK("http://www.ncbi.nlm.nih.gov/protein/XP_019809208.1","PREDICTED: ryanodine receptor 2")</f>
        <v>PREDICTED: ryanodine receptor 2</v>
      </c>
      <c r="J609">
        <v>6035.68</v>
      </c>
      <c r="K609" t="s">
        <v>22</v>
      </c>
      <c r="L609">
        <v>276</v>
      </c>
      <c r="M609">
        <v>9.75</v>
      </c>
      <c r="N609">
        <v>57.74</v>
      </c>
      <c r="O609" t="s">
        <v>19</v>
      </c>
      <c r="P609" t="s">
        <v>20</v>
      </c>
      <c r="Q609" t="s">
        <v>19</v>
      </c>
      <c r="R609" t="str">
        <f>HYPERLINK("https://cfpub.epa.gov/ecotox/explore.cfm?ncbi=9915","Explore in ECOTOX")</f>
        <v>Explore in ECOTOX</v>
      </c>
    </row>
    <row r="610" spans="1:18" x14ac:dyDescent="0.45">
      <c r="A610" t="s">
        <v>1264</v>
      </c>
      <c r="B610">
        <v>8</v>
      </c>
      <c r="C610" t="str">
        <f>HYPERLINK("http://www.ncbi.nlm.nih.gov/protein/RVE63818.1","RVE63818.1")</f>
        <v>RVE63818.1</v>
      </c>
      <c r="D610">
        <v>21547</v>
      </c>
      <c r="E610" t="str">
        <f>HYPERLINK("http://www.ncbi.nlm.nih.gov/Taxonomy/Browser/wwwtax.cgi?mode=Info&amp;id=123683&amp;lvl=3&amp;lin=f&amp;keep=1&amp;srchmode=1&amp;unlock","123683")</f>
        <v>123683</v>
      </c>
      <c r="F610" t="s">
        <v>17</v>
      </c>
      <c r="G610" t="str">
        <f>HYPERLINK("http://www.ncbi.nlm.nih.gov/Taxonomy/Browser/wwwtax.cgi?mode=Info&amp;id=123683&amp;lvl=3&amp;lin=f&amp;keep=1&amp;srchmode=1&amp;unlock","Oryzias javanicus")</f>
        <v>Oryzias javanicus</v>
      </c>
      <c r="H610" t="s">
        <v>610</v>
      </c>
      <c r="I610" t="str">
        <f>HYPERLINK("http://www.ncbi.nlm.nih.gov/protein/RVE63818.1","hypothetical protein OJAV_G00139900")</f>
        <v>hypothetical protein OJAV_G00139900</v>
      </c>
      <c r="J610">
        <v>6035.29</v>
      </c>
      <c r="K610" t="s">
        <v>19</v>
      </c>
      <c r="L610">
        <v>276</v>
      </c>
      <c r="M610">
        <v>9.75</v>
      </c>
      <c r="N610">
        <v>57.73</v>
      </c>
      <c r="O610" t="s">
        <v>19</v>
      </c>
      <c r="P610" t="s">
        <v>20</v>
      </c>
      <c r="Q610" t="s">
        <v>19</v>
      </c>
      <c r="R610" t="str">
        <f>HYPERLINK("https://cfpub.epa.gov/ecotox/explore.cfm?ncbi=123683","Explore in ECOTOX")</f>
        <v>Explore in ECOTOX</v>
      </c>
    </row>
    <row r="611" spans="1:18" x14ac:dyDescent="0.45">
      <c r="A611" t="s">
        <v>1264</v>
      </c>
      <c r="B611">
        <v>8</v>
      </c>
      <c r="C611" t="str">
        <f>HYPERLINK("http://www.ncbi.nlm.nih.gov/protein/XP_036091515.1","XP_036091515.1")</f>
        <v>XP_036091515.1</v>
      </c>
      <c r="D611">
        <v>117129</v>
      </c>
      <c r="E611" t="str">
        <f>HYPERLINK("http://www.ncbi.nlm.nih.gov/Taxonomy/Browser/wwwtax.cgi?mode=Info&amp;id=9407&amp;lvl=3&amp;lin=f&amp;keep=1&amp;srchmode=1&amp;unlock","9407")</f>
        <v>9407</v>
      </c>
      <c r="F611" t="s">
        <v>96</v>
      </c>
      <c r="G611" t="str">
        <f>HYPERLINK("http://www.ncbi.nlm.nih.gov/Taxonomy/Browser/wwwtax.cgi?mode=Info&amp;id=9407&amp;lvl=3&amp;lin=f&amp;keep=1&amp;srchmode=1&amp;unlock","Rousettus aegyptiacus")</f>
        <v>Rousettus aegyptiacus</v>
      </c>
      <c r="H611" t="s">
        <v>611</v>
      </c>
      <c r="I611" t="str">
        <f>HYPERLINK("http://www.ncbi.nlm.nih.gov/protein/XP_036091515.1","ryanodine receptor 2 isoform X3")</f>
        <v>ryanodine receptor 2 isoform X3</v>
      </c>
      <c r="J611">
        <v>6033.37</v>
      </c>
      <c r="K611" t="s">
        <v>22</v>
      </c>
      <c r="L611">
        <v>276</v>
      </c>
      <c r="M611">
        <v>9.75</v>
      </c>
      <c r="N611">
        <v>57.71</v>
      </c>
      <c r="O611" t="s">
        <v>19</v>
      </c>
      <c r="P611" t="s">
        <v>20</v>
      </c>
      <c r="Q611" t="s">
        <v>19</v>
      </c>
      <c r="R611" t="str">
        <f>HYPERLINK("https://cfpub.epa.gov/ecotox/explore.cfm?ncbi=9407","Explore in ECOTOX")</f>
        <v>Explore in ECOTOX</v>
      </c>
    </row>
    <row r="612" spans="1:18" x14ac:dyDescent="0.45">
      <c r="A612" t="s">
        <v>1264</v>
      </c>
      <c r="B612">
        <v>8</v>
      </c>
      <c r="C612" t="str">
        <f>HYPERLINK("http://www.ncbi.nlm.nih.gov/protein/NXM69186.1","NXM69186.1")</f>
        <v>NXM69186.1</v>
      </c>
      <c r="D612">
        <v>14138</v>
      </c>
      <c r="E612" t="str">
        <f>HYPERLINK("http://www.ncbi.nlm.nih.gov/Taxonomy/Browser/wwwtax.cgi?mode=Info&amp;id=239386&amp;lvl=3&amp;lin=f&amp;keep=1&amp;srchmode=1&amp;unlock","239386")</f>
        <v>239386</v>
      </c>
      <c r="F612" t="s">
        <v>241</v>
      </c>
      <c r="G612" t="str">
        <f>HYPERLINK("http://www.ncbi.nlm.nih.gov/Taxonomy/Browser/wwwtax.cgi?mode=Info&amp;id=239386&amp;lvl=3&amp;lin=f&amp;keep=1&amp;srchmode=1&amp;unlock","Serilophus lunatus")</f>
        <v>Serilophus lunatus</v>
      </c>
      <c r="H612" t="s">
        <v>612</v>
      </c>
      <c r="I612" t="str">
        <f>HYPERLINK("http://www.ncbi.nlm.nih.gov/protein/NXM69186.1","RYR2 protein")</f>
        <v>RYR2 protein</v>
      </c>
      <c r="J612">
        <v>6031.44</v>
      </c>
      <c r="K612" t="s">
        <v>22</v>
      </c>
      <c r="L612">
        <v>276</v>
      </c>
      <c r="M612">
        <v>9.75</v>
      </c>
      <c r="N612">
        <v>57.7</v>
      </c>
      <c r="O612" t="s">
        <v>19</v>
      </c>
      <c r="P612" t="s">
        <v>20</v>
      </c>
      <c r="Q612" t="s">
        <v>19</v>
      </c>
      <c r="R612" t="str">
        <f>HYPERLINK("https://cfpub.epa.gov/ecotox/explore.cfm?ncbi=239386","Explore in ECOTOX")</f>
        <v>Explore in ECOTOX</v>
      </c>
    </row>
    <row r="613" spans="1:18" x14ac:dyDescent="0.45">
      <c r="A613" t="s">
        <v>1264</v>
      </c>
      <c r="B613">
        <v>8</v>
      </c>
      <c r="C613" t="str">
        <f>HYPERLINK("http://www.ncbi.nlm.nih.gov/protein/XP_030914617.1","XP_030914617.1")</f>
        <v>XP_030914617.1</v>
      </c>
      <c r="D613">
        <v>20686</v>
      </c>
      <c r="E613" t="str">
        <f>HYPERLINK("http://www.ncbi.nlm.nih.gov/Taxonomy/Browser/wwwtax.cgi?mode=Info&amp;id=48883&amp;lvl=3&amp;lin=f&amp;keep=1&amp;srchmode=1&amp;unlock","48883")</f>
        <v>48883</v>
      </c>
      <c r="F613" t="s">
        <v>241</v>
      </c>
      <c r="G613" t="str">
        <f>HYPERLINK("http://www.ncbi.nlm.nih.gov/Taxonomy/Browser/wwwtax.cgi?mode=Info&amp;id=48883&amp;lvl=3&amp;lin=f&amp;keep=1&amp;srchmode=1&amp;unlock","Geospiza fortis")</f>
        <v>Geospiza fortis</v>
      </c>
      <c r="H613" t="s">
        <v>613</v>
      </c>
      <c r="I613" t="str">
        <f>HYPERLINK("http://www.ncbi.nlm.nih.gov/protein/XP_030914617.1","ryanodine receptor 2")</f>
        <v>ryanodine receptor 2</v>
      </c>
      <c r="J613">
        <v>6031.06</v>
      </c>
      <c r="K613" t="s">
        <v>22</v>
      </c>
      <c r="L613">
        <v>276</v>
      </c>
      <c r="M613">
        <v>9.75</v>
      </c>
      <c r="N613">
        <v>57.69</v>
      </c>
      <c r="O613" t="s">
        <v>19</v>
      </c>
      <c r="P613" t="s">
        <v>20</v>
      </c>
      <c r="Q613" t="s">
        <v>19</v>
      </c>
      <c r="R613" t="str">
        <f>HYPERLINK("https://cfpub.epa.gov/ecotox/explore.cfm?ncbi=48883","Explore in ECOTOX")</f>
        <v>Explore in ECOTOX</v>
      </c>
    </row>
    <row r="614" spans="1:18" x14ac:dyDescent="0.45">
      <c r="A614" t="s">
        <v>1264</v>
      </c>
      <c r="B614">
        <v>8</v>
      </c>
      <c r="C614" t="str">
        <f>HYPERLINK("http://www.ncbi.nlm.nih.gov/protein/XP_043333238.1","XP_043333238.1")</f>
        <v>XP_043333238.1</v>
      </c>
      <c r="D614">
        <v>56212</v>
      </c>
      <c r="E614" t="str">
        <f>HYPERLINK("http://www.ncbi.nlm.nih.gov/Taxonomy/Browser/wwwtax.cgi?mode=Info&amp;id=1574408&amp;lvl=3&amp;lin=f&amp;keep=1&amp;srchmode=1&amp;unlock","1574408")</f>
        <v>1574408</v>
      </c>
      <c r="F614" t="s">
        <v>96</v>
      </c>
      <c r="G614" t="str">
        <f>HYPERLINK("http://www.ncbi.nlm.nih.gov/Taxonomy/Browser/wwwtax.cgi?mode=Info&amp;id=1574408&amp;lvl=3&amp;lin=f&amp;keep=1&amp;srchmode=1&amp;unlock","Cervus canadensis")</f>
        <v>Cervus canadensis</v>
      </c>
      <c r="H614" t="s">
        <v>614</v>
      </c>
      <c r="I614" t="str">
        <f>HYPERLINK("http://www.ncbi.nlm.nih.gov/protein/XP_043333238.1","ryanodine receptor 2")</f>
        <v>ryanodine receptor 2</v>
      </c>
      <c r="J614">
        <v>6026.43</v>
      </c>
      <c r="K614" t="s">
        <v>22</v>
      </c>
      <c r="L614">
        <v>276</v>
      </c>
      <c r="M614">
        <v>9.75</v>
      </c>
      <c r="N614">
        <v>57.65</v>
      </c>
      <c r="O614" t="s">
        <v>19</v>
      </c>
      <c r="P614" t="s">
        <v>20</v>
      </c>
      <c r="Q614" t="s">
        <v>19</v>
      </c>
      <c r="R614" t="str">
        <f>HYPERLINK("https://cfpub.epa.gov/ecotox/explore.cfm?ncbi=1574408","Explore in ECOTOX")</f>
        <v>Explore in ECOTOX</v>
      </c>
    </row>
    <row r="615" spans="1:18" x14ac:dyDescent="0.45">
      <c r="A615" t="s">
        <v>1264</v>
      </c>
      <c r="B615">
        <v>8</v>
      </c>
      <c r="C615" t="str">
        <f>HYPERLINK("http://www.ncbi.nlm.nih.gov/protein/XP_024617253.1","XP_024617253.1")</f>
        <v>XP_024617253.1</v>
      </c>
      <c r="D615">
        <v>38184</v>
      </c>
      <c r="E615" t="str">
        <f>HYPERLINK("http://www.ncbi.nlm.nih.gov/Taxonomy/Browser/wwwtax.cgi?mode=Info&amp;id=1706337&amp;lvl=3&amp;lin=f&amp;keep=1&amp;srchmode=1&amp;unlock","1706337")</f>
        <v>1706337</v>
      </c>
      <c r="F615" t="s">
        <v>96</v>
      </c>
      <c r="G615" t="str">
        <f>HYPERLINK("http://www.ncbi.nlm.nih.gov/Taxonomy/Browser/wwwtax.cgi?mode=Info&amp;id=1706337&amp;lvl=3&amp;lin=f&amp;keep=1&amp;srchmode=1&amp;unlock","Neophocaena asiaeorientalis asiaeorientalis")</f>
        <v>Neophocaena asiaeorientalis asiaeorientalis</v>
      </c>
      <c r="H615" t="s">
        <v>615</v>
      </c>
      <c r="I615" t="str">
        <f>HYPERLINK("http://www.ncbi.nlm.nih.gov/protein/XP_024617253.1","ryanodine receptor 2")</f>
        <v>ryanodine receptor 2</v>
      </c>
      <c r="J615">
        <v>6025.66</v>
      </c>
      <c r="K615" t="s">
        <v>22</v>
      </c>
      <c r="L615">
        <v>276</v>
      </c>
      <c r="M615">
        <v>9.75</v>
      </c>
      <c r="N615">
        <v>57.64</v>
      </c>
      <c r="O615" t="s">
        <v>19</v>
      </c>
      <c r="P615" t="s">
        <v>20</v>
      </c>
      <c r="Q615" t="s">
        <v>19</v>
      </c>
      <c r="R615" t="str">
        <f>HYPERLINK("https://cfpub.epa.gov/ecotox/explore.cfm?ncbi=1706337","Explore in ECOTOX")</f>
        <v>Explore in ECOTOX</v>
      </c>
    </row>
    <row r="616" spans="1:18" x14ac:dyDescent="0.45">
      <c r="A616" t="s">
        <v>1264</v>
      </c>
      <c r="B616">
        <v>8</v>
      </c>
      <c r="C616" t="str">
        <f>HYPERLINK("http://www.ncbi.nlm.nih.gov/protein/XP_005905296.1","XP_005905296.1")</f>
        <v>XP_005905296.1</v>
      </c>
      <c r="D616">
        <v>68008</v>
      </c>
      <c r="E616" t="str">
        <f>HYPERLINK("http://www.ncbi.nlm.nih.gov/Taxonomy/Browser/wwwtax.cgi?mode=Info&amp;id=72004&amp;lvl=3&amp;lin=f&amp;keep=1&amp;srchmode=1&amp;unlock","72004")</f>
        <v>72004</v>
      </c>
      <c r="F616" t="s">
        <v>96</v>
      </c>
      <c r="G616" t="str">
        <f>HYPERLINK("http://www.ncbi.nlm.nih.gov/Taxonomy/Browser/wwwtax.cgi?mode=Info&amp;id=72004&amp;lvl=3&amp;lin=f&amp;keep=1&amp;srchmode=1&amp;unlock","Bos mutus")</f>
        <v>Bos mutus</v>
      </c>
      <c r="H616" t="s">
        <v>616</v>
      </c>
      <c r="I616" t="str">
        <f>HYPERLINK("http://www.ncbi.nlm.nih.gov/protein/XP_005905296.1","PREDICTED: LOW QUALITY PROTEIN: ryanodine receptor 2")</f>
        <v>PREDICTED: LOW QUALITY PROTEIN: ryanodine receptor 2</v>
      </c>
      <c r="J616">
        <v>6024.12</v>
      </c>
      <c r="K616" t="s">
        <v>22</v>
      </c>
      <c r="L616">
        <v>276</v>
      </c>
      <c r="M616">
        <v>9.75</v>
      </c>
      <c r="N616">
        <v>57.63</v>
      </c>
      <c r="O616" t="s">
        <v>19</v>
      </c>
      <c r="P616" t="s">
        <v>20</v>
      </c>
      <c r="Q616" t="s">
        <v>19</v>
      </c>
      <c r="R616" t="str">
        <f>HYPERLINK("https://cfpub.epa.gov/ecotox/explore.cfm?ncbi=72004","Explore in ECOTOX")</f>
        <v>Explore in ECOTOX</v>
      </c>
    </row>
    <row r="617" spans="1:18" x14ac:dyDescent="0.45">
      <c r="A617" t="s">
        <v>1264</v>
      </c>
      <c r="B617">
        <v>8</v>
      </c>
      <c r="C617" t="str">
        <f>HYPERLINK("http://www.ncbi.nlm.nih.gov/protein/XP_054569136.1","XP_054569136.1")</f>
        <v>XP_054569136.1</v>
      </c>
      <c r="D617">
        <v>39080</v>
      </c>
      <c r="E617" t="str">
        <f>HYPERLINK("http://www.ncbi.nlm.nih.gov/Taxonomy/Browser/wwwtax.cgi?mode=Info&amp;id=29078&amp;lvl=3&amp;lin=f&amp;keep=1&amp;srchmode=1&amp;unlock","29078")</f>
        <v>29078</v>
      </c>
      <c r="F617" t="s">
        <v>96</v>
      </c>
      <c r="G617" t="str">
        <f>HYPERLINK("http://www.ncbi.nlm.nih.gov/Taxonomy/Browser/wwwtax.cgi?mode=Info&amp;id=29078&amp;lvl=3&amp;lin=f&amp;keep=1&amp;srchmode=1&amp;unlock","Eptesicus fuscus")</f>
        <v>Eptesicus fuscus</v>
      </c>
      <c r="H617" t="s">
        <v>617</v>
      </c>
      <c r="I617" t="str">
        <f>HYPERLINK("http://www.ncbi.nlm.nih.gov/protein/XP_054569136.1","ryanodine receptor 2")</f>
        <v>ryanodine receptor 2</v>
      </c>
      <c r="J617">
        <v>6022.58</v>
      </c>
      <c r="K617" t="s">
        <v>22</v>
      </c>
      <c r="L617">
        <v>276</v>
      </c>
      <c r="M617">
        <v>9.75</v>
      </c>
      <c r="N617">
        <v>57.61</v>
      </c>
      <c r="O617" t="s">
        <v>19</v>
      </c>
      <c r="P617" t="s">
        <v>20</v>
      </c>
      <c r="Q617" t="s">
        <v>19</v>
      </c>
      <c r="R617" t="str">
        <f>HYPERLINK("https://cfpub.epa.gov/ecotox/explore.cfm?ncbi=29078","Explore in ECOTOX")</f>
        <v>Explore in ECOTOX</v>
      </c>
    </row>
    <row r="618" spans="1:18" x14ac:dyDescent="0.45">
      <c r="A618" t="s">
        <v>1264</v>
      </c>
      <c r="B618">
        <v>8</v>
      </c>
      <c r="C618" t="str">
        <f>HYPERLINK("http://www.ncbi.nlm.nih.gov/protein/XP_020013049.1","XP_020013049.1")</f>
        <v>XP_020013049.1</v>
      </c>
      <c r="D618">
        <v>37577</v>
      </c>
      <c r="E618" t="str">
        <f>HYPERLINK("http://www.ncbi.nlm.nih.gov/Taxonomy/Browser/wwwtax.cgi?mode=Info&amp;id=51338&amp;lvl=3&amp;lin=f&amp;keep=1&amp;srchmode=1&amp;unlock","51338")</f>
        <v>51338</v>
      </c>
      <c r="F618" t="s">
        <v>96</v>
      </c>
      <c r="G618" t="str">
        <f>HYPERLINK("http://www.ncbi.nlm.nih.gov/Taxonomy/Browser/wwwtax.cgi?mode=Info&amp;id=51338&amp;lvl=3&amp;lin=f&amp;keep=1&amp;srchmode=1&amp;unlock","Castor canadensis")</f>
        <v>Castor canadensis</v>
      </c>
      <c r="H618" t="s">
        <v>618</v>
      </c>
      <c r="I618" t="str">
        <f>HYPERLINK("http://www.ncbi.nlm.nih.gov/protein/XP_020013049.1","LOW QUALITY PROTEIN: ryanodine receptor 2")</f>
        <v>LOW QUALITY PROTEIN: ryanodine receptor 2</v>
      </c>
      <c r="J618">
        <v>6022.2</v>
      </c>
      <c r="K618" t="s">
        <v>22</v>
      </c>
      <c r="L618">
        <v>276</v>
      </c>
      <c r="M618">
        <v>9.75</v>
      </c>
      <c r="N618">
        <v>57.61</v>
      </c>
      <c r="O618" t="s">
        <v>19</v>
      </c>
      <c r="P618" t="s">
        <v>20</v>
      </c>
      <c r="Q618" t="s">
        <v>19</v>
      </c>
      <c r="R618" t="str">
        <f>HYPERLINK("https://cfpub.epa.gov/ecotox/explore.cfm?ncbi=51338","Explore in ECOTOX")</f>
        <v>Explore in ECOTOX</v>
      </c>
    </row>
    <row r="619" spans="1:18" x14ac:dyDescent="0.45">
      <c r="A619" t="s">
        <v>1264</v>
      </c>
      <c r="B619">
        <v>8</v>
      </c>
      <c r="C619" t="str">
        <f>HYPERLINK("http://www.ncbi.nlm.nih.gov/protein/XP_051852528.1","XP_051852528.1")</f>
        <v>XP_051852528.1</v>
      </c>
      <c r="D619">
        <v>40889</v>
      </c>
      <c r="E619" t="str">
        <f>HYPERLINK("http://www.ncbi.nlm.nih.gov/Taxonomy/Browser/wwwtax.cgi?mode=Info&amp;id=38775&amp;lvl=3&amp;lin=f&amp;keep=1&amp;srchmode=1&amp;unlock","38775")</f>
        <v>38775</v>
      </c>
      <c r="F619" t="s">
        <v>96</v>
      </c>
      <c r="G619" t="str">
        <f>HYPERLINK("http://www.ncbi.nlm.nih.gov/Taxonomy/Browser/wwwtax.cgi?mode=Info&amp;id=38775&amp;lvl=3&amp;lin=f&amp;keep=1&amp;srchmode=1&amp;unlock","Antechinus flavipes")</f>
        <v>Antechinus flavipes</v>
      </c>
      <c r="H619" t="s">
        <v>619</v>
      </c>
      <c r="I619" t="str">
        <f>HYPERLINK("http://www.ncbi.nlm.nih.gov/protein/XP_051852528.1","ryanodine receptor 2")</f>
        <v>ryanodine receptor 2</v>
      </c>
      <c r="J619">
        <v>6021.43</v>
      </c>
      <c r="K619" t="s">
        <v>22</v>
      </c>
      <c r="L619">
        <v>276</v>
      </c>
      <c r="M619">
        <v>9.75</v>
      </c>
      <c r="N619">
        <v>57.6</v>
      </c>
      <c r="O619" t="s">
        <v>19</v>
      </c>
      <c r="P619" t="s">
        <v>20</v>
      </c>
      <c r="Q619" t="s">
        <v>19</v>
      </c>
      <c r="R619" t="str">
        <f>HYPERLINK("https://cfpub.epa.gov/ecotox/explore.cfm?ncbi=38775","Explore in ECOTOX")</f>
        <v>Explore in ECOTOX</v>
      </c>
    </row>
    <row r="620" spans="1:18" x14ac:dyDescent="0.45">
      <c r="A620" t="s">
        <v>1264</v>
      </c>
      <c r="B620">
        <v>8</v>
      </c>
      <c r="C620" t="str">
        <f>HYPERLINK("http://www.ncbi.nlm.nih.gov/protein/NXH25316.1","NXH25316.1")</f>
        <v>NXH25316.1</v>
      </c>
      <c r="D620">
        <v>13940</v>
      </c>
      <c r="E620" t="str">
        <f>HYPERLINK("http://www.ncbi.nlm.nih.gov/Taxonomy/Browser/wwwtax.cgi?mode=Info&amp;id=381031&amp;lvl=3&amp;lin=f&amp;keep=1&amp;srchmode=1&amp;unlock","381031")</f>
        <v>381031</v>
      </c>
      <c r="F620" t="s">
        <v>241</v>
      </c>
      <c r="G620" t="str">
        <f>HYPERLINK("http://www.ncbi.nlm.nih.gov/Taxonomy/Browser/wwwtax.cgi?mode=Info&amp;id=381031&amp;lvl=3&amp;lin=f&amp;keep=1&amp;srchmode=1&amp;unlock","Myiagra hebetior")</f>
        <v>Myiagra hebetior</v>
      </c>
      <c r="H620" t="s">
        <v>435</v>
      </c>
      <c r="I620" t="str">
        <f>HYPERLINK("http://www.ncbi.nlm.nih.gov/protein/NXH25316.1","RYR2 protein")</f>
        <v>RYR2 protein</v>
      </c>
      <c r="J620">
        <v>6021.04</v>
      </c>
      <c r="K620" t="s">
        <v>22</v>
      </c>
      <c r="L620">
        <v>276</v>
      </c>
      <c r="M620">
        <v>9.75</v>
      </c>
      <c r="N620">
        <v>57.6</v>
      </c>
      <c r="O620" t="s">
        <v>19</v>
      </c>
      <c r="P620" t="s">
        <v>20</v>
      </c>
      <c r="Q620" t="s">
        <v>19</v>
      </c>
      <c r="R620" t="str">
        <f>HYPERLINK("https://cfpub.epa.gov/ecotox/explore.cfm?ncbi=381031","Explore in ECOTOX")</f>
        <v>Explore in ECOTOX</v>
      </c>
    </row>
    <row r="621" spans="1:18" x14ac:dyDescent="0.45">
      <c r="A621" t="s">
        <v>1264</v>
      </c>
      <c r="B621">
        <v>8</v>
      </c>
      <c r="C621" t="str">
        <f>HYPERLINK("http://www.ncbi.nlm.nih.gov/protein/NWW07896.1","NWW07896.1")</f>
        <v>NWW07896.1</v>
      </c>
      <c r="D621">
        <v>14031</v>
      </c>
      <c r="E621" t="str">
        <f>HYPERLINK("http://www.ncbi.nlm.nih.gov/Taxonomy/Browser/wwwtax.cgi?mode=Info&amp;id=979223&amp;lvl=3&amp;lin=f&amp;keep=1&amp;srchmode=1&amp;unlock","979223")</f>
        <v>979223</v>
      </c>
      <c r="F621" t="s">
        <v>241</v>
      </c>
      <c r="G621" t="str">
        <f>HYPERLINK("http://www.ncbi.nlm.nih.gov/Taxonomy/Browser/wwwtax.cgi?mode=Info&amp;id=979223&amp;lvl=3&amp;lin=f&amp;keep=1&amp;srchmode=1&amp;unlock","Oreocharis arfaki")</f>
        <v>Oreocharis arfaki</v>
      </c>
      <c r="H621" t="s">
        <v>620</v>
      </c>
      <c r="I621" t="str">
        <f>HYPERLINK("http://www.ncbi.nlm.nih.gov/protein/NWW07896.1","RYR2 protein")</f>
        <v>RYR2 protein</v>
      </c>
      <c r="J621">
        <v>6020.66</v>
      </c>
      <c r="K621" t="s">
        <v>22</v>
      </c>
      <c r="L621">
        <v>276</v>
      </c>
      <c r="M621">
        <v>9.75</v>
      </c>
      <c r="N621">
        <v>57.59</v>
      </c>
      <c r="O621" t="s">
        <v>19</v>
      </c>
      <c r="P621" t="s">
        <v>20</v>
      </c>
      <c r="Q621" t="s">
        <v>19</v>
      </c>
      <c r="R621" t="str">
        <f>HYPERLINK("https://cfpub.epa.gov/ecotox/explore.cfm?ncbi=979223","Explore in ECOTOX")</f>
        <v>Explore in ECOTOX</v>
      </c>
    </row>
    <row r="622" spans="1:18" x14ac:dyDescent="0.45">
      <c r="A622" t="s">
        <v>1264</v>
      </c>
      <c r="B622">
        <v>8</v>
      </c>
      <c r="C622" t="str">
        <f>HYPERLINK("http://www.ncbi.nlm.nih.gov/protein/NXB59105.1","NXB59105.1")</f>
        <v>NXB59105.1</v>
      </c>
      <c r="D622">
        <v>14168</v>
      </c>
      <c r="E622" t="str">
        <f>HYPERLINK("http://www.ncbi.nlm.nih.gov/Taxonomy/Browser/wwwtax.cgi?mode=Info&amp;id=181839&amp;lvl=3&amp;lin=f&amp;keep=1&amp;srchmode=1&amp;unlock","181839")</f>
        <v>181839</v>
      </c>
      <c r="F622" t="s">
        <v>241</v>
      </c>
      <c r="G622" t="str">
        <f>HYPERLINK("http://www.ncbi.nlm.nih.gov/Taxonomy/Browser/wwwtax.cgi?mode=Info&amp;id=181839&amp;lvl=3&amp;lin=f&amp;keep=1&amp;srchmode=1&amp;unlock","Struthidea cinerea")</f>
        <v>Struthidea cinerea</v>
      </c>
      <c r="H622" t="s">
        <v>621</v>
      </c>
      <c r="I622" t="str">
        <f>HYPERLINK("http://www.ncbi.nlm.nih.gov/protein/NXB59105.1","RYR2 protein")</f>
        <v>RYR2 protein</v>
      </c>
      <c r="J622">
        <v>6020.66</v>
      </c>
      <c r="K622" t="s">
        <v>22</v>
      </c>
      <c r="L622">
        <v>276</v>
      </c>
      <c r="M622">
        <v>9.75</v>
      </c>
      <c r="N622">
        <v>57.59</v>
      </c>
      <c r="O622" t="s">
        <v>19</v>
      </c>
      <c r="P622" t="s">
        <v>20</v>
      </c>
      <c r="Q622" t="s">
        <v>19</v>
      </c>
      <c r="R622" t="str">
        <f>HYPERLINK("https://cfpub.epa.gov/ecotox/explore.cfm?ncbi=181839","Explore in ECOTOX")</f>
        <v>Explore in ECOTOX</v>
      </c>
    </row>
    <row r="623" spans="1:18" x14ac:dyDescent="0.45">
      <c r="A623" t="s">
        <v>1264</v>
      </c>
      <c r="B623">
        <v>8</v>
      </c>
      <c r="C623" t="str">
        <f>HYPERLINK("http://www.ncbi.nlm.nih.gov/protein/NXO59645.1","NXO59645.1")</f>
        <v>NXO59645.1</v>
      </c>
      <c r="D623">
        <v>14352</v>
      </c>
      <c r="E623" t="str">
        <f>HYPERLINK("http://www.ncbi.nlm.nih.gov/Taxonomy/Browser/wwwtax.cgi?mode=Info&amp;id=54356&amp;lvl=3&amp;lin=f&amp;keep=1&amp;srchmode=1&amp;unlock","54356")</f>
        <v>54356</v>
      </c>
      <c r="F623" t="s">
        <v>241</v>
      </c>
      <c r="G623" t="str">
        <f>HYPERLINK("http://www.ncbi.nlm.nih.gov/Taxonomy/Browser/wwwtax.cgi?mode=Info&amp;id=54356&amp;lvl=3&amp;lin=f&amp;keep=1&amp;srchmode=1&amp;unlock","Aramus guarauna")</f>
        <v>Aramus guarauna</v>
      </c>
      <c r="H623" t="s">
        <v>622</v>
      </c>
      <c r="I623" t="str">
        <f>HYPERLINK("http://www.ncbi.nlm.nih.gov/protein/NXO59645.1","RYR2 protein")</f>
        <v>RYR2 protein</v>
      </c>
      <c r="J623">
        <v>6020.27</v>
      </c>
      <c r="K623" t="s">
        <v>22</v>
      </c>
      <c r="L623">
        <v>276</v>
      </c>
      <c r="M623">
        <v>9.75</v>
      </c>
      <c r="N623">
        <v>57.59</v>
      </c>
      <c r="O623" t="s">
        <v>19</v>
      </c>
      <c r="P623" t="s">
        <v>20</v>
      </c>
      <c r="Q623" t="s">
        <v>19</v>
      </c>
      <c r="R623" t="str">
        <f>HYPERLINK("https://cfpub.epa.gov/ecotox/explore.cfm?ncbi=54356","Explore in ECOTOX")</f>
        <v>Explore in ECOTOX</v>
      </c>
    </row>
    <row r="624" spans="1:18" x14ac:dyDescent="0.45">
      <c r="A624" t="s">
        <v>1264</v>
      </c>
      <c r="B624">
        <v>8</v>
      </c>
      <c r="C624" t="str">
        <f>HYPERLINK("http://www.ncbi.nlm.nih.gov/protein/NXC05808.1","NXC05808.1")</f>
        <v>NXC05808.1</v>
      </c>
      <c r="D624">
        <v>14308</v>
      </c>
      <c r="E624" t="str">
        <f>HYPERLINK("http://www.ncbi.nlm.nih.gov/Taxonomy/Browser/wwwtax.cgi?mode=Info&amp;id=38397&amp;lvl=3&amp;lin=f&amp;keep=1&amp;srchmode=1&amp;unlock","38397")</f>
        <v>38397</v>
      </c>
      <c r="F624" t="s">
        <v>241</v>
      </c>
      <c r="G624" t="str">
        <f>HYPERLINK("http://www.ncbi.nlm.nih.gov/Taxonomy/Browser/wwwtax.cgi?mode=Info&amp;id=38397&amp;lvl=3&amp;lin=f&amp;keep=1&amp;srchmode=1&amp;unlock","Orthonyx spaldingii")</f>
        <v>Orthonyx spaldingii</v>
      </c>
      <c r="H624" t="s">
        <v>623</v>
      </c>
      <c r="I624" t="str">
        <f>HYPERLINK("http://www.ncbi.nlm.nih.gov/protein/NXC05808.1","RYR2 protein")</f>
        <v>RYR2 protein</v>
      </c>
      <c r="J624">
        <v>6020.27</v>
      </c>
      <c r="K624" t="s">
        <v>22</v>
      </c>
      <c r="L624">
        <v>276</v>
      </c>
      <c r="M624">
        <v>9.75</v>
      </c>
      <c r="N624">
        <v>57.59</v>
      </c>
      <c r="O624" t="s">
        <v>19</v>
      </c>
      <c r="P624" t="s">
        <v>20</v>
      </c>
      <c r="Q624" t="s">
        <v>19</v>
      </c>
      <c r="R624" t="str">
        <f>HYPERLINK("https://cfpub.epa.gov/ecotox/explore.cfm?ncbi=38397","Explore in ECOTOX")</f>
        <v>Explore in ECOTOX</v>
      </c>
    </row>
    <row r="625" spans="1:18" x14ac:dyDescent="0.45">
      <c r="A625" t="s">
        <v>1264</v>
      </c>
      <c r="B625">
        <v>8</v>
      </c>
      <c r="C625" t="str">
        <f>HYPERLINK("http://www.ncbi.nlm.nih.gov/protein/NWT87627.1","NWT87627.1")</f>
        <v>NWT87627.1</v>
      </c>
      <c r="D625">
        <v>13733</v>
      </c>
      <c r="E625" t="str">
        <f>HYPERLINK("http://www.ncbi.nlm.nih.gov/Taxonomy/Browser/wwwtax.cgi?mode=Info&amp;id=28713&amp;lvl=3&amp;lin=f&amp;keep=1&amp;srchmode=1&amp;unlock","28713")</f>
        <v>28713</v>
      </c>
      <c r="F625" t="s">
        <v>241</v>
      </c>
      <c r="G625" t="str">
        <f>HYPERLINK("http://www.ncbi.nlm.nih.gov/Taxonomy/Browser/wwwtax.cgi?mode=Info&amp;id=28713&amp;lvl=3&amp;lin=f&amp;keep=1&amp;srchmode=1&amp;unlock","Lanius ludovicianus")</f>
        <v>Lanius ludovicianus</v>
      </c>
      <c r="H625" t="s">
        <v>624</v>
      </c>
      <c r="I625" t="str">
        <f>HYPERLINK("http://www.ncbi.nlm.nih.gov/protein/NWT87627.1","RYR2 protein")</f>
        <v>RYR2 protein</v>
      </c>
      <c r="J625">
        <v>6020.27</v>
      </c>
      <c r="K625" t="s">
        <v>22</v>
      </c>
      <c r="L625">
        <v>276</v>
      </c>
      <c r="M625">
        <v>9.75</v>
      </c>
      <c r="N625">
        <v>57.59</v>
      </c>
      <c r="O625" t="s">
        <v>19</v>
      </c>
      <c r="P625" t="s">
        <v>20</v>
      </c>
      <c r="Q625" t="s">
        <v>19</v>
      </c>
      <c r="R625" t="str">
        <f>HYPERLINK("https://cfpub.epa.gov/ecotox/explore.cfm?ncbi=28713","Explore in ECOTOX")</f>
        <v>Explore in ECOTOX</v>
      </c>
    </row>
    <row r="626" spans="1:18" x14ac:dyDescent="0.45">
      <c r="A626" t="s">
        <v>1264</v>
      </c>
      <c r="B626">
        <v>8</v>
      </c>
      <c r="C626" t="str">
        <f>HYPERLINK("http://www.ncbi.nlm.nih.gov/protein/NWY16294.1","NWY16294.1")</f>
        <v>NWY16294.1</v>
      </c>
      <c r="D626">
        <v>14632</v>
      </c>
      <c r="E626" t="str">
        <f>HYPERLINK("http://www.ncbi.nlm.nih.gov/Taxonomy/Browser/wwwtax.cgi?mode=Info&amp;id=39617&amp;lvl=3&amp;lin=f&amp;keep=1&amp;srchmode=1&amp;unlock","39617")</f>
        <v>39617</v>
      </c>
      <c r="F626" t="s">
        <v>241</v>
      </c>
      <c r="G626" t="str">
        <f>HYPERLINK("http://www.ncbi.nlm.nih.gov/Taxonomy/Browser/wwwtax.cgi?mode=Info&amp;id=39617&amp;lvl=3&amp;lin=f&amp;keep=1&amp;srchmode=1&amp;unlock","Aphelocoma coerulescens")</f>
        <v>Aphelocoma coerulescens</v>
      </c>
      <c r="H626" t="s">
        <v>625</v>
      </c>
      <c r="I626" t="str">
        <f>HYPERLINK("http://www.ncbi.nlm.nih.gov/protein/NWY16294.1","RYR2 protein")</f>
        <v>RYR2 protein</v>
      </c>
      <c r="J626">
        <v>6019.5</v>
      </c>
      <c r="K626" t="s">
        <v>22</v>
      </c>
      <c r="L626">
        <v>276</v>
      </c>
      <c r="M626">
        <v>9.75</v>
      </c>
      <c r="N626">
        <v>57.58</v>
      </c>
      <c r="O626" t="s">
        <v>19</v>
      </c>
      <c r="P626" t="s">
        <v>20</v>
      </c>
      <c r="Q626" t="s">
        <v>19</v>
      </c>
      <c r="R626" t="str">
        <f>HYPERLINK("https://cfpub.epa.gov/ecotox/explore.cfm?ncbi=39617","Explore in ECOTOX")</f>
        <v>Explore in ECOTOX</v>
      </c>
    </row>
    <row r="627" spans="1:18" x14ac:dyDescent="0.45">
      <c r="A627" t="s">
        <v>1264</v>
      </c>
      <c r="B627">
        <v>8</v>
      </c>
      <c r="C627" t="str">
        <f>HYPERLINK("http://www.ncbi.nlm.nih.gov/protein/NXB35105.1","NXB35105.1")</f>
        <v>NXB35105.1</v>
      </c>
      <c r="D627">
        <v>14343</v>
      </c>
      <c r="E627" t="str">
        <f>HYPERLINK("http://www.ncbi.nlm.nih.gov/Taxonomy/Browser/wwwtax.cgi?mode=Info&amp;id=461239&amp;lvl=3&amp;lin=f&amp;keep=1&amp;srchmode=1&amp;unlock","461239")</f>
        <v>461239</v>
      </c>
      <c r="F627" t="s">
        <v>241</v>
      </c>
      <c r="G627" t="str">
        <f>HYPERLINK("http://www.ncbi.nlm.nih.gov/Taxonomy/Browser/wwwtax.cgi?mode=Info&amp;id=461239&amp;lvl=3&amp;lin=f&amp;keep=1&amp;srchmode=1&amp;unlock","Eulacestoma nigropectus")</f>
        <v>Eulacestoma nigropectus</v>
      </c>
      <c r="H627" t="s">
        <v>626</v>
      </c>
      <c r="I627" t="str">
        <f>HYPERLINK("http://www.ncbi.nlm.nih.gov/protein/NXB35105.1","RYR2 protein")</f>
        <v>RYR2 protein</v>
      </c>
      <c r="J627">
        <v>6019.11</v>
      </c>
      <c r="K627" t="s">
        <v>22</v>
      </c>
      <c r="L627">
        <v>276</v>
      </c>
      <c r="M627">
        <v>9.75</v>
      </c>
      <c r="N627">
        <v>57.58</v>
      </c>
      <c r="O627" t="s">
        <v>19</v>
      </c>
      <c r="P627" t="s">
        <v>20</v>
      </c>
      <c r="Q627" t="s">
        <v>19</v>
      </c>
      <c r="R627" t="str">
        <f>HYPERLINK("https://cfpub.epa.gov/ecotox/explore.cfm?ncbi=461239","Explore in ECOTOX")</f>
        <v>Explore in ECOTOX</v>
      </c>
    </row>
    <row r="628" spans="1:18" x14ac:dyDescent="0.45">
      <c r="A628" t="s">
        <v>1264</v>
      </c>
      <c r="B628">
        <v>8</v>
      </c>
      <c r="C628" t="str">
        <f>HYPERLINK("http://www.ncbi.nlm.nih.gov/protein/NWZ19209.1","NWZ19209.1")</f>
        <v>NWZ19209.1</v>
      </c>
      <c r="D628">
        <v>14752</v>
      </c>
      <c r="E628" t="str">
        <f>HYPERLINK("http://www.ncbi.nlm.nih.gov/Taxonomy/Browser/wwwtax.cgi?mode=Info&amp;id=75869&amp;lvl=3&amp;lin=f&amp;keep=1&amp;srchmode=1&amp;unlock","75869")</f>
        <v>75869</v>
      </c>
      <c r="F628" t="s">
        <v>241</v>
      </c>
      <c r="G628" t="str">
        <f>HYPERLINK("http://www.ncbi.nlm.nih.gov/Taxonomy/Browser/wwwtax.cgi?mode=Info&amp;id=75869&amp;lvl=3&amp;lin=f&amp;keep=1&amp;srchmode=1&amp;unlock","Asarcornis scutulata")</f>
        <v>Asarcornis scutulata</v>
      </c>
      <c r="H628" t="s">
        <v>627</v>
      </c>
      <c r="I628" t="str">
        <f>HYPERLINK("http://www.ncbi.nlm.nih.gov/protein/NWZ19209.1","RYR2 protein")</f>
        <v>RYR2 protein</v>
      </c>
      <c r="J628">
        <v>6019.11</v>
      </c>
      <c r="K628" t="s">
        <v>22</v>
      </c>
      <c r="L628">
        <v>276</v>
      </c>
      <c r="M628">
        <v>9.75</v>
      </c>
      <c r="N628">
        <v>57.58</v>
      </c>
      <c r="O628" t="s">
        <v>19</v>
      </c>
      <c r="P628" t="s">
        <v>20</v>
      </c>
      <c r="Q628" t="s">
        <v>19</v>
      </c>
      <c r="R628" t="str">
        <f>HYPERLINK("https://cfpub.epa.gov/ecotox/explore.cfm?ncbi=75869","Explore in ECOTOX")</f>
        <v>Explore in ECOTOX</v>
      </c>
    </row>
    <row r="629" spans="1:18" x14ac:dyDescent="0.45">
      <c r="A629" t="s">
        <v>1264</v>
      </c>
      <c r="B629">
        <v>8</v>
      </c>
      <c r="C629" t="str">
        <f>HYPERLINK("http://www.ncbi.nlm.nih.gov/protein/NXE89586.1","NXE89586.1")</f>
        <v>NXE89586.1</v>
      </c>
      <c r="D629">
        <v>14588</v>
      </c>
      <c r="E629" t="str">
        <f>HYPERLINK("http://www.ncbi.nlm.nih.gov/Taxonomy/Browser/wwwtax.cgi?mode=Info&amp;id=47692&amp;lvl=3&amp;lin=f&amp;keep=1&amp;srchmode=1&amp;unlock","47692")</f>
        <v>47692</v>
      </c>
      <c r="F629" t="s">
        <v>241</v>
      </c>
      <c r="G629" t="str">
        <f>HYPERLINK("http://www.ncbi.nlm.nih.gov/Taxonomy/Browser/wwwtax.cgi?mode=Info&amp;id=47692&amp;lvl=3&amp;lin=f&amp;keep=1&amp;srchmode=1&amp;unlock","Menura novaehollandiae")</f>
        <v>Menura novaehollandiae</v>
      </c>
      <c r="H629" t="s">
        <v>628</v>
      </c>
      <c r="I629" t="str">
        <f>HYPERLINK("http://www.ncbi.nlm.nih.gov/protein/NXE89586.1","RYR2 protein")</f>
        <v>RYR2 protein</v>
      </c>
      <c r="J629">
        <v>6018.73</v>
      </c>
      <c r="K629" t="s">
        <v>22</v>
      </c>
      <c r="L629">
        <v>276</v>
      </c>
      <c r="M629">
        <v>9.75</v>
      </c>
      <c r="N629">
        <v>57.57</v>
      </c>
      <c r="O629" t="s">
        <v>19</v>
      </c>
      <c r="P629" t="s">
        <v>20</v>
      </c>
      <c r="Q629" t="s">
        <v>19</v>
      </c>
      <c r="R629" t="str">
        <f>HYPERLINK("https://cfpub.epa.gov/ecotox/explore.cfm?ncbi=47692","Explore in ECOTOX")</f>
        <v>Explore in ECOTOX</v>
      </c>
    </row>
    <row r="630" spans="1:18" x14ac:dyDescent="0.45">
      <c r="A630" t="s">
        <v>1264</v>
      </c>
      <c r="B630">
        <v>8</v>
      </c>
      <c r="C630" t="str">
        <f>HYPERLINK("http://www.ncbi.nlm.nih.gov/protein/NWU29828.1","NWU29828.1")</f>
        <v>NWU29828.1</v>
      </c>
      <c r="D630">
        <v>14053</v>
      </c>
      <c r="E630" t="str">
        <f>HYPERLINK("http://www.ncbi.nlm.nih.gov/Taxonomy/Browser/wwwtax.cgi?mode=Info&amp;id=1160851&amp;lvl=3&amp;lin=f&amp;keep=1&amp;srchmode=1&amp;unlock","1160851")</f>
        <v>1160851</v>
      </c>
      <c r="F630" t="s">
        <v>241</v>
      </c>
      <c r="G630" t="str">
        <f>HYPERLINK("http://www.ncbi.nlm.nih.gov/Taxonomy/Browser/wwwtax.cgi?mode=Info&amp;id=1160851&amp;lvl=3&amp;lin=f&amp;keep=1&amp;srchmode=1&amp;unlock","Platysteira castanea")</f>
        <v>Platysteira castanea</v>
      </c>
      <c r="H630" t="s">
        <v>435</v>
      </c>
      <c r="I630" t="str">
        <f>HYPERLINK("http://www.ncbi.nlm.nih.gov/protein/NWU29828.1","RYR2 protein")</f>
        <v>RYR2 protein</v>
      </c>
      <c r="J630">
        <v>6016.03</v>
      </c>
      <c r="K630" t="s">
        <v>22</v>
      </c>
      <c r="L630">
        <v>276</v>
      </c>
      <c r="M630">
        <v>9.75</v>
      </c>
      <c r="N630">
        <v>57.55</v>
      </c>
      <c r="O630" t="s">
        <v>19</v>
      </c>
      <c r="P630" t="s">
        <v>20</v>
      </c>
      <c r="Q630" t="s">
        <v>19</v>
      </c>
      <c r="R630" t="str">
        <f>HYPERLINK("https://cfpub.epa.gov/ecotox/explore.cfm?ncbi=1160851","Explore in ECOTOX")</f>
        <v>Explore in ECOTOX</v>
      </c>
    </row>
    <row r="631" spans="1:18" x14ac:dyDescent="0.45">
      <c r="A631" t="s">
        <v>1264</v>
      </c>
      <c r="B631">
        <v>8</v>
      </c>
      <c r="C631" t="str">
        <f>HYPERLINK("http://www.ncbi.nlm.nih.gov/protein/NWS95887.1","NWS95887.1")</f>
        <v>NWS95887.1</v>
      </c>
      <c r="D631">
        <v>14226</v>
      </c>
      <c r="E631" t="str">
        <f>HYPERLINK("http://www.ncbi.nlm.nih.gov/Taxonomy/Browser/wwwtax.cgi?mode=Info&amp;id=254557&amp;lvl=3&amp;lin=f&amp;keep=1&amp;srchmode=1&amp;unlock","254557")</f>
        <v>254557</v>
      </c>
      <c r="F631" t="s">
        <v>241</v>
      </c>
      <c r="G631" t="str">
        <f>HYPERLINK("http://www.ncbi.nlm.nih.gov/Taxonomy/Browser/wwwtax.cgi?mode=Info&amp;id=254557&amp;lvl=3&amp;lin=f&amp;keep=1&amp;srchmode=1&amp;unlock","Mionectes macconnelli")</f>
        <v>Mionectes macconnelli</v>
      </c>
      <c r="H631" t="s">
        <v>629</v>
      </c>
      <c r="I631" t="str">
        <f>HYPERLINK("http://www.ncbi.nlm.nih.gov/protein/NWS95887.1","RYR2 protein")</f>
        <v>RYR2 protein</v>
      </c>
      <c r="J631">
        <v>6015.26</v>
      </c>
      <c r="K631" t="s">
        <v>22</v>
      </c>
      <c r="L631">
        <v>276</v>
      </c>
      <c r="M631">
        <v>9.75</v>
      </c>
      <c r="N631">
        <v>57.54</v>
      </c>
      <c r="O631" t="s">
        <v>19</v>
      </c>
      <c r="P631" t="s">
        <v>20</v>
      </c>
      <c r="Q631" t="s">
        <v>19</v>
      </c>
      <c r="R631" t="str">
        <f>HYPERLINK("https://cfpub.epa.gov/ecotox/explore.cfm?ncbi=254557","Explore in ECOTOX")</f>
        <v>Explore in ECOTOX</v>
      </c>
    </row>
    <row r="632" spans="1:18" x14ac:dyDescent="0.45">
      <c r="A632" t="s">
        <v>1264</v>
      </c>
      <c r="B632">
        <v>8</v>
      </c>
      <c r="C632" t="str">
        <f>HYPERLINK("http://www.ncbi.nlm.nih.gov/protein/NWV24355.1","NWV24355.1")</f>
        <v>NWV24355.1</v>
      </c>
      <c r="D632">
        <v>14487</v>
      </c>
      <c r="E632" t="str">
        <f>HYPERLINK("http://www.ncbi.nlm.nih.gov/Taxonomy/Browser/wwwtax.cgi?mode=Info&amp;id=720586&amp;lvl=3&amp;lin=f&amp;keep=1&amp;srchmode=1&amp;unlock","720586")</f>
        <v>720586</v>
      </c>
      <c r="F632" t="s">
        <v>241</v>
      </c>
      <c r="G632" t="str">
        <f>HYPERLINK("http://www.ncbi.nlm.nih.gov/Taxonomy/Browser/wwwtax.cgi?mode=Info&amp;id=720586&amp;lvl=3&amp;lin=f&amp;keep=1&amp;srchmode=1&amp;unlock","Origma solitaria")</f>
        <v>Origma solitaria</v>
      </c>
      <c r="H632" t="s">
        <v>435</v>
      </c>
      <c r="I632" t="str">
        <f>HYPERLINK("http://www.ncbi.nlm.nih.gov/protein/NWV24355.1","RYR2 protein")</f>
        <v>RYR2 protein</v>
      </c>
      <c r="J632">
        <v>6014.49</v>
      </c>
      <c r="K632" t="s">
        <v>22</v>
      </c>
      <c r="L632">
        <v>276</v>
      </c>
      <c r="M632">
        <v>9.75</v>
      </c>
      <c r="N632">
        <v>57.53</v>
      </c>
      <c r="O632" t="s">
        <v>19</v>
      </c>
      <c r="P632" t="s">
        <v>20</v>
      </c>
      <c r="Q632" t="s">
        <v>19</v>
      </c>
      <c r="R632" t="str">
        <f>HYPERLINK("https://cfpub.epa.gov/ecotox/explore.cfm?ncbi=720586","Explore in ECOTOX")</f>
        <v>Explore in ECOTOX</v>
      </c>
    </row>
    <row r="633" spans="1:18" x14ac:dyDescent="0.45">
      <c r="A633" t="s">
        <v>1264</v>
      </c>
      <c r="B633">
        <v>8</v>
      </c>
      <c r="C633" t="str">
        <f>HYPERLINK("http://www.ncbi.nlm.nih.gov/protein/XP_032464973.1","XP_032464973.1")</f>
        <v>XP_032464973.1</v>
      </c>
      <c r="D633">
        <v>52383</v>
      </c>
      <c r="E633" t="str">
        <f>HYPERLINK("http://www.ncbi.nlm.nih.gov/Taxonomy/Browser/wwwtax.cgi?mode=Info&amp;id=42100&amp;lvl=3&amp;lin=f&amp;keep=1&amp;srchmode=1&amp;unlock","42100")</f>
        <v>42100</v>
      </c>
      <c r="F633" t="s">
        <v>96</v>
      </c>
      <c r="G633" t="str">
        <f>HYPERLINK("http://www.ncbi.nlm.nih.gov/Taxonomy/Browser/wwwtax.cgi?mode=Info&amp;id=42100&amp;lvl=3&amp;lin=f&amp;keep=1&amp;srchmode=1&amp;unlock","Phocoena sinus")</f>
        <v>Phocoena sinus</v>
      </c>
      <c r="H633" t="s">
        <v>630</v>
      </c>
      <c r="I633" t="str">
        <f>HYPERLINK("http://www.ncbi.nlm.nih.gov/protein/XP_032464973.1","LOW QUALITY PROTEIN: ryanodine receptor 2")</f>
        <v>LOW QUALITY PROTEIN: ryanodine receptor 2</v>
      </c>
      <c r="J633">
        <v>6014.11</v>
      </c>
      <c r="K633" t="s">
        <v>22</v>
      </c>
      <c r="L633">
        <v>276</v>
      </c>
      <c r="M633">
        <v>9.75</v>
      </c>
      <c r="N633">
        <v>57.53</v>
      </c>
      <c r="O633" t="s">
        <v>19</v>
      </c>
      <c r="P633" t="s">
        <v>20</v>
      </c>
      <c r="Q633" t="s">
        <v>19</v>
      </c>
      <c r="R633" t="str">
        <f>HYPERLINK("https://cfpub.epa.gov/ecotox/explore.cfm?ncbi=42100","Explore in ECOTOX")</f>
        <v>Explore in ECOTOX</v>
      </c>
    </row>
    <row r="634" spans="1:18" x14ac:dyDescent="0.45">
      <c r="A634" t="s">
        <v>1264</v>
      </c>
      <c r="B634">
        <v>8</v>
      </c>
      <c r="C634" t="str">
        <f>HYPERLINK("http://www.ncbi.nlm.nih.gov/protein/XP_008523335.1","XP_008523335.1")</f>
        <v>XP_008523335.1</v>
      </c>
      <c r="D634">
        <v>38594</v>
      </c>
      <c r="E634" t="str">
        <f>HYPERLINK("http://www.ncbi.nlm.nih.gov/Taxonomy/Browser/wwwtax.cgi?mode=Info&amp;id=9798&amp;lvl=3&amp;lin=f&amp;keep=1&amp;srchmode=1&amp;unlock","9798")</f>
        <v>9798</v>
      </c>
      <c r="F634" t="s">
        <v>96</v>
      </c>
      <c r="G634" t="str">
        <f>HYPERLINK("http://www.ncbi.nlm.nih.gov/Taxonomy/Browser/wwwtax.cgi?mode=Info&amp;id=9798&amp;lvl=3&amp;lin=f&amp;keep=1&amp;srchmode=1&amp;unlock","Equus przewalskii")</f>
        <v>Equus przewalskii</v>
      </c>
      <c r="H634" t="s">
        <v>631</v>
      </c>
      <c r="I634" t="str">
        <f>HYPERLINK("http://www.ncbi.nlm.nih.gov/protein/XP_008523335.1","PREDICTED: ryanodine receptor 2")</f>
        <v>PREDICTED: ryanodine receptor 2</v>
      </c>
      <c r="J634">
        <v>6013.34</v>
      </c>
      <c r="K634" t="s">
        <v>22</v>
      </c>
      <c r="L634">
        <v>276</v>
      </c>
      <c r="M634">
        <v>9.75</v>
      </c>
      <c r="N634">
        <v>57.52</v>
      </c>
      <c r="O634" t="s">
        <v>19</v>
      </c>
      <c r="P634" t="s">
        <v>20</v>
      </c>
      <c r="Q634" t="s">
        <v>19</v>
      </c>
      <c r="R634" t="str">
        <f>HYPERLINK("https://cfpub.epa.gov/ecotox/explore.cfm?ncbi=9798","Explore in ECOTOX")</f>
        <v>Explore in ECOTOX</v>
      </c>
    </row>
    <row r="635" spans="1:18" x14ac:dyDescent="0.45">
      <c r="A635" t="s">
        <v>1264</v>
      </c>
      <c r="B635">
        <v>8</v>
      </c>
      <c r="C635" t="str">
        <f>HYPERLINK("http://www.ncbi.nlm.nih.gov/protein/NXM50014.1","NXM50014.1")</f>
        <v>NXM50014.1</v>
      </c>
      <c r="D635">
        <v>14416</v>
      </c>
      <c r="E635" t="str">
        <f>HYPERLINK("http://www.ncbi.nlm.nih.gov/Taxonomy/Browser/wwwtax.cgi?mode=Info&amp;id=9132&amp;lvl=3&amp;lin=f&amp;keep=1&amp;srchmode=1&amp;unlock","9132")</f>
        <v>9132</v>
      </c>
      <c r="F635" t="s">
        <v>241</v>
      </c>
      <c r="G635" t="str">
        <f>HYPERLINK("http://www.ncbi.nlm.nih.gov/Taxonomy/Browser/wwwtax.cgi?mode=Info&amp;id=9132&amp;lvl=3&amp;lin=f&amp;keep=1&amp;srchmode=1&amp;unlock","Gymnorhina tibicen")</f>
        <v>Gymnorhina tibicen</v>
      </c>
      <c r="H635" t="s">
        <v>632</v>
      </c>
      <c r="I635" t="str">
        <f>HYPERLINK("http://www.ncbi.nlm.nih.gov/protein/NXM50014.1","RYR2 protein")</f>
        <v>RYR2 protein</v>
      </c>
      <c r="J635">
        <v>6012.95</v>
      </c>
      <c r="K635" t="s">
        <v>22</v>
      </c>
      <c r="L635">
        <v>276</v>
      </c>
      <c r="M635">
        <v>9.75</v>
      </c>
      <c r="N635">
        <v>57.52</v>
      </c>
      <c r="O635" t="s">
        <v>19</v>
      </c>
      <c r="P635" t="s">
        <v>20</v>
      </c>
      <c r="Q635" t="s">
        <v>19</v>
      </c>
      <c r="R635" t="str">
        <f>HYPERLINK("https://cfpub.epa.gov/ecotox/explore.cfm?ncbi=9132","Explore in ECOTOX")</f>
        <v>Explore in ECOTOX</v>
      </c>
    </row>
    <row r="636" spans="1:18" x14ac:dyDescent="0.45">
      <c r="A636" t="s">
        <v>1264</v>
      </c>
      <c r="B636">
        <v>8</v>
      </c>
      <c r="C636" t="str">
        <f>HYPERLINK("http://www.ncbi.nlm.nih.gov/protein/NWV34324.1","NWV34324.1")</f>
        <v>NWV34324.1</v>
      </c>
      <c r="D636">
        <v>14091</v>
      </c>
      <c r="E636" t="str">
        <f>HYPERLINK("http://www.ncbi.nlm.nih.gov/Taxonomy/Browser/wwwtax.cgi?mode=Info&amp;id=266360&amp;lvl=3&amp;lin=f&amp;keep=1&amp;srchmode=1&amp;unlock","266360")</f>
        <v>266360</v>
      </c>
      <c r="F636" t="s">
        <v>241</v>
      </c>
      <c r="G636" t="str">
        <f>HYPERLINK("http://www.ncbi.nlm.nih.gov/Taxonomy/Browser/wwwtax.cgi?mode=Info&amp;id=266360&amp;lvl=3&amp;lin=f&amp;keep=1&amp;srchmode=1&amp;unlock","Grantiella picta")</f>
        <v>Grantiella picta</v>
      </c>
      <c r="H636" t="s">
        <v>633</v>
      </c>
      <c r="I636" t="str">
        <f>HYPERLINK("http://www.ncbi.nlm.nih.gov/protein/NWV34324.1","RYR2 protein")</f>
        <v>RYR2 protein</v>
      </c>
      <c r="J636">
        <v>6012.57</v>
      </c>
      <c r="K636" t="s">
        <v>22</v>
      </c>
      <c r="L636">
        <v>276</v>
      </c>
      <c r="M636">
        <v>9.75</v>
      </c>
      <c r="N636">
        <v>57.52</v>
      </c>
      <c r="O636" t="s">
        <v>19</v>
      </c>
      <c r="P636" t="s">
        <v>20</v>
      </c>
      <c r="Q636" t="s">
        <v>19</v>
      </c>
      <c r="R636" t="str">
        <f>HYPERLINK("https://cfpub.epa.gov/ecotox/explore.cfm?ncbi=266360","Explore in ECOTOX")</f>
        <v>Explore in ECOTOX</v>
      </c>
    </row>
    <row r="637" spans="1:18" x14ac:dyDescent="0.45">
      <c r="A637" t="s">
        <v>1264</v>
      </c>
      <c r="B637">
        <v>8</v>
      </c>
      <c r="C637" t="str">
        <f>HYPERLINK("http://www.ncbi.nlm.nih.gov/protein/NXY19261.1","NXY19261.1")</f>
        <v>NXY19261.1</v>
      </c>
      <c r="D637">
        <v>14635</v>
      </c>
      <c r="E637" t="str">
        <f>HYPERLINK("http://www.ncbi.nlm.nih.gov/Taxonomy/Browser/wwwtax.cgi?mode=Info&amp;id=449594&amp;lvl=3&amp;lin=f&amp;keep=1&amp;srchmode=1&amp;unlock","449594")</f>
        <v>449594</v>
      </c>
      <c r="F637" t="s">
        <v>241</v>
      </c>
      <c r="G637" t="str">
        <f>HYPERLINK("http://www.ncbi.nlm.nih.gov/Taxonomy/Browser/wwwtax.cgi?mode=Info&amp;id=449594&amp;lvl=3&amp;lin=f&amp;keep=1&amp;srchmode=1&amp;unlock","Atrichornis clamosus")</f>
        <v>Atrichornis clamosus</v>
      </c>
      <c r="H637" t="s">
        <v>435</v>
      </c>
      <c r="I637" t="str">
        <f>HYPERLINK("http://www.ncbi.nlm.nih.gov/protein/NXY19261.1","RYR2 protein")</f>
        <v>RYR2 protein</v>
      </c>
      <c r="J637">
        <v>6012.18</v>
      </c>
      <c r="K637" t="s">
        <v>22</v>
      </c>
      <c r="L637">
        <v>276</v>
      </c>
      <c r="M637">
        <v>9.75</v>
      </c>
      <c r="N637">
        <v>57.51</v>
      </c>
      <c r="O637" t="s">
        <v>19</v>
      </c>
      <c r="P637" t="s">
        <v>20</v>
      </c>
      <c r="Q637" t="s">
        <v>19</v>
      </c>
      <c r="R637" t="str">
        <f>HYPERLINK("https://cfpub.epa.gov/ecotox/explore.cfm?ncbi=449594","Explore in ECOTOX")</f>
        <v>Explore in ECOTOX</v>
      </c>
    </row>
    <row r="638" spans="1:18" x14ac:dyDescent="0.45">
      <c r="A638" t="s">
        <v>1264</v>
      </c>
      <c r="B638">
        <v>8</v>
      </c>
      <c r="C638" t="str">
        <f>HYPERLINK("http://www.ncbi.nlm.nih.gov/protein/NXF57726.1","NXF57726.1")</f>
        <v>NXF57726.1</v>
      </c>
      <c r="D638">
        <v>13848</v>
      </c>
      <c r="E638" t="str">
        <f>HYPERLINK("http://www.ncbi.nlm.nih.gov/Taxonomy/Browser/wwwtax.cgi?mode=Info&amp;id=1118524&amp;lvl=3&amp;lin=f&amp;keep=1&amp;srchmode=1&amp;unlock","1118524")</f>
        <v>1118524</v>
      </c>
      <c r="F638" t="s">
        <v>241</v>
      </c>
      <c r="G638" t="str">
        <f>HYPERLINK("http://www.ncbi.nlm.nih.gov/Taxonomy/Browser/wwwtax.cgi?mode=Info&amp;id=1118524&amp;lvl=3&amp;lin=f&amp;keep=1&amp;srchmode=1&amp;unlock","Ciccaba nigrolineata")</f>
        <v>Ciccaba nigrolineata</v>
      </c>
      <c r="H638" t="s">
        <v>634</v>
      </c>
      <c r="I638" t="str">
        <f>HYPERLINK("http://www.ncbi.nlm.nih.gov/protein/NXF57726.1","RYR2 protein")</f>
        <v>RYR2 protein</v>
      </c>
      <c r="J638">
        <v>6011.8</v>
      </c>
      <c r="K638" t="s">
        <v>22</v>
      </c>
      <c r="L638">
        <v>276</v>
      </c>
      <c r="M638">
        <v>9.75</v>
      </c>
      <c r="N638">
        <v>57.51</v>
      </c>
      <c r="O638" t="s">
        <v>19</v>
      </c>
      <c r="P638" t="s">
        <v>20</v>
      </c>
      <c r="Q638" t="s">
        <v>19</v>
      </c>
      <c r="R638" t="str">
        <f>HYPERLINK("https://cfpub.epa.gov/ecotox/explore.cfm?ncbi=1118524","Explore in ECOTOX")</f>
        <v>Explore in ECOTOX</v>
      </c>
    </row>
    <row r="639" spans="1:18" x14ac:dyDescent="0.45">
      <c r="A639" t="s">
        <v>1264</v>
      </c>
      <c r="B639">
        <v>8</v>
      </c>
      <c r="C639" t="str">
        <f>HYPERLINK("http://www.ncbi.nlm.nih.gov/protein/NXH65175.1","NXH65175.1")</f>
        <v>NXH65175.1</v>
      </c>
      <c r="D639">
        <v>14389</v>
      </c>
      <c r="E639" t="str">
        <f>HYPERLINK("http://www.ncbi.nlm.nih.gov/Taxonomy/Browser/wwwtax.cgi?mode=Info&amp;id=237438&amp;lvl=3&amp;lin=f&amp;keep=1&amp;srchmode=1&amp;unlock","237438")</f>
        <v>237438</v>
      </c>
      <c r="F639" t="s">
        <v>241</v>
      </c>
      <c r="G639" t="str">
        <f>HYPERLINK("http://www.ncbi.nlm.nih.gov/Taxonomy/Browser/wwwtax.cgi?mode=Info&amp;id=237438&amp;lvl=3&amp;lin=f&amp;keep=1&amp;srchmode=1&amp;unlock","Rhabdornis inornatus")</f>
        <v>Rhabdornis inornatus</v>
      </c>
      <c r="H639" t="s">
        <v>435</v>
      </c>
      <c r="I639" t="str">
        <f>HYPERLINK("http://www.ncbi.nlm.nih.gov/protein/NXH65175.1","RYR2 protein")</f>
        <v>RYR2 protein</v>
      </c>
      <c r="J639">
        <v>6011.41</v>
      </c>
      <c r="K639" t="s">
        <v>22</v>
      </c>
      <c r="L639">
        <v>276</v>
      </c>
      <c r="M639">
        <v>9.75</v>
      </c>
      <c r="N639">
        <v>57.5</v>
      </c>
      <c r="O639" t="s">
        <v>19</v>
      </c>
      <c r="P639" t="s">
        <v>20</v>
      </c>
      <c r="Q639" t="s">
        <v>19</v>
      </c>
      <c r="R639" t="str">
        <f>HYPERLINK("https://cfpub.epa.gov/ecotox/explore.cfm?ncbi=237438","Explore in ECOTOX")</f>
        <v>Explore in ECOTOX</v>
      </c>
    </row>
    <row r="640" spans="1:18" x14ac:dyDescent="0.45">
      <c r="A640" t="s">
        <v>1264</v>
      </c>
      <c r="B640">
        <v>8</v>
      </c>
      <c r="C640" t="str">
        <f>HYPERLINK("http://www.ncbi.nlm.nih.gov/protein/NXH96549.1","NXH96549.1")</f>
        <v>NXH96549.1</v>
      </c>
      <c r="D640">
        <v>13430</v>
      </c>
      <c r="E640" t="str">
        <f>HYPERLINK("http://www.ncbi.nlm.nih.gov/Taxonomy/Browser/wwwtax.cgi?mode=Info&amp;id=449367&amp;lvl=3&amp;lin=f&amp;keep=1&amp;srchmode=1&amp;unlock","449367")</f>
        <v>449367</v>
      </c>
      <c r="F640" t="s">
        <v>241</v>
      </c>
      <c r="G640" t="str">
        <f>HYPERLINK("http://www.ncbi.nlm.nih.gov/Taxonomy/Browser/wwwtax.cgi?mode=Info&amp;id=449367&amp;lvl=3&amp;lin=f&amp;keep=1&amp;srchmode=1&amp;unlock","Pachycephala philippinensis")</f>
        <v>Pachycephala philippinensis</v>
      </c>
      <c r="H640" t="s">
        <v>635</v>
      </c>
      <c r="I640" t="str">
        <f>HYPERLINK("http://www.ncbi.nlm.nih.gov/protein/NXH96549.1","RYR2 protein")</f>
        <v>RYR2 protein</v>
      </c>
      <c r="J640">
        <v>6011.03</v>
      </c>
      <c r="K640" t="s">
        <v>22</v>
      </c>
      <c r="L640">
        <v>276</v>
      </c>
      <c r="M640">
        <v>9.75</v>
      </c>
      <c r="N640">
        <v>57.5</v>
      </c>
      <c r="O640" t="s">
        <v>19</v>
      </c>
      <c r="P640" t="s">
        <v>20</v>
      </c>
      <c r="Q640" t="s">
        <v>19</v>
      </c>
      <c r="R640" t="str">
        <f>HYPERLINK("https://cfpub.epa.gov/ecotox/explore.cfm?ncbi=449367","Explore in ECOTOX")</f>
        <v>Explore in ECOTOX</v>
      </c>
    </row>
    <row r="641" spans="1:18" x14ac:dyDescent="0.45">
      <c r="A641" t="s">
        <v>1264</v>
      </c>
      <c r="B641">
        <v>8</v>
      </c>
      <c r="C641" t="str">
        <f>HYPERLINK("http://www.ncbi.nlm.nih.gov/protein/NXE34760.1","NXE34760.1")</f>
        <v>NXE34760.1</v>
      </c>
      <c r="D641">
        <v>13537</v>
      </c>
      <c r="E641" t="str">
        <f>HYPERLINK("http://www.ncbi.nlm.nih.gov/Taxonomy/Browser/wwwtax.cgi?mode=Info&amp;id=449384&amp;lvl=3&amp;lin=f&amp;keep=1&amp;srchmode=1&amp;unlock","449384")</f>
        <v>449384</v>
      </c>
      <c r="F641" t="s">
        <v>241</v>
      </c>
      <c r="G641" t="str">
        <f>HYPERLINK("http://www.ncbi.nlm.nih.gov/Taxonomy/Browser/wwwtax.cgi?mode=Info&amp;id=449384&amp;lvl=3&amp;lin=f&amp;keep=1&amp;srchmode=1&amp;unlock","Ptilorrhoa leucosticta")</f>
        <v>Ptilorrhoa leucosticta</v>
      </c>
      <c r="H641" t="s">
        <v>435</v>
      </c>
      <c r="I641" t="str">
        <f>HYPERLINK("http://www.ncbi.nlm.nih.gov/protein/NXE34760.1","RYR2 protein")</f>
        <v>RYR2 protein</v>
      </c>
      <c r="J641">
        <v>6011.03</v>
      </c>
      <c r="K641" t="s">
        <v>22</v>
      </c>
      <c r="L641">
        <v>276</v>
      </c>
      <c r="M641">
        <v>9.75</v>
      </c>
      <c r="N641">
        <v>57.5</v>
      </c>
      <c r="O641" t="s">
        <v>19</v>
      </c>
      <c r="P641" t="s">
        <v>20</v>
      </c>
      <c r="Q641" t="s">
        <v>19</v>
      </c>
      <c r="R641" t="str">
        <f>HYPERLINK("https://cfpub.epa.gov/ecotox/explore.cfm?ncbi=449384","Explore in ECOTOX")</f>
        <v>Explore in ECOTOX</v>
      </c>
    </row>
    <row r="642" spans="1:18" x14ac:dyDescent="0.45">
      <c r="A642" t="s">
        <v>1264</v>
      </c>
      <c r="B642">
        <v>8</v>
      </c>
      <c r="C642" t="str">
        <f>HYPERLINK("http://www.ncbi.nlm.nih.gov/protein/KAF1615957.1","KAF1615957.1")</f>
        <v>KAF1615957.1</v>
      </c>
      <c r="D642">
        <v>14670</v>
      </c>
      <c r="E642" t="str">
        <f>HYPERLINK("http://www.ncbi.nlm.nih.gov/Taxonomy/Browser/wwwtax.cgi?mode=Info&amp;id=79627&amp;lvl=3&amp;lin=f&amp;keep=1&amp;srchmode=1&amp;unlock","79627")</f>
        <v>79627</v>
      </c>
      <c r="F642" t="s">
        <v>241</v>
      </c>
      <c r="G642" t="str">
        <f>HYPERLINK("http://www.ncbi.nlm.nih.gov/Taxonomy/Browser/wwwtax.cgi?mode=Info&amp;id=79627&amp;lvl=3&amp;lin=f&amp;keep=1&amp;srchmode=1&amp;unlock","Eudyptes chrysolophus")</f>
        <v>Eudyptes chrysolophus</v>
      </c>
      <c r="H642" t="s">
        <v>636</v>
      </c>
      <c r="I642" t="str">
        <f>HYPERLINK("http://www.ncbi.nlm.nih.gov/protein/KAF1615957.1","Ryanodine receptor 2, partial")</f>
        <v>Ryanodine receptor 2, partial</v>
      </c>
      <c r="J642">
        <v>6009.87</v>
      </c>
      <c r="K642" t="s">
        <v>22</v>
      </c>
      <c r="L642">
        <v>276</v>
      </c>
      <c r="M642">
        <v>9.75</v>
      </c>
      <c r="N642">
        <v>57.49</v>
      </c>
      <c r="O642" t="s">
        <v>19</v>
      </c>
      <c r="P642" t="s">
        <v>20</v>
      </c>
      <c r="Q642" t="s">
        <v>19</v>
      </c>
      <c r="R642" t="str">
        <f>HYPERLINK("https://cfpub.epa.gov/ecotox/explore.cfm?ncbi=79627","Explore in ECOTOX")</f>
        <v>Explore in ECOTOX</v>
      </c>
    </row>
    <row r="643" spans="1:18" x14ac:dyDescent="0.45">
      <c r="A643" t="s">
        <v>1264</v>
      </c>
      <c r="B643">
        <v>8</v>
      </c>
      <c r="C643" t="str">
        <f>HYPERLINK("http://www.ncbi.nlm.nih.gov/protein/KAF1401898.1","KAF1401898.1")</f>
        <v>KAF1401898.1</v>
      </c>
      <c r="D643">
        <v>15617</v>
      </c>
      <c r="E643" t="str">
        <f>HYPERLINK("http://www.ncbi.nlm.nih.gov/Taxonomy/Browser/wwwtax.cgi?mode=Info&amp;id=37081&amp;lvl=3&amp;lin=f&amp;keep=1&amp;srchmode=1&amp;unlock","37081")</f>
        <v>37081</v>
      </c>
      <c r="F643" t="s">
        <v>241</v>
      </c>
      <c r="G643" t="str">
        <f>HYPERLINK("http://www.ncbi.nlm.nih.gov/Taxonomy/Browser/wwwtax.cgi?mode=Info&amp;id=37081&amp;lvl=3&amp;lin=f&amp;keep=1&amp;srchmode=1&amp;unlock","Spheniscus magellanicus")</f>
        <v>Spheniscus magellanicus</v>
      </c>
      <c r="H643" t="s">
        <v>637</v>
      </c>
      <c r="I643" t="str">
        <f>HYPERLINK("http://www.ncbi.nlm.nih.gov/protein/KAF1401898.1","Ryanodine receptor 2, partial")</f>
        <v>Ryanodine receptor 2, partial</v>
      </c>
      <c r="J643">
        <v>6009.48</v>
      </c>
      <c r="K643" t="s">
        <v>22</v>
      </c>
      <c r="L643">
        <v>276</v>
      </c>
      <c r="M643">
        <v>9.75</v>
      </c>
      <c r="N643">
        <v>57.49</v>
      </c>
      <c r="O643" t="s">
        <v>19</v>
      </c>
      <c r="P643" t="s">
        <v>20</v>
      </c>
      <c r="Q643" t="s">
        <v>19</v>
      </c>
      <c r="R643" t="str">
        <f>HYPERLINK("https://cfpub.epa.gov/ecotox/explore.cfm?ncbi=37081","Explore in ECOTOX")</f>
        <v>Explore in ECOTOX</v>
      </c>
    </row>
    <row r="644" spans="1:18" x14ac:dyDescent="0.45">
      <c r="A644" t="s">
        <v>1264</v>
      </c>
      <c r="B644">
        <v>8</v>
      </c>
      <c r="C644" t="str">
        <f>HYPERLINK("http://www.ncbi.nlm.nih.gov/protein/NXE21072.1","NXE21072.1")</f>
        <v>NXE21072.1</v>
      </c>
      <c r="D644">
        <v>13746</v>
      </c>
      <c r="E644" t="str">
        <f>HYPERLINK("http://www.ncbi.nlm.nih.gov/Taxonomy/Browser/wwwtax.cgi?mode=Info&amp;id=89386&amp;lvl=3&amp;lin=f&amp;keep=1&amp;srchmode=1&amp;unlock","89386")</f>
        <v>89386</v>
      </c>
      <c r="F644" t="s">
        <v>241</v>
      </c>
      <c r="G644" t="str">
        <f>HYPERLINK("http://www.ncbi.nlm.nih.gov/Taxonomy/Browser/wwwtax.cgi?mode=Info&amp;id=89386&amp;lvl=3&amp;lin=f&amp;keep=1&amp;srchmode=1&amp;unlock","Ardeotis kori")</f>
        <v>Ardeotis kori</v>
      </c>
      <c r="H644" t="s">
        <v>638</v>
      </c>
      <c r="I644" t="str">
        <f>HYPERLINK("http://www.ncbi.nlm.nih.gov/protein/NXE21072.1","RYR2 protein")</f>
        <v>RYR2 protein</v>
      </c>
      <c r="J644">
        <v>6009.1</v>
      </c>
      <c r="K644" t="s">
        <v>22</v>
      </c>
      <c r="L644">
        <v>276</v>
      </c>
      <c r="M644">
        <v>9.75</v>
      </c>
      <c r="N644">
        <v>57.48</v>
      </c>
      <c r="O644" t="s">
        <v>19</v>
      </c>
      <c r="P644" t="s">
        <v>20</v>
      </c>
      <c r="Q644" t="s">
        <v>19</v>
      </c>
      <c r="R644" t="str">
        <f>HYPERLINK("https://cfpub.epa.gov/ecotox/explore.cfm?ncbi=89386","Explore in ECOTOX")</f>
        <v>Explore in ECOTOX</v>
      </c>
    </row>
    <row r="645" spans="1:18" x14ac:dyDescent="0.45">
      <c r="A645" t="s">
        <v>1264</v>
      </c>
      <c r="B645">
        <v>8</v>
      </c>
      <c r="C645" t="str">
        <f>HYPERLINK("http://www.ncbi.nlm.nih.gov/protein/XP_036309300.1","XP_036309300.1")</f>
        <v>XP_036309300.1</v>
      </c>
      <c r="D645">
        <v>98397</v>
      </c>
      <c r="E645" t="str">
        <f>HYPERLINK("http://www.ncbi.nlm.nih.gov/Taxonomy/Browser/wwwtax.cgi?mode=Info&amp;id=59472&amp;lvl=3&amp;lin=f&amp;keep=1&amp;srchmode=1&amp;unlock","59472")</f>
        <v>59472</v>
      </c>
      <c r="F645" t="s">
        <v>96</v>
      </c>
      <c r="G645" t="str">
        <f>HYPERLINK("http://www.ncbi.nlm.nih.gov/Taxonomy/Browser/wwwtax.cgi?mode=Info&amp;id=59472&amp;lvl=3&amp;lin=f&amp;keep=1&amp;srchmode=1&amp;unlock","Pipistrellus kuhlii")</f>
        <v>Pipistrellus kuhlii</v>
      </c>
      <c r="H645" t="s">
        <v>639</v>
      </c>
      <c r="I645" t="str">
        <f>HYPERLINK("http://www.ncbi.nlm.nih.gov/protein/XP_036309300.1","ryanodine receptor 2 isoform X4")</f>
        <v>ryanodine receptor 2 isoform X4</v>
      </c>
      <c r="J645">
        <v>6009.1</v>
      </c>
      <c r="K645" t="s">
        <v>22</v>
      </c>
      <c r="L645">
        <v>276</v>
      </c>
      <c r="M645">
        <v>9.75</v>
      </c>
      <c r="N645">
        <v>57.48</v>
      </c>
      <c r="O645" t="s">
        <v>19</v>
      </c>
      <c r="P645" t="s">
        <v>20</v>
      </c>
      <c r="Q645" t="s">
        <v>19</v>
      </c>
      <c r="R645" t="str">
        <f>HYPERLINK("https://cfpub.epa.gov/ecotox/explore.cfm?ncbi=59472","Explore in ECOTOX")</f>
        <v>Explore in ECOTOX</v>
      </c>
    </row>
    <row r="646" spans="1:18" x14ac:dyDescent="0.45">
      <c r="A646" t="s">
        <v>1264</v>
      </c>
      <c r="B646">
        <v>8</v>
      </c>
      <c r="C646" t="str">
        <f>HYPERLINK("http://www.ncbi.nlm.nih.gov/protein/KAF1463728.1","KAF1463728.1")</f>
        <v>KAF1463728.1</v>
      </c>
      <c r="D646">
        <v>14293</v>
      </c>
      <c r="E646" t="str">
        <f>HYPERLINK("http://www.ncbi.nlm.nih.gov/Taxonomy/Browser/wwwtax.cgi?mode=Info&amp;id=92683&amp;lvl=3&amp;lin=f&amp;keep=1&amp;srchmode=1&amp;unlock","92683")</f>
        <v>92683</v>
      </c>
      <c r="F646" t="s">
        <v>241</v>
      </c>
      <c r="G646" t="str">
        <f>HYPERLINK("http://www.ncbi.nlm.nih.gov/Taxonomy/Browser/wwwtax.cgi?mode=Info&amp;id=92683&amp;lvl=3&amp;lin=f&amp;keep=1&amp;srchmode=1&amp;unlock","Spheniscus demersus")</f>
        <v>Spheniscus demersus</v>
      </c>
      <c r="H646" t="s">
        <v>640</v>
      </c>
      <c r="I646" t="str">
        <f>HYPERLINK("http://www.ncbi.nlm.nih.gov/protein/KAF1463728.1","Ryanodine receptor 2, partial")</f>
        <v>Ryanodine receptor 2, partial</v>
      </c>
      <c r="J646">
        <v>6008.71</v>
      </c>
      <c r="K646" t="s">
        <v>22</v>
      </c>
      <c r="L646">
        <v>276</v>
      </c>
      <c r="M646">
        <v>9.75</v>
      </c>
      <c r="N646">
        <v>57.48</v>
      </c>
      <c r="O646" t="s">
        <v>19</v>
      </c>
      <c r="P646" t="s">
        <v>20</v>
      </c>
      <c r="Q646" t="s">
        <v>19</v>
      </c>
      <c r="R646" t="str">
        <f>HYPERLINK("https://cfpub.epa.gov/ecotox/explore.cfm?ncbi=92683","Explore in ECOTOX")</f>
        <v>Explore in ECOTOX</v>
      </c>
    </row>
    <row r="647" spans="1:18" x14ac:dyDescent="0.45">
      <c r="A647" t="s">
        <v>1264</v>
      </c>
      <c r="B647">
        <v>8</v>
      </c>
      <c r="C647" t="str">
        <f>HYPERLINK("http://www.ncbi.nlm.nih.gov/protein/NWT08499.1","NWT08499.1")</f>
        <v>NWT08499.1</v>
      </c>
      <c r="D647">
        <v>14153</v>
      </c>
      <c r="E647" t="str">
        <f>HYPERLINK("http://www.ncbi.nlm.nih.gov/Taxonomy/Browser/wwwtax.cgi?mode=Info&amp;id=34956&amp;lvl=3&amp;lin=f&amp;keep=1&amp;srchmode=1&amp;unlock","34956")</f>
        <v>34956</v>
      </c>
      <c r="F647" t="s">
        <v>241</v>
      </c>
      <c r="G647" t="str">
        <f>HYPERLINK("http://www.ncbi.nlm.nih.gov/Taxonomy/Browser/wwwtax.cgi?mode=Info&amp;id=34956&amp;lvl=3&amp;lin=f&amp;keep=1&amp;srchmode=1&amp;unlock","Vireo altiloquus")</f>
        <v>Vireo altiloquus</v>
      </c>
      <c r="H647" t="s">
        <v>641</v>
      </c>
      <c r="I647" t="str">
        <f>HYPERLINK("http://www.ncbi.nlm.nih.gov/protein/NWT08499.1","RYR2 protein")</f>
        <v>RYR2 protein</v>
      </c>
      <c r="J647">
        <v>6008.33</v>
      </c>
      <c r="K647" t="s">
        <v>22</v>
      </c>
      <c r="L647">
        <v>276</v>
      </c>
      <c r="M647">
        <v>9.75</v>
      </c>
      <c r="N647">
        <v>57.47</v>
      </c>
      <c r="O647" t="s">
        <v>19</v>
      </c>
      <c r="P647" t="s">
        <v>20</v>
      </c>
      <c r="Q647" t="s">
        <v>19</v>
      </c>
      <c r="R647" t="str">
        <f>HYPERLINK("https://cfpub.epa.gov/ecotox/explore.cfm?ncbi=34956","Explore in ECOTOX")</f>
        <v>Explore in ECOTOX</v>
      </c>
    </row>
    <row r="648" spans="1:18" x14ac:dyDescent="0.45">
      <c r="A648" t="s">
        <v>1264</v>
      </c>
      <c r="B648">
        <v>8</v>
      </c>
      <c r="C648" t="str">
        <f>HYPERLINK("http://www.ncbi.nlm.nih.gov/protein/KAF1658226.1","KAF1658226.1")</f>
        <v>KAF1658226.1</v>
      </c>
      <c r="D648">
        <v>14000</v>
      </c>
      <c r="E648" t="str">
        <f>HYPERLINK("http://www.ncbi.nlm.nih.gov/Taxonomy/Browser/wwwtax.cgi?mode=Info&amp;id=9234&amp;lvl=3&amp;lin=f&amp;keep=1&amp;srchmode=1&amp;unlock","9234")</f>
        <v>9234</v>
      </c>
      <c r="F648" t="s">
        <v>241</v>
      </c>
      <c r="G648" t="str">
        <f>HYPERLINK("http://www.ncbi.nlm.nih.gov/Taxonomy/Browser/wwwtax.cgi?mode=Info&amp;id=9234&amp;lvl=3&amp;lin=f&amp;keep=1&amp;srchmode=1&amp;unlock","Aptenodytes patagonicus")</f>
        <v>Aptenodytes patagonicus</v>
      </c>
      <c r="H648" t="s">
        <v>642</v>
      </c>
      <c r="I648" t="str">
        <f>HYPERLINK("http://www.ncbi.nlm.nih.gov/protein/KAF1658226.1","Ryanodine receptor 2, partial")</f>
        <v>Ryanodine receptor 2, partial</v>
      </c>
      <c r="J648">
        <v>6007.56</v>
      </c>
      <c r="K648" t="s">
        <v>22</v>
      </c>
      <c r="L648">
        <v>276</v>
      </c>
      <c r="M648">
        <v>9.75</v>
      </c>
      <c r="N648">
        <v>57.47</v>
      </c>
      <c r="O648" t="s">
        <v>19</v>
      </c>
      <c r="P648" t="s">
        <v>20</v>
      </c>
      <c r="Q648" t="s">
        <v>19</v>
      </c>
      <c r="R648" t="str">
        <f>HYPERLINK("https://cfpub.epa.gov/ecotox/explore.cfm?ncbi=9234","Explore in ECOTOX")</f>
        <v>Explore in ECOTOX</v>
      </c>
    </row>
    <row r="649" spans="1:18" x14ac:dyDescent="0.45">
      <c r="A649" t="s">
        <v>1264</v>
      </c>
      <c r="B649">
        <v>8</v>
      </c>
      <c r="C649" t="str">
        <f>HYPERLINK("http://www.ncbi.nlm.nih.gov/protein/NXH91733.1","NXH91733.1")</f>
        <v>NXH91733.1</v>
      </c>
      <c r="D649">
        <v>13686</v>
      </c>
      <c r="E649" t="str">
        <f>HYPERLINK("http://www.ncbi.nlm.nih.gov/Taxonomy/Browser/wwwtax.cgi?mode=Info&amp;id=2585810&amp;lvl=3&amp;lin=f&amp;keep=1&amp;srchmode=1&amp;unlock","2585810")</f>
        <v>2585810</v>
      </c>
      <c r="F649" t="s">
        <v>241</v>
      </c>
      <c r="G649" t="str">
        <f>HYPERLINK("http://www.ncbi.nlm.nih.gov/Taxonomy/Browser/wwwtax.cgi?mode=Info&amp;id=2585810&amp;lvl=3&amp;lin=f&amp;keep=1&amp;srchmode=1&amp;unlock","Edolisoma coerulescens")</f>
        <v>Edolisoma coerulescens</v>
      </c>
      <c r="H649" t="s">
        <v>643</v>
      </c>
      <c r="I649" t="str">
        <f>HYPERLINK("http://www.ncbi.nlm.nih.gov/protein/NXH91733.1","RYR2 protein")</f>
        <v>RYR2 protein</v>
      </c>
      <c r="J649">
        <v>6007.56</v>
      </c>
      <c r="K649" t="s">
        <v>22</v>
      </c>
      <c r="L649">
        <v>276</v>
      </c>
      <c r="M649">
        <v>9.75</v>
      </c>
      <c r="N649">
        <v>57.47</v>
      </c>
      <c r="O649" t="s">
        <v>19</v>
      </c>
      <c r="P649" t="s">
        <v>20</v>
      </c>
      <c r="Q649" t="s">
        <v>19</v>
      </c>
      <c r="R649" t="str">
        <f>HYPERLINK("https://cfpub.epa.gov/ecotox/explore.cfm?ncbi=2585810","Explore in ECOTOX")</f>
        <v>Explore in ECOTOX</v>
      </c>
    </row>
    <row r="650" spans="1:18" x14ac:dyDescent="0.45">
      <c r="A650" t="s">
        <v>1264</v>
      </c>
      <c r="B650">
        <v>8</v>
      </c>
      <c r="C650" t="str">
        <f>HYPERLINK("http://www.ncbi.nlm.nih.gov/protein/KAF1405008.1","KAF1405008.1")</f>
        <v>KAF1405008.1</v>
      </c>
      <c r="D650">
        <v>14633</v>
      </c>
      <c r="E650" t="str">
        <f>HYPERLINK("http://www.ncbi.nlm.nih.gov/Taxonomy/Browser/wwwtax.cgi?mode=Info&amp;id=156760&amp;lvl=3&amp;lin=f&amp;keep=1&amp;srchmode=1&amp;unlock","156760")</f>
        <v>156760</v>
      </c>
      <c r="F650" t="s">
        <v>241</v>
      </c>
      <c r="G650" t="str">
        <f>HYPERLINK("http://www.ncbi.nlm.nih.gov/Taxonomy/Browser/wwwtax.cgi?mode=Info&amp;id=156760&amp;lvl=3&amp;lin=f&amp;keep=1&amp;srchmode=1&amp;unlock","Spheniscus mendiculus")</f>
        <v>Spheniscus mendiculus</v>
      </c>
      <c r="H650" t="s">
        <v>644</v>
      </c>
      <c r="I650" t="str">
        <f>HYPERLINK("http://www.ncbi.nlm.nih.gov/protein/KAF1405008.1","Ryanodine receptor 2, partial")</f>
        <v>Ryanodine receptor 2, partial</v>
      </c>
      <c r="J650">
        <v>6007.17</v>
      </c>
      <c r="K650" t="s">
        <v>22</v>
      </c>
      <c r="L650">
        <v>276</v>
      </c>
      <c r="M650">
        <v>9.75</v>
      </c>
      <c r="N650">
        <v>57.46</v>
      </c>
      <c r="O650" t="s">
        <v>19</v>
      </c>
      <c r="P650" t="s">
        <v>20</v>
      </c>
      <c r="Q650" t="s">
        <v>19</v>
      </c>
      <c r="R650" t="str">
        <f>HYPERLINK("https://cfpub.epa.gov/ecotox/explore.cfm?ncbi=156760","Explore in ECOTOX")</f>
        <v>Explore in ECOTOX</v>
      </c>
    </row>
    <row r="651" spans="1:18" x14ac:dyDescent="0.45">
      <c r="A651" t="s">
        <v>1264</v>
      </c>
      <c r="B651">
        <v>8</v>
      </c>
      <c r="C651" t="str">
        <f>HYPERLINK("http://www.ncbi.nlm.nih.gov/protein/NWR08262.1","NWR08262.1")</f>
        <v>NWR08262.1</v>
      </c>
      <c r="D651">
        <v>14785</v>
      </c>
      <c r="E651" t="str">
        <f>HYPERLINK("http://www.ncbi.nlm.nih.gov/Taxonomy/Browser/wwwtax.cgi?mode=Info&amp;id=337173&amp;lvl=3&amp;lin=f&amp;keep=1&amp;srchmode=1&amp;unlock","337173")</f>
        <v>337173</v>
      </c>
      <c r="F651" t="s">
        <v>241</v>
      </c>
      <c r="G651" t="str">
        <f>HYPERLINK("http://www.ncbi.nlm.nih.gov/Taxonomy/Browser/wwwtax.cgi?mode=Info&amp;id=337173&amp;lvl=3&amp;lin=f&amp;keep=1&amp;srchmode=1&amp;unlock","Sinosuthora webbiana")</f>
        <v>Sinosuthora webbiana</v>
      </c>
      <c r="H651" t="s">
        <v>645</v>
      </c>
      <c r="I651" t="str">
        <f>HYPERLINK("http://www.ncbi.nlm.nih.gov/protein/NWR08262.1","RYR2 protein")</f>
        <v>RYR2 protein</v>
      </c>
      <c r="J651">
        <v>6006.4</v>
      </c>
      <c r="K651" t="s">
        <v>22</v>
      </c>
      <c r="L651">
        <v>276</v>
      </c>
      <c r="M651">
        <v>9.75</v>
      </c>
      <c r="N651">
        <v>57.46</v>
      </c>
      <c r="O651" t="s">
        <v>19</v>
      </c>
      <c r="P651" t="s">
        <v>20</v>
      </c>
      <c r="Q651" t="s">
        <v>19</v>
      </c>
      <c r="R651" t="str">
        <f>HYPERLINK("https://cfpub.epa.gov/ecotox/explore.cfm?ncbi=337173","Explore in ECOTOX")</f>
        <v>Explore in ECOTOX</v>
      </c>
    </row>
    <row r="652" spans="1:18" x14ac:dyDescent="0.45">
      <c r="A652" t="s">
        <v>1264</v>
      </c>
      <c r="B652">
        <v>8</v>
      </c>
      <c r="C652" t="str">
        <f>HYPERLINK("http://www.ncbi.nlm.nih.gov/protein/NWW56487.1","NWW56487.1")</f>
        <v>NWW56487.1</v>
      </c>
      <c r="D652">
        <v>14068</v>
      </c>
      <c r="E652" t="str">
        <f>HYPERLINK("http://www.ncbi.nlm.nih.gov/Taxonomy/Browser/wwwtax.cgi?mode=Info&amp;id=461245&amp;lvl=3&amp;lin=f&amp;keep=1&amp;srchmode=1&amp;unlock","461245")</f>
        <v>461245</v>
      </c>
      <c r="F652" t="s">
        <v>241</v>
      </c>
      <c r="G652" t="str">
        <f>HYPERLINK("http://www.ncbi.nlm.nih.gov/Taxonomy/Browser/wwwtax.cgi?mode=Info&amp;id=461245&amp;lvl=3&amp;lin=f&amp;keep=1&amp;srchmode=1&amp;unlock","Ifrita kowaldi")</f>
        <v>Ifrita kowaldi</v>
      </c>
      <c r="H652" t="s">
        <v>646</v>
      </c>
      <c r="I652" t="str">
        <f>HYPERLINK("http://www.ncbi.nlm.nih.gov/protein/NWW56487.1","RYR2 protein")</f>
        <v>RYR2 protein</v>
      </c>
      <c r="J652">
        <v>6006.02</v>
      </c>
      <c r="K652" t="s">
        <v>22</v>
      </c>
      <c r="L652">
        <v>276</v>
      </c>
      <c r="M652">
        <v>9.75</v>
      </c>
      <c r="N652">
        <v>57.45</v>
      </c>
      <c r="O652" t="s">
        <v>19</v>
      </c>
      <c r="P652" t="s">
        <v>20</v>
      </c>
      <c r="Q652" t="s">
        <v>19</v>
      </c>
      <c r="R652" t="str">
        <f>HYPERLINK("https://cfpub.epa.gov/ecotox/explore.cfm?ncbi=461245","Explore in ECOTOX")</f>
        <v>Explore in ECOTOX</v>
      </c>
    </row>
    <row r="653" spans="1:18" x14ac:dyDescent="0.45">
      <c r="A653" t="s">
        <v>1264</v>
      </c>
      <c r="B653">
        <v>8</v>
      </c>
      <c r="C653" t="str">
        <f>HYPERLINK("http://www.ncbi.nlm.nih.gov/protein/NWZ59656.1","NWZ59656.1")</f>
        <v>NWZ59656.1</v>
      </c>
      <c r="D653">
        <v>45035</v>
      </c>
      <c r="E653" t="str">
        <f>HYPERLINK("http://www.ncbi.nlm.nih.gov/Taxonomy/Browser/wwwtax.cgi?mode=Info&amp;id=8969&amp;lvl=3&amp;lin=f&amp;keep=1&amp;srchmode=1&amp;unlock","8969")</f>
        <v>8969</v>
      </c>
      <c r="F653" t="s">
        <v>241</v>
      </c>
      <c r="G653" t="str">
        <f>HYPERLINK("http://www.ncbi.nlm.nih.gov/Taxonomy/Browser/wwwtax.cgi?mode=Info&amp;id=8969&amp;lvl=3&amp;lin=f&amp;keep=1&amp;srchmode=1&amp;unlock","Haliaeetus albicilla")</f>
        <v>Haliaeetus albicilla</v>
      </c>
      <c r="H653" t="s">
        <v>647</v>
      </c>
      <c r="I653" t="str">
        <f>HYPERLINK("http://www.ncbi.nlm.nih.gov/protein/NWZ59656.1","RYR2 protein")</f>
        <v>RYR2 protein</v>
      </c>
      <c r="J653">
        <v>6006.02</v>
      </c>
      <c r="K653" t="s">
        <v>22</v>
      </c>
      <c r="L653">
        <v>276</v>
      </c>
      <c r="M653">
        <v>9.75</v>
      </c>
      <c r="N653">
        <v>57.45</v>
      </c>
      <c r="O653" t="s">
        <v>19</v>
      </c>
      <c r="P653" t="s">
        <v>20</v>
      </c>
      <c r="Q653" t="s">
        <v>19</v>
      </c>
      <c r="R653" t="str">
        <f>HYPERLINK("https://cfpub.epa.gov/ecotox/explore.cfm?ncbi=8969","Explore in ECOTOX")</f>
        <v>Explore in ECOTOX</v>
      </c>
    </row>
    <row r="654" spans="1:18" x14ac:dyDescent="0.45">
      <c r="A654" t="s">
        <v>1264</v>
      </c>
      <c r="B654">
        <v>8</v>
      </c>
      <c r="C654" t="str">
        <f>HYPERLINK("http://www.ncbi.nlm.nih.gov/protein/KAF1467559.1","KAF1467559.1")</f>
        <v>KAF1467559.1</v>
      </c>
      <c r="D654">
        <v>14562</v>
      </c>
      <c r="E654" t="str">
        <f>HYPERLINK("http://www.ncbi.nlm.nih.gov/Taxonomy/Browser/wwwtax.cgi?mode=Info&amp;id=2517240&amp;lvl=3&amp;lin=f&amp;keep=1&amp;srchmode=1&amp;unlock","2517240")</f>
        <v>2517240</v>
      </c>
      <c r="F654" t="s">
        <v>241</v>
      </c>
      <c r="G654" t="str">
        <f>HYPERLINK("http://www.ncbi.nlm.nih.gov/Taxonomy/Browser/wwwtax.cgi?mode=Info&amp;id=2517240&amp;lvl=3&amp;lin=f&amp;keep=1&amp;srchmode=1&amp;unlock","Megadyptes antipodes antipodes")</f>
        <v>Megadyptes antipodes antipodes</v>
      </c>
      <c r="H654" t="s">
        <v>648</v>
      </c>
      <c r="I654" t="str">
        <f>HYPERLINK("http://www.ncbi.nlm.nih.gov/protein/KAF1467559.1","Ryanodine receptor 2, partial")</f>
        <v>Ryanodine receptor 2, partial</v>
      </c>
      <c r="J654">
        <v>6004.86</v>
      </c>
      <c r="K654" t="s">
        <v>22</v>
      </c>
      <c r="L654">
        <v>276</v>
      </c>
      <c r="M654">
        <v>9.75</v>
      </c>
      <c r="N654">
        <v>57.44</v>
      </c>
      <c r="O654" t="s">
        <v>19</v>
      </c>
      <c r="P654" t="s">
        <v>20</v>
      </c>
      <c r="Q654" t="s">
        <v>19</v>
      </c>
      <c r="R654" t="str">
        <f>HYPERLINK("https://cfpub.epa.gov/ecotox/explore.cfm?ncbi=2517240","Explore in ECOTOX")</f>
        <v>Explore in ECOTOX</v>
      </c>
    </row>
    <row r="655" spans="1:18" x14ac:dyDescent="0.45">
      <c r="A655" t="s">
        <v>1264</v>
      </c>
      <c r="B655">
        <v>8</v>
      </c>
      <c r="C655" t="str">
        <f>HYPERLINK("http://www.ncbi.nlm.nih.gov/protein/XP_040134456.1","XP_040134456.1")</f>
        <v>XP_040134456.1</v>
      </c>
      <c r="D655">
        <v>94499</v>
      </c>
      <c r="E655" t="str">
        <f>HYPERLINK("http://www.ncbi.nlm.nih.gov/Taxonomy/Browser/wwwtax.cgi?mode=Info&amp;id=43179&amp;lvl=3&amp;lin=f&amp;keep=1&amp;srchmode=1&amp;unlock","43179")</f>
        <v>43179</v>
      </c>
      <c r="F655" t="s">
        <v>96</v>
      </c>
      <c r="G655" t="str">
        <f>HYPERLINK("http://www.ncbi.nlm.nih.gov/Taxonomy/Browser/wwwtax.cgi?mode=Info&amp;id=43179&amp;lvl=3&amp;lin=f&amp;keep=1&amp;srchmode=1&amp;unlock","Ictidomys tridecemlineatus")</f>
        <v>Ictidomys tridecemlineatus</v>
      </c>
      <c r="H655" t="s">
        <v>649</v>
      </c>
      <c r="I655" t="str">
        <f>HYPERLINK("http://www.ncbi.nlm.nih.gov/protein/XP_040134456.1","ryanodine receptor 2")</f>
        <v>ryanodine receptor 2</v>
      </c>
      <c r="J655">
        <v>6004.86</v>
      </c>
      <c r="K655" t="s">
        <v>22</v>
      </c>
      <c r="L655">
        <v>276</v>
      </c>
      <c r="M655">
        <v>9.75</v>
      </c>
      <c r="N655">
        <v>57.44</v>
      </c>
      <c r="O655" t="s">
        <v>19</v>
      </c>
      <c r="P655" t="s">
        <v>20</v>
      </c>
      <c r="Q655" t="s">
        <v>19</v>
      </c>
      <c r="R655" t="str">
        <f>HYPERLINK("https://cfpub.epa.gov/ecotox/explore.cfm?ncbi=43179","Explore in ECOTOX")</f>
        <v>Explore in ECOTOX</v>
      </c>
    </row>
    <row r="656" spans="1:18" x14ac:dyDescent="0.45">
      <c r="A656" t="s">
        <v>1264</v>
      </c>
      <c r="B656">
        <v>8</v>
      </c>
      <c r="C656" t="str">
        <f>HYPERLINK("http://www.ncbi.nlm.nih.gov/protein/NWV93301.1","NWV93301.1")</f>
        <v>NWV93301.1</v>
      </c>
      <c r="D656">
        <v>13983</v>
      </c>
      <c r="E656" t="str">
        <f>HYPERLINK("http://www.ncbi.nlm.nih.gov/Taxonomy/Browser/wwwtax.cgi?mode=Info&amp;id=1160894&amp;lvl=3&amp;lin=f&amp;keep=1&amp;srchmode=1&amp;unlock","1160894")</f>
        <v>1160894</v>
      </c>
      <c r="F656" t="s">
        <v>241</v>
      </c>
      <c r="G656" t="str">
        <f>HYPERLINK("http://www.ncbi.nlm.nih.gov/Taxonomy/Browser/wwwtax.cgi?mode=Info&amp;id=1160894&amp;lvl=3&amp;lin=f&amp;keep=1&amp;srchmode=1&amp;unlock","Machaerirhynchus nigripectus")</f>
        <v>Machaerirhynchus nigripectus</v>
      </c>
      <c r="H656" t="s">
        <v>435</v>
      </c>
      <c r="I656" t="str">
        <f>HYPERLINK("http://www.ncbi.nlm.nih.gov/protein/NWV93301.1","RYR2 protein")</f>
        <v>RYR2 protein</v>
      </c>
      <c r="J656">
        <v>6004.48</v>
      </c>
      <c r="K656" t="s">
        <v>22</v>
      </c>
      <c r="L656">
        <v>276</v>
      </c>
      <c r="M656">
        <v>9.75</v>
      </c>
      <c r="N656">
        <v>57.44</v>
      </c>
      <c r="O656" t="s">
        <v>19</v>
      </c>
      <c r="P656" t="s">
        <v>20</v>
      </c>
      <c r="Q656" t="s">
        <v>19</v>
      </c>
      <c r="R656" t="str">
        <f>HYPERLINK("https://cfpub.epa.gov/ecotox/explore.cfm?ncbi=1160894","Explore in ECOTOX")</f>
        <v>Explore in ECOTOX</v>
      </c>
    </row>
    <row r="657" spans="1:18" x14ac:dyDescent="0.45">
      <c r="A657" t="s">
        <v>1264</v>
      </c>
      <c r="B657">
        <v>8</v>
      </c>
      <c r="C657" t="str">
        <f>HYPERLINK("http://www.ncbi.nlm.nih.gov/protein/NXE11652.1","NXE11652.1")</f>
        <v>NXE11652.1</v>
      </c>
      <c r="D657">
        <v>13942</v>
      </c>
      <c r="E657" t="str">
        <f>HYPERLINK("http://www.ncbi.nlm.nih.gov/Taxonomy/Browser/wwwtax.cgi?mode=Info&amp;id=172689&amp;lvl=3&amp;lin=f&amp;keep=1&amp;srchmode=1&amp;unlock","172689")</f>
        <v>172689</v>
      </c>
      <c r="F657" t="s">
        <v>241</v>
      </c>
      <c r="G657" t="str">
        <f>HYPERLINK("http://www.ncbi.nlm.nih.gov/Taxonomy/Browser/wwwtax.cgi?mode=Info&amp;id=172689&amp;lvl=3&amp;lin=f&amp;keep=1&amp;srchmode=1&amp;unlock","Lophotis ruficrista")</f>
        <v>Lophotis ruficrista</v>
      </c>
      <c r="H657" t="s">
        <v>638</v>
      </c>
      <c r="I657" t="str">
        <f>HYPERLINK("http://www.ncbi.nlm.nih.gov/protein/NXE11652.1","RYR2 protein")</f>
        <v>RYR2 protein</v>
      </c>
      <c r="J657">
        <v>6003.71</v>
      </c>
      <c r="K657" t="s">
        <v>22</v>
      </c>
      <c r="L657">
        <v>276</v>
      </c>
      <c r="M657">
        <v>9.75</v>
      </c>
      <c r="N657">
        <v>57.43</v>
      </c>
      <c r="O657" t="s">
        <v>19</v>
      </c>
      <c r="P657" t="s">
        <v>20</v>
      </c>
      <c r="Q657" t="s">
        <v>19</v>
      </c>
      <c r="R657" t="str">
        <f>HYPERLINK("https://cfpub.epa.gov/ecotox/explore.cfm?ncbi=172689","Explore in ECOTOX")</f>
        <v>Explore in ECOTOX</v>
      </c>
    </row>
    <row r="658" spans="1:18" x14ac:dyDescent="0.45">
      <c r="A658" t="s">
        <v>1264</v>
      </c>
      <c r="B658">
        <v>8</v>
      </c>
      <c r="C658" t="str">
        <f>HYPERLINK("http://www.ncbi.nlm.nih.gov/protein/NWX29868.1","NWX29868.1")</f>
        <v>NWX29868.1</v>
      </c>
      <c r="D658">
        <v>13735</v>
      </c>
      <c r="E658" t="str">
        <f>HYPERLINK("http://www.ncbi.nlm.nih.gov/Taxonomy/Browser/wwwtax.cgi?mode=Info&amp;id=366454&amp;lvl=3&amp;lin=f&amp;keep=1&amp;srchmode=1&amp;unlock","366454")</f>
        <v>366454</v>
      </c>
      <c r="F658" t="s">
        <v>241</v>
      </c>
      <c r="G658" t="str">
        <f>HYPERLINK("http://www.ncbi.nlm.nih.gov/Taxonomy/Browser/wwwtax.cgi?mode=Info&amp;id=366454&amp;lvl=3&amp;lin=f&amp;keep=1&amp;srchmode=1&amp;unlock","Notiomystis cincta")</f>
        <v>Notiomystis cincta</v>
      </c>
      <c r="H658" t="s">
        <v>435</v>
      </c>
      <c r="I658" t="str">
        <f>HYPERLINK("http://www.ncbi.nlm.nih.gov/protein/NWX29868.1","RYR2 protein")</f>
        <v>RYR2 protein</v>
      </c>
      <c r="J658">
        <v>6003.71</v>
      </c>
      <c r="K658" t="s">
        <v>22</v>
      </c>
      <c r="L658">
        <v>276</v>
      </c>
      <c r="M658">
        <v>9.75</v>
      </c>
      <c r="N658">
        <v>57.43</v>
      </c>
      <c r="O658" t="s">
        <v>19</v>
      </c>
      <c r="P658" t="s">
        <v>20</v>
      </c>
      <c r="Q658" t="s">
        <v>19</v>
      </c>
      <c r="R658" t="str">
        <f>HYPERLINK("https://cfpub.epa.gov/ecotox/explore.cfm?ncbi=366454","Explore in ECOTOX")</f>
        <v>Explore in ECOTOX</v>
      </c>
    </row>
    <row r="659" spans="1:18" x14ac:dyDescent="0.45">
      <c r="A659" t="s">
        <v>1264</v>
      </c>
      <c r="B659">
        <v>8</v>
      </c>
      <c r="C659" t="str">
        <f>HYPERLINK("http://www.ncbi.nlm.nih.gov/protein/NWV63945.1","NWV63945.1")</f>
        <v>NWV63945.1</v>
      </c>
      <c r="D659">
        <v>14078</v>
      </c>
      <c r="E659" t="str">
        <f>HYPERLINK("http://www.ncbi.nlm.nih.gov/Taxonomy/Browser/wwwtax.cgi?mode=Info&amp;id=720584&amp;lvl=3&amp;lin=f&amp;keep=1&amp;srchmode=1&amp;unlock","720584")</f>
        <v>720584</v>
      </c>
      <c r="F659" t="s">
        <v>241</v>
      </c>
      <c r="G659" t="str">
        <f>HYPERLINK("http://www.ncbi.nlm.nih.gov/Taxonomy/Browser/wwwtax.cgi?mode=Info&amp;id=720584&amp;lvl=3&amp;lin=f&amp;keep=1&amp;srchmode=1&amp;unlock","Malurus elegans")</f>
        <v>Malurus elegans</v>
      </c>
      <c r="H659" t="s">
        <v>650</v>
      </c>
      <c r="I659" t="str">
        <f>HYPERLINK("http://www.ncbi.nlm.nih.gov/protein/NWV63945.1","RYR2 protein")</f>
        <v>RYR2 protein</v>
      </c>
      <c r="J659">
        <v>6003.32</v>
      </c>
      <c r="K659" t="s">
        <v>22</v>
      </c>
      <c r="L659">
        <v>276</v>
      </c>
      <c r="M659">
        <v>9.75</v>
      </c>
      <c r="N659">
        <v>57.43</v>
      </c>
      <c r="O659" t="s">
        <v>19</v>
      </c>
      <c r="P659" t="s">
        <v>20</v>
      </c>
      <c r="Q659" t="s">
        <v>19</v>
      </c>
      <c r="R659" t="str">
        <f>HYPERLINK("https://cfpub.epa.gov/ecotox/explore.cfm?ncbi=720584","Explore in ECOTOX")</f>
        <v>Explore in ECOTOX</v>
      </c>
    </row>
    <row r="660" spans="1:18" x14ac:dyDescent="0.45">
      <c r="A660" t="s">
        <v>1264</v>
      </c>
      <c r="B660">
        <v>8</v>
      </c>
      <c r="C660" t="str">
        <f>HYPERLINK("http://www.ncbi.nlm.nih.gov/protein/NXM21844.1","NXM21844.1")</f>
        <v>NXM21844.1</v>
      </c>
      <c r="D660">
        <v>13548</v>
      </c>
      <c r="E660" t="str">
        <f>HYPERLINK("http://www.ncbi.nlm.nih.gov/Taxonomy/Browser/wwwtax.cgi?mode=Info&amp;id=441696&amp;lvl=3&amp;lin=f&amp;keep=1&amp;srchmode=1&amp;unlock","441696")</f>
        <v>441696</v>
      </c>
      <c r="F660" t="s">
        <v>241</v>
      </c>
      <c r="G660" t="str">
        <f>HYPERLINK("http://www.ncbi.nlm.nih.gov/Taxonomy/Browser/wwwtax.cgi?mode=Info&amp;id=441696&amp;lvl=3&amp;lin=f&amp;keep=1&amp;srchmode=1&amp;unlock","Ploceus nigricollis")</f>
        <v>Ploceus nigricollis</v>
      </c>
      <c r="H660" t="s">
        <v>435</v>
      </c>
      <c r="I660" t="str">
        <f>HYPERLINK("http://www.ncbi.nlm.nih.gov/protein/NXM21844.1","RYR2 protein")</f>
        <v>RYR2 protein</v>
      </c>
      <c r="J660">
        <v>6002.94</v>
      </c>
      <c r="K660" t="s">
        <v>22</v>
      </c>
      <c r="L660">
        <v>276</v>
      </c>
      <c r="M660">
        <v>9.75</v>
      </c>
      <c r="N660">
        <v>57.42</v>
      </c>
      <c r="O660" t="s">
        <v>19</v>
      </c>
      <c r="P660" t="s">
        <v>20</v>
      </c>
      <c r="Q660" t="s">
        <v>19</v>
      </c>
      <c r="R660" t="str">
        <f>HYPERLINK("https://cfpub.epa.gov/ecotox/explore.cfm?ncbi=441696","Explore in ECOTOX")</f>
        <v>Explore in ECOTOX</v>
      </c>
    </row>
    <row r="661" spans="1:18" x14ac:dyDescent="0.45">
      <c r="A661" t="s">
        <v>1264</v>
      </c>
      <c r="B661">
        <v>8</v>
      </c>
      <c r="C661" t="str">
        <f>HYPERLINK("http://www.ncbi.nlm.nih.gov/protein/NXJ47614.1","NXJ47614.1")</f>
        <v>NXJ47614.1</v>
      </c>
      <c r="D661">
        <v>14391</v>
      </c>
      <c r="E661" t="str">
        <f>HYPERLINK("http://www.ncbi.nlm.nih.gov/Taxonomy/Browser/wwwtax.cgi?mode=Info&amp;id=252798&amp;lvl=3&amp;lin=f&amp;keep=1&amp;srchmode=1&amp;unlock","252798")</f>
        <v>252798</v>
      </c>
      <c r="F661" t="s">
        <v>241</v>
      </c>
      <c r="G661" t="str">
        <f>HYPERLINK("http://www.ncbi.nlm.nih.gov/Taxonomy/Browser/wwwtax.cgi?mode=Info&amp;id=252798&amp;lvl=3&amp;lin=f&amp;keep=1&amp;srchmode=1&amp;unlock","Spizaetus tyrannus")</f>
        <v>Spizaetus tyrannus</v>
      </c>
      <c r="H661" t="s">
        <v>651</v>
      </c>
      <c r="I661" t="str">
        <f>HYPERLINK("http://www.ncbi.nlm.nih.gov/protein/NXJ47614.1","RYR2 protein")</f>
        <v>RYR2 protein</v>
      </c>
      <c r="J661">
        <v>6002.55</v>
      </c>
      <c r="K661" t="s">
        <v>22</v>
      </c>
      <c r="L661">
        <v>276</v>
      </c>
      <c r="M661">
        <v>9.75</v>
      </c>
      <c r="N661">
        <v>57.42</v>
      </c>
      <c r="O661" t="s">
        <v>19</v>
      </c>
      <c r="P661" t="s">
        <v>20</v>
      </c>
      <c r="Q661" t="s">
        <v>19</v>
      </c>
      <c r="R661" t="str">
        <f>HYPERLINK("https://cfpub.epa.gov/ecotox/explore.cfm?ncbi=252798","Explore in ECOTOX")</f>
        <v>Explore in ECOTOX</v>
      </c>
    </row>
    <row r="662" spans="1:18" x14ac:dyDescent="0.45">
      <c r="A662" t="s">
        <v>1264</v>
      </c>
      <c r="B662">
        <v>8</v>
      </c>
      <c r="C662" t="str">
        <f>HYPERLINK("http://www.ncbi.nlm.nih.gov/protein/KAF1588986.1","KAF1588986.1")</f>
        <v>KAF1588986.1</v>
      </c>
      <c r="D662">
        <v>15484</v>
      </c>
      <c r="E662" t="str">
        <f>HYPERLINK("http://www.ncbi.nlm.nih.gov/Taxonomy/Browser/wwwtax.cgi?mode=Info&amp;id=2495534&amp;lvl=3&amp;lin=f&amp;keep=1&amp;srchmode=1&amp;unlock","2495534")</f>
        <v>2495534</v>
      </c>
      <c r="F662" t="s">
        <v>241</v>
      </c>
      <c r="G662" t="str">
        <f>HYPERLINK("http://www.ncbi.nlm.nih.gov/Taxonomy/Browser/wwwtax.cgi?mode=Info&amp;id=2495534&amp;lvl=3&amp;lin=f&amp;keep=1&amp;srchmode=1&amp;unlock","Eudyptes moseleyi")</f>
        <v>Eudyptes moseleyi</v>
      </c>
      <c r="H662" t="s">
        <v>652</v>
      </c>
      <c r="I662" t="str">
        <f>HYPERLINK("http://www.ncbi.nlm.nih.gov/protein/KAF1588986.1","Ryanodine receptor 2, partial")</f>
        <v>Ryanodine receptor 2, partial</v>
      </c>
      <c r="J662">
        <v>6002.55</v>
      </c>
      <c r="K662" t="s">
        <v>22</v>
      </c>
      <c r="L662">
        <v>276</v>
      </c>
      <c r="M662">
        <v>9.75</v>
      </c>
      <c r="N662">
        <v>57.42</v>
      </c>
      <c r="O662" t="s">
        <v>19</v>
      </c>
      <c r="P662" t="s">
        <v>20</v>
      </c>
      <c r="Q662" t="s">
        <v>19</v>
      </c>
      <c r="R662" t="str">
        <f>HYPERLINK("https://cfpub.epa.gov/ecotox/explore.cfm?ncbi=2495534","Explore in ECOTOX")</f>
        <v>Explore in ECOTOX</v>
      </c>
    </row>
    <row r="663" spans="1:18" x14ac:dyDescent="0.45">
      <c r="A663" t="s">
        <v>1264</v>
      </c>
      <c r="B663">
        <v>8</v>
      </c>
      <c r="C663" t="str">
        <f>HYPERLINK("http://www.ncbi.nlm.nih.gov/protein/NWW24151.1","NWW24151.1")</f>
        <v>NWW24151.1</v>
      </c>
      <c r="D663">
        <v>14502</v>
      </c>
      <c r="E663" t="str">
        <f>HYPERLINK("http://www.ncbi.nlm.nih.gov/Taxonomy/Browser/wwwtax.cgi?mode=Info&amp;id=254539&amp;lvl=3&amp;lin=f&amp;keep=1&amp;srchmode=1&amp;unlock","254539")</f>
        <v>254539</v>
      </c>
      <c r="F663" t="s">
        <v>241</v>
      </c>
      <c r="G663" t="str">
        <f>HYPERLINK("http://www.ncbi.nlm.nih.gov/Taxonomy/Browser/wwwtax.cgi?mode=Info&amp;id=254539&amp;lvl=3&amp;lin=f&amp;keep=1&amp;srchmode=1&amp;unlock","Falcunculus frontatus")</f>
        <v>Falcunculus frontatus</v>
      </c>
      <c r="H663" t="s">
        <v>653</v>
      </c>
      <c r="I663" t="str">
        <f>HYPERLINK("http://www.ncbi.nlm.nih.gov/protein/NWW24151.1","RYR2 protein")</f>
        <v>RYR2 protein</v>
      </c>
      <c r="J663">
        <v>6001.4</v>
      </c>
      <c r="K663" t="s">
        <v>22</v>
      </c>
      <c r="L663">
        <v>276</v>
      </c>
      <c r="M663">
        <v>9.75</v>
      </c>
      <c r="N663">
        <v>57.41</v>
      </c>
      <c r="O663" t="s">
        <v>19</v>
      </c>
      <c r="P663" t="s">
        <v>20</v>
      </c>
      <c r="Q663" t="s">
        <v>19</v>
      </c>
      <c r="R663" t="str">
        <f>HYPERLINK("https://cfpub.epa.gov/ecotox/explore.cfm?ncbi=254539","Explore in ECOTOX")</f>
        <v>Explore in ECOTOX</v>
      </c>
    </row>
    <row r="664" spans="1:18" x14ac:dyDescent="0.45">
      <c r="A664" t="s">
        <v>1264</v>
      </c>
      <c r="B664">
        <v>8</v>
      </c>
      <c r="C664" t="str">
        <f>HYPERLINK("http://www.ncbi.nlm.nih.gov/protein/KAF1563538.1","KAF1563538.1")</f>
        <v>KAF1563538.1</v>
      </c>
      <c r="D664">
        <v>17593</v>
      </c>
      <c r="E664" t="str">
        <f>HYPERLINK("http://www.ncbi.nlm.nih.gov/Taxonomy/Browser/wwwtax.cgi?mode=Info&amp;id=37080&amp;lvl=3&amp;lin=f&amp;keep=1&amp;srchmode=1&amp;unlock","37080")</f>
        <v>37080</v>
      </c>
      <c r="F664" t="s">
        <v>241</v>
      </c>
      <c r="G664" t="str">
        <f>HYPERLINK("http://www.ncbi.nlm.nih.gov/Taxonomy/Browser/wwwtax.cgi?mode=Info&amp;id=37080&amp;lvl=3&amp;lin=f&amp;keep=1&amp;srchmode=1&amp;unlock","Eudyptes pachyrhynchus")</f>
        <v>Eudyptes pachyrhynchus</v>
      </c>
      <c r="H664" t="s">
        <v>654</v>
      </c>
      <c r="I664" t="str">
        <f>HYPERLINK("http://www.ncbi.nlm.nih.gov/protein/KAF1563538.1","Ryanodine receptor 2, partial")</f>
        <v>Ryanodine receptor 2, partial</v>
      </c>
      <c r="J664">
        <v>6001.4</v>
      </c>
      <c r="K664" t="s">
        <v>22</v>
      </c>
      <c r="L664">
        <v>276</v>
      </c>
      <c r="M664">
        <v>9.75</v>
      </c>
      <c r="N664">
        <v>57.41</v>
      </c>
      <c r="O664" t="s">
        <v>19</v>
      </c>
      <c r="P664" t="s">
        <v>20</v>
      </c>
      <c r="Q664" t="s">
        <v>19</v>
      </c>
      <c r="R664" t="str">
        <f>HYPERLINK("https://cfpub.epa.gov/ecotox/explore.cfm?ncbi=37080","Explore in ECOTOX")</f>
        <v>Explore in ECOTOX</v>
      </c>
    </row>
    <row r="665" spans="1:18" x14ac:dyDescent="0.45">
      <c r="A665" t="s">
        <v>1264</v>
      </c>
      <c r="B665">
        <v>8</v>
      </c>
      <c r="C665" t="str">
        <f>HYPERLINK("http://www.ncbi.nlm.nih.gov/protein/KAF1427970.1","KAF1427970.1")</f>
        <v>KAF1427970.1</v>
      </c>
      <c r="D665">
        <v>15400</v>
      </c>
      <c r="E665" t="str">
        <f>HYPERLINK("http://www.ncbi.nlm.nih.gov/Taxonomy/Browser/wwwtax.cgi?mode=Info&amp;id=9240&amp;lvl=3&amp;lin=f&amp;keep=1&amp;srchmode=1&amp;unlock","9240")</f>
        <v>9240</v>
      </c>
      <c r="F665" t="s">
        <v>241</v>
      </c>
      <c r="G665" t="str">
        <f>HYPERLINK("http://www.ncbi.nlm.nih.gov/Taxonomy/Browser/wwwtax.cgi?mode=Info&amp;id=9240&amp;lvl=3&amp;lin=f&amp;keep=1&amp;srchmode=1&amp;unlock","Spheniscus humboldti")</f>
        <v>Spheniscus humboldti</v>
      </c>
      <c r="H665" t="s">
        <v>655</v>
      </c>
      <c r="I665" t="str">
        <f>HYPERLINK("http://www.ncbi.nlm.nih.gov/protein/KAF1427970.1","Ryanodine receptor 2, partial")</f>
        <v>Ryanodine receptor 2, partial</v>
      </c>
      <c r="J665">
        <v>6001.01</v>
      </c>
      <c r="K665" t="s">
        <v>22</v>
      </c>
      <c r="L665">
        <v>276</v>
      </c>
      <c r="M665">
        <v>9.75</v>
      </c>
      <c r="N665">
        <v>57.4</v>
      </c>
      <c r="O665" t="s">
        <v>19</v>
      </c>
      <c r="P665" t="s">
        <v>20</v>
      </c>
      <c r="Q665" t="s">
        <v>19</v>
      </c>
      <c r="R665" t="str">
        <f>HYPERLINK("https://cfpub.epa.gov/ecotox/explore.cfm?ncbi=9240","Explore in ECOTOX")</f>
        <v>Explore in ECOTOX</v>
      </c>
    </row>
    <row r="666" spans="1:18" x14ac:dyDescent="0.45">
      <c r="A666" t="s">
        <v>1264</v>
      </c>
      <c r="B666">
        <v>8</v>
      </c>
      <c r="C666" t="str">
        <f>HYPERLINK("http://www.ncbi.nlm.nih.gov/protein/NXU18458.1","NXU18458.1")</f>
        <v>NXU18458.1</v>
      </c>
      <c r="D666">
        <v>13722</v>
      </c>
      <c r="E666" t="str">
        <f>HYPERLINK("http://www.ncbi.nlm.nih.gov/Taxonomy/Browser/wwwtax.cgi?mode=Info&amp;id=254575&amp;lvl=3&amp;lin=f&amp;keep=1&amp;srchmode=1&amp;unlock","254575")</f>
        <v>254575</v>
      </c>
      <c r="F666" t="s">
        <v>241</v>
      </c>
      <c r="G666" t="str">
        <f>HYPERLINK("http://www.ncbi.nlm.nih.gov/Taxonomy/Browser/wwwtax.cgi?mode=Info&amp;id=254575&amp;lvl=3&amp;lin=f&amp;keep=1&amp;srchmode=1&amp;unlock","Pardalotus punctatus")</f>
        <v>Pardalotus punctatus</v>
      </c>
      <c r="H666" t="s">
        <v>656</v>
      </c>
      <c r="I666" t="str">
        <f>HYPERLINK("http://www.ncbi.nlm.nih.gov/protein/NXU18458.1","RYR2 protein")</f>
        <v>RYR2 protein</v>
      </c>
      <c r="J666">
        <v>6001.01</v>
      </c>
      <c r="K666" t="s">
        <v>22</v>
      </c>
      <c r="L666">
        <v>276</v>
      </c>
      <c r="M666">
        <v>9.75</v>
      </c>
      <c r="N666">
        <v>57.4</v>
      </c>
      <c r="O666" t="s">
        <v>19</v>
      </c>
      <c r="P666" t="s">
        <v>20</v>
      </c>
      <c r="Q666" t="s">
        <v>19</v>
      </c>
      <c r="R666" t="str">
        <f>HYPERLINK("https://cfpub.epa.gov/ecotox/explore.cfm?ncbi=254575","Explore in ECOTOX")</f>
        <v>Explore in ECOTOX</v>
      </c>
    </row>
    <row r="667" spans="1:18" x14ac:dyDescent="0.45">
      <c r="A667" t="s">
        <v>1264</v>
      </c>
      <c r="B667">
        <v>8</v>
      </c>
      <c r="C667" t="str">
        <f>HYPERLINK("http://www.ncbi.nlm.nih.gov/protein/KAF1647569.1","KAF1647569.1")</f>
        <v>KAF1647569.1</v>
      </c>
      <c r="D667">
        <v>12911</v>
      </c>
      <c r="E667" t="str">
        <f>HYPERLINK("http://www.ncbi.nlm.nih.gov/Taxonomy/Browser/wwwtax.cgi?mode=Info&amp;id=79626&amp;lvl=3&amp;lin=f&amp;keep=1&amp;srchmode=1&amp;unlock","79626")</f>
        <v>79626</v>
      </c>
      <c r="F667" t="s">
        <v>241</v>
      </c>
      <c r="G667" t="str">
        <f>HYPERLINK("http://www.ncbi.nlm.nih.gov/Taxonomy/Browser/wwwtax.cgi?mode=Info&amp;id=79626&amp;lvl=3&amp;lin=f&amp;keep=1&amp;srchmode=1&amp;unlock","Eudyptes chrysocome")</f>
        <v>Eudyptes chrysocome</v>
      </c>
      <c r="H667" t="s">
        <v>657</v>
      </c>
      <c r="I667" t="str">
        <f>HYPERLINK("http://www.ncbi.nlm.nih.gov/protein/KAF1647569.1","Ryanodine receptor 2, partial")</f>
        <v>Ryanodine receptor 2, partial</v>
      </c>
      <c r="J667">
        <v>6001.01</v>
      </c>
      <c r="K667" t="s">
        <v>22</v>
      </c>
      <c r="L667">
        <v>276</v>
      </c>
      <c r="M667">
        <v>9.75</v>
      </c>
      <c r="N667">
        <v>57.4</v>
      </c>
      <c r="O667" t="s">
        <v>19</v>
      </c>
      <c r="P667" t="s">
        <v>20</v>
      </c>
      <c r="Q667" t="s">
        <v>19</v>
      </c>
      <c r="R667" t="str">
        <f>HYPERLINK("https://cfpub.epa.gov/ecotox/explore.cfm?ncbi=79626","Explore in ECOTOX")</f>
        <v>Explore in ECOTOX</v>
      </c>
    </row>
    <row r="668" spans="1:18" x14ac:dyDescent="0.45">
      <c r="A668" t="s">
        <v>1264</v>
      </c>
      <c r="B668">
        <v>8</v>
      </c>
      <c r="C668" t="str">
        <f>HYPERLINK("http://www.ncbi.nlm.nih.gov/protein/XP_053523853.1","XP_053523853.1")</f>
        <v>XP_053523853.1</v>
      </c>
      <c r="D668">
        <v>48847</v>
      </c>
      <c r="E668" t="str">
        <f>HYPERLINK("http://www.ncbi.nlm.nih.gov/Taxonomy/Browser/wwwtax.cgi?mode=Info&amp;id=9417&amp;lvl=3&amp;lin=f&amp;keep=1&amp;srchmode=1&amp;unlock","9417")</f>
        <v>9417</v>
      </c>
      <c r="F668" t="s">
        <v>96</v>
      </c>
      <c r="G668" t="str">
        <f>HYPERLINK("http://www.ncbi.nlm.nih.gov/Taxonomy/Browser/wwwtax.cgi?mode=Info&amp;id=9417&amp;lvl=3&amp;lin=f&amp;keep=1&amp;srchmode=1&amp;unlock","Artibeus jamaicensis")</f>
        <v>Artibeus jamaicensis</v>
      </c>
      <c r="H668" t="s">
        <v>658</v>
      </c>
      <c r="I668" t="str">
        <f>HYPERLINK("http://www.ncbi.nlm.nih.gov/protein/XP_053523853.1","ryanodine receptor 2 isoform X2")</f>
        <v>ryanodine receptor 2 isoform X2</v>
      </c>
      <c r="J668">
        <v>6000.24</v>
      </c>
      <c r="K668" t="s">
        <v>22</v>
      </c>
      <c r="L668">
        <v>276</v>
      </c>
      <c r="M668">
        <v>9.75</v>
      </c>
      <c r="N668">
        <v>57.4</v>
      </c>
      <c r="O668" t="s">
        <v>19</v>
      </c>
      <c r="P668" t="s">
        <v>20</v>
      </c>
      <c r="Q668" t="s">
        <v>19</v>
      </c>
      <c r="R668" t="str">
        <f>HYPERLINK("https://cfpub.epa.gov/ecotox/explore.cfm?ncbi=9417","Explore in ECOTOX")</f>
        <v>Explore in ECOTOX</v>
      </c>
    </row>
    <row r="669" spans="1:18" x14ac:dyDescent="0.45">
      <c r="A669" t="s">
        <v>1264</v>
      </c>
      <c r="B669">
        <v>8</v>
      </c>
      <c r="C669" t="str">
        <f>HYPERLINK("http://www.ncbi.nlm.nih.gov/protein/KAF1519688.1","KAF1519688.1")</f>
        <v>KAF1519688.1</v>
      </c>
      <c r="D669">
        <v>15146</v>
      </c>
      <c r="E669" t="str">
        <f>HYPERLINK("http://www.ncbi.nlm.nih.gov/Taxonomy/Browser/wwwtax.cgi?mode=Info&amp;id=345258&amp;lvl=3&amp;lin=f&amp;keep=1&amp;srchmode=1&amp;unlock","345258")</f>
        <v>345258</v>
      </c>
      <c r="F669" t="s">
        <v>241</v>
      </c>
      <c r="G669" t="str">
        <f>HYPERLINK("http://www.ncbi.nlm.nih.gov/Taxonomy/Browser/wwwtax.cgi?mode=Info&amp;id=345258&amp;lvl=3&amp;lin=f&amp;keep=1&amp;srchmode=1&amp;unlock","Eudyptula albosignata")</f>
        <v>Eudyptula albosignata</v>
      </c>
      <c r="H669" t="s">
        <v>659</v>
      </c>
      <c r="I669" t="str">
        <f>HYPERLINK("http://www.ncbi.nlm.nih.gov/protein/KAF1519688.1","Ryanodine receptor 2, partial")</f>
        <v>Ryanodine receptor 2, partial</v>
      </c>
      <c r="J669">
        <v>5999.85</v>
      </c>
      <c r="K669" t="s">
        <v>22</v>
      </c>
      <c r="L669">
        <v>276</v>
      </c>
      <c r="M669">
        <v>9.75</v>
      </c>
      <c r="N669">
        <v>57.39</v>
      </c>
      <c r="O669" t="s">
        <v>19</v>
      </c>
      <c r="P669" t="s">
        <v>20</v>
      </c>
      <c r="Q669" t="s">
        <v>19</v>
      </c>
      <c r="R669" t="str">
        <f>HYPERLINK("https://cfpub.epa.gov/ecotox/explore.cfm?ncbi=345258","Explore in ECOTOX")</f>
        <v>Explore in ECOTOX</v>
      </c>
    </row>
    <row r="670" spans="1:18" x14ac:dyDescent="0.45">
      <c r="A670" t="s">
        <v>1264</v>
      </c>
      <c r="B670">
        <v>8</v>
      </c>
      <c r="C670" t="str">
        <f>HYPERLINK("http://www.ncbi.nlm.nih.gov/protein/KAF1633370.1","KAF1633370.1")</f>
        <v>KAF1633370.1</v>
      </c>
      <c r="D670">
        <v>12997</v>
      </c>
      <c r="E670" t="str">
        <f>HYPERLINK("http://www.ncbi.nlm.nih.gov/Taxonomy/Browser/wwwtax.cgi?mode=Info&amp;id=1419345&amp;lvl=3&amp;lin=f&amp;keep=1&amp;srchmode=1&amp;unlock","1419345")</f>
        <v>1419345</v>
      </c>
      <c r="F670" t="s">
        <v>241</v>
      </c>
      <c r="G670" t="str">
        <f>HYPERLINK("http://www.ncbi.nlm.nih.gov/Taxonomy/Browser/wwwtax.cgi?mode=Info&amp;id=1419345&amp;lvl=3&amp;lin=f&amp;keep=1&amp;srchmode=1&amp;unlock","Eudyptes filholi")</f>
        <v>Eudyptes filholi</v>
      </c>
      <c r="H670" t="s">
        <v>660</v>
      </c>
      <c r="I670" t="str">
        <f>HYPERLINK("http://www.ncbi.nlm.nih.gov/protein/KAF1633370.1","Ryanodine receptor 2, partial")</f>
        <v>Ryanodine receptor 2, partial</v>
      </c>
      <c r="J670">
        <v>5999.85</v>
      </c>
      <c r="K670" t="s">
        <v>22</v>
      </c>
      <c r="L670">
        <v>276</v>
      </c>
      <c r="M670">
        <v>9.75</v>
      </c>
      <c r="N670">
        <v>57.39</v>
      </c>
      <c r="O670" t="s">
        <v>19</v>
      </c>
      <c r="P670" t="s">
        <v>20</v>
      </c>
      <c r="Q670" t="s">
        <v>19</v>
      </c>
      <c r="R670" t="str">
        <f>HYPERLINK("https://cfpub.epa.gov/ecotox/explore.cfm?ncbi=1419345","Explore in ECOTOX")</f>
        <v>Explore in ECOTOX</v>
      </c>
    </row>
    <row r="671" spans="1:18" x14ac:dyDescent="0.45">
      <c r="A671" t="s">
        <v>1264</v>
      </c>
      <c r="B671">
        <v>8</v>
      </c>
      <c r="C671" t="str">
        <f>HYPERLINK("http://www.ncbi.nlm.nih.gov/protein/KAF1541536.1","KAF1541536.1")</f>
        <v>KAF1541536.1</v>
      </c>
      <c r="D671">
        <v>15500</v>
      </c>
      <c r="E671" t="str">
        <f>HYPERLINK("http://www.ncbi.nlm.nih.gov/Taxonomy/Browser/wwwtax.cgi?mode=Info&amp;id=37083&amp;lvl=3&amp;lin=f&amp;keep=1&amp;srchmode=1&amp;unlock","37083")</f>
        <v>37083</v>
      </c>
      <c r="F671" t="s">
        <v>241</v>
      </c>
      <c r="G671" t="str">
        <f>HYPERLINK("http://www.ncbi.nlm.nih.gov/Taxonomy/Browser/wwwtax.cgi?mode=Info&amp;id=37083&amp;lvl=3&amp;lin=f&amp;keep=1&amp;srchmode=1&amp;unlock","Eudyptula minor")</f>
        <v>Eudyptula minor</v>
      </c>
      <c r="H671" t="s">
        <v>661</v>
      </c>
      <c r="I671" t="str">
        <f>HYPERLINK("http://www.ncbi.nlm.nih.gov/protein/KAF1541536.1","Ryanodine receptor 2, partial")</f>
        <v>Ryanodine receptor 2, partial</v>
      </c>
      <c r="J671">
        <v>5999.85</v>
      </c>
      <c r="K671" t="s">
        <v>22</v>
      </c>
      <c r="L671">
        <v>276</v>
      </c>
      <c r="M671">
        <v>9.75</v>
      </c>
      <c r="N671">
        <v>57.39</v>
      </c>
      <c r="O671" t="s">
        <v>19</v>
      </c>
      <c r="P671" t="s">
        <v>20</v>
      </c>
      <c r="Q671" t="s">
        <v>19</v>
      </c>
      <c r="R671" t="str">
        <f>HYPERLINK("https://cfpub.epa.gov/ecotox/explore.cfm?ncbi=37083","Explore in ECOTOX")</f>
        <v>Explore in ECOTOX</v>
      </c>
    </row>
    <row r="672" spans="1:18" x14ac:dyDescent="0.45">
      <c r="A672" t="s">
        <v>1264</v>
      </c>
      <c r="B672">
        <v>8</v>
      </c>
      <c r="C672" t="str">
        <f>HYPERLINK("http://www.ncbi.nlm.nih.gov/protein/NXV14781.1","NXV14781.1")</f>
        <v>NXV14781.1</v>
      </c>
      <c r="D672">
        <v>14788</v>
      </c>
      <c r="E672" t="str">
        <f>HYPERLINK("http://www.ncbi.nlm.nih.gov/Taxonomy/Browser/wwwtax.cgi?mode=Info&amp;id=28697&amp;lvl=3&amp;lin=f&amp;keep=1&amp;srchmode=1&amp;unlock","28697")</f>
        <v>28697</v>
      </c>
      <c r="F672" t="s">
        <v>241</v>
      </c>
      <c r="G672" t="str">
        <f>HYPERLINK("http://www.ncbi.nlm.nih.gov/Taxonomy/Browser/wwwtax.cgi?mode=Info&amp;id=28697&amp;lvl=3&amp;lin=f&amp;keep=1&amp;srchmode=1&amp;unlock","Cepphus grylle")</f>
        <v>Cepphus grylle</v>
      </c>
      <c r="H672" t="s">
        <v>434</v>
      </c>
      <c r="I672" t="str">
        <f>HYPERLINK("http://www.ncbi.nlm.nih.gov/protein/NXV14781.1","RYR2 protein")</f>
        <v>RYR2 protein</v>
      </c>
      <c r="J672">
        <v>5999.08</v>
      </c>
      <c r="K672" t="s">
        <v>22</v>
      </c>
      <c r="L672">
        <v>276</v>
      </c>
      <c r="M672">
        <v>9.75</v>
      </c>
      <c r="N672">
        <v>57.39</v>
      </c>
      <c r="O672" t="s">
        <v>19</v>
      </c>
      <c r="P672" t="s">
        <v>20</v>
      </c>
      <c r="Q672" t="s">
        <v>19</v>
      </c>
      <c r="R672" t="str">
        <f>HYPERLINK("https://cfpub.epa.gov/ecotox/explore.cfm?ncbi=28697","Explore in ECOTOX")</f>
        <v>Explore in ECOTOX</v>
      </c>
    </row>
    <row r="673" spans="1:18" x14ac:dyDescent="0.45">
      <c r="A673" t="s">
        <v>1264</v>
      </c>
      <c r="B673">
        <v>8</v>
      </c>
      <c r="C673" t="str">
        <f>HYPERLINK("http://www.ncbi.nlm.nih.gov/protein/NXD93569.1","NXD93569.1")</f>
        <v>NXD93569.1</v>
      </c>
      <c r="D673">
        <v>14358</v>
      </c>
      <c r="E673" t="str">
        <f>HYPERLINK("http://www.ncbi.nlm.nih.gov/Taxonomy/Browser/wwwtax.cgi?mode=Info&amp;id=254446&amp;lvl=3&amp;lin=f&amp;keep=1&amp;srchmode=1&amp;unlock","254446")</f>
        <v>254446</v>
      </c>
      <c r="F673" t="s">
        <v>241</v>
      </c>
      <c r="G673" t="str">
        <f>HYPERLINK("http://www.ncbi.nlm.nih.gov/Taxonomy/Browser/wwwtax.cgi?mode=Info&amp;id=254446&amp;lvl=3&amp;lin=f&amp;keep=1&amp;srchmode=1&amp;unlock","Chaetorhynchus papuensis")</f>
        <v>Chaetorhynchus papuensis</v>
      </c>
      <c r="H673" t="s">
        <v>662</v>
      </c>
      <c r="I673" t="str">
        <f>HYPERLINK("http://www.ncbi.nlm.nih.gov/protein/NXD93569.1","RYR2 protein")</f>
        <v>RYR2 protein</v>
      </c>
      <c r="J673">
        <v>5999.08</v>
      </c>
      <c r="K673" t="s">
        <v>22</v>
      </c>
      <c r="L673">
        <v>276</v>
      </c>
      <c r="M673">
        <v>9.75</v>
      </c>
      <c r="N673">
        <v>57.39</v>
      </c>
      <c r="O673" t="s">
        <v>19</v>
      </c>
      <c r="P673" t="s">
        <v>20</v>
      </c>
      <c r="Q673" t="s">
        <v>19</v>
      </c>
      <c r="R673" t="str">
        <f>HYPERLINK("https://cfpub.epa.gov/ecotox/explore.cfm?ncbi=254446","Explore in ECOTOX")</f>
        <v>Explore in ECOTOX</v>
      </c>
    </row>
    <row r="674" spans="1:18" x14ac:dyDescent="0.45">
      <c r="A674" t="s">
        <v>1264</v>
      </c>
      <c r="B674">
        <v>8</v>
      </c>
      <c r="C674" t="str">
        <f>HYPERLINK("http://www.ncbi.nlm.nih.gov/protein/NWR66049.1","NWR66049.1")</f>
        <v>NWR66049.1</v>
      </c>
      <c r="D674">
        <v>14438</v>
      </c>
      <c r="E674" t="str">
        <f>HYPERLINK("http://www.ncbi.nlm.nih.gov/Taxonomy/Browser/wwwtax.cgi?mode=Info&amp;id=153643&amp;lvl=3&amp;lin=f&amp;keep=1&amp;srchmode=1&amp;unlock","153643")</f>
        <v>153643</v>
      </c>
      <c r="F674" t="s">
        <v>241</v>
      </c>
      <c r="G674" t="str">
        <f>HYPERLINK("http://www.ncbi.nlm.nih.gov/Taxonomy/Browser/wwwtax.cgi?mode=Info&amp;id=153643&amp;lvl=3&amp;lin=f&amp;keep=1&amp;srchmode=1&amp;unlock","Bucorvus abyssinicus")</f>
        <v>Bucorvus abyssinicus</v>
      </c>
      <c r="H674" t="s">
        <v>663</v>
      </c>
      <c r="I674" t="str">
        <f>HYPERLINK("http://www.ncbi.nlm.nih.gov/protein/NWR66049.1","RYR2 protein")</f>
        <v>RYR2 protein</v>
      </c>
      <c r="J674">
        <v>5997.93</v>
      </c>
      <c r="K674" t="s">
        <v>22</v>
      </c>
      <c r="L674">
        <v>276</v>
      </c>
      <c r="M674">
        <v>9.75</v>
      </c>
      <c r="N674">
        <v>57.38</v>
      </c>
      <c r="O674" t="s">
        <v>19</v>
      </c>
      <c r="P674" t="s">
        <v>20</v>
      </c>
      <c r="Q674" t="s">
        <v>19</v>
      </c>
      <c r="R674" t="str">
        <f>HYPERLINK("https://cfpub.epa.gov/ecotox/explore.cfm?ncbi=153643","Explore in ECOTOX")</f>
        <v>Explore in ECOTOX</v>
      </c>
    </row>
    <row r="675" spans="1:18" x14ac:dyDescent="0.45">
      <c r="A675" t="s">
        <v>1264</v>
      </c>
      <c r="B675">
        <v>8</v>
      </c>
      <c r="C675" t="str">
        <f>HYPERLINK("http://www.ncbi.nlm.nih.gov/protein/KAF1505299.1","KAF1505299.1")</f>
        <v>KAF1505299.1</v>
      </c>
      <c r="D675">
        <v>15009</v>
      </c>
      <c r="E675" t="str">
        <f>HYPERLINK("http://www.ncbi.nlm.nih.gov/Taxonomy/Browser/wwwtax.cgi?mode=Info&amp;id=2052820&amp;lvl=3&amp;lin=f&amp;keep=1&amp;srchmode=1&amp;unlock","2052820")</f>
        <v>2052820</v>
      </c>
      <c r="F675" t="s">
        <v>241</v>
      </c>
      <c r="G675" t="str">
        <f>HYPERLINK("http://www.ncbi.nlm.nih.gov/Taxonomy/Browser/wwwtax.cgi?mode=Info&amp;id=2052820&amp;lvl=3&amp;lin=f&amp;keep=1&amp;srchmode=1&amp;unlock","Eudyptula novaehollandiae")</f>
        <v>Eudyptula novaehollandiae</v>
      </c>
      <c r="H675" t="s">
        <v>664</v>
      </c>
      <c r="I675" t="str">
        <f>HYPERLINK("http://www.ncbi.nlm.nih.gov/protein/KAF1505299.1","Ryanodine receptor 2, partial")</f>
        <v>Ryanodine receptor 2, partial</v>
      </c>
      <c r="J675">
        <v>5997.93</v>
      </c>
      <c r="K675" t="s">
        <v>22</v>
      </c>
      <c r="L675">
        <v>276</v>
      </c>
      <c r="M675">
        <v>9.75</v>
      </c>
      <c r="N675">
        <v>57.38</v>
      </c>
      <c r="O675" t="s">
        <v>19</v>
      </c>
      <c r="P675" t="s">
        <v>20</v>
      </c>
      <c r="Q675" t="s">
        <v>19</v>
      </c>
      <c r="R675" t="str">
        <f>HYPERLINK("https://cfpub.epa.gov/ecotox/explore.cfm?ncbi=2052820","Explore in ECOTOX")</f>
        <v>Explore in ECOTOX</v>
      </c>
    </row>
    <row r="676" spans="1:18" x14ac:dyDescent="0.45">
      <c r="A676" t="s">
        <v>1264</v>
      </c>
      <c r="B676">
        <v>8</v>
      </c>
      <c r="C676" t="str">
        <f>HYPERLINK("http://www.ncbi.nlm.nih.gov/protein/KAF1477241.1","KAF1477241.1")</f>
        <v>KAF1477241.1</v>
      </c>
      <c r="D676">
        <v>14372</v>
      </c>
      <c r="E676" t="str">
        <f>HYPERLINK("http://www.ncbi.nlm.nih.gov/Taxonomy/Browser/wwwtax.cgi?mode=Info&amp;id=79643&amp;lvl=3&amp;lin=f&amp;keep=1&amp;srchmode=1&amp;unlock","79643")</f>
        <v>79643</v>
      </c>
      <c r="F676" t="s">
        <v>241</v>
      </c>
      <c r="G676" t="str">
        <f>HYPERLINK("http://www.ncbi.nlm.nih.gov/Taxonomy/Browser/wwwtax.cgi?mode=Info&amp;id=79643&amp;lvl=3&amp;lin=f&amp;keep=1&amp;srchmode=1&amp;unlock","Pygoscelis antarcticus")</f>
        <v>Pygoscelis antarcticus</v>
      </c>
      <c r="H676" t="s">
        <v>665</v>
      </c>
      <c r="I676" t="str">
        <f>HYPERLINK("http://www.ncbi.nlm.nih.gov/protein/KAF1477241.1","Ryanodine receptor 2, partial")</f>
        <v>Ryanodine receptor 2, partial</v>
      </c>
      <c r="J676">
        <v>5997.54</v>
      </c>
      <c r="K676" t="s">
        <v>22</v>
      </c>
      <c r="L676">
        <v>276</v>
      </c>
      <c r="M676">
        <v>9.75</v>
      </c>
      <c r="N676">
        <v>57.37</v>
      </c>
      <c r="O676" t="s">
        <v>19</v>
      </c>
      <c r="P676" t="s">
        <v>20</v>
      </c>
      <c r="Q676" t="s">
        <v>19</v>
      </c>
      <c r="R676" t="str">
        <f>HYPERLINK("https://cfpub.epa.gov/ecotox/explore.cfm?ncbi=79643","Explore in ECOTOX")</f>
        <v>Explore in ECOTOX</v>
      </c>
    </row>
    <row r="677" spans="1:18" x14ac:dyDescent="0.45">
      <c r="A677" t="s">
        <v>1264</v>
      </c>
      <c r="B677">
        <v>8</v>
      </c>
      <c r="C677" t="str">
        <f>HYPERLINK("http://www.ncbi.nlm.nih.gov/protein/NXA99462.1","NXA99462.1")</f>
        <v>NXA99462.1</v>
      </c>
      <c r="D677">
        <v>14160</v>
      </c>
      <c r="E677" t="str">
        <f>HYPERLINK("http://www.ncbi.nlm.nih.gov/Taxonomy/Browser/wwwtax.cgi?mode=Info&amp;id=254448&amp;lvl=3&amp;lin=f&amp;keep=1&amp;srchmode=1&amp;unlock","254448")</f>
        <v>254448</v>
      </c>
      <c r="F677" t="s">
        <v>241</v>
      </c>
      <c r="G677" t="str">
        <f>HYPERLINK("http://www.ncbi.nlm.nih.gov/Taxonomy/Browser/wwwtax.cgi?mode=Info&amp;id=254448&amp;lvl=3&amp;lin=f&amp;keep=1&amp;srchmode=1&amp;unlock","Cnemophilus loriae")</f>
        <v>Cnemophilus loriae</v>
      </c>
      <c r="H677" t="s">
        <v>666</v>
      </c>
      <c r="I677" t="str">
        <f>HYPERLINK("http://www.ncbi.nlm.nih.gov/protein/NXA99462.1","RYR2 protein")</f>
        <v>RYR2 protein</v>
      </c>
      <c r="J677">
        <v>5996.77</v>
      </c>
      <c r="K677" t="s">
        <v>22</v>
      </c>
      <c r="L677">
        <v>276</v>
      </c>
      <c r="M677">
        <v>9.75</v>
      </c>
      <c r="N677">
        <v>57.36</v>
      </c>
      <c r="O677" t="s">
        <v>19</v>
      </c>
      <c r="P677" t="s">
        <v>20</v>
      </c>
      <c r="Q677" t="s">
        <v>19</v>
      </c>
      <c r="R677" t="str">
        <f>HYPERLINK("https://cfpub.epa.gov/ecotox/explore.cfm?ncbi=254448","Explore in ECOTOX")</f>
        <v>Explore in ECOTOX</v>
      </c>
    </row>
    <row r="678" spans="1:18" x14ac:dyDescent="0.45">
      <c r="A678" t="s">
        <v>1264</v>
      </c>
      <c r="B678">
        <v>8</v>
      </c>
      <c r="C678" t="str">
        <f>HYPERLINK("http://www.ncbi.nlm.nih.gov/protein/NXY04260.1","NXY04260.1")</f>
        <v>NXY04260.1</v>
      </c>
      <c r="D678">
        <v>11998</v>
      </c>
      <c r="E678" t="str">
        <f>HYPERLINK("http://www.ncbi.nlm.nih.gov/Taxonomy/Browser/wwwtax.cgi?mode=Info&amp;id=357074&amp;lvl=3&amp;lin=f&amp;keep=1&amp;srchmode=1&amp;unlock","357074")</f>
        <v>357074</v>
      </c>
      <c r="F678" t="s">
        <v>241</v>
      </c>
      <c r="G678" t="str">
        <f>HYPERLINK("http://www.ncbi.nlm.nih.gov/Taxonomy/Browser/wwwtax.cgi?mode=Info&amp;id=357074&amp;lvl=3&amp;lin=f&amp;keep=1&amp;srchmode=1&amp;unlock","Pteruthius melanotis")</f>
        <v>Pteruthius melanotis</v>
      </c>
      <c r="H678" t="s">
        <v>667</v>
      </c>
      <c r="I678" t="str">
        <f>HYPERLINK("http://www.ncbi.nlm.nih.gov/protein/NXY04260.1","RYR2 protein")</f>
        <v>RYR2 protein</v>
      </c>
      <c r="J678">
        <v>5996.77</v>
      </c>
      <c r="K678" t="s">
        <v>22</v>
      </c>
      <c r="L678">
        <v>276</v>
      </c>
      <c r="M678">
        <v>9.75</v>
      </c>
      <c r="N678">
        <v>57.36</v>
      </c>
      <c r="O678" t="s">
        <v>19</v>
      </c>
      <c r="P678" t="s">
        <v>20</v>
      </c>
      <c r="Q678" t="s">
        <v>19</v>
      </c>
      <c r="R678" t="str">
        <f>HYPERLINK("https://cfpub.epa.gov/ecotox/explore.cfm?ncbi=357074","Explore in ECOTOX")</f>
        <v>Explore in ECOTOX</v>
      </c>
    </row>
    <row r="679" spans="1:18" x14ac:dyDescent="0.45">
      <c r="A679" t="s">
        <v>1264</v>
      </c>
      <c r="B679">
        <v>8</v>
      </c>
      <c r="C679" t="str">
        <f>HYPERLINK("http://www.ncbi.nlm.nih.gov/protein/NXY40369.1","NXY40369.1")</f>
        <v>NXY40369.1</v>
      </c>
      <c r="D679">
        <v>12236</v>
      </c>
      <c r="E679" t="str">
        <f>HYPERLINK("http://www.ncbi.nlm.nih.gov/Taxonomy/Browser/wwwtax.cgi?mode=Info&amp;id=1961834&amp;lvl=3&amp;lin=f&amp;keep=1&amp;srchmode=1&amp;unlock","1961834")</f>
        <v>1961834</v>
      </c>
      <c r="F679" t="s">
        <v>241</v>
      </c>
      <c r="G679" t="str">
        <f>HYPERLINK("http://www.ncbi.nlm.nih.gov/Taxonomy/Browser/wwwtax.cgi?mode=Info&amp;id=1961834&amp;lvl=3&amp;lin=f&amp;keep=1&amp;srchmode=1&amp;unlock","Ceuthmochares aereus")</f>
        <v>Ceuthmochares aereus</v>
      </c>
      <c r="H679" t="s">
        <v>668</v>
      </c>
      <c r="I679" t="str">
        <f>HYPERLINK("http://www.ncbi.nlm.nih.gov/protein/NXY40369.1","RYR2 protein")</f>
        <v>RYR2 protein</v>
      </c>
      <c r="J679">
        <v>5996.77</v>
      </c>
      <c r="K679" t="s">
        <v>22</v>
      </c>
      <c r="L679">
        <v>276</v>
      </c>
      <c r="M679">
        <v>9.75</v>
      </c>
      <c r="N679">
        <v>57.36</v>
      </c>
      <c r="O679" t="s">
        <v>19</v>
      </c>
      <c r="P679" t="s">
        <v>20</v>
      </c>
      <c r="Q679" t="s">
        <v>19</v>
      </c>
      <c r="R679" t="str">
        <f>HYPERLINK("https://cfpub.epa.gov/ecotox/explore.cfm?ncbi=1961834","Explore in ECOTOX")</f>
        <v>Explore in ECOTOX</v>
      </c>
    </row>
    <row r="680" spans="1:18" x14ac:dyDescent="0.45">
      <c r="A680" t="s">
        <v>1264</v>
      </c>
      <c r="B680">
        <v>8</v>
      </c>
      <c r="C680" t="str">
        <f>HYPERLINK("http://www.ncbi.nlm.nih.gov/protein/NWU44989.1","NWU44989.1")</f>
        <v>NWU44989.1</v>
      </c>
      <c r="D680">
        <v>13565</v>
      </c>
      <c r="E680" t="str">
        <f>HYPERLINK("http://www.ncbi.nlm.nih.gov/Taxonomy/Browser/wwwtax.cgi?mode=Info&amp;id=208073&amp;lvl=3&amp;lin=f&amp;keep=1&amp;srchmode=1&amp;unlock","208073")</f>
        <v>208073</v>
      </c>
      <c r="F680" t="s">
        <v>241</v>
      </c>
      <c r="G680" t="str">
        <f>HYPERLINK("http://www.ncbi.nlm.nih.gov/Taxonomy/Browser/wwwtax.cgi?mode=Info&amp;id=208073&amp;lvl=3&amp;lin=f&amp;keep=1&amp;srchmode=1&amp;unlock","Hylia prasina")</f>
        <v>Hylia prasina</v>
      </c>
      <c r="H680" t="s">
        <v>669</v>
      </c>
      <c r="I680" t="str">
        <f>HYPERLINK("http://www.ncbi.nlm.nih.gov/protein/NWU44989.1","RYR2 protein")</f>
        <v>RYR2 protein</v>
      </c>
      <c r="J680">
        <v>5994.08</v>
      </c>
      <c r="K680" t="s">
        <v>22</v>
      </c>
      <c r="L680">
        <v>276</v>
      </c>
      <c r="M680">
        <v>9.75</v>
      </c>
      <c r="N680">
        <v>57.34</v>
      </c>
      <c r="O680" t="s">
        <v>19</v>
      </c>
      <c r="P680" t="s">
        <v>20</v>
      </c>
      <c r="Q680" t="s">
        <v>19</v>
      </c>
      <c r="R680" t="str">
        <f>HYPERLINK("https://cfpub.epa.gov/ecotox/explore.cfm?ncbi=208073","Explore in ECOTOX")</f>
        <v>Explore in ECOTOX</v>
      </c>
    </row>
    <row r="681" spans="1:18" x14ac:dyDescent="0.45">
      <c r="A681" t="s">
        <v>1264</v>
      </c>
      <c r="B681">
        <v>8</v>
      </c>
      <c r="C681" t="str">
        <f>HYPERLINK("http://www.ncbi.nlm.nih.gov/protein/NXL77397.1","NXL77397.1")</f>
        <v>NXL77397.1</v>
      </c>
      <c r="D681">
        <v>13741</v>
      </c>
      <c r="E681" t="str">
        <f>HYPERLINK("http://www.ncbi.nlm.nih.gov/Taxonomy/Browser/wwwtax.cgi?mode=Info&amp;id=2585812&amp;lvl=3&amp;lin=f&amp;keep=1&amp;srchmode=1&amp;unlock","2585812")</f>
        <v>2585812</v>
      </c>
      <c r="F681" t="s">
        <v>241</v>
      </c>
      <c r="G681" t="str">
        <f>HYPERLINK("http://www.ncbi.nlm.nih.gov/Taxonomy/Browser/wwwtax.cgi?mode=Info&amp;id=2585812&amp;lvl=3&amp;lin=f&amp;keep=1&amp;srchmode=1&amp;unlock","Leptocoma aspasia")</f>
        <v>Leptocoma aspasia</v>
      </c>
      <c r="H681" t="s">
        <v>435</v>
      </c>
      <c r="I681" t="str">
        <f>HYPERLINK("http://www.ncbi.nlm.nih.gov/protein/NXL77397.1","RYR2 protein")</f>
        <v>RYR2 protein</v>
      </c>
      <c r="J681">
        <v>5992.92</v>
      </c>
      <c r="K681" t="s">
        <v>22</v>
      </c>
      <c r="L681">
        <v>276</v>
      </c>
      <c r="M681">
        <v>9.75</v>
      </c>
      <c r="N681">
        <v>57.33</v>
      </c>
      <c r="O681" t="s">
        <v>19</v>
      </c>
      <c r="P681" t="s">
        <v>20</v>
      </c>
      <c r="Q681" t="s">
        <v>19</v>
      </c>
      <c r="R681" t="str">
        <f>HYPERLINK("https://cfpub.epa.gov/ecotox/explore.cfm?ncbi=2585812","Explore in ECOTOX")</f>
        <v>Explore in ECOTOX</v>
      </c>
    </row>
    <row r="682" spans="1:18" x14ac:dyDescent="0.45">
      <c r="A682" t="s">
        <v>1264</v>
      </c>
      <c r="B682">
        <v>8</v>
      </c>
      <c r="C682" t="str">
        <f>HYPERLINK("http://www.ncbi.nlm.nih.gov/protein/NWT64449.1","NWT64449.1")</f>
        <v>NWT64449.1</v>
      </c>
      <c r="D682">
        <v>13939</v>
      </c>
      <c r="E682" t="str">
        <f>HYPERLINK("http://www.ncbi.nlm.nih.gov/Taxonomy/Browser/wwwtax.cgi?mode=Info&amp;id=670356&amp;lvl=3&amp;lin=f&amp;keep=1&amp;srchmode=1&amp;unlock","670356")</f>
        <v>670356</v>
      </c>
      <c r="F682" t="s">
        <v>241</v>
      </c>
      <c r="G682" t="str">
        <f>HYPERLINK("http://www.ncbi.nlm.nih.gov/Taxonomy/Browser/wwwtax.cgi?mode=Info&amp;id=670356&amp;lvl=3&amp;lin=f&amp;keep=1&amp;srchmode=1&amp;unlock","Prunella himalayana")</f>
        <v>Prunella himalayana</v>
      </c>
      <c r="H682" t="s">
        <v>435</v>
      </c>
      <c r="I682" t="str">
        <f>HYPERLINK("http://www.ncbi.nlm.nih.gov/protein/NWT64449.1","RYR2 protein")</f>
        <v>RYR2 protein</v>
      </c>
      <c r="J682">
        <v>5992.15</v>
      </c>
      <c r="K682" t="s">
        <v>22</v>
      </c>
      <c r="L682">
        <v>276</v>
      </c>
      <c r="M682">
        <v>9.75</v>
      </c>
      <c r="N682">
        <v>57.32</v>
      </c>
      <c r="O682" t="s">
        <v>19</v>
      </c>
      <c r="P682" t="s">
        <v>20</v>
      </c>
      <c r="Q682" t="s">
        <v>19</v>
      </c>
      <c r="R682" t="str">
        <f>HYPERLINK("https://cfpub.epa.gov/ecotox/explore.cfm?ncbi=670356","Explore in ECOTOX")</f>
        <v>Explore in ECOTOX</v>
      </c>
    </row>
    <row r="683" spans="1:18" x14ac:dyDescent="0.45">
      <c r="A683" t="s">
        <v>1264</v>
      </c>
      <c r="B683">
        <v>8</v>
      </c>
      <c r="C683" t="str">
        <f>HYPERLINK("http://www.ncbi.nlm.nih.gov/protein/NXI29750.1","NXI29750.1")</f>
        <v>NXI29750.1</v>
      </c>
      <c r="D683">
        <v>13252</v>
      </c>
      <c r="E683" t="str">
        <f>HYPERLINK("http://www.ncbi.nlm.nih.gov/Taxonomy/Browser/wwwtax.cgi?mode=Info&amp;id=2585820&amp;lvl=3&amp;lin=f&amp;keep=1&amp;srchmode=1&amp;unlock","2585820")</f>
        <v>2585820</v>
      </c>
      <c r="F683" t="s">
        <v>241</v>
      </c>
      <c r="G683" t="str">
        <f>HYPERLINK("http://www.ncbi.nlm.nih.gov/Taxonomy/Browser/wwwtax.cgi?mode=Info&amp;id=2585820&amp;lvl=3&amp;lin=f&amp;keep=1&amp;srchmode=1&amp;unlock","Sterrhoptilus dennistouni")</f>
        <v>Sterrhoptilus dennistouni</v>
      </c>
      <c r="H683" t="s">
        <v>670</v>
      </c>
      <c r="I683" t="str">
        <f>HYPERLINK("http://www.ncbi.nlm.nih.gov/protein/NXI29750.1","RYR2 protein")</f>
        <v>RYR2 protein</v>
      </c>
      <c r="J683">
        <v>5991.77</v>
      </c>
      <c r="K683" t="s">
        <v>22</v>
      </c>
      <c r="L683">
        <v>276</v>
      </c>
      <c r="M683">
        <v>9.75</v>
      </c>
      <c r="N683">
        <v>57.32</v>
      </c>
      <c r="O683" t="s">
        <v>19</v>
      </c>
      <c r="P683" t="s">
        <v>20</v>
      </c>
      <c r="Q683" t="s">
        <v>19</v>
      </c>
      <c r="R683" t="str">
        <f>HYPERLINK("https://cfpub.epa.gov/ecotox/explore.cfm?ncbi=2585820","Explore in ECOTOX")</f>
        <v>Explore in ECOTOX</v>
      </c>
    </row>
    <row r="684" spans="1:18" x14ac:dyDescent="0.45">
      <c r="A684" t="s">
        <v>1264</v>
      </c>
      <c r="B684">
        <v>8</v>
      </c>
      <c r="C684" t="str">
        <f>HYPERLINK("http://www.ncbi.nlm.nih.gov/protein/NXN88130.1","NXN88130.1")</f>
        <v>NXN88130.1</v>
      </c>
      <c r="D684">
        <v>13879</v>
      </c>
      <c r="E684" t="str">
        <f>HYPERLINK("http://www.ncbi.nlm.nih.gov/Taxonomy/Browser/wwwtax.cgi?mode=Info&amp;id=125297&amp;lvl=3&amp;lin=f&amp;keep=1&amp;srchmode=1&amp;unlock","125297")</f>
        <v>125297</v>
      </c>
      <c r="F684" t="s">
        <v>241</v>
      </c>
      <c r="G684" t="str">
        <f>HYPERLINK("http://www.ncbi.nlm.nih.gov/Taxonomy/Browser/wwwtax.cgi?mode=Info&amp;id=125297&amp;lvl=3&amp;lin=f&amp;keep=1&amp;srchmode=1&amp;unlock","Bombycilla garrulus")</f>
        <v>Bombycilla garrulus</v>
      </c>
      <c r="H684" t="s">
        <v>671</v>
      </c>
      <c r="I684" t="str">
        <f>HYPERLINK("http://www.ncbi.nlm.nih.gov/protein/NXN88130.1","RYR2 protein")</f>
        <v>RYR2 protein</v>
      </c>
      <c r="J684">
        <v>5991.38</v>
      </c>
      <c r="K684" t="s">
        <v>22</v>
      </c>
      <c r="L684">
        <v>276</v>
      </c>
      <c r="M684">
        <v>9.75</v>
      </c>
      <c r="N684">
        <v>57.31</v>
      </c>
      <c r="O684" t="s">
        <v>19</v>
      </c>
      <c r="P684" t="s">
        <v>20</v>
      </c>
      <c r="Q684" t="s">
        <v>19</v>
      </c>
      <c r="R684" t="str">
        <f>HYPERLINK("https://cfpub.epa.gov/ecotox/explore.cfm?ncbi=125297","Explore in ECOTOX")</f>
        <v>Explore in ECOTOX</v>
      </c>
    </row>
    <row r="685" spans="1:18" x14ac:dyDescent="0.45">
      <c r="A685" t="s">
        <v>1264</v>
      </c>
      <c r="B685">
        <v>8</v>
      </c>
      <c r="C685" t="str">
        <f>HYPERLINK("http://www.ncbi.nlm.nih.gov/protein/NWR99510.1","NWR99510.1")</f>
        <v>NWR99510.1</v>
      </c>
      <c r="D685">
        <v>13667</v>
      </c>
      <c r="E685" t="str">
        <f>HYPERLINK("http://www.ncbi.nlm.nih.gov/Taxonomy/Browser/wwwtax.cgi?mode=Info&amp;id=45807&amp;lvl=3&amp;lin=f&amp;keep=1&amp;srchmode=1&amp;unlock","45807")</f>
        <v>45807</v>
      </c>
      <c r="F685" t="s">
        <v>241</v>
      </c>
      <c r="G685" t="str">
        <f>HYPERLINK("http://www.ncbi.nlm.nih.gov/Taxonomy/Browser/wwwtax.cgi?mode=Info&amp;id=45807&amp;lvl=3&amp;lin=f&amp;keep=1&amp;srchmode=1&amp;unlock","Motacilla alba")</f>
        <v>Motacilla alba</v>
      </c>
      <c r="H685" t="s">
        <v>558</v>
      </c>
      <c r="I685" t="str">
        <f>HYPERLINK("http://www.ncbi.nlm.nih.gov/protein/NWR99510.1","RYR2 protein")</f>
        <v>RYR2 protein</v>
      </c>
      <c r="J685">
        <v>5988.68</v>
      </c>
      <c r="K685" t="s">
        <v>22</v>
      </c>
      <c r="L685">
        <v>276</v>
      </c>
      <c r="M685">
        <v>9.75</v>
      </c>
      <c r="N685">
        <v>57.29</v>
      </c>
      <c r="O685" t="s">
        <v>19</v>
      </c>
      <c r="P685" t="s">
        <v>20</v>
      </c>
      <c r="Q685" t="s">
        <v>19</v>
      </c>
      <c r="R685" t="str">
        <f>HYPERLINK("https://cfpub.epa.gov/ecotox/explore.cfm?ncbi=45807","Explore in ECOTOX")</f>
        <v>Explore in ECOTOX</v>
      </c>
    </row>
    <row r="686" spans="1:18" x14ac:dyDescent="0.45">
      <c r="A686" t="s">
        <v>1264</v>
      </c>
      <c r="B686">
        <v>8</v>
      </c>
      <c r="C686" t="str">
        <f>HYPERLINK("http://www.ncbi.nlm.nih.gov/protein/NWT49560.1","NWT49560.1")</f>
        <v>NWT49560.1</v>
      </c>
      <c r="D686">
        <v>14073</v>
      </c>
      <c r="E686" t="str">
        <f>HYPERLINK("http://www.ncbi.nlm.nih.gov/Taxonomy/Browser/wwwtax.cgi?mode=Info&amp;id=107208&amp;lvl=3&amp;lin=f&amp;keep=1&amp;srchmode=1&amp;unlock","107208")</f>
        <v>107208</v>
      </c>
      <c r="F686" t="s">
        <v>241</v>
      </c>
      <c r="G686" t="str">
        <f>HYPERLINK("http://www.ncbi.nlm.nih.gov/Taxonomy/Browser/wwwtax.cgi?mode=Info&amp;id=107208&amp;lvl=3&amp;lin=f&amp;keep=1&amp;srchmode=1&amp;unlock","Erythrocercus mccallii")</f>
        <v>Erythrocercus mccallii</v>
      </c>
      <c r="H686" t="s">
        <v>435</v>
      </c>
      <c r="I686" t="str">
        <f>HYPERLINK("http://www.ncbi.nlm.nih.gov/protein/NWT49560.1","RYR2 protein")</f>
        <v>RYR2 protein</v>
      </c>
      <c r="J686">
        <v>5988.3</v>
      </c>
      <c r="K686" t="s">
        <v>22</v>
      </c>
      <c r="L686">
        <v>276</v>
      </c>
      <c r="M686">
        <v>9.75</v>
      </c>
      <c r="N686">
        <v>57.28</v>
      </c>
      <c r="O686" t="s">
        <v>19</v>
      </c>
      <c r="P686" t="s">
        <v>20</v>
      </c>
      <c r="Q686" t="s">
        <v>19</v>
      </c>
      <c r="R686" t="str">
        <f>HYPERLINK("https://cfpub.epa.gov/ecotox/explore.cfm?ncbi=107208","Explore in ECOTOX")</f>
        <v>Explore in ECOTOX</v>
      </c>
    </row>
    <row r="687" spans="1:18" x14ac:dyDescent="0.45">
      <c r="A687" t="s">
        <v>1264</v>
      </c>
      <c r="B687">
        <v>8</v>
      </c>
      <c r="C687" t="str">
        <f>HYPERLINK("http://www.ncbi.nlm.nih.gov/protein/XP_036893238.1","XP_036893238.1")</f>
        <v>XP_036893238.1</v>
      </c>
      <c r="D687">
        <v>42744</v>
      </c>
      <c r="E687" t="str">
        <f>HYPERLINK("http://www.ncbi.nlm.nih.gov/Taxonomy/Browser/wwwtax.cgi?mode=Info&amp;id=192404&amp;lvl=3&amp;lin=f&amp;keep=1&amp;srchmode=1&amp;unlock","192404")</f>
        <v>192404</v>
      </c>
      <c r="F687" t="s">
        <v>96</v>
      </c>
      <c r="G687" t="str">
        <f>HYPERLINK("http://www.ncbi.nlm.nih.gov/Taxonomy/Browser/wwwtax.cgi?mode=Info&amp;id=192404&amp;lvl=3&amp;lin=f&amp;keep=1&amp;srchmode=1&amp;unlock","Sturnira hondurensis")</f>
        <v>Sturnira hondurensis</v>
      </c>
      <c r="H687" t="s">
        <v>672</v>
      </c>
      <c r="I687" t="str">
        <f>HYPERLINK("http://www.ncbi.nlm.nih.gov/protein/XP_036893238.1","ryanodine receptor 2")</f>
        <v>ryanodine receptor 2</v>
      </c>
      <c r="J687">
        <v>5988.3</v>
      </c>
      <c r="K687" t="s">
        <v>22</v>
      </c>
      <c r="L687">
        <v>276</v>
      </c>
      <c r="M687">
        <v>9.75</v>
      </c>
      <c r="N687">
        <v>57.28</v>
      </c>
      <c r="O687" t="s">
        <v>19</v>
      </c>
      <c r="P687" t="s">
        <v>20</v>
      </c>
      <c r="Q687" t="s">
        <v>19</v>
      </c>
      <c r="R687" t="str">
        <f>HYPERLINK("https://cfpub.epa.gov/ecotox/explore.cfm?ncbi=192404","Explore in ECOTOX")</f>
        <v>Explore in ECOTOX</v>
      </c>
    </row>
    <row r="688" spans="1:18" x14ac:dyDescent="0.45">
      <c r="A688" t="s">
        <v>1264</v>
      </c>
      <c r="B688">
        <v>8</v>
      </c>
      <c r="C688" t="str">
        <f>HYPERLINK("http://www.ncbi.nlm.nih.gov/protein/KAF1673942.1","KAF1673942.1")</f>
        <v>KAF1673942.1</v>
      </c>
      <c r="D688">
        <v>46886</v>
      </c>
      <c r="E688" t="str">
        <f>HYPERLINK("http://www.ncbi.nlm.nih.gov/Taxonomy/Browser/wwwtax.cgi?mode=Info&amp;id=30457&amp;lvl=3&amp;lin=f&amp;keep=1&amp;srchmode=1&amp;unlock","30457")</f>
        <v>30457</v>
      </c>
      <c r="F688" t="s">
        <v>241</v>
      </c>
      <c r="G688" t="str">
        <f>HYPERLINK("http://www.ncbi.nlm.nih.gov/Taxonomy/Browser/wwwtax.cgi?mode=Info&amp;id=30457&amp;lvl=3&amp;lin=f&amp;keep=1&amp;srchmode=1&amp;unlock","Pygoscelis papua")</f>
        <v>Pygoscelis papua</v>
      </c>
      <c r="H688" t="s">
        <v>673</v>
      </c>
      <c r="I688" t="str">
        <f>HYPERLINK("http://www.ncbi.nlm.nih.gov/protein/KAF1673942.1","Ryanodine receptor 2, partial")</f>
        <v>Ryanodine receptor 2, partial</v>
      </c>
      <c r="J688">
        <v>5988.3</v>
      </c>
      <c r="K688" t="s">
        <v>22</v>
      </c>
      <c r="L688">
        <v>276</v>
      </c>
      <c r="M688">
        <v>9.75</v>
      </c>
      <c r="N688">
        <v>57.28</v>
      </c>
      <c r="O688" t="s">
        <v>19</v>
      </c>
      <c r="P688" t="s">
        <v>20</v>
      </c>
      <c r="Q688" t="s">
        <v>19</v>
      </c>
      <c r="R688" t="str">
        <f>HYPERLINK("https://cfpub.epa.gov/ecotox/explore.cfm?ncbi=30457","Explore in ECOTOX")</f>
        <v>Explore in ECOTOX</v>
      </c>
    </row>
    <row r="689" spans="1:18" x14ac:dyDescent="0.45">
      <c r="A689" t="s">
        <v>1264</v>
      </c>
      <c r="B689">
        <v>8</v>
      </c>
      <c r="C689" t="str">
        <f>HYPERLINK("http://www.ncbi.nlm.nih.gov/protein/NXY64415.1","NXY64415.1")</f>
        <v>NXY64415.1</v>
      </c>
      <c r="D689">
        <v>14612</v>
      </c>
      <c r="E689" t="str">
        <f>HYPERLINK("http://www.ncbi.nlm.nih.gov/Taxonomy/Browser/wwwtax.cgi?mode=Info&amp;id=1347786&amp;lvl=3&amp;lin=f&amp;keep=1&amp;srchmode=1&amp;unlock","1347786")</f>
        <v>1347786</v>
      </c>
      <c r="F689" t="s">
        <v>241</v>
      </c>
      <c r="G689" t="str">
        <f>HYPERLINK("http://www.ncbi.nlm.nih.gov/Taxonomy/Browser/wwwtax.cgi?mode=Info&amp;id=1347786&amp;lvl=3&amp;lin=f&amp;keep=1&amp;srchmode=1&amp;unlock","Callaeas wilsoni")</f>
        <v>Callaeas wilsoni</v>
      </c>
      <c r="H689" t="s">
        <v>674</v>
      </c>
      <c r="I689" t="str">
        <f>HYPERLINK("http://www.ncbi.nlm.nih.gov/protein/NXY64415.1","RYR2 protein")</f>
        <v>RYR2 protein</v>
      </c>
      <c r="J689">
        <v>5987.91</v>
      </c>
      <c r="K689" t="s">
        <v>22</v>
      </c>
      <c r="L689">
        <v>276</v>
      </c>
      <c r="M689">
        <v>9.75</v>
      </c>
      <c r="N689">
        <v>57.28</v>
      </c>
      <c r="O689" t="s">
        <v>19</v>
      </c>
      <c r="P689" t="s">
        <v>20</v>
      </c>
      <c r="Q689" t="s">
        <v>19</v>
      </c>
      <c r="R689" t="str">
        <f>HYPERLINK("https://cfpub.epa.gov/ecotox/explore.cfm?ncbi=1347786","Explore in ECOTOX")</f>
        <v>Explore in ECOTOX</v>
      </c>
    </row>
    <row r="690" spans="1:18" x14ac:dyDescent="0.45">
      <c r="A690" t="s">
        <v>1264</v>
      </c>
      <c r="B690">
        <v>8</v>
      </c>
      <c r="C690" t="str">
        <f>HYPERLINK("http://www.ncbi.nlm.nih.gov/protein/NXG97260.1","NXG97260.1")</f>
        <v>NXG97260.1</v>
      </c>
      <c r="D690">
        <v>14012</v>
      </c>
      <c r="E690" t="str">
        <f>HYPERLINK("http://www.ncbi.nlm.nih.gov/Taxonomy/Browser/wwwtax.cgi?mode=Info&amp;id=96539&amp;lvl=3&amp;lin=f&amp;keep=1&amp;srchmode=1&amp;unlock","96539")</f>
        <v>96539</v>
      </c>
      <c r="F690" t="s">
        <v>241</v>
      </c>
      <c r="G690" t="str">
        <f>HYPERLINK("http://www.ncbi.nlm.nih.gov/Taxonomy/Browser/wwwtax.cgi?mode=Info&amp;id=96539&amp;lvl=3&amp;lin=f&amp;keep=1&amp;srchmode=1&amp;unlock","Loxia leucoptera")</f>
        <v>Loxia leucoptera</v>
      </c>
      <c r="H690" t="s">
        <v>675</v>
      </c>
      <c r="I690" t="str">
        <f>HYPERLINK("http://www.ncbi.nlm.nih.gov/protein/NXG97260.1","RYR2 protein")</f>
        <v>RYR2 protein</v>
      </c>
      <c r="J690">
        <v>5985.99</v>
      </c>
      <c r="K690" t="s">
        <v>22</v>
      </c>
      <c r="L690">
        <v>276</v>
      </c>
      <c r="M690">
        <v>9.75</v>
      </c>
      <c r="N690">
        <v>57.26</v>
      </c>
      <c r="O690" t="s">
        <v>19</v>
      </c>
      <c r="P690" t="s">
        <v>20</v>
      </c>
      <c r="Q690" t="s">
        <v>19</v>
      </c>
      <c r="R690" t="str">
        <f>HYPERLINK("https://cfpub.epa.gov/ecotox/explore.cfm?ncbi=96539","Explore in ECOTOX")</f>
        <v>Explore in ECOTOX</v>
      </c>
    </row>
    <row r="691" spans="1:18" x14ac:dyDescent="0.45">
      <c r="A691" t="s">
        <v>1264</v>
      </c>
      <c r="B691">
        <v>8</v>
      </c>
      <c r="C691" t="str">
        <f>HYPERLINK("http://www.ncbi.nlm.nih.gov/protein/NXA91172.1","NXA91172.1")</f>
        <v>NXA91172.1</v>
      </c>
      <c r="D691">
        <v>14035</v>
      </c>
      <c r="E691" t="str">
        <f>HYPERLINK("http://www.ncbi.nlm.nih.gov/Taxonomy/Browser/wwwtax.cgi?mode=Info&amp;id=254552&amp;lvl=3&amp;lin=f&amp;keep=1&amp;srchmode=1&amp;unlock","254552")</f>
        <v>254552</v>
      </c>
      <c r="F691" t="s">
        <v>241</v>
      </c>
      <c r="G691" t="str">
        <f>HYPERLINK("http://www.ncbi.nlm.nih.gov/Taxonomy/Browser/wwwtax.cgi?mode=Info&amp;id=254552&amp;lvl=3&amp;lin=f&amp;keep=1&amp;srchmode=1&amp;unlock","Melanocharis versteri")</f>
        <v>Melanocharis versteri</v>
      </c>
      <c r="H691" t="s">
        <v>676</v>
      </c>
      <c r="I691" t="str">
        <f>HYPERLINK("http://www.ncbi.nlm.nih.gov/protein/NXA91172.1","RYR2 protein")</f>
        <v>RYR2 protein</v>
      </c>
      <c r="J691">
        <v>5985.99</v>
      </c>
      <c r="K691" t="s">
        <v>22</v>
      </c>
      <c r="L691">
        <v>276</v>
      </c>
      <c r="M691">
        <v>9.75</v>
      </c>
      <c r="N691">
        <v>57.26</v>
      </c>
      <c r="O691" t="s">
        <v>19</v>
      </c>
      <c r="P691" t="s">
        <v>20</v>
      </c>
      <c r="Q691" t="s">
        <v>19</v>
      </c>
      <c r="R691" t="str">
        <f>HYPERLINK("https://cfpub.epa.gov/ecotox/explore.cfm?ncbi=254552","Explore in ECOTOX")</f>
        <v>Explore in ECOTOX</v>
      </c>
    </row>
    <row r="692" spans="1:18" x14ac:dyDescent="0.45">
      <c r="A692" t="s">
        <v>1264</v>
      </c>
      <c r="B692">
        <v>8</v>
      </c>
      <c r="C692" t="str">
        <f>HYPERLINK("http://www.ncbi.nlm.nih.gov/protein/NWZ45024.1","NWZ45024.1")</f>
        <v>NWZ45024.1</v>
      </c>
      <c r="D692">
        <v>12885</v>
      </c>
      <c r="E692" t="str">
        <f>HYPERLINK("http://www.ncbi.nlm.nih.gov/Taxonomy/Browser/wwwtax.cgi?mode=Info&amp;id=182895&amp;lvl=3&amp;lin=f&amp;keep=1&amp;srchmode=1&amp;unlock","182895")</f>
        <v>182895</v>
      </c>
      <c r="F692" t="s">
        <v>241</v>
      </c>
      <c r="G692" t="str">
        <f>HYPERLINK("http://www.ncbi.nlm.nih.gov/Taxonomy/Browser/wwwtax.cgi?mode=Info&amp;id=182895&amp;lvl=3&amp;lin=f&amp;keep=1&amp;srchmode=1&amp;unlock","Brachypodius atriceps")</f>
        <v>Brachypodius atriceps</v>
      </c>
      <c r="H692" t="s">
        <v>677</v>
      </c>
      <c r="I692" t="str">
        <f>HYPERLINK("http://www.ncbi.nlm.nih.gov/protein/NWZ45024.1","RYR2 protein")</f>
        <v>RYR2 protein</v>
      </c>
      <c r="J692">
        <v>5985.22</v>
      </c>
      <c r="K692" t="s">
        <v>22</v>
      </c>
      <c r="L692">
        <v>276</v>
      </c>
      <c r="M692">
        <v>9.75</v>
      </c>
      <c r="N692">
        <v>57.25</v>
      </c>
      <c r="O692" t="s">
        <v>19</v>
      </c>
      <c r="P692" t="s">
        <v>20</v>
      </c>
      <c r="Q692" t="s">
        <v>19</v>
      </c>
      <c r="R692" t="str">
        <f>HYPERLINK("https://cfpub.epa.gov/ecotox/explore.cfm?ncbi=182895","Explore in ECOTOX")</f>
        <v>Explore in ECOTOX</v>
      </c>
    </row>
    <row r="693" spans="1:18" x14ac:dyDescent="0.45">
      <c r="A693" t="s">
        <v>1264</v>
      </c>
      <c r="B693">
        <v>8</v>
      </c>
      <c r="C693" t="str">
        <f>HYPERLINK("http://www.ncbi.nlm.nih.gov/protein/NXQ35610.1","NXQ35610.1")</f>
        <v>NXQ35610.1</v>
      </c>
      <c r="D693">
        <v>14402</v>
      </c>
      <c r="E693" t="str">
        <f>HYPERLINK("http://www.ncbi.nlm.nih.gov/Taxonomy/Browser/wwwtax.cgi?mode=Info&amp;id=670337&amp;lvl=3&amp;lin=f&amp;keep=1&amp;srchmode=1&amp;unlock","670337")</f>
        <v>670337</v>
      </c>
      <c r="F693" t="s">
        <v>241</v>
      </c>
      <c r="G693" t="str">
        <f>HYPERLINK("http://www.ncbi.nlm.nih.gov/Taxonomy/Browser/wwwtax.cgi?mode=Info&amp;id=670337&amp;lvl=3&amp;lin=f&amp;keep=1&amp;srchmode=1&amp;unlock","Alaudala cheleensis")</f>
        <v>Alaudala cheleensis</v>
      </c>
      <c r="H693" t="s">
        <v>678</v>
      </c>
      <c r="I693" t="str">
        <f>HYPERLINK("http://www.ncbi.nlm.nih.gov/protein/NXQ35610.1","RYR2 protein")</f>
        <v>RYR2 protein</v>
      </c>
      <c r="J693">
        <v>5982.14</v>
      </c>
      <c r="K693" t="s">
        <v>22</v>
      </c>
      <c r="L693">
        <v>276</v>
      </c>
      <c r="M693">
        <v>9.75</v>
      </c>
      <c r="N693">
        <v>57.22</v>
      </c>
      <c r="O693" t="s">
        <v>19</v>
      </c>
      <c r="P693" t="s">
        <v>20</v>
      </c>
      <c r="Q693" t="s">
        <v>19</v>
      </c>
      <c r="R693" t="str">
        <f>HYPERLINK("https://cfpub.epa.gov/ecotox/explore.cfm?ncbi=670337","Explore in ECOTOX")</f>
        <v>Explore in ECOTOX</v>
      </c>
    </row>
    <row r="694" spans="1:18" x14ac:dyDescent="0.45">
      <c r="A694" t="s">
        <v>1264</v>
      </c>
      <c r="B694">
        <v>8</v>
      </c>
      <c r="C694" t="str">
        <f>HYPERLINK("http://www.ncbi.nlm.nih.gov/protein/NWZ03734.1","NWZ03734.1")</f>
        <v>NWZ03734.1</v>
      </c>
      <c r="D694">
        <v>14648</v>
      </c>
      <c r="E694" t="str">
        <f>HYPERLINK("http://www.ncbi.nlm.nih.gov/Taxonomy/Browser/wwwtax.cgi?mode=Info&amp;id=64802&amp;lvl=3&amp;lin=f&amp;keep=1&amp;srchmode=1&amp;unlock","64802")</f>
        <v>64802</v>
      </c>
      <c r="F694" t="s">
        <v>241</v>
      </c>
      <c r="G694" t="str">
        <f>HYPERLINK("http://www.ncbi.nlm.nih.gov/Taxonomy/Browser/wwwtax.cgi?mode=Info&amp;id=64802&amp;lvl=3&amp;lin=f&amp;keep=1&amp;srchmode=1&amp;unlock","Loxia curvirostra")</f>
        <v>Loxia curvirostra</v>
      </c>
      <c r="H694" t="s">
        <v>679</v>
      </c>
      <c r="I694" t="str">
        <f>HYPERLINK("http://www.ncbi.nlm.nih.gov/protein/NWZ03734.1","RYR2 protein")</f>
        <v>RYR2 protein</v>
      </c>
      <c r="J694">
        <v>5980.98</v>
      </c>
      <c r="K694" t="s">
        <v>22</v>
      </c>
      <c r="L694">
        <v>276</v>
      </c>
      <c r="M694">
        <v>9.75</v>
      </c>
      <c r="N694">
        <v>57.21</v>
      </c>
      <c r="O694" t="s">
        <v>19</v>
      </c>
      <c r="P694" t="s">
        <v>20</v>
      </c>
      <c r="Q694" t="s">
        <v>19</v>
      </c>
      <c r="R694" t="str">
        <f>HYPERLINK("https://cfpub.epa.gov/ecotox/explore.cfm?ncbi=64802","Explore in ECOTOX")</f>
        <v>Explore in ECOTOX</v>
      </c>
    </row>
    <row r="695" spans="1:18" x14ac:dyDescent="0.45">
      <c r="A695" t="s">
        <v>1264</v>
      </c>
      <c r="B695">
        <v>8</v>
      </c>
      <c r="C695" t="str">
        <f>HYPERLINK("http://www.ncbi.nlm.nih.gov/protein/NXO78085.1","NXO78085.1")</f>
        <v>NXO78085.1</v>
      </c>
      <c r="D695">
        <v>13780</v>
      </c>
      <c r="E695" t="str">
        <f>HYPERLINK("http://www.ncbi.nlm.nih.gov/Taxonomy/Browser/wwwtax.cgi?mode=Info&amp;id=50251&amp;lvl=3&amp;lin=f&amp;keep=1&amp;srchmode=1&amp;unlock","50251")</f>
        <v>50251</v>
      </c>
      <c r="F695" t="s">
        <v>241</v>
      </c>
      <c r="G695" t="str">
        <f>HYPERLINK("http://www.ncbi.nlm.nih.gov/Taxonomy/Browser/wwwtax.cgi?mode=Info&amp;id=50251&amp;lvl=3&amp;lin=f&amp;keep=1&amp;srchmode=1&amp;unlock","Sitta europaea")</f>
        <v>Sitta europaea</v>
      </c>
      <c r="H695" t="s">
        <v>680</v>
      </c>
      <c r="I695" t="str">
        <f>HYPERLINK("http://www.ncbi.nlm.nih.gov/protein/NXO78085.1","RYR2 protein")</f>
        <v>RYR2 protein</v>
      </c>
      <c r="J695">
        <v>5980.59</v>
      </c>
      <c r="K695" t="s">
        <v>22</v>
      </c>
      <c r="L695">
        <v>276</v>
      </c>
      <c r="M695">
        <v>9.75</v>
      </c>
      <c r="N695">
        <v>57.21</v>
      </c>
      <c r="O695" t="s">
        <v>19</v>
      </c>
      <c r="P695" t="s">
        <v>20</v>
      </c>
      <c r="Q695" t="s">
        <v>19</v>
      </c>
      <c r="R695" t="str">
        <f>HYPERLINK("https://cfpub.epa.gov/ecotox/explore.cfm?ncbi=50251","Explore in ECOTOX")</f>
        <v>Explore in ECOTOX</v>
      </c>
    </row>
    <row r="696" spans="1:18" x14ac:dyDescent="0.45">
      <c r="A696" t="s">
        <v>1264</v>
      </c>
      <c r="B696">
        <v>8</v>
      </c>
      <c r="C696" t="str">
        <f>HYPERLINK("http://www.ncbi.nlm.nih.gov/protein/NXH47069.1","NXH47069.1")</f>
        <v>NXH47069.1</v>
      </c>
      <c r="D696">
        <v>13663</v>
      </c>
      <c r="E696" t="str">
        <f>HYPERLINK("http://www.ncbi.nlm.nih.gov/Taxonomy/Browser/wwwtax.cgi?mode=Info&amp;id=667154&amp;lvl=3&amp;lin=f&amp;keep=1&amp;srchmode=1&amp;unlock","667154")</f>
        <v>667154</v>
      </c>
      <c r="F696" t="s">
        <v>241</v>
      </c>
      <c r="G696" t="str">
        <f>HYPERLINK("http://www.ncbi.nlm.nih.gov/Taxonomy/Browser/wwwtax.cgi?mode=Info&amp;id=667154&amp;lvl=3&amp;lin=f&amp;keep=1&amp;srchmode=1&amp;unlock","Dicaeum eximium")</f>
        <v>Dicaeum eximium</v>
      </c>
      <c r="H696" t="s">
        <v>435</v>
      </c>
      <c r="I696" t="str">
        <f>HYPERLINK("http://www.ncbi.nlm.nih.gov/protein/NXH47069.1","RYR2 protein")</f>
        <v>RYR2 protein</v>
      </c>
      <c r="J696">
        <v>5979.05</v>
      </c>
      <c r="K696" t="s">
        <v>22</v>
      </c>
      <c r="L696">
        <v>276</v>
      </c>
      <c r="M696">
        <v>9.75</v>
      </c>
      <c r="N696">
        <v>57.19</v>
      </c>
      <c r="O696" t="s">
        <v>19</v>
      </c>
      <c r="P696" t="s">
        <v>20</v>
      </c>
      <c r="Q696" t="s">
        <v>19</v>
      </c>
      <c r="R696" t="str">
        <f>HYPERLINK("https://cfpub.epa.gov/ecotox/explore.cfm?ncbi=667154","Explore in ECOTOX")</f>
        <v>Explore in ECOTOX</v>
      </c>
    </row>
    <row r="697" spans="1:18" x14ac:dyDescent="0.45">
      <c r="A697" t="s">
        <v>1264</v>
      </c>
      <c r="B697">
        <v>8</v>
      </c>
      <c r="C697" t="str">
        <f>HYPERLINK("http://www.ncbi.nlm.nih.gov/protein/NXY29416.1","NXY29416.1")</f>
        <v>NXY29416.1</v>
      </c>
      <c r="D697">
        <v>13354</v>
      </c>
      <c r="E697" t="str">
        <f>HYPERLINK("http://www.ncbi.nlm.nih.gov/Taxonomy/Browser/wwwtax.cgi?mode=Info&amp;id=932028&amp;lvl=3&amp;lin=f&amp;keep=1&amp;srchmode=1&amp;unlock","932028")</f>
        <v>932028</v>
      </c>
      <c r="F697" t="s">
        <v>241</v>
      </c>
      <c r="G697" t="str">
        <f>HYPERLINK("http://www.ncbi.nlm.nih.gov/Taxonomy/Browser/wwwtax.cgi?mode=Info&amp;id=932028&amp;lvl=3&amp;lin=f&amp;keep=1&amp;srchmode=1&amp;unlock","Pomatorhinus ruficollis")</f>
        <v>Pomatorhinus ruficollis</v>
      </c>
      <c r="H697" t="s">
        <v>681</v>
      </c>
      <c r="I697" t="str">
        <f>HYPERLINK("http://www.ncbi.nlm.nih.gov/protein/NXY29416.1","RYR2 protein")</f>
        <v>RYR2 protein</v>
      </c>
      <c r="J697">
        <v>5974.43</v>
      </c>
      <c r="K697" t="s">
        <v>22</v>
      </c>
      <c r="L697">
        <v>276</v>
      </c>
      <c r="M697">
        <v>9.75</v>
      </c>
      <c r="N697">
        <v>57.15</v>
      </c>
      <c r="O697" t="s">
        <v>19</v>
      </c>
      <c r="P697" t="s">
        <v>20</v>
      </c>
      <c r="Q697" t="s">
        <v>19</v>
      </c>
      <c r="R697" t="str">
        <f>HYPERLINK("https://cfpub.epa.gov/ecotox/explore.cfm?ncbi=932028","Explore in ECOTOX")</f>
        <v>Explore in ECOTOX</v>
      </c>
    </row>
    <row r="698" spans="1:18" x14ac:dyDescent="0.45">
      <c r="A698" t="s">
        <v>1264</v>
      </c>
      <c r="B698">
        <v>8</v>
      </c>
      <c r="C698" t="str">
        <f>HYPERLINK("http://www.ncbi.nlm.nih.gov/protein/NXB80218.1","NXB80218.1")</f>
        <v>NXB80218.1</v>
      </c>
      <c r="D698">
        <v>13760</v>
      </c>
      <c r="E698" t="str">
        <f>HYPERLINK("http://www.ncbi.nlm.nih.gov/Taxonomy/Browser/wwwtax.cgi?mode=Info&amp;id=237420&amp;lvl=3&amp;lin=f&amp;keep=1&amp;srchmode=1&amp;unlock","237420")</f>
        <v>237420</v>
      </c>
      <c r="F698" t="s">
        <v>241</v>
      </c>
      <c r="G698" t="str">
        <f>HYPERLINK("http://www.ncbi.nlm.nih.gov/Taxonomy/Browser/wwwtax.cgi?mode=Info&amp;id=237420&amp;lvl=3&amp;lin=f&amp;keep=1&amp;srchmode=1&amp;unlock","Donacobius atricapilla")</f>
        <v>Donacobius atricapilla</v>
      </c>
      <c r="H698" t="s">
        <v>435</v>
      </c>
      <c r="I698" t="str">
        <f>HYPERLINK("http://www.ncbi.nlm.nih.gov/protein/NXB80218.1","RYR2 protein")</f>
        <v>RYR2 protein</v>
      </c>
      <c r="J698">
        <v>5972.89</v>
      </c>
      <c r="K698" t="s">
        <v>22</v>
      </c>
      <c r="L698">
        <v>276</v>
      </c>
      <c r="M698">
        <v>9.75</v>
      </c>
      <c r="N698">
        <v>57.14</v>
      </c>
      <c r="O698" t="s">
        <v>19</v>
      </c>
      <c r="P698" t="s">
        <v>20</v>
      </c>
      <c r="Q698" t="s">
        <v>19</v>
      </c>
      <c r="R698" t="str">
        <f>HYPERLINK("https://cfpub.epa.gov/ecotox/explore.cfm?ncbi=237420","Explore in ECOTOX")</f>
        <v>Explore in ECOTOX</v>
      </c>
    </row>
    <row r="699" spans="1:18" x14ac:dyDescent="0.45">
      <c r="A699" t="s">
        <v>1264</v>
      </c>
      <c r="B699">
        <v>8</v>
      </c>
      <c r="C699" t="str">
        <f>HYPERLINK("http://www.ncbi.nlm.nih.gov/protein/NXD34525.1","NXD34525.1")</f>
        <v>NXD34525.1</v>
      </c>
      <c r="D699">
        <v>14417</v>
      </c>
      <c r="E699" t="str">
        <f>HYPERLINK("http://www.ncbi.nlm.nih.gov/Taxonomy/Browser/wwwtax.cgi?mode=Info&amp;id=797021&amp;lvl=3&amp;lin=f&amp;keep=1&amp;srchmode=1&amp;unlock","797021")</f>
        <v>797021</v>
      </c>
      <c r="F699" t="s">
        <v>241</v>
      </c>
      <c r="G699" t="str">
        <f>HYPERLINK("http://www.ncbi.nlm.nih.gov/Taxonomy/Browser/wwwtax.cgi?mode=Info&amp;id=797021&amp;lvl=3&amp;lin=f&amp;keep=1&amp;srchmode=1&amp;unlock","Copsychus sechellarum")</f>
        <v>Copsychus sechellarum</v>
      </c>
      <c r="H699" t="s">
        <v>682</v>
      </c>
      <c r="I699" t="str">
        <f>HYPERLINK("http://www.ncbi.nlm.nih.gov/protein/NXD34525.1","RYR2 protein")</f>
        <v>RYR2 protein</v>
      </c>
      <c r="J699">
        <v>5970.19</v>
      </c>
      <c r="K699" t="s">
        <v>22</v>
      </c>
      <c r="L699">
        <v>276</v>
      </c>
      <c r="M699">
        <v>9.75</v>
      </c>
      <c r="N699">
        <v>57.11</v>
      </c>
      <c r="O699" t="s">
        <v>19</v>
      </c>
      <c r="P699" t="s">
        <v>20</v>
      </c>
      <c r="Q699" t="s">
        <v>19</v>
      </c>
      <c r="R699" t="str">
        <f>HYPERLINK("https://cfpub.epa.gov/ecotox/explore.cfm?ncbi=797021","Explore in ECOTOX")</f>
        <v>Explore in ECOTOX</v>
      </c>
    </row>
    <row r="700" spans="1:18" x14ac:dyDescent="0.45">
      <c r="A700" t="s">
        <v>1264</v>
      </c>
      <c r="B700">
        <v>8</v>
      </c>
      <c r="C700" t="str">
        <f>HYPERLINK("http://www.ncbi.nlm.nih.gov/protein/KAF1527931.1","KAF1527931.1")</f>
        <v>KAF1527931.1</v>
      </c>
      <c r="D700">
        <v>12829</v>
      </c>
      <c r="E700" t="str">
        <f>HYPERLINK("http://www.ncbi.nlm.nih.gov/Taxonomy/Browser/wwwtax.cgi?mode=Info&amp;id=92688&amp;lvl=3&amp;lin=f&amp;keep=1&amp;srchmode=1&amp;unlock","92688")</f>
        <v>92688</v>
      </c>
      <c r="F700" t="s">
        <v>241</v>
      </c>
      <c r="G700" t="str">
        <f>HYPERLINK("http://www.ncbi.nlm.nih.gov/Taxonomy/Browser/wwwtax.cgi?mode=Info&amp;id=92688&amp;lvl=3&amp;lin=f&amp;keep=1&amp;srchmode=1&amp;unlock","Eudyptes sclateri")</f>
        <v>Eudyptes sclateri</v>
      </c>
      <c r="H700" t="s">
        <v>683</v>
      </c>
      <c r="I700" t="str">
        <f>HYPERLINK("http://www.ncbi.nlm.nih.gov/protein/KAF1527931.1","Ryanodine receptor 2, partial")</f>
        <v>Ryanodine receptor 2, partial</v>
      </c>
      <c r="J700">
        <v>5962.88</v>
      </c>
      <c r="K700" t="s">
        <v>22</v>
      </c>
      <c r="L700">
        <v>276</v>
      </c>
      <c r="M700">
        <v>9.75</v>
      </c>
      <c r="N700">
        <v>57.04</v>
      </c>
      <c r="O700" t="s">
        <v>19</v>
      </c>
      <c r="P700" t="s">
        <v>20</v>
      </c>
      <c r="Q700" t="s">
        <v>19</v>
      </c>
      <c r="R700" t="str">
        <f>HYPERLINK("https://cfpub.epa.gov/ecotox/explore.cfm?ncbi=92688","Explore in ECOTOX")</f>
        <v>Explore in ECOTOX</v>
      </c>
    </row>
    <row r="701" spans="1:18" x14ac:dyDescent="0.45">
      <c r="A701" t="s">
        <v>1264</v>
      </c>
      <c r="B701">
        <v>8</v>
      </c>
      <c r="C701" t="str">
        <f>HYPERLINK("http://www.ncbi.nlm.nih.gov/protein/KAF1585575.1","KAF1585575.1")</f>
        <v>KAF1585575.1</v>
      </c>
      <c r="D701">
        <v>15582</v>
      </c>
      <c r="E701" t="str">
        <f>HYPERLINK("http://www.ncbi.nlm.nih.gov/Taxonomy/Browser/wwwtax.cgi?mode=Info&amp;id=345251&amp;lvl=3&amp;lin=f&amp;keep=1&amp;srchmode=1&amp;unlock","345251")</f>
        <v>345251</v>
      </c>
      <c r="F701" t="s">
        <v>241</v>
      </c>
      <c r="G701" t="str">
        <f>HYPERLINK("http://www.ncbi.nlm.nih.gov/Taxonomy/Browser/wwwtax.cgi?mode=Info&amp;id=345251&amp;lvl=3&amp;lin=f&amp;keep=1&amp;srchmode=1&amp;unlock","Eudyptes robustus")</f>
        <v>Eudyptes robustus</v>
      </c>
      <c r="H701" t="s">
        <v>684</v>
      </c>
      <c r="I701" t="str">
        <f>HYPERLINK("http://www.ncbi.nlm.nih.gov/protein/KAF1585575.1","Ryanodine receptor 2, partial")</f>
        <v>Ryanodine receptor 2, partial</v>
      </c>
      <c r="J701">
        <v>5961.33</v>
      </c>
      <c r="K701" t="s">
        <v>22</v>
      </c>
      <c r="L701">
        <v>276</v>
      </c>
      <c r="M701">
        <v>9.75</v>
      </c>
      <c r="N701">
        <v>57.02</v>
      </c>
      <c r="O701" t="s">
        <v>19</v>
      </c>
      <c r="P701" t="s">
        <v>20</v>
      </c>
      <c r="Q701" t="s">
        <v>19</v>
      </c>
      <c r="R701" t="str">
        <f>HYPERLINK("https://cfpub.epa.gov/ecotox/explore.cfm?ncbi=345251","Explore in ECOTOX")</f>
        <v>Explore in ECOTOX</v>
      </c>
    </row>
    <row r="702" spans="1:18" x14ac:dyDescent="0.45">
      <c r="A702" t="s">
        <v>1264</v>
      </c>
      <c r="B702">
        <v>8</v>
      </c>
      <c r="C702" t="str">
        <f>HYPERLINK("http://www.ncbi.nlm.nih.gov/protein/NXM89875.1","NXM89875.1")</f>
        <v>NXM89875.1</v>
      </c>
      <c r="D702">
        <v>13842</v>
      </c>
      <c r="E702" t="str">
        <f>HYPERLINK("http://www.ncbi.nlm.nih.gov/Taxonomy/Browser/wwwtax.cgi?mode=Info&amp;id=279966&amp;lvl=3&amp;lin=f&amp;keep=1&amp;srchmode=1&amp;unlock","279966")</f>
        <v>279966</v>
      </c>
      <c r="F702" t="s">
        <v>241</v>
      </c>
      <c r="G702" t="str">
        <f>HYPERLINK("http://www.ncbi.nlm.nih.gov/Taxonomy/Browser/wwwtax.cgi?mode=Info&amp;id=279966&amp;lvl=3&amp;lin=f&amp;keep=1&amp;srchmode=1&amp;unlock","Oenanthe oenanthe")</f>
        <v>Oenanthe oenanthe</v>
      </c>
      <c r="H702" t="s">
        <v>685</v>
      </c>
      <c r="I702" t="str">
        <f>HYPERLINK("http://www.ncbi.nlm.nih.gov/protein/NXM89875.1","RYR2 protein")</f>
        <v>RYR2 protein</v>
      </c>
      <c r="J702">
        <v>5954.79</v>
      </c>
      <c r="K702" t="s">
        <v>22</v>
      </c>
      <c r="L702">
        <v>276</v>
      </c>
      <c r="M702">
        <v>9.75</v>
      </c>
      <c r="N702">
        <v>56.96</v>
      </c>
      <c r="O702" t="s">
        <v>19</v>
      </c>
      <c r="P702" t="s">
        <v>20</v>
      </c>
      <c r="Q702" t="s">
        <v>19</v>
      </c>
      <c r="R702" t="str">
        <f>HYPERLINK("https://cfpub.epa.gov/ecotox/explore.cfm?ncbi=279966","Explore in ECOTOX")</f>
        <v>Explore in ECOTOX</v>
      </c>
    </row>
    <row r="703" spans="1:18" x14ac:dyDescent="0.45">
      <c r="A703" t="s">
        <v>1264</v>
      </c>
      <c r="B703">
        <v>8</v>
      </c>
      <c r="C703" t="str">
        <f>HYPERLINK("http://www.ncbi.nlm.nih.gov/protein/XP_041671593.1","XP_041671593.1")</f>
        <v>XP_041671593.1</v>
      </c>
      <c r="D703">
        <v>40157</v>
      </c>
      <c r="E703" t="str">
        <f>HYPERLINK("http://www.ncbi.nlm.nih.gov/Taxonomy/Browser/wwwtax.cgi?mode=Info&amp;id=241271&amp;lvl=3&amp;lin=f&amp;keep=1&amp;srchmode=1&amp;unlock","241271")</f>
        <v>241271</v>
      </c>
      <c r="F703" t="s">
        <v>17</v>
      </c>
      <c r="G703" t="str">
        <f>HYPERLINK("http://www.ncbi.nlm.nih.gov/Taxonomy/Browser/wwwtax.cgi?mode=Info&amp;id=241271&amp;lvl=3&amp;lin=f&amp;keep=1&amp;srchmode=1&amp;unlock","Cheilinus undulatus")</f>
        <v>Cheilinus undulatus</v>
      </c>
      <c r="H703" t="s">
        <v>686</v>
      </c>
      <c r="I703" t="str">
        <f>HYPERLINK("http://www.ncbi.nlm.nih.gov/protein/XP_041671593.1","ryanodine receptor 2")</f>
        <v>ryanodine receptor 2</v>
      </c>
      <c r="J703">
        <v>5954.02</v>
      </c>
      <c r="K703" t="s">
        <v>22</v>
      </c>
      <c r="L703">
        <v>276</v>
      </c>
      <c r="M703">
        <v>9.75</v>
      </c>
      <c r="N703">
        <v>56.96</v>
      </c>
      <c r="O703" t="s">
        <v>19</v>
      </c>
      <c r="P703" t="s">
        <v>20</v>
      </c>
      <c r="Q703" t="s">
        <v>19</v>
      </c>
      <c r="R703" t="str">
        <f>HYPERLINK("https://cfpub.epa.gov/ecotox/explore.cfm?ncbi=241271","Explore in ECOTOX")</f>
        <v>Explore in ECOTOX</v>
      </c>
    </row>
    <row r="704" spans="1:18" x14ac:dyDescent="0.45">
      <c r="A704" t="s">
        <v>1264</v>
      </c>
      <c r="B704">
        <v>8</v>
      </c>
      <c r="C704" t="str">
        <f>HYPERLINK("http://www.ncbi.nlm.nih.gov/protein/NWZ97534.1","NWZ97534.1")</f>
        <v>NWZ97534.1</v>
      </c>
      <c r="D704">
        <v>14106</v>
      </c>
      <c r="E704" t="str">
        <f>HYPERLINK("http://www.ncbi.nlm.nih.gov/Taxonomy/Browser/wwwtax.cgi?mode=Info&amp;id=381881&amp;lvl=3&amp;lin=f&amp;keep=1&amp;srchmode=1&amp;unlock","381881")</f>
        <v>381881</v>
      </c>
      <c r="F704" t="s">
        <v>241</v>
      </c>
      <c r="G704" t="str">
        <f>HYPERLINK("http://www.ncbi.nlm.nih.gov/Taxonomy/Browser/wwwtax.cgi?mode=Info&amp;id=381881&amp;lvl=3&amp;lin=f&amp;keep=1&amp;srchmode=1&amp;unlock","Nesospiza acunhae")</f>
        <v>Nesospiza acunhae</v>
      </c>
      <c r="H704" t="s">
        <v>561</v>
      </c>
      <c r="I704" t="str">
        <f>HYPERLINK("http://www.ncbi.nlm.nih.gov/protein/NWZ97534.1","RYR2 protein")</f>
        <v>RYR2 protein</v>
      </c>
      <c r="J704">
        <v>5944</v>
      </c>
      <c r="K704" t="s">
        <v>22</v>
      </c>
      <c r="L704">
        <v>276</v>
      </c>
      <c r="M704">
        <v>9.75</v>
      </c>
      <c r="N704">
        <v>56.86</v>
      </c>
      <c r="O704" t="s">
        <v>19</v>
      </c>
      <c r="P704" t="s">
        <v>20</v>
      </c>
      <c r="Q704" t="s">
        <v>19</v>
      </c>
      <c r="R704" t="str">
        <f>HYPERLINK("https://cfpub.epa.gov/ecotox/explore.cfm?ncbi=381881","Explore in ECOTOX")</f>
        <v>Explore in ECOTOX</v>
      </c>
    </row>
    <row r="705" spans="1:18" x14ac:dyDescent="0.45">
      <c r="A705" t="s">
        <v>1264</v>
      </c>
      <c r="B705">
        <v>8</v>
      </c>
      <c r="C705" t="str">
        <f>HYPERLINK("http://www.ncbi.nlm.nih.gov/protein/NWX14037.1","NWX14037.1")</f>
        <v>NWX14037.1</v>
      </c>
      <c r="D705">
        <v>13717</v>
      </c>
      <c r="E705" t="str">
        <f>HYPERLINK("http://www.ncbi.nlm.nih.gov/Taxonomy/Browser/wwwtax.cgi?mode=Info&amp;id=48278&amp;lvl=3&amp;lin=f&amp;keep=1&amp;srchmode=1&amp;unlock","48278")</f>
        <v>48278</v>
      </c>
      <c r="F705" t="s">
        <v>241</v>
      </c>
      <c r="G705" t="str">
        <f>HYPERLINK("http://www.ncbi.nlm.nih.gov/Taxonomy/Browser/wwwtax.cgi?mode=Info&amp;id=48278&amp;lvl=3&amp;lin=f&amp;keep=1&amp;srchmode=1&amp;unlock","Aegotheles bennettii")</f>
        <v>Aegotheles bennettii</v>
      </c>
      <c r="H705" t="s">
        <v>687</v>
      </c>
      <c r="I705" t="str">
        <f>HYPERLINK("http://www.ncbi.nlm.nih.gov/protein/NWX14037.1","RYR2 protein")</f>
        <v>RYR2 protein</v>
      </c>
      <c r="J705">
        <v>5943.62</v>
      </c>
      <c r="K705" t="s">
        <v>22</v>
      </c>
      <c r="L705">
        <v>276</v>
      </c>
      <c r="M705">
        <v>9.75</v>
      </c>
      <c r="N705">
        <v>56.86</v>
      </c>
      <c r="O705" t="s">
        <v>19</v>
      </c>
      <c r="P705" t="s">
        <v>20</v>
      </c>
      <c r="Q705" t="s">
        <v>19</v>
      </c>
      <c r="R705" t="str">
        <f>HYPERLINK("https://cfpub.epa.gov/ecotox/explore.cfm?ncbi=48278","Explore in ECOTOX")</f>
        <v>Explore in ECOTOX</v>
      </c>
    </row>
    <row r="706" spans="1:18" x14ac:dyDescent="0.45">
      <c r="A706" t="s">
        <v>1264</v>
      </c>
      <c r="B706">
        <v>8</v>
      </c>
      <c r="C706" t="str">
        <f>HYPERLINK("http://www.ncbi.nlm.nih.gov/protein/NXU43788.1","NXU43788.1")</f>
        <v>NXU43788.1</v>
      </c>
      <c r="D706">
        <v>13604</v>
      </c>
      <c r="E706" t="str">
        <f>HYPERLINK("http://www.ncbi.nlm.nih.gov/Taxonomy/Browser/wwwtax.cgi?mode=Info&amp;id=626378&amp;lvl=3&amp;lin=f&amp;keep=1&amp;srchmode=1&amp;unlock","626378")</f>
        <v>626378</v>
      </c>
      <c r="F706" t="s">
        <v>241</v>
      </c>
      <c r="G706" t="str">
        <f>HYPERLINK("http://www.ncbi.nlm.nih.gov/Taxonomy/Browser/wwwtax.cgi?mode=Info&amp;id=626378&amp;lvl=3&amp;lin=f&amp;keep=1&amp;srchmode=1&amp;unlock","Drymodes brunneopygia")</f>
        <v>Drymodes brunneopygia</v>
      </c>
      <c r="H706" t="s">
        <v>688</v>
      </c>
      <c r="I706" t="str">
        <f>HYPERLINK("http://www.ncbi.nlm.nih.gov/protein/NXU43788.1","RYR2 protein")</f>
        <v>RYR2 protein</v>
      </c>
      <c r="J706">
        <v>5942.07</v>
      </c>
      <c r="K706" t="s">
        <v>22</v>
      </c>
      <c r="L706">
        <v>276</v>
      </c>
      <c r="M706">
        <v>9.75</v>
      </c>
      <c r="N706">
        <v>56.84</v>
      </c>
      <c r="O706" t="s">
        <v>19</v>
      </c>
      <c r="P706" t="s">
        <v>20</v>
      </c>
      <c r="Q706" t="s">
        <v>19</v>
      </c>
      <c r="R706" t="str">
        <f>HYPERLINK("https://cfpub.epa.gov/ecotox/explore.cfm?ncbi=626378","Explore in ECOTOX")</f>
        <v>Explore in ECOTOX</v>
      </c>
    </row>
    <row r="707" spans="1:18" x14ac:dyDescent="0.45">
      <c r="A707" t="s">
        <v>1264</v>
      </c>
      <c r="B707">
        <v>8</v>
      </c>
      <c r="C707" t="str">
        <f>HYPERLINK("http://www.ncbi.nlm.nih.gov/protein/XP_057386888.1","XP_057386888.1")</f>
        <v>XP_057386888.1</v>
      </c>
      <c r="D707">
        <v>54190</v>
      </c>
      <c r="E707" t="str">
        <f>HYPERLINK("http://www.ncbi.nlm.nih.gov/Taxonomy/Browser/wwwtax.cgi?mode=Info&amp;id=9767&amp;lvl=3&amp;lin=f&amp;keep=1&amp;srchmode=1&amp;unlock","9767")</f>
        <v>9767</v>
      </c>
      <c r="F707" t="s">
        <v>96</v>
      </c>
      <c r="G707" t="str">
        <f>HYPERLINK("http://www.ncbi.nlm.nih.gov/Taxonomy/Browser/wwwtax.cgi?mode=Info&amp;id=9767&amp;lvl=3&amp;lin=f&amp;keep=1&amp;srchmode=1&amp;unlock","Balaenoptera acutorostrata")</f>
        <v>Balaenoptera acutorostrata</v>
      </c>
      <c r="H707" t="s">
        <v>689</v>
      </c>
      <c r="I707" t="str">
        <f>HYPERLINK("http://www.ncbi.nlm.nih.gov/protein/XP_057386888.1","ryanodine receptor 2 isoform X4")</f>
        <v>ryanodine receptor 2 isoform X4</v>
      </c>
      <c r="J707">
        <v>5931.67</v>
      </c>
      <c r="K707" t="s">
        <v>22</v>
      </c>
      <c r="L707">
        <v>276</v>
      </c>
      <c r="M707">
        <v>9.75</v>
      </c>
      <c r="N707">
        <v>56.74</v>
      </c>
      <c r="O707" t="s">
        <v>19</v>
      </c>
      <c r="P707" t="s">
        <v>20</v>
      </c>
      <c r="Q707" t="s">
        <v>19</v>
      </c>
      <c r="R707" t="str">
        <f>HYPERLINK("https://cfpub.epa.gov/ecotox/explore.cfm?ncbi=9767","Explore in ECOTOX")</f>
        <v>Explore in ECOTOX</v>
      </c>
    </row>
    <row r="708" spans="1:18" x14ac:dyDescent="0.45">
      <c r="A708" t="s">
        <v>1264</v>
      </c>
      <c r="B708">
        <v>8</v>
      </c>
      <c r="C708" t="str">
        <f>HYPERLINK("http://www.ncbi.nlm.nih.gov/protein/NXP83938.1","NXP83938.1")</f>
        <v>NXP83938.1</v>
      </c>
      <c r="D708">
        <v>13042</v>
      </c>
      <c r="E708" t="str">
        <f>HYPERLINK("http://www.ncbi.nlm.nih.gov/Taxonomy/Browser/wwwtax.cgi?mode=Info&amp;id=142471&amp;lvl=3&amp;lin=f&amp;keep=1&amp;srchmode=1&amp;unlock","142471")</f>
        <v>142471</v>
      </c>
      <c r="F708" t="s">
        <v>241</v>
      </c>
      <c r="G708" t="str">
        <f>HYPERLINK("http://www.ncbi.nlm.nih.gov/Taxonomy/Browser/wwwtax.cgi?mode=Info&amp;id=142471&amp;lvl=3&amp;lin=f&amp;keep=1&amp;srchmode=1&amp;unlock","Passerina amoena")</f>
        <v>Passerina amoena</v>
      </c>
      <c r="H708" t="s">
        <v>435</v>
      </c>
      <c r="I708" t="str">
        <f>HYPERLINK("http://www.ncbi.nlm.nih.gov/protein/NXP83938.1","RYR2 protein")</f>
        <v>RYR2 protein</v>
      </c>
      <c r="J708">
        <v>5928.98</v>
      </c>
      <c r="K708" t="s">
        <v>22</v>
      </c>
      <c r="L708">
        <v>276</v>
      </c>
      <c r="M708">
        <v>9.75</v>
      </c>
      <c r="N708">
        <v>56.72</v>
      </c>
      <c r="O708" t="s">
        <v>19</v>
      </c>
      <c r="P708" t="s">
        <v>20</v>
      </c>
      <c r="Q708" t="s">
        <v>19</v>
      </c>
      <c r="R708" t="str">
        <f>HYPERLINK("https://cfpub.epa.gov/ecotox/explore.cfm?ncbi=142471","Explore in ECOTOX")</f>
        <v>Explore in ECOTOX</v>
      </c>
    </row>
    <row r="709" spans="1:18" x14ac:dyDescent="0.45">
      <c r="A709" t="s">
        <v>1264</v>
      </c>
      <c r="B709">
        <v>8</v>
      </c>
      <c r="C709" t="str">
        <f>HYPERLINK("http://www.ncbi.nlm.nih.gov/protein/NXK60112.1","NXK60112.1")</f>
        <v>NXK60112.1</v>
      </c>
      <c r="D709">
        <v>13823</v>
      </c>
      <c r="E709" t="str">
        <f>HYPERLINK("http://www.ncbi.nlm.nih.gov/Taxonomy/Browser/wwwtax.cgi?mode=Info&amp;id=208069&amp;lvl=3&amp;lin=f&amp;keep=1&amp;srchmode=1&amp;unlock","208069")</f>
        <v>208069</v>
      </c>
      <c r="F709" t="s">
        <v>241</v>
      </c>
      <c r="G709" t="str">
        <f>HYPERLINK("http://www.ncbi.nlm.nih.gov/Taxonomy/Browser/wwwtax.cgi?mode=Info&amp;id=208069&amp;lvl=3&amp;lin=f&amp;keep=1&amp;srchmode=1&amp;unlock","Sylvietta virens")</f>
        <v>Sylvietta virens</v>
      </c>
      <c r="H709" t="s">
        <v>690</v>
      </c>
      <c r="I709" t="str">
        <f>HYPERLINK("http://www.ncbi.nlm.nih.gov/protein/NXK60112.1","RYR2 protein")</f>
        <v>RYR2 protein</v>
      </c>
      <c r="J709">
        <v>5922.81</v>
      </c>
      <c r="K709" t="s">
        <v>22</v>
      </c>
      <c r="L709">
        <v>276</v>
      </c>
      <c r="M709">
        <v>9.75</v>
      </c>
      <c r="N709">
        <v>56.66</v>
      </c>
      <c r="O709" t="s">
        <v>19</v>
      </c>
      <c r="P709" t="s">
        <v>20</v>
      </c>
      <c r="Q709" t="s">
        <v>19</v>
      </c>
      <c r="R709" t="str">
        <f>HYPERLINK("https://cfpub.epa.gov/ecotox/explore.cfm?ncbi=208069","Explore in ECOTOX")</f>
        <v>Explore in ECOTOX</v>
      </c>
    </row>
    <row r="710" spans="1:18" x14ac:dyDescent="0.45">
      <c r="A710" t="s">
        <v>1264</v>
      </c>
      <c r="B710">
        <v>8</v>
      </c>
      <c r="C710" t="str">
        <f>HYPERLINK("http://www.ncbi.nlm.nih.gov/protein/NXC92830.1","NXC92830.1")</f>
        <v>NXC92830.1</v>
      </c>
      <c r="D710">
        <v>13258</v>
      </c>
      <c r="E710" t="str">
        <f>HYPERLINK("http://www.ncbi.nlm.nih.gov/Taxonomy/Browser/wwwtax.cgi?mode=Info&amp;id=73333&amp;lvl=3&amp;lin=f&amp;keep=1&amp;srchmode=1&amp;unlock","73333")</f>
        <v>73333</v>
      </c>
      <c r="F710" t="s">
        <v>241</v>
      </c>
      <c r="G710" t="str">
        <f>HYPERLINK("http://www.ncbi.nlm.nih.gov/Taxonomy/Browser/wwwtax.cgi?mode=Info&amp;id=73333&amp;lvl=3&amp;lin=f&amp;keep=1&amp;srchmode=1&amp;unlock","Certhia familiaris")</f>
        <v>Certhia familiaris</v>
      </c>
      <c r="H710" t="s">
        <v>691</v>
      </c>
      <c r="I710" t="str">
        <f>HYPERLINK("http://www.ncbi.nlm.nih.gov/protein/NXC92830.1","RYR2 protein")</f>
        <v>RYR2 protein</v>
      </c>
      <c r="J710">
        <v>5893.92</v>
      </c>
      <c r="K710" t="s">
        <v>22</v>
      </c>
      <c r="L710">
        <v>276</v>
      </c>
      <c r="M710">
        <v>9.75</v>
      </c>
      <c r="N710">
        <v>56.38</v>
      </c>
      <c r="O710" t="s">
        <v>19</v>
      </c>
      <c r="P710" t="s">
        <v>20</v>
      </c>
      <c r="Q710" t="s">
        <v>19</v>
      </c>
      <c r="R710" t="str">
        <f>HYPERLINK("https://cfpub.epa.gov/ecotox/explore.cfm?ncbi=73333","Explore in ECOTOX")</f>
        <v>Explore in ECOTOX</v>
      </c>
    </row>
    <row r="711" spans="1:18" x14ac:dyDescent="0.45">
      <c r="A711" t="s">
        <v>1264</v>
      </c>
      <c r="B711">
        <v>8</v>
      </c>
      <c r="C711" t="str">
        <f>HYPERLINK("http://www.ncbi.nlm.nih.gov/protein/XP_023422283.1","XP_023422283.1")</f>
        <v>XP_023422283.1</v>
      </c>
      <c r="D711">
        <v>49200</v>
      </c>
      <c r="E711" t="str">
        <f>HYPERLINK("http://www.ncbi.nlm.nih.gov/Taxonomy/Browser/wwwtax.cgi?mode=Info&amp;id=10141&amp;lvl=3&amp;lin=f&amp;keep=1&amp;srchmode=1&amp;unlock","10141")</f>
        <v>10141</v>
      </c>
      <c r="F711" t="s">
        <v>96</v>
      </c>
      <c r="G711" t="str">
        <f>HYPERLINK("http://www.ncbi.nlm.nih.gov/Taxonomy/Browser/wwwtax.cgi?mode=Info&amp;id=10141&amp;lvl=3&amp;lin=f&amp;keep=1&amp;srchmode=1&amp;unlock","Cavia porcellus")</f>
        <v>Cavia porcellus</v>
      </c>
      <c r="H711" t="s">
        <v>692</v>
      </c>
      <c r="I711" t="str">
        <f>HYPERLINK("http://www.ncbi.nlm.nih.gov/protein/XP_023422283.1","ryanodine receptor 2")</f>
        <v>ryanodine receptor 2</v>
      </c>
      <c r="J711">
        <v>5889.3</v>
      </c>
      <c r="K711" t="s">
        <v>22</v>
      </c>
      <c r="L711">
        <v>276</v>
      </c>
      <c r="M711">
        <v>9.75</v>
      </c>
      <c r="N711">
        <v>56.34</v>
      </c>
      <c r="O711" t="s">
        <v>19</v>
      </c>
      <c r="P711" t="s">
        <v>20</v>
      </c>
      <c r="Q711" t="s">
        <v>19</v>
      </c>
      <c r="R711" t="str">
        <f>HYPERLINK("https://cfpub.epa.gov/ecotox/explore.cfm?ncbi=10141","Explore in ECOTOX")</f>
        <v>Explore in ECOTOX</v>
      </c>
    </row>
    <row r="712" spans="1:18" x14ac:dyDescent="0.45">
      <c r="A712" t="s">
        <v>1264</v>
      </c>
      <c r="B712">
        <v>8</v>
      </c>
      <c r="C712" t="str">
        <f>HYPERLINK("http://www.ncbi.nlm.nih.gov/protein/NWQ74070.1","NWQ74070.1")</f>
        <v>NWQ74070.1</v>
      </c>
      <c r="D712">
        <v>12327</v>
      </c>
      <c r="E712" t="str">
        <f>HYPERLINK("http://www.ncbi.nlm.nih.gov/Taxonomy/Browser/wwwtax.cgi?mode=Info&amp;id=115618&amp;lvl=3&amp;lin=f&amp;keep=1&amp;srchmode=1&amp;unlock","115618")</f>
        <v>115618</v>
      </c>
      <c r="F712" t="s">
        <v>241</v>
      </c>
      <c r="G712" t="str">
        <f>HYPERLINK("http://www.ncbi.nlm.nih.gov/Taxonomy/Browser/wwwtax.cgi?mode=Info&amp;id=115618&amp;lvl=3&amp;lin=f&amp;keep=1&amp;srchmode=1&amp;unlock","Columbina picui")</f>
        <v>Columbina picui</v>
      </c>
      <c r="H712" t="s">
        <v>693</v>
      </c>
      <c r="I712" t="str">
        <f>HYPERLINK("http://www.ncbi.nlm.nih.gov/protein/NWQ74070.1","RYR2 protein")</f>
        <v>RYR2 protein</v>
      </c>
      <c r="J712">
        <v>5884.29</v>
      </c>
      <c r="K712" t="s">
        <v>22</v>
      </c>
      <c r="L712">
        <v>276</v>
      </c>
      <c r="M712">
        <v>9.75</v>
      </c>
      <c r="N712">
        <v>56.29</v>
      </c>
      <c r="O712" t="s">
        <v>19</v>
      </c>
      <c r="P712" t="s">
        <v>20</v>
      </c>
      <c r="Q712" t="s">
        <v>19</v>
      </c>
      <c r="R712" t="str">
        <f>HYPERLINK("https://cfpub.epa.gov/ecotox/explore.cfm?ncbi=115618","Explore in ECOTOX")</f>
        <v>Explore in ECOTOX</v>
      </c>
    </row>
    <row r="713" spans="1:18" x14ac:dyDescent="0.45">
      <c r="A713" t="s">
        <v>1264</v>
      </c>
      <c r="B713">
        <v>8</v>
      </c>
      <c r="C713" t="str">
        <f>HYPERLINK("http://www.ncbi.nlm.nih.gov/protein/XP_016061941.1","XP_016061941.1")</f>
        <v>XP_016061941.1</v>
      </c>
      <c r="D713">
        <v>29868</v>
      </c>
      <c r="E713" t="str">
        <f>HYPERLINK("http://www.ncbi.nlm.nih.gov/Taxonomy/Browser/wwwtax.cgi?mode=Info&amp;id=291302&amp;lvl=3&amp;lin=f&amp;keep=1&amp;srchmode=1&amp;unlock","291302")</f>
        <v>291302</v>
      </c>
      <c r="F713" t="s">
        <v>96</v>
      </c>
      <c r="G713" t="str">
        <f>HYPERLINK("http://www.ncbi.nlm.nih.gov/Taxonomy/Browser/wwwtax.cgi?mode=Info&amp;id=291302&amp;lvl=3&amp;lin=f&amp;keep=1&amp;srchmode=1&amp;unlock","Miniopterus natalensis")</f>
        <v>Miniopterus natalensis</v>
      </c>
      <c r="H713" t="s">
        <v>387</v>
      </c>
      <c r="I713" t="str">
        <f>HYPERLINK("http://www.ncbi.nlm.nih.gov/protein/XP_016061941.1","PREDICTED: ryanodine receptor 1")</f>
        <v>PREDICTED: ryanodine receptor 1</v>
      </c>
      <c r="J713">
        <v>5881.6</v>
      </c>
      <c r="K713" t="s">
        <v>19</v>
      </c>
      <c r="L713">
        <v>276</v>
      </c>
      <c r="M713">
        <v>9.75</v>
      </c>
      <c r="N713">
        <v>56.26</v>
      </c>
      <c r="O713" t="s">
        <v>19</v>
      </c>
      <c r="P713" t="s">
        <v>20</v>
      </c>
      <c r="Q713" t="s">
        <v>19</v>
      </c>
      <c r="R713" t="str">
        <f>HYPERLINK("https://cfpub.epa.gov/ecotox/explore.cfm?ncbi=291302","Explore in ECOTOX")</f>
        <v>Explore in ECOTOX</v>
      </c>
    </row>
    <row r="714" spans="1:18" x14ac:dyDescent="0.45">
      <c r="A714" t="s">
        <v>1264</v>
      </c>
      <c r="B714">
        <v>8</v>
      </c>
      <c r="C714" t="str">
        <f>HYPERLINK("http://www.ncbi.nlm.nih.gov/protein/NWR16548.1","NWR16548.1")</f>
        <v>NWR16548.1</v>
      </c>
      <c r="D714">
        <v>13259</v>
      </c>
      <c r="E714" t="str">
        <f>HYPERLINK("http://www.ncbi.nlm.nih.gov/Taxonomy/Browser/wwwtax.cgi?mode=Info&amp;id=337179&amp;lvl=3&amp;lin=f&amp;keep=1&amp;srchmode=1&amp;unlock","337179")</f>
        <v>337179</v>
      </c>
      <c r="F714" t="s">
        <v>241</v>
      </c>
      <c r="G714" t="str">
        <f>HYPERLINK("http://www.ncbi.nlm.nih.gov/Taxonomy/Browser/wwwtax.cgi?mode=Info&amp;id=337179&amp;lvl=3&amp;lin=f&amp;keep=1&amp;srchmode=1&amp;unlock","Emberiza fucata")</f>
        <v>Emberiza fucata</v>
      </c>
      <c r="H714" t="s">
        <v>694</v>
      </c>
      <c r="I714" t="str">
        <f>HYPERLINK("http://www.ncbi.nlm.nih.gov/protein/NWR16548.1","RYR2 protein")</f>
        <v>RYR2 protein</v>
      </c>
      <c r="J714">
        <v>5878.9</v>
      </c>
      <c r="K714" t="s">
        <v>22</v>
      </c>
      <c r="L714">
        <v>276</v>
      </c>
      <c r="M714">
        <v>9.75</v>
      </c>
      <c r="N714">
        <v>56.24</v>
      </c>
      <c r="O714" t="s">
        <v>19</v>
      </c>
      <c r="P714" t="s">
        <v>20</v>
      </c>
      <c r="Q714" t="s">
        <v>19</v>
      </c>
      <c r="R714" t="str">
        <f>HYPERLINK("https://cfpub.epa.gov/ecotox/explore.cfm?ncbi=337179","Explore in ECOTOX")</f>
        <v>Explore in ECOTOX</v>
      </c>
    </row>
    <row r="715" spans="1:18" x14ac:dyDescent="0.45">
      <c r="A715" t="s">
        <v>1264</v>
      </c>
      <c r="B715">
        <v>8</v>
      </c>
      <c r="C715" t="str">
        <f>HYPERLINK("http://www.ncbi.nlm.nih.gov/protein/XP_027759058.1","XP_027759058.1")</f>
        <v>XP_027759058.1</v>
      </c>
      <c r="D715">
        <v>34052</v>
      </c>
      <c r="E715" t="str">
        <f>HYPERLINK("http://www.ncbi.nlm.nih.gov/Taxonomy/Browser/wwwtax.cgi?mode=Info&amp;id=164674&amp;lvl=3&amp;lin=f&amp;keep=1&amp;srchmode=1&amp;unlock","164674")</f>
        <v>164674</v>
      </c>
      <c r="F715" t="s">
        <v>241</v>
      </c>
      <c r="G715" t="str">
        <f>HYPERLINK("http://www.ncbi.nlm.nih.gov/Taxonomy/Browser/wwwtax.cgi?mode=Info&amp;id=164674&amp;lvl=3&amp;lin=f&amp;keep=1&amp;srchmode=1&amp;unlock","Empidonax traillii")</f>
        <v>Empidonax traillii</v>
      </c>
      <c r="H715" t="s">
        <v>695</v>
      </c>
      <c r="I715" t="str">
        <f>HYPERLINK("http://www.ncbi.nlm.nih.gov/protein/XP_027759058.1","ryanodine receptor 2")</f>
        <v>ryanodine receptor 2</v>
      </c>
      <c r="J715">
        <v>5871.58</v>
      </c>
      <c r="K715" t="s">
        <v>22</v>
      </c>
      <c r="L715">
        <v>276</v>
      </c>
      <c r="M715">
        <v>9.75</v>
      </c>
      <c r="N715">
        <v>56.17</v>
      </c>
      <c r="O715" t="s">
        <v>19</v>
      </c>
      <c r="P715" t="s">
        <v>20</v>
      </c>
      <c r="Q715" t="s">
        <v>19</v>
      </c>
      <c r="R715" t="str">
        <f>HYPERLINK("https://cfpub.epa.gov/ecotox/explore.cfm?ncbi=164674","Explore in ECOTOX")</f>
        <v>Explore in ECOTOX</v>
      </c>
    </row>
    <row r="716" spans="1:18" x14ac:dyDescent="0.45">
      <c r="A716" t="s">
        <v>1264</v>
      </c>
      <c r="B716">
        <v>8</v>
      </c>
      <c r="C716" t="str">
        <f>HYPERLINK("http://www.ncbi.nlm.nih.gov/protein/KAJ6664647.1","KAJ6664647.1")</f>
        <v>KAJ6664647.1</v>
      </c>
      <c r="D716">
        <v>21094</v>
      </c>
      <c r="E716" t="str">
        <f>HYPERLINK("http://www.ncbi.nlm.nih.gov/Taxonomy/Browser/wwwtax.cgi?mode=Info&amp;id=470340&amp;lvl=3&amp;lin=f&amp;keep=1&amp;srchmode=1&amp;unlock","470340")</f>
        <v>470340</v>
      </c>
      <c r="F716" t="s">
        <v>192</v>
      </c>
      <c r="G716" t="str">
        <f>HYPERLINK("http://www.ncbi.nlm.nih.gov/Taxonomy/Browser/wwwtax.cgi?mode=Info&amp;id=470340&amp;lvl=3&amp;lin=f&amp;keep=1&amp;srchmode=1&amp;unlock","Lerista edwardsae")</f>
        <v>Lerista edwardsae</v>
      </c>
      <c r="H716" t="s">
        <v>696</v>
      </c>
      <c r="I716" t="str">
        <f>HYPERLINK("http://www.ncbi.nlm.nih.gov/protein/KAJ6664647.1","hypothetical protein lerEdw1_006220")</f>
        <v>hypothetical protein lerEdw1_006220</v>
      </c>
      <c r="J716">
        <v>5852.71</v>
      </c>
      <c r="K716" t="s">
        <v>22</v>
      </c>
      <c r="L716">
        <v>276</v>
      </c>
      <c r="M716">
        <v>9.75</v>
      </c>
      <c r="N716">
        <v>55.99</v>
      </c>
      <c r="O716" t="s">
        <v>19</v>
      </c>
      <c r="P716" t="s">
        <v>20</v>
      </c>
      <c r="Q716" t="s">
        <v>19</v>
      </c>
      <c r="R716" t="str">
        <f>HYPERLINK("https://cfpub.epa.gov/ecotox/explore.cfm?ncbi=470340","Explore in ECOTOX")</f>
        <v>Explore in ECOTOX</v>
      </c>
    </row>
    <row r="717" spans="1:18" x14ac:dyDescent="0.45">
      <c r="A717" t="s">
        <v>1264</v>
      </c>
      <c r="B717">
        <v>8</v>
      </c>
      <c r="C717" t="str">
        <f>HYPERLINK("http://www.ncbi.nlm.nih.gov/protein/RMC12770.1","RMC12770.1")</f>
        <v>RMC12770.1</v>
      </c>
      <c r="D717">
        <v>35222</v>
      </c>
      <c r="E717" t="str">
        <f>HYPERLINK("http://www.ncbi.nlm.nih.gov/Taxonomy/Browser/wwwtax.cgi?mode=Info&amp;id=333673&amp;lvl=3&amp;lin=f&amp;keep=1&amp;srchmode=1&amp;unlock","333673")</f>
        <v>333673</v>
      </c>
      <c r="F717" t="s">
        <v>241</v>
      </c>
      <c r="G717" t="str">
        <f>HYPERLINK("http://www.ncbi.nlm.nih.gov/Taxonomy/Browser/wwwtax.cgi?mode=Info&amp;id=333673&amp;lvl=3&amp;lin=f&amp;keep=1&amp;srchmode=1&amp;unlock","Hirundo rustica rustica")</f>
        <v>Hirundo rustica rustica</v>
      </c>
      <c r="H717" t="s">
        <v>549</v>
      </c>
      <c r="I717" t="str">
        <f>HYPERLINK("http://www.ncbi.nlm.nih.gov/protein/RMC12770.1","hypothetical protein DUI87_10295")</f>
        <v>hypothetical protein DUI87_10295</v>
      </c>
      <c r="J717">
        <v>5834.22</v>
      </c>
      <c r="K717" t="s">
        <v>22</v>
      </c>
      <c r="L717">
        <v>276</v>
      </c>
      <c r="M717">
        <v>9.75</v>
      </c>
      <c r="N717">
        <v>55.81</v>
      </c>
      <c r="O717" t="s">
        <v>19</v>
      </c>
      <c r="P717" t="s">
        <v>20</v>
      </c>
      <c r="Q717" t="s">
        <v>19</v>
      </c>
      <c r="R717" t="str">
        <f>HYPERLINK("https://cfpub.epa.gov/ecotox/explore.cfm?ncbi=333673","Explore in ECOTOX")</f>
        <v>Explore in ECOTOX</v>
      </c>
    </row>
    <row r="718" spans="1:18" x14ac:dyDescent="0.45">
      <c r="A718" t="s">
        <v>1264</v>
      </c>
      <c r="B718">
        <v>8</v>
      </c>
      <c r="C718" t="str">
        <f>HYPERLINK("http://www.ncbi.nlm.nih.gov/protein/RXM33023.1","RXM33023.1")</f>
        <v>RXM33023.1</v>
      </c>
      <c r="D718">
        <v>106531</v>
      </c>
      <c r="E718" t="str">
        <f>HYPERLINK("http://www.ncbi.nlm.nih.gov/Taxonomy/Browser/wwwtax.cgi?mode=Info&amp;id=7906&amp;lvl=3&amp;lin=f&amp;keep=1&amp;srchmode=1&amp;unlock","7906")</f>
        <v>7906</v>
      </c>
      <c r="F718" t="s">
        <v>17</v>
      </c>
      <c r="G718" t="str">
        <f>HYPERLINK("http://www.ncbi.nlm.nih.gov/Taxonomy/Browser/wwwtax.cgi?mode=Info&amp;id=7906&amp;lvl=3&amp;lin=f&amp;keep=1&amp;srchmode=1&amp;unlock","Acipenser ruthenus")</f>
        <v>Acipenser ruthenus</v>
      </c>
      <c r="H718" t="s">
        <v>697</v>
      </c>
      <c r="I718" t="str">
        <f>HYPERLINK("http://www.ncbi.nlm.nih.gov/protein/RXM33023.1","Ryanodine receptor 2")</f>
        <v>Ryanodine receptor 2</v>
      </c>
      <c r="J718">
        <v>5822.28</v>
      </c>
      <c r="K718" t="s">
        <v>22</v>
      </c>
      <c r="L718">
        <v>276</v>
      </c>
      <c r="M718">
        <v>9.75</v>
      </c>
      <c r="N718">
        <v>55.69</v>
      </c>
      <c r="O718" t="s">
        <v>19</v>
      </c>
      <c r="P718" t="s">
        <v>20</v>
      </c>
      <c r="Q718" t="s">
        <v>19</v>
      </c>
      <c r="R718" t="str">
        <f>HYPERLINK("https://cfpub.epa.gov/ecotox/explore.cfm?ncbi=7906","Explore in ECOTOX")</f>
        <v>Explore in ECOTOX</v>
      </c>
    </row>
    <row r="719" spans="1:18" x14ac:dyDescent="0.45">
      <c r="A719" t="s">
        <v>1264</v>
      </c>
      <c r="B719">
        <v>8</v>
      </c>
      <c r="C719" t="str">
        <f>HYPERLINK("http://www.ncbi.nlm.nih.gov/protein/KAB0383362.1","KAB0383362.1")</f>
        <v>KAB0383362.1</v>
      </c>
      <c r="D719">
        <v>26182</v>
      </c>
      <c r="E719" t="str">
        <f>HYPERLINK("http://www.ncbi.nlm.nih.gov/Taxonomy/Browser/wwwtax.cgi?mode=Info&amp;id=9886&amp;lvl=3&amp;lin=f&amp;keep=1&amp;srchmode=1&amp;unlock","9886")</f>
        <v>9886</v>
      </c>
      <c r="F719" t="s">
        <v>96</v>
      </c>
      <c r="G719" t="str">
        <f>HYPERLINK("http://www.ncbi.nlm.nih.gov/Taxonomy/Browser/wwwtax.cgi?mode=Info&amp;id=9886&amp;lvl=3&amp;lin=f&amp;keep=1&amp;srchmode=1&amp;unlock","Muntiacus reevesi")</f>
        <v>Muntiacus reevesi</v>
      </c>
      <c r="H719" t="s">
        <v>698</v>
      </c>
      <c r="I719" t="str">
        <f>HYPERLINK("http://www.ncbi.nlm.nih.gov/protein/KAB0383362.1","hypothetical protein FD755_005279")</f>
        <v>hypothetical protein FD755_005279</v>
      </c>
      <c r="J719">
        <v>5763.73</v>
      </c>
      <c r="K719" t="s">
        <v>22</v>
      </c>
      <c r="L719">
        <v>276</v>
      </c>
      <c r="M719">
        <v>9.75</v>
      </c>
      <c r="N719">
        <v>55.13</v>
      </c>
      <c r="O719" t="s">
        <v>19</v>
      </c>
      <c r="P719" t="s">
        <v>20</v>
      </c>
      <c r="Q719" t="s">
        <v>19</v>
      </c>
      <c r="R719" t="str">
        <f>HYPERLINK("https://cfpub.epa.gov/ecotox/explore.cfm?ncbi=9886","Explore in ECOTOX")</f>
        <v>Explore in ECOTOX</v>
      </c>
    </row>
    <row r="720" spans="1:18" x14ac:dyDescent="0.45">
      <c r="A720" t="s">
        <v>1264</v>
      </c>
      <c r="B720">
        <v>8</v>
      </c>
      <c r="C720" t="str">
        <f>HYPERLINK("http://www.ncbi.nlm.nih.gov/protein/XP_019326767.1","XP_019326767.1")</f>
        <v>XP_019326767.1</v>
      </c>
      <c r="D720">
        <v>32650</v>
      </c>
      <c r="E720" t="str">
        <f>HYPERLINK("http://www.ncbi.nlm.nih.gov/Taxonomy/Browser/wwwtax.cgi?mode=Info&amp;id=9233&amp;lvl=3&amp;lin=f&amp;keep=1&amp;srchmode=1&amp;unlock","9233")</f>
        <v>9233</v>
      </c>
      <c r="F720" t="s">
        <v>241</v>
      </c>
      <c r="G720" t="str">
        <f>HYPERLINK("http://www.ncbi.nlm.nih.gov/Taxonomy/Browser/wwwtax.cgi?mode=Info&amp;id=9233&amp;lvl=3&amp;lin=f&amp;keep=1&amp;srchmode=1&amp;unlock","Aptenodytes forsteri")</f>
        <v>Aptenodytes forsteri</v>
      </c>
      <c r="H720" t="s">
        <v>699</v>
      </c>
      <c r="I720" t="str">
        <f>HYPERLINK("http://www.ncbi.nlm.nih.gov/protein/XP_019326767.1","PREDICTED: ryanodine receptor 2, partial")</f>
        <v>PREDICTED: ryanodine receptor 2, partial</v>
      </c>
      <c r="J720">
        <v>5669.74</v>
      </c>
      <c r="K720" t="s">
        <v>22</v>
      </c>
      <c r="L720">
        <v>276</v>
      </c>
      <c r="M720">
        <v>9.75</v>
      </c>
      <c r="N720">
        <v>54.24</v>
      </c>
      <c r="O720" t="s">
        <v>19</v>
      </c>
      <c r="P720" t="s">
        <v>20</v>
      </c>
      <c r="Q720" t="s">
        <v>19</v>
      </c>
      <c r="R720" t="str">
        <f>HYPERLINK("https://cfpub.epa.gov/ecotox/explore.cfm?ncbi=9233","Explore in ECOTOX")</f>
        <v>Explore in ECOTOX</v>
      </c>
    </row>
    <row r="721" spans="1:18" x14ac:dyDescent="0.45">
      <c r="A721" t="s">
        <v>1264</v>
      </c>
      <c r="B721">
        <v>8</v>
      </c>
      <c r="C721" t="str">
        <f>HYPERLINK("http://www.ncbi.nlm.nih.gov/protein/ETE69398.1","ETE69398.1")</f>
        <v>ETE69398.1</v>
      </c>
      <c r="D721">
        <v>18859</v>
      </c>
      <c r="E721" t="str">
        <f>HYPERLINK("http://www.ncbi.nlm.nih.gov/Taxonomy/Browser/wwwtax.cgi?mode=Info&amp;id=8665&amp;lvl=3&amp;lin=f&amp;keep=1&amp;srchmode=1&amp;unlock","8665")</f>
        <v>8665</v>
      </c>
      <c r="F721" t="s">
        <v>192</v>
      </c>
      <c r="G721" t="str">
        <f>HYPERLINK("http://www.ncbi.nlm.nih.gov/Taxonomy/Browser/wwwtax.cgi?mode=Info&amp;id=8665&amp;lvl=3&amp;lin=f&amp;keep=1&amp;srchmode=1&amp;unlock","Ophiophagus hannah")</f>
        <v>Ophiophagus hannah</v>
      </c>
      <c r="H721" t="s">
        <v>700</v>
      </c>
      <c r="I721" t="str">
        <f>HYPERLINK("http://www.ncbi.nlm.nih.gov/protein/ETE69398.1","Ryanodine receptor 3, partial")</f>
        <v>Ryanodine receptor 3, partial</v>
      </c>
      <c r="J721">
        <v>5666.27</v>
      </c>
      <c r="K721" t="s">
        <v>22</v>
      </c>
      <c r="L721">
        <v>276</v>
      </c>
      <c r="M721">
        <v>9.75</v>
      </c>
      <c r="N721">
        <v>54.2</v>
      </c>
      <c r="O721" t="s">
        <v>19</v>
      </c>
      <c r="P721" t="s">
        <v>20</v>
      </c>
      <c r="Q721" t="s">
        <v>19</v>
      </c>
      <c r="R721" t="str">
        <f>HYPERLINK("https://cfpub.epa.gov/ecotox/explore.cfm?ncbi=8665","Explore in ECOTOX")</f>
        <v>Explore in ECOTOX</v>
      </c>
    </row>
    <row r="722" spans="1:18" x14ac:dyDescent="0.45">
      <c r="A722" t="s">
        <v>1264</v>
      </c>
      <c r="B722">
        <v>8</v>
      </c>
      <c r="C722" t="str">
        <f>HYPERLINK("http://www.ncbi.nlm.nih.gov/protein/TFJ99453.1","TFJ99453.1")</f>
        <v>TFJ99453.1</v>
      </c>
      <c r="D722">
        <v>21675</v>
      </c>
      <c r="E722" t="str">
        <f>HYPERLINK("http://www.ncbi.nlm.nih.gov/Taxonomy/Browser/wwwtax.cgi?mode=Info&amp;id=55544&amp;lvl=3&amp;lin=f&amp;keep=1&amp;srchmode=1&amp;unlock","55544")</f>
        <v>55544</v>
      </c>
      <c r="F722" t="s">
        <v>203</v>
      </c>
      <c r="G722" t="str">
        <f>HYPERLINK("http://www.ncbi.nlm.nih.gov/Taxonomy/Browser/wwwtax.cgi?mode=Info&amp;id=55544&amp;lvl=3&amp;lin=f&amp;keep=1&amp;srchmode=1&amp;unlock","Platysternon megacephalum")</f>
        <v>Platysternon megacephalum</v>
      </c>
      <c r="H722" t="s">
        <v>701</v>
      </c>
      <c r="I722" t="str">
        <f>HYPERLINK("http://www.ncbi.nlm.nih.gov/protein/TFJ99453.1","Ryanodine receptor 1")</f>
        <v>Ryanodine receptor 1</v>
      </c>
      <c r="J722">
        <v>5644.7</v>
      </c>
      <c r="K722" t="s">
        <v>19</v>
      </c>
      <c r="L722">
        <v>276</v>
      </c>
      <c r="M722">
        <v>9.75</v>
      </c>
      <c r="N722">
        <v>54</v>
      </c>
      <c r="O722" t="s">
        <v>19</v>
      </c>
      <c r="P722" t="s">
        <v>20</v>
      </c>
      <c r="Q722" t="s">
        <v>19</v>
      </c>
      <c r="R722" t="str">
        <f>HYPERLINK("https://cfpub.epa.gov/ecotox/explore.cfm?ncbi=55544","Explore in ECOTOX")</f>
        <v>Explore in ECOTOX</v>
      </c>
    </row>
    <row r="723" spans="1:18" x14ac:dyDescent="0.45">
      <c r="A723" t="s">
        <v>1264</v>
      </c>
      <c r="B723">
        <v>8</v>
      </c>
      <c r="C723" t="str">
        <f>HYPERLINK("http://www.ncbi.nlm.nih.gov/protein/KAJ7407276.1","KAJ7407276.1")</f>
        <v>KAJ7407276.1</v>
      </c>
      <c r="D723">
        <v>16638</v>
      </c>
      <c r="E723" t="str">
        <f>HYPERLINK("http://www.ncbi.nlm.nih.gov/Taxonomy/Browser/wwwtax.cgi?mode=Info&amp;id=1566151&amp;lvl=3&amp;lin=f&amp;keep=1&amp;srchmode=1&amp;unlock","1566151")</f>
        <v>1566151</v>
      </c>
      <c r="F723" t="s">
        <v>241</v>
      </c>
      <c r="G723" t="str">
        <f>HYPERLINK("http://www.ncbi.nlm.nih.gov/Taxonomy/Browser/wwwtax.cgi?mode=Info&amp;id=1566151&amp;lvl=3&amp;lin=f&amp;keep=1&amp;srchmode=1&amp;unlock","Willisornis vidua")</f>
        <v>Willisornis vidua</v>
      </c>
      <c r="H723" t="s">
        <v>702</v>
      </c>
      <c r="I723" t="str">
        <f>HYPERLINK("http://www.ncbi.nlm.nih.gov/protein/KAJ7407276.1","Ryanodine receptor 2")</f>
        <v>Ryanodine receptor 2</v>
      </c>
      <c r="J723">
        <v>5637.38</v>
      </c>
      <c r="K723" t="s">
        <v>22</v>
      </c>
      <c r="L723">
        <v>276</v>
      </c>
      <c r="M723">
        <v>9.75</v>
      </c>
      <c r="N723">
        <v>53.93</v>
      </c>
      <c r="O723" t="s">
        <v>19</v>
      </c>
      <c r="P723" t="s">
        <v>20</v>
      </c>
      <c r="Q723" t="s">
        <v>19</v>
      </c>
      <c r="R723" t="str">
        <f>HYPERLINK("https://cfpub.epa.gov/ecotox/explore.cfm?ncbi=1566151","Explore in ECOTOX")</f>
        <v>Explore in ECOTOX</v>
      </c>
    </row>
    <row r="724" spans="1:18" x14ac:dyDescent="0.45">
      <c r="A724" t="s">
        <v>1264</v>
      </c>
      <c r="B724">
        <v>8</v>
      </c>
      <c r="C724" t="str">
        <f>HYPERLINK("http://www.ncbi.nlm.nih.gov/protein/XP_034536962.1","XP_034536962.1")</f>
        <v>XP_034536962.1</v>
      </c>
      <c r="D724">
        <v>39441</v>
      </c>
      <c r="E724" t="str">
        <f>HYPERLINK("http://www.ncbi.nlm.nih.gov/Taxonomy/Browser/wwwtax.cgi?mode=Info&amp;id=1203425&amp;lvl=3&amp;lin=f&amp;keep=1&amp;srchmode=1&amp;unlock","1203425")</f>
        <v>1203425</v>
      </c>
      <c r="F724" t="s">
        <v>17</v>
      </c>
      <c r="G724" t="str">
        <f>HYPERLINK("http://www.ncbi.nlm.nih.gov/Taxonomy/Browser/wwwtax.cgi?mode=Info&amp;id=1203425&amp;lvl=3&amp;lin=f&amp;keep=1&amp;srchmode=1&amp;unlock","Notolabrus celidotus")</f>
        <v>Notolabrus celidotus</v>
      </c>
      <c r="H724" t="s">
        <v>703</v>
      </c>
      <c r="I724" t="str">
        <f>HYPERLINK("http://www.ncbi.nlm.nih.gov/protein/XP_034536962.1","ryanodine receptor 2")</f>
        <v>ryanodine receptor 2</v>
      </c>
      <c r="J724">
        <v>5629.68</v>
      </c>
      <c r="K724" t="s">
        <v>22</v>
      </c>
      <c r="L724">
        <v>276</v>
      </c>
      <c r="M724">
        <v>9.75</v>
      </c>
      <c r="N724">
        <v>53.85</v>
      </c>
      <c r="O724" t="s">
        <v>19</v>
      </c>
      <c r="P724" t="s">
        <v>20</v>
      </c>
      <c r="Q724" t="s">
        <v>19</v>
      </c>
      <c r="R724" t="str">
        <f>HYPERLINK("https://cfpub.epa.gov/ecotox/explore.cfm?ncbi=1203425","Explore in ECOTOX")</f>
        <v>Explore in ECOTOX</v>
      </c>
    </row>
    <row r="725" spans="1:18" x14ac:dyDescent="0.45">
      <c r="A725" t="s">
        <v>1264</v>
      </c>
      <c r="B725">
        <v>8</v>
      </c>
      <c r="C725" t="str">
        <f>HYPERLINK("http://www.ncbi.nlm.nih.gov/protein/KAG7226578.1","KAG7226578.1")</f>
        <v>KAG7226578.1</v>
      </c>
      <c r="D725">
        <v>30930</v>
      </c>
      <c r="E725" t="str">
        <f>HYPERLINK("http://www.ncbi.nlm.nih.gov/Taxonomy/Browser/wwwtax.cgi?mode=Info&amp;id=181461&amp;lvl=3&amp;lin=f&amp;keep=1&amp;srchmode=1&amp;unlock","181461")</f>
        <v>181461</v>
      </c>
      <c r="F725" t="s">
        <v>17</v>
      </c>
      <c r="G725" t="str">
        <f>HYPERLINK("http://www.ncbi.nlm.nih.gov/Taxonomy/Browser/wwwtax.cgi?mode=Info&amp;id=181461&amp;lvl=3&amp;lin=f&amp;keep=1&amp;srchmode=1&amp;unlock","Caranx melampygus")</f>
        <v>Caranx melampygus</v>
      </c>
      <c r="H725" t="s">
        <v>704</v>
      </c>
      <c r="I725" t="str">
        <f>HYPERLINK("http://www.ncbi.nlm.nih.gov/protein/KAG7226578.1","hypothetical protein INR49_003735")</f>
        <v>hypothetical protein INR49_003735</v>
      </c>
      <c r="J725">
        <v>5552.25</v>
      </c>
      <c r="K725" t="s">
        <v>22</v>
      </c>
      <c r="L725">
        <v>276</v>
      </c>
      <c r="M725">
        <v>9.75</v>
      </c>
      <c r="N725">
        <v>53.11</v>
      </c>
      <c r="O725" t="s">
        <v>19</v>
      </c>
      <c r="P725" t="s">
        <v>20</v>
      </c>
      <c r="Q725" t="s">
        <v>19</v>
      </c>
      <c r="R725" t="str">
        <f>HYPERLINK("https://cfpub.epa.gov/ecotox/explore.cfm?ncbi=181461","Explore in ECOTOX")</f>
        <v>Explore in ECOTOX</v>
      </c>
    </row>
    <row r="726" spans="1:18" x14ac:dyDescent="0.45">
      <c r="A726" t="s">
        <v>1264</v>
      </c>
      <c r="B726">
        <v>8</v>
      </c>
      <c r="C726" t="str">
        <f>HYPERLINK("http://www.ncbi.nlm.nih.gov/protein/MCJ8738771.1","MCJ8738771.1")</f>
        <v>MCJ8738771.1</v>
      </c>
      <c r="D726">
        <v>22462</v>
      </c>
      <c r="E726" t="str">
        <f>HYPERLINK("http://www.ncbi.nlm.nih.gov/Taxonomy/Browser/wwwtax.cgi?mode=Info&amp;id=1691987&amp;lvl=3&amp;lin=f&amp;keep=1&amp;srchmode=1&amp;unlock","1691987")</f>
        <v>1691987</v>
      </c>
      <c r="F726" t="s">
        <v>17</v>
      </c>
      <c r="G726" t="str">
        <f>HYPERLINK("http://www.ncbi.nlm.nih.gov/Taxonomy/Browser/wwwtax.cgi?mode=Info&amp;id=1691987&amp;lvl=3&amp;lin=f&amp;keep=1&amp;srchmode=1&amp;unlock","Pangasius djambal")</f>
        <v>Pangasius djambal</v>
      </c>
      <c r="H726" t="s">
        <v>705</v>
      </c>
      <c r="I726" t="str">
        <f>HYPERLINK("http://www.ncbi.nlm.nih.gov/protein/MCJ8738771.1","hypothetical protein")</f>
        <v>hypothetical protein</v>
      </c>
      <c r="J726">
        <v>5519.13</v>
      </c>
      <c r="K726" t="s">
        <v>22</v>
      </c>
      <c r="L726">
        <v>276</v>
      </c>
      <c r="M726">
        <v>9.75</v>
      </c>
      <c r="N726">
        <v>52.79</v>
      </c>
      <c r="O726" t="s">
        <v>19</v>
      </c>
      <c r="P726" t="s">
        <v>20</v>
      </c>
      <c r="Q726" t="s">
        <v>19</v>
      </c>
      <c r="R726" t="str">
        <f>HYPERLINK("https://cfpub.epa.gov/ecotox/explore.cfm?ncbi=1691987","Explore in ECOTOX")</f>
        <v>Explore in ECOTOX</v>
      </c>
    </row>
    <row r="727" spans="1:18" x14ac:dyDescent="0.45">
      <c r="A727" t="s">
        <v>1264</v>
      </c>
      <c r="B727">
        <v>8</v>
      </c>
      <c r="C727" t="str">
        <f>HYPERLINK("http://www.ncbi.nlm.nih.gov/protein/KAB0349146.1","KAB0349146.1")</f>
        <v>KAB0349146.1</v>
      </c>
      <c r="D727">
        <v>25803</v>
      </c>
      <c r="E727" t="str">
        <f>HYPERLINK("http://www.ncbi.nlm.nih.gov/Taxonomy/Browser/wwwtax.cgi?mode=Info&amp;id=9888&amp;lvl=3&amp;lin=f&amp;keep=1&amp;srchmode=1&amp;unlock","9888")</f>
        <v>9888</v>
      </c>
      <c r="F727" t="s">
        <v>96</v>
      </c>
      <c r="G727" t="str">
        <f>HYPERLINK("http://www.ncbi.nlm.nih.gov/Taxonomy/Browser/wwwtax.cgi?mode=Info&amp;id=9888&amp;lvl=3&amp;lin=f&amp;keep=1&amp;srchmode=1&amp;unlock","Muntiacus muntjak")</f>
        <v>Muntiacus muntjak</v>
      </c>
      <c r="H727" t="s">
        <v>706</v>
      </c>
      <c r="I727" t="str">
        <f>HYPERLINK("http://www.ncbi.nlm.nih.gov/protein/KAB0349146.1","hypothetical protein FD754_014003")</f>
        <v>hypothetical protein FD754_014003</v>
      </c>
      <c r="J727">
        <v>5500.25</v>
      </c>
      <c r="K727" t="s">
        <v>22</v>
      </c>
      <c r="L727">
        <v>276</v>
      </c>
      <c r="M727">
        <v>9.75</v>
      </c>
      <c r="N727">
        <v>52.61</v>
      </c>
      <c r="O727" t="s">
        <v>19</v>
      </c>
      <c r="P727" t="s">
        <v>20</v>
      </c>
      <c r="Q727" t="s">
        <v>19</v>
      </c>
      <c r="R727" t="str">
        <f>HYPERLINK("https://cfpub.epa.gov/ecotox/explore.cfm?ncbi=9888","Explore in ECOTOX")</f>
        <v>Explore in ECOTOX</v>
      </c>
    </row>
    <row r="728" spans="1:18" x14ac:dyDescent="0.45">
      <c r="A728" t="s">
        <v>1264</v>
      </c>
      <c r="B728">
        <v>8</v>
      </c>
      <c r="C728" t="str">
        <f>HYPERLINK("http://www.ncbi.nlm.nih.gov/protein/NXL34081.1","NXL34081.1")</f>
        <v>NXL34081.1</v>
      </c>
      <c r="D728">
        <v>14261</v>
      </c>
      <c r="E728" t="str">
        <f>HYPERLINK("http://www.ncbi.nlm.nih.gov/Taxonomy/Browser/wwwtax.cgi?mode=Info&amp;id=78217&amp;lvl=3&amp;lin=f&amp;keep=1&amp;srchmode=1&amp;unlock","78217")</f>
        <v>78217</v>
      </c>
      <c r="F728" t="s">
        <v>241</v>
      </c>
      <c r="G728" t="str">
        <f>HYPERLINK("http://www.ncbi.nlm.nih.gov/Taxonomy/Browser/wwwtax.cgi?mode=Info&amp;id=78217&amp;lvl=3&amp;lin=f&amp;keep=1&amp;srchmode=1&amp;unlock","Glaucidium brasilianum")</f>
        <v>Glaucidium brasilianum</v>
      </c>
      <c r="H728" t="s">
        <v>707</v>
      </c>
      <c r="I728" t="str">
        <f>HYPERLINK("http://www.ncbi.nlm.nih.gov/protein/NXL34081.1","RYR2 protein")</f>
        <v>RYR2 protein</v>
      </c>
      <c r="J728">
        <v>5446.71</v>
      </c>
      <c r="K728" t="s">
        <v>22</v>
      </c>
      <c r="L728">
        <v>276</v>
      </c>
      <c r="M728">
        <v>9.75</v>
      </c>
      <c r="N728">
        <v>52.1</v>
      </c>
      <c r="O728" t="s">
        <v>19</v>
      </c>
      <c r="P728" t="s">
        <v>20</v>
      </c>
      <c r="Q728" t="s">
        <v>19</v>
      </c>
      <c r="R728" t="str">
        <f>HYPERLINK("https://cfpub.epa.gov/ecotox/explore.cfm?ncbi=78217","Explore in ECOTOX")</f>
        <v>Explore in ECOTOX</v>
      </c>
    </row>
    <row r="729" spans="1:18" x14ac:dyDescent="0.45">
      <c r="A729" t="s">
        <v>1264</v>
      </c>
      <c r="B729">
        <v>8</v>
      </c>
      <c r="C729" t="str">
        <f>HYPERLINK("http://www.ncbi.nlm.nih.gov/protein/XP_031316660.1","XP_031316660.1")</f>
        <v>XP_031316660.1</v>
      </c>
      <c r="D729">
        <v>87248</v>
      </c>
      <c r="E729" t="str">
        <f>HYPERLINK("http://www.ncbi.nlm.nih.gov/Taxonomy/Browser/wwwtax.cgi?mode=Info&amp;id=9838&amp;lvl=3&amp;lin=f&amp;keep=1&amp;srchmode=1&amp;unlock","9838")</f>
        <v>9838</v>
      </c>
      <c r="F729" t="s">
        <v>96</v>
      </c>
      <c r="G729" t="str">
        <f>HYPERLINK("http://www.ncbi.nlm.nih.gov/Taxonomy/Browser/wwwtax.cgi?mode=Info&amp;id=9838&amp;lvl=3&amp;lin=f&amp;keep=1&amp;srchmode=1&amp;unlock","Camelus dromedarius")</f>
        <v>Camelus dromedarius</v>
      </c>
      <c r="H729" t="s">
        <v>708</v>
      </c>
      <c r="I729" t="str">
        <f>HYPERLINK("http://www.ncbi.nlm.nih.gov/protein/XP_031316660.1","ryanodine receptor 2 isoform X3")</f>
        <v>ryanodine receptor 2 isoform X3</v>
      </c>
      <c r="J729">
        <v>5428.22</v>
      </c>
      <c r="K729" t="s">
        <v>22</v>
      </c>
      <c r="L729">
        <v>276</v>
      </c>
      <c r="M729">
        <v>9.75</v>
      </c>
      <c r="N729">
        <v>51.93</v>
      </c>
      <c r="O729" t="s">
        <v>19</v>
      </c>
      <c r="P729" t="s">
        <v>20</v>
      </c>
      <c r="Q729" t="s">
        <v>19</v>
      </c>
      <c r="R729" t="str">
        <f>HYPERLINK("https://cfpub.epa.gov/ecotox/explore.cfm?ncbi=9838","Explore in ECOTOX")</f>
        <v>Explore in ECOTOX</v>
      </c>
    </row>
    <row r="730" spans="1:18" x14ac:dyDescent="0.45">
      <c r="A730" t="s">
        <v>1264</v>
      </c>
      <c r="B730">
        <v>8</v>
      </c>
      <c r="C730" t="str">
        <f>HYPERLINK("http://www.ncbi.nlm.nih.gov/protein/XP_011891768.1","XP_011891768.1")</f>
        <v>XP_011891768.1</v>
      </c>
      <c r="D730">
        <v>66423</v>
      </c>
      <c r="E730" t="str">
        <f>HYPERLINK("http://www.ncbi.nlm.nih.gov/Taxonomy/Browser/wwwtax.cgi?mode=Info&amp;id=9531&amp;lvl=3&amp;lin=f&amp;keep=1&amp;srchmode=1&amp;unlock","9531")</f>
        <v>9531</v>
      </c>
      <c r="F730" t="s">
        <v>96</v>
      </c>
      <c r="G730" t="str">
        <f>HYPERLINK("http://www.ncbi.nlm.nih.gov/Taxonomy/Browser/wwwtax.cgi?mode=Info&amp;id=9531&amp;lvl=3&amp;lin=f&amp;keep=1&amp;srchmode=1&amp;unlock","Cercocebus atys")</f>
        <v>Cercocebus atys</v>
      </c>
      <c r="H730" t="s">
        <v>709</v>
      </c>
      <c r="I730" t="str">
        <f>HYPERLINK("http://www.ncbi.nlm.nih.gov/protein/XP_011891768.1","PREDICTED: LOW QUALITY PROTEIN: ryanodine receptor 2")</f>
        <v>PREDICTED: LOW QUALITY PROTEIN: ryanodine receptor 2</v>
      </c>
      <c r="J730">
        <v>5394.32</v>
      </c>
      <c r="K730" t="s">
        <v>22</v>
      </c>
      <c r="L730">
        <v>276</v>
      </c>
      <c r="M730">
        <v>9.75</v>
      </c>
      <c r="N730">
        <v>51.6</v>
      </c>
      <c r="O730" t="s">
        <v>19</v>
      </c>
      <c r="P730" t="s">
        <v>20</v>
      </c>
      <c r="Q730" t="s">
        <v>19</v>
      </c>
      <c r="R730" t="str">
        <f>HYPERLINK("https://cfpub.epa.gov/ecotox/explore.cfm?ncbi=9531","Explore in ECOTOX")</f>
        <v>Explore in ECOTOX</v>
      </c>
    </row>
    <row r="731" spans="1:18" x14ac:dyDescent="0.45">
      <c r="A731" t="s">
        <v>1264</v>
      </c>
      <c r="B731">
        <v>8</v>
      </c>
      <c r="C731" t="str">
        <f>HYPERLINK("http://www.ncbi.nlm.nih.gov/protein/KAJ8368685.1","KAJ8368685.1")</f>
        <v>KAJ8368685.1</v>
      </c>
      <c r="D731">
        <v>42989</v>
      </c>
      <c r="E731" t="str">
        <f>HYPERLINK("http://www.ncbi.nlm.nih.gov/Taxonomy/Browser/wwwtax.cgi?mode=Info&amp;id=118154&amp;lvl=3&amp;lin=f&amp;keep=1&amp;srchmode=1&amp;unlock","118154")</f>
        <v>118154</v>
      </c>
      <c r="F731" t="s">
        <v>17</v>
      </c>
      <c r="G731" t="str">
        <f>HYPERLINK("http://www.ncbi.nlm.nih.gov/Taxonomy/Browser/wwwtax.cgi?mode=Info&amp;id=118154&amp;lvl=3&amp;lin=f&amp;keep=1&amp;srchmode=1&amp;unlock","Synaphobranchus kaupii")</f>
        <v>Synaphobranchus kaupii</v>
      </c>
      <c r="H731" t="s">
        <v>710</v>
      </c>
      <c r="I731" t="str">
        <f>HYPERLINK("http://www.ncbi.nlm.nih.gov/protein/KAJ8368685.1","hypothetical protein SKAU_G00087130")</f>
        <v>hypothetical protein SKAU_G00087130</v>
      </c>
      <c r="J731">
        <v>5389.31</v>
      </c>
      <c r="K731" t="s">
        <v>19</v>
      </c>
      <c r="L731">
        <v>276</v>
      </c>
      <c r="M731">
        <v>9.75</v>
      </c>
      <c r="N731">
        <v>51.55</v>
      </c>
      <c r="O731" t="s">
        <v>19</v>
      </c>
      <c r="P731" t="s">
        <v>20</v>
      </c>
      <c r="Q731" t="s">
        <v>19</v>
      </c>
      <c r="R731" t="str">
        <f>HYPERLINK("https://cfpub.epa.gov/ecotox/explore.cfm?ncbi=118154","Explore in ECOTOX")</f>
        <v>Explore in ECOTOX</v>
      </c>
    </row>
    <row r="732" spans="1:18" x14ac:dyDescent="0.45">
      <c r="A732" t="s">
        <v>1264</v>
      </c>
      <c r="B732">
        <v>8</v>
      </c>
      <c r="C732" t="str">
        <f>HYPERLINK("http://www.ncbi.nlm.nih.gov/protein/XP_039234993.1","XP_039234993.1")</f>
        <v>XP_039234993.1</v>
      </c>
      <c r="D732">
        <v>35877</v>
      </c>
      <c r="E732" t="str">
        <f>HYPERLINK("http://www.ncbi.nlm.nih.gov/Taxonomy/Browser/wwwtax.cgi?mode=Info&amp;id=649802&amp;lvl=3&amp;lin=f&amp;keep=1&amp;srchmode=1&amp;unlock","649802")</f>
        <v>649802</v>
      </c>
      <c r="F732" t="s">
        <v>241</v>
      </c>
      <c r="G732" t="str">
        <f>HYPERLINK("http://www.ncbi.nlm.nih.gov/Taxonomy/Browser/wwwtax.cgi?mode=Info&amp;id=649802&amp;lvl=3&amp;lin=f&amp;keep=1&amp;srchmode=1&amp;unlock","Pipra filicauda")</f>
        <v>Pipra filicauda</v>
      </c>
      <c r="H732" t="s">
        <v>711</v>
      </c>
      <c r="I732" t="str">
        <f>HYPERLINK("http://www.ncbi.nlm.nih.gov/protein/XP_039234993.1","ryanodine receptor 2")</f>
        <v>ryanodine receptor 2</v>
      </c>
      <c r="J732">
        <v>5343.09</v>
      </c>
      <c r="K732" t="s">
        <v>22</v>
      </c>
      <c r="L732">
        <v>276</v>
      </c>
      <c r="M732">
        <v>9.75</v>
      </c>
      <c r="N732">
        <v>51.11</v>
      </c>
      <c r="O732" t="s">
        <v>19</v>
      </c>
      <c r="P732" t="s">
        <v>20</v>
      </c>
      <c r="Q732" t="s">
        <v>19</v>
      </c>
      <c r="R732" t="str">
        <f>HYPERLINK("https://cfpub.epa.gov/ecotox/explore.cfm?ncbi=649802","Explore in ECOTOX")</f>
        <v>Explore in ECOTOX</v>
      </c>
    </row>
    <row r="733" spans="1:18" x14ac:dyDescent="0.45">
      <c r="A733" t="s">
        <v>1264</v>
      </c>
      <c r="B733">
        <v>8</v>
      </c>
      <c r="C733" t="str">
        <f>HYPERLINK("http://www.ncbi.nlm.nih.gov/protein/TKS90259.1","TKS90259.1")</f>
        <v>TKS90259.1</v>
      </c>
      <c r="D733">
        <v>28578</v>
      </c>
      <c r="E733" t="str">
        <f>HYPERLINK("http://www.ncbi.nlm.nih.gov/Taxonomy/Browser/wwwtax.cgi?mode=Info&amp;id=240159&amp;lvl=3&amp;lin=f&amp;keep=1&amp;srchmode=1&amp;unlock","240159")</f>
        <v>240159</v>
      </c>
      <c r="F733" t="s">
        <v>17</v>
      </c>
      <c r="G733" t="str">
        <f>HYPERLINK("http://www.ncbi.nlm.nih.gov/Taxonomy/Browser/wwwtax.cgi?mode=Info&amp;id=240159&amp;lvl=3&amp;lin=f&amp;keep=1&amp;srchmode=1&amp;unlock","Collichthys lucidus")</f>
        <v>Collichthys lucidus</v>
      </c>
      <c r="H733" t="s">
        <v>712</v>
      </c>
      <c r="I733" t="str">
        <f>HYPERLINK("http://www.ncbi.nlm.nih.gov/protein/TKS90259.1","Ryanodine receptor 2")</f>
        <v>Ryanodine receptor 2</v>
      </c>
      <c r="J733">
        <v>5316.9</v>
      </c>
      <c r="K733" t="s">
        <v>22</v>
      </c>
      <c r="L733">
        <v>276</v>
      </c>
      <c r="M733">
        <v>9.75</v>
      </c>
      <c r="N733">
        <v>50.86</v>
      </c>
      <c r="O733" t="s">
        <v>19</v>
      </c>
      <c r="P733" t="s">
        <v>20</v>
      </c>
      <c r="Q733" t="s">
        <v>19</v>
      </c>
      <c r="R733" t="str">
        <f>HYPERLINK("https://cfpub.epa.gov/ecotox/explore.cfm?ncbi=240159","Explore in ECOTOX")</f>
        <v>Explore in ECOTOX</v>
      </c>
    </row>
    <row r="734" spans="1:18" x14ac:dyDescent="0.45">
      <c r="A734" t="s">
        <v>1264</v>
      </c>
      <c r="B734">
        <v>8</v>
      </c>
      <c r="C734" t="str">
        <f>HYPERLINK("http://www.ncbi.nlm.nih.gov/protein/XP_059689135.1","XP_059689135.1")</f>
        <v>XP_059689135.1</v>
      </c>
      <c r="D734">
        <v>35182</v>
      </c>
      <c r="E734" t="str">
        <f>HYPERLINK("http://www.ncbi.nlm.nih.gov/Taxonomy/Browser/wwwtax.cgi?mode=Info&amp;id=37040&amp;lvl=3&amp;lin=f&amp;keep=1&amp;srchmode=1&amp;unlock","37040")</f>
        <v>37040</v>
      </c>
      <c r="F734" t="s">
        <v>241</v>
      </c>
      <c r="G734" t="str">
        <f>HYPERLINK("http://www.ncbi.nlm.nih.gov/Taxonomy/Browser/wwwtax.cgi?mode=Info&amp;id=37040&amp;lvl=3&amp;lin=f&amp;keep=1&amp;srchmode=1&amp;unlock","Gavia stellata")</f>
        <v>Gavia stellata</v>
      </c>
      <c r="H734" t="s">
        <v>713</v>
      </c>
      <c r="I734" t="str">
        <f>HYPERLINK("http://www.ncbi.nlm.nih.gov/protein/XP_059689135.1","LOW QUALITY PROTEIN: ryanodine receptor 1")</f>
        <v>LOW QUALITY PROTEIN: ryanodine receptor 1</v>
      </c>
      <c r="J734">
        <v>5291.86</v>
      </c>
      <c r="K734" t="s">
        <v>19</v>
      </c>
      <c r="L734">
        <v>276</v>
      </c>
      <c r="M734">
        <v>9.75</v>
      </c>
      <c r="N734">
        <v>50.62</v>
      </c>
      <c r="O734" t="s">
        <v>19</v>
      </c>
      <c r="P734" t="s">
        <v>20</v>
      </c>
      <c r="Q734" t="s">
        <v>19</v>
      </c>
      <c r="R734" t="str">
        <f>HYPERLINK("https://cfpub.epa.gov/ecotox/explore.cfm?ncbi=37040","Explore in ECOTOX")</f>
        <v>Explore in ECOTOX</v>
      </c>
    </row>
    <row r="735" spans="1:18" x14ac:dyDescent="0.45">
      <c r="A735" t="s">
        <v>1264</v>
      </c>
      <c r="B735">
        <v>8</v>
      </c>
      <c r="C735" t="str">
        <f>HYPERLINK("http://www.ncbi.nlm.nih.gov/protein/CAH2314189.1","CAH2314189.1")</f>
        <v>CAH2314189.1</v>
      </c>
      <c r="D735">
        <v>51619</v>
      </c>
      <c r="E735" t="str">
        <f>HYPERLINK("http://www.ncbi.nlm.nih.gov/Taxonomy/Browser/wwwtax.cgi?mode=Info&amp;id=61616&amp;lvl=3&amp;lin=f&amp;keep=1&amp;srchmode=1&amp;unlock","61616")</f>
        <v>61616</v>
      </c>
      <c r="F735" t="s">
        <v>177</v>
      </c>
      <c r="G735" t="str">
        <f>HYPERLINK("http://www.ncbi.nlm.nih.gov/Taxonomy/Browser/wwwtax.cgi?mode=Info&amp;id=61616&amp;lvl=3&amp;lin=f&amp;keep=1&amp;srchmode=1&amp;unlock","Pelobates cultripes")</f>
        <v>Pelobates cultripes</v>
      </c>
      <c r="H735" t="s">
        <v>714</v>
      </c>
      <c r="I735" t="str">
        <f>HYPERLINK("http://www.ncbi.nlm.nih.gov/protein/CAH2314189.1","ryanodine receptor 1 isoform X9")</f>
        <v>ryanodine receptor 1 isoform X9</v>
      </c>
      <c r="J735">
        <v>5206.34</v>
      </c>
      <c r="K735" t="s">
        <v>19</v>
      </c>
      <c r="L735">
        <v>276</v>
      </c>
      <c r="M735">
        <v>9.75</v>
      </c>
      <c r="N735">
        <v>49.8</v>
      </c>
      <c r="O735" t="s">
        <v>19</v>
      </c>
      <c r="P735" t="s">
        <v>20</v>
      </c>
      <c r="Q735" t="s">
        <v>19</v>
      </c>
      <c r="R735" t="str">
        <f>HYPERLINK("https://cfpub.epa.gov/ecotox/explore.cfm?ncbi=61616","Explore in ECOTOX")</f>
        <v>Explore in ECOTOX</v>
      </c>
    </row>
    <row r="736" spans="1:18" x14ac:dyDescent="0.45">
      <c r="A736" t="s">
        <v>1264</v>
      </c>
      <c r="B736">
        <v>8</v>
      </c>
      <c r="C736" t="str">
        <f>HYPERLINK("http://www.ncbi.nlm.nih.gov/protein/KAG9478218.1","KAG9478218.1")</f>
        <v>KAG9478218.1</v>
      </c>
      <c r="D736">
        <v>34664</v>
      </c>
      <c r="E736" t="str">
        <f>HYPERLINK("http://www.ncbi.nlm.nih.gov/Taxonomy/Browser/wwwtax.cgi?mode=Info&amp;id=57060&amp;lvl=3&amp;lin=f&amp;keep=1&amp;srchmode=1&amp;unlock","57060")</f>
        <v>57060</v>
      </c>
      <c r="F736" t="s">
        <v>177</v>
      </c>
      <c r="G736" t="str">
        <f>HYPERLINK("http://www.ncbi.nlm.nih.gov/Taxonomy/Browser/wwwtax.cgi?mode=Info&amp;id=57060&amp;lvl=3&amp;lin=f&amp;keep=1&amp;srchmode=1&amp;unlock","Eleutherodactylus coqui")</f>
        <v>Eleutherodactylus coqui</v>
      </c>
      <c r="H736" t="s">
        <v>715</v>
      </c>
      <c r="I736" t="str">
        <f>HYPERLINK("http://www.ncbi.nlm.nih.gov/protein/KAG9478218.1","hypothetical protein GDO78_013298")</f>
        <v>hypothetical protein GDO78_013298</v>
      </c>
      <c r="J736">
        <v>5185.93</v>
      </c>
      <c r="K736" t="s">
        <v>19</v>
      </c>
      <c r="L736">
        <v>276</v>
      </c>
      <c r="M736">
        <v>9.75</v>
      </c>
      <c r="N736">
        <v>49.61</v>
      </c>
      <c r="O736" t="s">
        <v>19</v>
      </c>
      <c r="P736" t="s">
        <v>20</v>
      </c>
      <c r="Q736" t="s">
        <v>19</v>
      </c>
      <c r="R736" t="str">
        <f>HYPERLINK("https://cfpub.epa.gov/ecotox/explore.cfm?ncbi=57060","Explore in ECOTOX")</f>
        <v>Explore in ECOTOX</v>
      </c>
    </row>
    <row r="737" spans="1:18" x14ac:dyDescent="0.45">
      <c r="A737" t="s">
        <v>1264</v>
      </c>
      <c r="B737">
        <v>8</v>
      </c>
      <c r="C737" t="str">
        <f>HYPERLINK("http://www.ncbi.nlm.nih.gov/protein/XP_047903860.1","XP_047903860.1")</f>
        <v>XP_047903860.1</v>
      </c>
      <c r="D737">
        <v>47682</v>
      </c>
      <c r="E737" t="str">
        <f>HYPERLINK("http://www.ncbi.nlm.nih.gov/Taxonomy/Browser/wwwtax.cgi?mode=Info&amp;id=8845&amp;lvl=3&amp;lin=f&amp;keep=1&amp;srchmode=1&amp;unlock","8845")</f>
        <v>8845</v>
      </c>
      <c r="F737" t="s">
        <v>241</v>
      </c>
      <c r="G737" t="str">
        <f>HYPERLINK("http://www.ncbi.nlm.nih.gov/Taxonomy/Browser/wwwtax.cgi?mode=Info&amp;id=8845&amp;lvl=3&amp;lin=f&amp;keep=1&amp;srchmode=1&amp;unlock","Anser cygnoides")</f>
        <v>Anser cygnoides</v>
      </c>
      <c r="H737" t="s">
        <v>716</v>
      </c>
      <c r="I737" t="str">
        <f>HYPERLINK("http://www.ncbi.nlm.nih.gov/protein/XP_047903860.1","ryanodine receptor 2 isoform X1")</f>
        <v>ryanodine receptor 2 isoform X1</v>
      </c>
      <c r="J737">
        <v>5176.68</v>
      </c>
      <c r="K737" t="s">
        <v>22</v>
      </c>
      <c r="L737">
        <v>276</v>
      </c>
      <c r="M737">
        <v>9.75</v>
      </c>
      <c r="N737">
        <v>49.52</v>
      </c>
      <c r="O737" t="s">
        <v>19</v>
      </c>
      <c r="P737" t="s">
        <v>20</v>
      </c>
      <c r="Q737" t="s">
        <v>19</v>
      </c>
      <c r="R737" t="str">
        <f>HYPERLINK("https://cfpub.epa.gov/ecotox/explore.cfm?ncbi=8845","Explore in ECOTOX")</f>
        <v>Explore in ECOTOX</v>
      </c>
    </row>
    <row r="738" spans="1:18" x14ac:dyDescent="0.45">
      <c r="A738" t="s">
        <v>1264</v>
      </c>
      <c r="B738">
        <v>8</v>
      </c>
      <c r="C738" t="str">
        <f>HYPERLINK("http://www.ncbi.nlm.nih.gov/protein/XP_018411492.1","XP_018411492.1")</f>
        <v>XP_018411492.1</v>
      </c>
      <c r="D738">
        <v>24954</v>
      </c>
      <c r="E738" t="str">
        <f>HYPERLINK("http://www.ncbi.nlm.nih.gov/Taxonomy/Browser/wwwtax.cgi?mode=Info&amp;id=125878&amp;lvl=3&amp;lin=f&amp;keep=1&amp;srchmode=1&amp;unlock","125878")</f>
        <v>125878</v>
      </c>
      <c r="F738" t="s">
        <v>177</v>
      </c>
      <c r="G738" t="str">
        <f>HYPERLINK("http://www.ncbi.nlm.nih.gov/Taxonomy/Browser/wwwtax.cgi?mode=Info&amp;id=125878&amp;lvl=3&amp;lin=f&amp;keep=1&amp;srchmode=1&amp;unlock","Nanorana parkeri")</f>
        <v>Nanorana parkeri</v>
      </c>
      <c r="H738" t="s">
        <v>717</v>
      </c>
      <c r="I738" t="str">
        <f>HYPERLINK("http://www.ncbi.nlm.nih.gov/protein/XP_018411492.1","PREDICTED: ryanodine receptor 1")</f>
        <v>PREDICTED: ryanodine receptor 1</v>
      </c>
      <c r="J738">
        <v>5156.6499999999996</v>
      </c>
      <c r="K738" t="s">
        <v>19</v>
      </c>
      <c r="L738">
        <v>276</v>
      </c>
      <c r="M738">
        <v>9.75</v>
      </c>
      <c r="N738">
        <v>49.33</v>
      </c>
      <c r="O738" t="s">
        <v>19</v>
      </c>
      <c r="P738" t="s">
        <v>20</v>
      </c>
      <c r="Q738" t="s">
        <v>19</v>
      </c>
      <c r="R738" t="str">
        <f>HYPERLINK("https://cfpub.epa.gov/ecotox/explore.cfm?ncbi=125878","Explore in ECOTOX")</f>
        <v>Explore in ECOTOX</v>
      </c>
    </row>
    <row r="739" spans="1:18" x14ac:dyDescent="0.45">
      <c r="A739" t="s">
        <v>1264</v>
      </c>
      <c r="B739">
        <v>8</v>
      </c>
      <c r="C739" t="str">
        <f>HYPERLINK("http://www.ncbi.nlm.nih.gov/protein/KAG8552711.1","KAG8552711.1")</f>
        <v>KAG8552711.1</v>
      </c>
      <c r="D739">
        <v>64799</v>
      </c>
      <c r="E739" t="str">
        <f>HYPERLINK("http://www.ncbi.nlm.nih.gov/Taxonomy/Browser/wwwtax.cgi?mode=Info&amp;id=76066&amp;lvl=3&amp;lin=f&amp;keep=1&amp;srchmode=1&amp;unlock","76066")</f>
        <v>76066</v>
      </c>
      <c r="F739" t="s">
        <v>177</v>
      </c>
      <c r="G739" t="str">
        <f>HYPERLINK("http://www.ncbi.nlm.nih.gov/Taxonomy/Browser/wwwtax.cgi?mode=Info&amp;id=76066&amp;lvl=3&amp;lin=f&amp;keep=1&amp;srchmode=1&amp;unlock","Engystomops pustulosus")</f>
        <v>Engystomops pustulosus</v>
      </c>
      <c r="H739" t="s">
        <v>718</v>
      </c>
      <c r="I739" t="str">
        <f>HYPERLINK("http://www.ncbi.nlm.nih.gov/protein/KAG8552711.1","hypothetical protein GDO81_003010")</f>
        <v>hypothetical protein GDO81_003010</v>
      </c>
      <c r="J739">
        <v>5156.2700000000004</v>
      </c>
      <c r="K739" t="s">
        <v>19</v>
      </c>
      <c r="L739">
        <v>276</v>
      </c>
      <c r="M739">
        <v>9.75</v>
      </c>
      <c r="N739">
        <v>49.32</v>
      </c>
      <c r="O739" t="s">
        <v>19</v>
      </c>
      <c r="P739" t="s">
        <v>20</v>
      </c>
      <c r="Q739" t="s">
        <v>19</v>
      </c>
      <c r="R739" t="str">
        <f>HYPERLINK("https://cfpub.epa.gov/ecotox/explore.cfm?ncbi=76066","Explore in ECOTOX")</f>
        <v>Explore in ECOTOX</v>
      </c>
    </row>
    <row r="740" spans="1:18" x14ac:dyDescent="0.45">
      <c r="A740" t="s">
        <v>1264</v>
      </c>
      <c r="B740">
        <v>8</v>
      </c>
      <c r="C740" t="str">
        <f>HYPERLINK("http://www.ncbi.nlm.nih.gov/protein/KAJ4920308.1","KAJ4920308.1")</f>
        <v>KAJ4920308.1</v>
      </c>
      <c r="D740">
        <v>31147</v>
      </c>
      <c r="E740" t="str">
        <f>HYPERLINK("http://www.ncbi.nlm.nih.gov/Taxonomy/Browser/wwwtax.cgi?mode=Info&amp;id=1090488&amp;lvl=3&amp;lin=f&amp;keep=1&amp;srchmode=1&amp;unlock","1090488")</f>
        <v>1090488</v>
      </c>
      <c r="F740" t="s">
        <v>17</v>
      </c>
      <c r="G740" t="str">
        <f>HYPERLINK("http://www.ncbi.nlm.nih.gov/Taxonomy/Browser/wwwtax.cgi?mode=Info&amp;id=1090488&amp;lvl=3&amp;lin=f&amp;keep=1&amp;srchmode=1&amp;unlock","Pogonophryne albipinna")</f>
        <v>Pogonophryne albipinna</v>
      </c>
      <c r="H740" t="s">
        <v>719</v>
      </c>
      <c r="I740" t="str">
        <f>HYPERLINK("http://www.ncbi.nlm.nih.gov/protein/KAJ4920308.1","hypothetical protein JOQ06_014332, partial")</f>
        <v>hypothetical protein JOQ06_014332, partial</v>
      </c>
      <c r="J740">
        <v>5133.16</v>
      </c>
      <c r="K740" t="s">
        <v>19</v>
      </c>
      <c r="L740">
        <v>276</v>
      </c>
      <c r="M740">
        <v>9.75</v>
      </c>
      <c r="N740">
        <v>49.1</v>
      </c>
      <c r="O740" t="s">
        <v>19</v>
      </c>
      <c r="P740" t="s">
        <v>20</v>
      </c>
      <c r="Q740" t="s">
        <v>19</v>
      </c>
      <c r="R740" t="str">
        <f>HYPERLINK("https://cfpub.epa.gov/ecotox/explore.cfm?ncbi=1090488","Explore in ECOTOX")</f>
        <v>Explore in ECOTOX</v>
      </c>
    </row>
    <row r="741" spans="1:18" x14ac:dyDescent="0.45">
      <c r="A741" t="s">
        <v>1264</v>
      </c>
      <c r="B741">
        <v>8</v>
      </c>
      <c r="C741" t="str">
        <f>HYPERLINK("http://www.ncbi.nlm.nih.gov/protein/NXF87278.1","NXF87278.1")</f>
        <v>NXF87278.1</v>
      </c>
      <c r="D741">
        <v>14177</v>
      </c>
      <c r="E741" t="str">
        <f>HYPERLINK("http://www.ncbi.nlm.nih.gov/Taxonomy/Browser/wwwtax.cgi?mode=Info&amp;id=91767&amp;lvl=3&amp;lin=f&amp;keep=1&amp;srchmode=1&amp;unlock","91767")</f>
        <v>91767</v>
      </c>
      <c r="F741" t="s">
        <v>241</v>
      </c>
      <c r="G741" t="str">
        <f>HYPERLINK("http://www.ncbi.nlm.nih.gov/Taxonomy/Browser/wwwtax.cgi?mode=Info&amp;id=91767&amp;lvl=3&amp;lin=f&amp;keep=1&amp;srchmode=1&amp;unlock","Eubucco bourcierii")</f>
        <v>Eubucco bourcierii</v>
      </c>
      <c r="H741" t="s">
        <v>720</v>
      </c>
      <c r="I741" t="str">
        <f>HYPERLINK("http://www.ncbi.nlm.nih.gov/protein/NXF87278.1","RYR2 protein")</f>
        <v>RYR2 protein</v>
      </c>
      <c r="J741">
        <v>5127.76</v>
      </c>
      <c r="K741" t="s">
        <v>22</v>
      </c>
      <c r="L741">
        <v>276</v>
      </c>
      <c r="M741">
        <v>9.75</v>
      </c>
      <c r="N741">
        <v>49.05</v>
      </c>
      <c r="O741" t="s">
        <v>19</v>
      </c>
      <c r="P741" t="s">
        <v>20</v>
      </c>
      <c r="Q741" t="s">
        <v>19</v>
      </c>
      <c r="R741" t="str">
        <f>HYPERLINK("https://cfpub.epa.gov/ecotox/explore.cfm?ncbi=91767","Explore in ECOTOX")</f>
        <v>Explore in ECOTOX</v>
      </c>
    </row>
    <row r="742" spans="1:18" x14ac:dyDescent="0.45">
      <c r="A742" t="s">
        <v>1264</v>
      </c>
      <c r="B742">
        <v>8</v>
      </c>
      <c r="C742" t="str">
        <f>HYPERLINK("http://www.ncbi.nlm.nih.gov/protein/XP_058052221.1","XP_058052221.1")</f>
        <v>XP_058052221.1</v>
      </c>
      <c r="D742">
        <v>42811</v>
      </c>
      <c r="E742" t="str">
        <f>HYPERLINK("http://www.ncbi.nlm.nih.gov/Taxonomy/Browser/wwwtax.cgi?mode=Info&amp;id=499056&amp;lvl=3&amp;lin=f&amp;keep=1&amp;srchmode=1&amp;unlock","499056")</f>
        <v>499056</v>
      </c>
      <c r="F742" t="s">
        <v>192</v>
      </c>
      <c r="G742" t="str">
        <f>HYPERLINK("http://www.ncbi.nlm.nih.gov/Taxonomy/Browser/wwwtax.cgi?mode=Info&amp;id=499056&amp;lvl=3&amp;lin=f&amp;keep=1&amp;srchmode=1&amp;unlock","Ahaetulla prasina")</f>
        <v>Ahaetulla prasina</v>
      </c>
      <c r="H742" t="s">
        <v>272</v>
      </c>
      <c r="I742" t="str">
        <f>HYPERLINK("http://www.ncbi.nlm.nih.gov/protein/XP_058052221.1","ryanodine receptor 1")</f>
        <v>ryanodine receptor 1</v>
      </c>
      <c r="J742">
        <v>5120.0600000000004</v>
      </c>
      <c r="K742" t="s">
        <v>19</v>
      </c>
      <c r="L742">
        <v>276</v>
      </c>
      <c r="M742">
        <v>9.75</v>
      </c>
      <c r="N742">
        <v>48.98</v>
      </c>
      <c r="O742" t="s">
        <v>19</v>
      </c>
      <c r="P742" t="s">
        <v>20</v>
      </c>
      <c r="Q742" t="s">
        <v>19</v>
      </c>
      <c r="R742" t="str">
        <f>HYPERLINK("https://cfpub.epa.gov/ecotox/explore.cfm?ncbi=499056","Explore in ECOTOX")</f>
        <v>Explore in ECOTOX</v>
      </c>
    </row>
    <row r="743" spans="1:18" x14ac:dyDescent="0.45">
      <c r="A743" t="s">
        <v>1264</v>
      </c>
      <c r="B743">
        <v>8</v>
      </c>
      <c r="C743" t="str">
        <f>HYPERLINK("http://www.ncbi.nlm.nih.gov/protein/KAI4889227.1","KAI4889227.1")</f>
        <v>KAI4889227.1</v>
      </c>
      <c r="D743">
        <v>34759</v>
      </c>
      <c r="E743" t="str">
        <f>HYPERLINK("http://www.ncbi.nlm.nih.gov/Taxonomy/Browser/wwwtax.cgi?mode=Info&amp;id=148989&amp;lvl=3&amp;lin=f&amp;keep=1&amp;srchmode=1&amp;unlock","148989")</f>
        <v>148989</v>
      </c>
      <c r="F743" t="s">
        <v>17</v>
      </c>
      <c r="G743" t="str">
        <f>HYPERLINK("http://www.ncbi.nlm.nih.gov/Taxonomy/Browser/wwwtax.cgi?mode=Info&amp;id=148989&amp;lvl=3&amp;lin=f&amp;keep=1&amp;srchmode=1&amp;unlock","Prochilodus magdalenae")</f>
        <v>Prochilodus magdalenae</v>
      </c>
      <c r="H743" t="s">
        <v>721</v>
      </c>
      <c r="I743" t="str">
        <f>HYPERLINK("http://www.ncbi.nlm.nih.gov/protein/KAI4889227.1","hypothetical protein NFI96_022674")</f>
        <v>hypothetical protein NFI96_022674</v>
      </c>
      <c r="J743">
        <v>5115.82</v>
      </c>
      <c r="K743" t="s">
        <v>22</v>
      </c>
      <c r="L743">
        <v>276</v>
      </c>
      <c r="M743">
        <v>9.75</v>
      </c>
      <c r="N743">
        <v>48.94</v>
      </c>
      <c r="O743" t="s">
        <v>19</v>
      </c>
      <c r="P743" t="s">
        <v>20</v>
      </c>
      <c r="Q743" t="s">
        <v>19</v>
      </c>
      <c r="R743" t="str">
        <f>HYPERLINK("https://cfpub.epa.gov/ecotox/explore.cfm?ncbi=148989","Explore in ECOTOX")</f>
        <v>Explore in ECOTOX</v>
      </c>
    </row>
    <row r="744" spans="1:18" x14ac:dyDescent="0.45">
      <c r="A744" t="s">
        <v>1264</v>
      </c>
      <c r="B744">
        <v>8</v>
      </c>
      <c r="C744" t="str">
        <f>HYPERLINK("http://www.ncbi.nlm.nih.gov/protein/NXN56035.1","NXN56035.1")</f>
        <v>NXN56035.1</v>
      </c>
      <c r="D744">
        <v>14353</v>
      </c>
      <c r="E744" t="str">
        <f>HYPERLINK("http://www.ncbi.nlm.nih.gov/Taxonomy/Browser/wwwtax.cgi?mode=Info&amp;id=227184&amp;lvl=3&amp;lin=f&amp;keep=1&amp;srchmode=1&amp;unlock","227184")</f>
        <v>227184</v>
      </c>
      <c r="F744" t="s">
        <v>241</v>
      </c>
      <c r="G744" t="str">
        <f>HYPERLINK("http://www.ncbi.nlm.nih.gov/Taxonomy/Browser/wwwtax.cgi?mode=Info&amp;id=227184&amp;lvl=3&amp;lin=f&amp;keep=1&amp;srchmode=1&amp;unlock","Rynchops niger")</f>
        <v>Rynchops niger</v>
      </c>
      <c r="H744" t="s">
        <v>722</v>
      </c>
      <c r="I744" t="str">
        <f>HYPERLINK("http://www.ncbi.nlm.nih.gov/protein/NXN56035.1","RYR2 protein")</f>
        <v>RYR2 protein</v>
      </c>
      <c r="J744">
        <v>5091.55</v>
      </c>
      <c r="K744" t="s">
        <v>22</v>
      </c>
      <c r="L744">
        <v>276</v>
      </c>
      <c r="M744">
        <v>9.75</v>
      </c>
      <c r="N744">
        <v>48.7</v>
      </c>
      <c r="O744" t="s">
        <v>19</v>
      </c>
      <c r="P744" t="s">
        <v>20</v>
      </c>
      <c r="Q744" t="s">
        <v>19</v>
      </c>
      <c r="R744" t="str">
        <f>HYPERLINK("https://cfpub.epa.gov/ecotox/explore.cfm?ncbi=227184","Explore in ECOTOX")</f>
        <v>Explore in ECOTOX</v>
      </c>
    </row>
    <row r="745" spans="1:18" x14ac:dyDescent="0.45">
      <c r="A745" t="s">
        <v>1264</v>
      </c>
      <c r="B745">
        <v>8</v>
      </c>
      <c r="C745" t="str">
        <f>HYPERLINK("http://www.ncbi.nlm.nih.gov/protein/KFQ34583.1","KFQ34583.1")</f>
        <v>KFQ34583.1</v>
      </c>
      <c r="D745">
        <v>26771</v>
      </c>
      <c r="E745" t="str">
        <f>HYPERLINK("http://www.ncbi.nlm.nih.gov/Taxonomy/Browser/wwwtax.cgi?mode=Info&amp;id=57421&amp;lvl=3&amp;lin=f&amp;keep=1&amp;srchmode=1&amp;unlock","57421")</f>
        <v>57421</v>
      </c>
      <c r="F745" t="s">
        <v>241</v>
      </c>
      <c r="G745" t="str">
        <f>HYPERLINK("http://www.ncbi.nlm.nih.gov/Taxonomy/Browser/wwwtax.cgi?mode=Info&amp;id=57421&amp;lvl=3&amp;lin=f&amp;keep=1&amp;srchmode=1&amp;unlock","Merops nubicus")</f>
        <v>Merops nubicus</v>
      </c>
      <c r="H745" t="s">
        <v>723</v>
      </c>
      <c r="I745" t="str">
        <f>HYPERLINK("http://www.ncbi.nlm.nih.gov/protein/KFQ34583.1","Ryanodine receptor 2, partial")</f>
        <v>Ryanodine receptor 2, partial</v>
      </c>
      <c r="J745">
        <v>5037.24</v>
      </c>
      <c r="K745" t="s">
        <v>22</v>
      </c>
      <c r="L745">
        <v>276</v>
      </c>
      <c r="M745">
        <v>9.75</v>
      </c>
      <c r="N745">
        <v>48.19</v>
      </c>
      <c r="O745" t="s">
        <v>19</v>
      </c>
      <c r="P745" t="s">
        <v>20</v>
      </c>
      <c r="Q745" t="s">
        <v>19</v>
      </c>
      <c r="R745" t="str">
        <f>HYPERLINK("https://cfpub.epa.gov/ecotox/explore.cfm?ncbi=57421","Explore in ECOTOX")</f>
        <v>Explore in ECOTOX</v>
      </c>
    </row>
    <row r="746" spans="1:18" x14ac:dyDescent="0.45">
      <c r="A746" t="s">
        <v>1264</v>
      </c>
      <c r="B746">
        <v>8</v>
      </c>
      <c r="C746" t="str">
        <f>HYPERLINK("http://www.ncbi.nlm.nih.gov/protein/XP_036381526.1","XP_036381526.1")</f>
        <v>XP_036381526.1</v>
      </c>
      <c r="D746">
        <v>40219</v>
      </c>
      <c r="E746" t="str">
        <f>HYPERLINK("http://www.ncbi.nlm.nih.gov/Taxonomy/Browser/wwwtax.cgi?mode=Info&amp;id=118141&amp;lvl=3&amp;lin=f&amp;keep=1&amp;srchmode=1&amp;unlock","118141")</f>
        <v>118141</v>
      </c>
      <c r="F746" t="s">
        <v>17</v>
      </c>
      <c r="G746" t="str">
        <f>HYPERLINK("http://www.ncbi.nlm.nih.gov/Taxonomy/Browser/wwwtax.cgi?mode=Info&amp;id=118141&amp;lvl=3&amp;lin=f&amp;keep=1&amp;srchmode=1&amp;unlock","Megalops cyprinoides")</f>
        <v>Megalops cyprinoides</v>
      </c>
      <c r="H746" t="s">
        <v>724</v>
      </c>
      <c r="I746" t="str">
        <f>HYPERLINK("http://www.ncbi.nlm.nih.gov/protein/XP_036381526.1","ryanodine receptor 2")</f>
        <v>ryanodine receptor 2</v>
      </c>
      <c r="J746">
        <v>4943.25</v>
      </c>
      <c r="K746" t="s">
        <v>22</v>
      </c>
      <c r="L746">
        <v>276</v>
      </c>
      <c r="M746">
        <v>9.75</v>
      </c>
      <c r="N746">
        <v>47.29</v>
      </c>
      <c r="O746" t="s">
        <v>19</v>
      </c>
      <c r="P746" t="s">
        <v>20</v>
      </c>
      <c r="Q746" t="s">
        <v>19</v>
      </c>
      <c r="R746" t="str">
        <f>HYPERLINK("https://cfpub.epa.gov/ecotox/explore.cfm?ncbi=118141","Explore in ECOTOX")</f>
        <v>Explore in ECOTOX</v>
      </c>
    </row>
    <row r="747" spans="1:18" x14ac:dyDescent="0.45">
      <c r="A747" t="s">
        <v>1264</v>
      </c>
      <c r="B747">
        <v>8</v>
      </c>
      <c r="C747" t="str">
        <f>HYPERLINK("http://www.ncbi.nlm.nih.gov/protein/XP_008057423.1","XP_008057423.1")</f>
        <v>XP_008057423.1</v>
      </c>
      <c r="D747">
        <v>33270</v>
      </c>
      <c r="E747" t="str">
        <f>HYPERLINK("http://www.ncbi.nlm.nih.gov/Taxonomy/Browser/wwwtax.cgi?mode=Info&amp;id=1868482&amp;lvl=3&amp;lin=f&amp;keep=1&amp;srchmode=1&amp;unlock","1868482")</f>
        <v>1868482</v>
      </c>
      <c r="F747" t="s">
        <v>96</v>
      </c>
      <c r="G747" t="str">
        <f>HYPERLINK("http://www.ncbi.nlm.nih.gov/Taxonomy/Browser/wwwtax.cgi?mode=Info&amp;id=1868482&amp;lvl=3&amp;lin=f&amp;keep=1&amp;srchmode=1&amp;unlock","Carlito syrichta")</f>
        <v>Carlito syrichta</v>
      </c>
      <c r="H747" t="s">
        <v>725</v>
      </c>
      <c r="I747" t="str">
        <f>HYPERLINK("http://www.ncbi.nlm.nih.gov/protein/XP_008057423.1","ryanodine receptor 2, partial")</f>
        <v>ryanodine receptor 2, partial</v>
      </c>
      <c r="J747">
        <v>4935.16</v>
      </c>
      <c r="K747" t="s">
        <v>22</v>
      </c>
      <c r="L747">
        <v>276</v>
      </c>
      <c r="M747">
        <v>9.75</v>
      </c>
      <c r="N747">
        <v>47.21</v>
      </c>
      <c r="O747" t="s">
        <v>19</v>
      </c>
      <c r="P747" t="s">
        <v>20</v>
      </c>
      <c r="Q747" t="s">
        <v>19</v>
      </c>
      <c r="R747" t="str">
        <f>HYPERLINK("https://cfpub.epa.gov/ecotox/explore.cfm?ncbi=1868482","Explore in ECOTOX")</f>
        <v>Explore in ECOTOX</v>
      </c>
    </row>
    <row r="748" spans="1:18" x14ac:dyDescent="0.45">
      <c r="A748" t="s">
        <v>1264</v>
      </c>
      <c r="B748">
        <v>8</v>
      </c>
      <c r="C748" t="str">
        <f>HYPERLINK("http://www.ncbi.nlm.nih.gov/protein/CAB1315998.1","CAB1315998.1")</f>
        <v>CAB1315998.1</v>
      </c>
      <c r="D748">
        <v>41731</v>
      </c>
      <c r="E748" t="str">
        <f>HYPERLINK("http://www.ncbi.nlm.nih.gov/Taxonomy/Browser/wwwtax.cgi?mode=Info&amp;id=861768&amp;lvl=3&amp;lin=f&amp;keep=1&amp;srchmode=1&amp;unlock","861768")</f>
        <v>861768</v>
      </c>
      <c r="F748" t="s">
        <v>17</v>
      </c>
      <c r="G748" t="str">
        <f>HYPERLINK("http://www.ncbi.nlm.nih.gov/Taxonomy/Browser/wwwtax.cgi?mode=Info&amp;id=861768&amp;lvl=3&amp;lin=f&amp;keep=1&amp;srchmode=1&amp;unlock","Coregonus sp. 'balchen'")</f>
        <v>Coregonus sp. 'balchen'</v>
      </c>
      <c r="H748" t="s">
        <v>726</v>
      </c>
      <c r="I748" t="str">
        <f>HYPERLINK("http://www.ncbi.nlm.nih.gov/protein/CAB1315998.1","unnamed protein product")</f>
        <v>unnamed protein product</v>
      </c>
      <c r="J748">
        <v>4903.96</v>
      </c>
      <c r="K748" t="s">
        <v>19</v>
      </c>
      <c r="L748">
        <v>276</v>
      </c>
      <c r="M748">
        <v>9.75</v>
      </c>
      <c r="N748">
        <v>46.91</v>
      </c>
      <c r="O748" t="s">
        <v>19</v>
      </c>
      <c r="P748" t="s">
        <v>20</v>
      </c>
      <c r="Q748" t="s">
        <v>19</v>
      </c>
      <c r="R748" t="str">
        <f>HYPERLINK("https://cfpub.epa.gov/ecotox/explore.cfm?ncbi=861768","Explore in ECOTOX")</f>
        <v>Explore in ECOTOX</v>
      </c>
    </row>
    <row r="749" spans="1:18" x14ac:dyDescent="0.45">
      <c r="A749" t="s">
        <v>1264</v>
      </c>
      <c r="B749">
        <v>8</v>
      </c>
      <c r="C749" t="str">
        <f>HYPERLINK("http://www.ncbi.nlm.nih.gov/protein/XP_039258901.1","XP_039258901.1")</f>
        <v>XP_039258901.1</v>
      </c>
      <c r="D749">
        <v>27545</v>
      </c>
      <c r="E749" t="str">
        <f>HYPERLINK("http://www.ncbi.nlm.nih.gov/Taxonomy/Browser/wwwtax.cgi?mode=Info&amp;id=7725&amp;lvl=3&amp;lin=f&amp;keep=1&amp;srchmode=1&amp;unlock","7725")</f>
        <v>7725</v>
      </c>
      <c r="F749" t="s">
        <v>727</v>
      </c>
      <c r="G749" t="str">
        <f>HYPERLINK("http://www.ncbi.nlm.nih.gov/Taxonomy/Browser/wwwtax.cgi?mode=Info&amp;id=7725&amp;lvl=3&amp;lin=f&amp;keep=1&amp;srchmode=1&amp;unlock","Styela clava")</f>
        <v>Styela clava</v>
      </c>
      <c r="H749" t="s">
        <v>728</v>
      </c>
      <c r="I749" t="str">
        <f>HYPERLINK("http://www.ncbi.nlm.nih.gov/protein/XP_039258901.1","LOW QUALITY PROTEIN: ryanodine receptor 3-like")</f>
        <v>LOW QUALITY PROTEIN: ryanodine receptor 3-like</v>
      </c>
      <c r="J749">
        <v>4899.34</v>
      </c>
      <c r="K749" t="s">
        <v>22</v>
      </c>
      <c r="L749">
        <v>276</v>
      </c>
      <c r="M749">
        <v>9.75</v>
      </c>
      <c r="N749">
        <v>46.87</v>
      </c>
      <c r="O749" t="s">
        <v>19</v>
      </c>
      <c r="P749" t="s">
        <v>20</v>
      </c>
      <c r="Q749" t="s">
        <v>19</v>
      </c>
      <c r="R749" t="str">
        <f>HYPERLINK("https://cfpub.epa.gov/ecotox/explore.cfm?ncbi=7725","Explore in ECOTOX")</f>
        <v>Explore in ECOTOX</v>
      </c>
    </row>
    <row r="750" spans="1:18" x14ac:dyDescent="0.45">
      <c r="A750" t="s">
        <v>1264</v>
      </c>
      <c r="B750">
        <v>8</v>
      </c>
      <c r="C750" t="str">
        <f>HYPERLINK("http://www.ncbi.nlm.nih.gov/protein/XP_059704203.1","XP_059704203.1")</f>
        <v>XP_059704203.1</v>
      </c>
      <c r="D750">
        <v>38239</v>
      </c>
      <c r="E750" t="str">
        <f>HYPERLINK("http://www.ncbi.nlm.nih.gov/Taxonomy/Browser/wwwtax.cgi?mode=Info&amp;id=30427&amp;lvl=3&amp;lin=f&amp;keep=1&amp;srchmode=1&amp;unlock","30427")</f>
        <v>30427</v>
      </c>
      <c r="F750" t="s">
        <v>241</v>
      </c>
      <c r="G750" t="str">
        <f>HYPERLINK("http://www.ncbi.nlm.nih.gov/Taxonomy/Browser/wwwtax.cgi?mode=Info&amp;id=30427&amp;lvl=3&amp;lin=f&amp;keep=1&amp;srchmode=1&amp;unlock","Haemorhous mexicanus")</f>
        <v>Haemorhous mexicanus</v>
      </c>
      <c r="H750" t="s">
        <v>729</v>
      </c>
      <c r="I750" t="str">
        <f>HYPERLINK("http://www.ncbi.nlm.nih.gov/protein/XP_059704203.1","ryanodine receptor 3")</f>
        <v>ryanodine receptor 3</v>
      </c>
      <c r="J750">
        <v>4884.7</v>
      </c>
      <c r="K750" t="s">
        <v>22</v>
      </c>
      <c r="L750">
        <v>276</v>
      </c>
      <c r="M750">
        <v>9.75</v>
      </c>
      <c r="N750">
        <v>46.73</v>
      </c>
      <c r="O750" t="s">
        <v>19</v>
      </c>
      <c r="P750" t="s">
        <v>20</v>
      </c>
      <c r="Q750" t="s">
        <v>19</v>
      </c>
      <c r="R750" t="str">
        <f>HYPERLINK("https://cfpub.epa.gov/ecotox/explore.cfm?ncbi=30427","Explore in ECOTOX")</f>
        <v>Explore in ECOTOX</v>
      </c>
    </row>
    <row r="751" spans="1:18" x14ac:dyDescent="0.45">
      <c r="A751" t="s">
        <v>1264</v>
      </c>
      <c r="B751">
        <v>8</v>
      </c>
      <c r="C751" t="str">
        <f>HYPERLINK("http://www.ncbi.nlm.nih.gov/protein/NWX73781.1","NWX73781.1")</f>
        <v>NWX73781.1</v>
      </c>
      <c r="D751">
        <v>14034</v>
      </c>
      <c r="E751" t="str">
        <f>HYPERLINK("http://www.ncbi.nlm.nih.gov/Taxonomy/Browser/wwwtax.cgi?mode=Info&amp;id=28689&amp;lvl=3&amp;lin=f&amp;keep=1&amp;srchmode=1&amp;unlock","28689")</f>
        <v>28689</v>
      </c>
      <c r="F751" t="s">
        <v>241</v>
      </c>
      <c r="G751" t="str">
        <f>HYPERLINK("http://www.ncbi.nlm.nih.gov/Taxonomy/Browser/wwwtax.cgi?mode=Info&amp;id=28689&amp;lvl=3&amp;lin=f&amp;keep=1&amp;srchmode=1&amp;unlock","Alca torda")</f>
        <v>Alca torda</v>
      </c>
      <c r="H751" t="s">
        <v>730</v>
      </c>
      <c r="I751" t="str">
        <f>HYPERLINK("http://www.ncbi.nlm.nih.gov/protein/NWX73781.1","RYR2 protein")</f>
        <v>RYR2 protein</v>
      </c>
      <c r="J751">
        <v>4882.01</v>
      </c>
      <c r="K751" t="s">
        <v>22</v>
      </c>
      <c r="L751">
        <v>276</v>
      </c>
      <c r="M751">
        <v>9.75</v>
      </c>
      <c r="N751">
        <v>46.7</v>
      </c>
      <c r="O751" t="s">
        <v>19</v>
      </c>
      <c r="P751" t="s">
        <v>20</v>
      </c>
      <c r="Q751" t="s">
        <v>19</v>
      </c>
      <c r="R751" t="str">
        <f>HYPERLINK("https://cfpub.epa.gov/ecotox/explore.cfm?ncbi=28689","Explore in ECOTOX")</f>
        <v>Explore in ECOTOX</v>
      </c>
    </row>
    <row r="752" spans="1:18" x14ac:dyDescent="0.45">
      <c r="A752" t="s">
        <v>1264</v>
      </c>
      <c r="B752">
        <v>8</v>
      </c>
      <c r="C752" t="str">
        <f>HYPERLINK("http://www.ncbi.nlm.nih.gov/protein/XP_056401295.1","XP_056401295.1")</f>
        <v>XP_056401295.1</v>
      </c>
      <c r="D752">
        <v>58737</v>
      </c>
      <c r="E752" t="str">
        <f>HYPERLINK("http://www.ncbi.nlm.nih.gov/Taxonomy/Browser/wwwtax.cgi?mode=Info&amp;id=327740&amp;lvl=3&amp;lin=f&amp;keep=1&amp;srchmode=1&amp;unlock","327740")</f>
        <v>327740</v>
      </c>
      <c r="F752" t="s">
        <v>177</v>
      </c>
      <c r="G752" t="str">
        <f>HYPERLINK("http://www.ncbi.nlm.nih.gov/Taxonomy/Browser/wwwtax.cgi?mode=Info&amp;id=327740&amp;lvl=3&amp;lin=f&amp;keep=1&amp;srchmode=1&amp;unlock","Hyla sarda")</f>
        <v>Hyla sarda</v>
      </c>
      <c r="H752" t="s">
        <v>731</v>
      </c>
      <c r="I752" t="str">
        <f>HYPERLINK("http://www.ncbi.nlm.nih.gov/protein/XP_056401295.1","ryanodine receptor 3 isoform X9")</f>
        <v>ryanodine receptor 3 isoform X9</v>
      </c>
      <c r="J752">
        <v>4880.46</v>
      </c>
      <c r="K752" t="s">
        <v>22</v>
      </c>
      <c r="L752">
        <v>276</v>
      </c>
      <c r="M752">
        <v>9.75</v>
      </c>
      <c r="N752">
        <v>46.69</v>
      </c>
      <c r="O752" t="s">
        <v>19</v>
      </c>
      <c r="P752" t="s">
        <v>20</v>
      </c>
      <c r="Q752" t="s">
        <v>19</v>
      </c>
      <c r="R752" t="str">
        <f>HYPERLINK("https://cfpub.epa.gov/ecotox/explore.cfm?ncbi=327740","Explore in ECOTOX")</f>
        <v>Explore in ECOTOX</v>
      </c>
    </row>
    <row r="753" spans="1:18" x14ac:dyDescent="0.45">
      <c r="A753" t="s">
        <v>1264</v>
      </c>
      <c r="B753">
        <v>8</v>
      </c>
      <c r="C753" t="str">
        <f>HYPERLINK("http://www.ncbi.nlm.nih.gov/protein/XP_009482892.1","XP_009482892.1")</f>
        <v>XP_009482892.1</v>
      </c>
      <c r="D753">
        <v>28625</v>
      </c>
      <c r="E753" t="str">
        <f>HYPERLINK("http://www.ncbi.nlm.nih.gov/Taxonomy/Browser/wwwtax.cgi?mode=Info&amp;id=36300&amp;lvl=3&amp;lin=f&amp;keep=1&amp;srchmode=1&amp;unlock","36300")</f>
        <v>36300</v>
      </c>
      <c r="F753" t="s">
        <v>241</v>
      </c>
      <c r="G753" t="str">
        <f>HYPERLINK("http://www.ncbi.nlm.nih.gov/Taxonomy/Browser/wwwtax.cgi?mode=Info&amp;id=36300&amp;lvl=3&amp;lin=f&amp;keep=1&amp;srchmode=1&amp;unlock","Pelecanus crispus")</f>
        <v>Pelecanus crispus</v>
      </c>
      <c r="H753" t="s">
        <v>732</v>
      </c>
      <c r="I753" t="str">
        <f>HYPERLINK("http://www.ncbi.nlm.nih.gov/protein/XP_009482892.1","PREDICTED: LOW QUALITY PROTEIN: ryanodine receptor 3-like, partial")</f>
        <v>PREDICTED: LOW QUALITY PROTEIN: ryanodine receptor 3-like, partial</v>
      </c>
      <c r="J753">
        <v>4873.1499999999996</v>
      </c>
      <c r="K753" t="s">
        <v>22</v>
      </c>
      <c r="L753">
        <v>276</v>
      </c>
      <c r="M753">
        <v>9.75</v>
      </c>
      <c r="N753">
        <v>46.62</v>
      </c>
      <c r="O753" t="s">
        <v>19</v>
      </c>
      <c r="P753" t="s">
        <v>20</v>
      </c>
      <c r="Q753" t="s">
        <v>19</v>
      </c>
      <c r="R753" t="str">
        <f>HYPERLINK("https://cfpub.epa.gov/ecotox/explore.cfm?ncbi=36300","Explore in ECOTOX")</f>
        <v>Explore in ECOTOX</v>
      </c>
    </row>
    <row r="754" spans="1:18" x14ac:dyDescent="0.45">
      <c r="A754" t="s">
        <v>1264</v>
      </c>
      <c r="B754">
        <v>8</v>
      </c>
      <c r="C754" t="str">
        <f>HYPERLINK("http://www.ncbi.nlm.nih.gov/protein/NXV08112.1","NXV08112.1")</f>
        <v>NXV08112.1</v>
      </c>
      <c r="D754">
        <v>14925</v>
      </c>
      <c r="E754" t="str">
        <f>HYPERLINK("http://www.ncbi.nlm.nih.gov/Taxonomy/Browser/wwwtax.cgi?mode=Info&amp;id=68486&amp;lvl=3&amp;lin=f&amp;keep=1&amp;srchmode=1&amp;unlock","68486")</f>
        <v>68486</v>
      </c>
      <c r="F754" t="s">
        <v>241</v>
      </c>
      <c r="G754" t="str">
        <f>HYPERLINK("http://www.ncbi.nlm.nih.gov/Taxonomy/Browser/wwwtax.cgi?mode=Info&amp;id=68486&amp;lvl=3&amp;lin=f&amp;keep=1&amp;srchmode=1&amp;unlock","Cettia cetti")</f>
        <v>Cettia cetti</v>
      </c>
      <c r="H754" t="s">
        <v>733</v>
      </c>
      <c r="I754" t="str">
        <f>HYPERLINK("http://www.ncbi.nlm.nih.gov/protein/NXV08112.1","RYR2 protein")</f>
        <v>RYR2 protein</v>
      </c>
      <c r="J754">
        <v>4873.1499999999996</v>
      </c>
      <c r="K754" t="s">
        <v>22</v>
      </c>
      <c r="L754">
        <v>276</v>
      </c>
      <c r="M754">
        <v>9.75</v>
      </c>
      <c r="N754">
        <v>46.62</v>
      </c>
      <c r="O754" t="s">
        <v>19</v>
      </c>
      <c r="P754" t="s">
        <v>20</v>
      </c>
      <c r="Q754" t="s">
        <v>19</v>
      </c>
      <c r="R754" t="str">
        <f>HYPERLINK("https://cfpub.epa.gov/ecotox/explore.cfm?ncbi=68486","Explore in ECOTOX")</f>
        <v>Explore in ECOTOX</v>
      </c>
    </row>
    <row r="755" spans="1:18" x14ac:dyDescent="0.45">
      <c r="A755" t="s">
        <v>1264</v>
      </c>
      <c r="B755">
        <v>8</v>
      </c>
      <c r="C755" t="str">
        <f>HYPERLINK("http://www.ncbi.nlm.nih.gov/protein/DBA14234.1","DBA14234.1")</f>
        <v>DBA14234.1</v>
      </c>
      <c r="D755">
        <v>21325</v>
      </c>
      <c r="E755" t="str">
        <f>HYPERLINK("http://www.ncbi.nlm.nih.gov/Taxonomy/Browser/wwwtax.cgi?mode=Info&amp;id=30357&amp;lvl=3&amp;lin=f&amp;keep=1&amp;srchmode=1&amp;unlock","30357")</f>
        <v>30357</v>
      </c>
      <c r="F755" t="s">
        <v>177</v>
      </c>
      <c r="G755" t="str">
        <f>HYPERLINK("http://www.ncbi.nlm.nih.gov/Taxonomy/Browser/wwwtax.cgi?mode=Info&amp;id=30357&amp;lvl=3&amp;lin=f&amp;keep=1&amp;srchmode=1&amp;unlock","Pyxicephalus adspersus")</f>
        <v>Pyxicephalus adspersus</v>
      </c>
      <c r="H755" t="s">
        <v>717</v>
      </c>
      <c r="I755" t="str">
        <f>HYPERLINK("http://www.ncbi.nlm.nih.gov/protein/DBA14234.1","TPA: hypothetical protein GDO54_005232")</f>
        <v>TPA: hypothetical protein GDO54_005232</v>
      </c>
      <c r="J755">
        <v>4871.22</v>
      </c>
      <c r="K755" t="s">
        <v>22</v>
      </c>
      <c r="L755">
        <v>276</v>
      </c>
      <c r="M755">
        <v>9.75</v>
      </c>
      <c r="N755">
        <v>46.6</v>
      </c>
      <c r="O755" t="s">
        <v>19</v>
      </c>
      <c r="P755" t="s">
        <v>20</v>
      </c>
      <c r="Q755" t="s">
        <v>19</v>
      </c>
      <c r="R755" t="str">
        <f>HYPERLINK("https://cfpub.epa.gov/ecotox/explore.cfm?ncbi=30357","Explore in ECOTOX")</f>
        <v>Explore in ECOTOX</v>
      </c>
    </row>
    <row r="756" spans="1:18" x14ac:dyDescent="0.45">
      <c r="A756" t="s">
        <v>1264</v>
      </c>
      <c r="B756">
        <v>8</v>
      </c>
      <c r="C756" t="str">
        <f>HYPERLINK("http://www.ncbi.nlm.nih.gov/protein/TRZ26211.1","TRZ26211.1")</f>
        <v>TRZ26211.1</v>
      </c>
      <c r="D756">
        <v>22654</v>
      </c>
      <c r="E756" t="str">
        <f>HYPERLINK("http://www.ncbi.nlm.nih.gov/Taxonomy/Browser/wwwtax.cgi?mode=Info&amp;id=364589&amp;lvl=3&amp;lin=f&amp;keep=1&amp;srchmode=1&amp;unlock","364589")</f>
        <v>364589</v>
      </c>
      <c r="F756" t="s">
        <v>241</v>
      </c>
      <c r="G756" t="str">
        <f>HYPERLINK("http://www.ncbi.nlm.nih.gov/Taxonomy/Browser/wwwtax.cgi?mode=Info&amp;id=364589&amp;lvl=3&amp;lin=f&amp;keep=1&amp;srchmode=1&amp;unlock","Zosterops borbonicus")</f>
        <v>Zosterops borbonicus</v>
      </c>
      <c r="H756" t="s">
        <v>670</v>
      </c>
      <c r="I756" t="str">
        <f>HYPERLINK("http://www.ncbi.nlm.nih.gov/protein/TRZ26211.1","hypothetical protein HGM15179_000823")</f>
        <v>hypothetical protein HGM15179_000823</v>
      </c>
      <c r="J756">
        <v>4869.29</v>
      </c>
      <c r="K756" t="s">
        <v>22</v>
      </c>
      <c r="L756">
        <v>276</v>
      </c>
      <c r="M756">
        <v>9.75</v>
      </c>
      <c r="N756">
        <v>46.58</v>
      </c>
      <c r="O756" t="s">
        <v>19</v>
      </c>
      <c r="P756" t="s">
        <v>20</v>
      </c>
      <c r="Q756" t="s">
        <v>19</v>
      </c>
      <c r="R756" t="str">
        <f>HYPERLINK("https://cfpub.epa.gov/ecotox/explore.cfm?ncbi=364589","Explore in ECOTOX")</f>
        <v>Explore in ECOTOX</v>
      </c>
    </row>
    <row r="757" spans="1:18" x14ac:dyDescent="0.45">
      <c r="A757" t="s">
        <v>1264</v>
      </c>
      <c r="B757">
        <v>8</v>
      </c>
      <c r="C757" t="str">
        <f>HYPERLINK("http://www.ncbi.nlm.nih.gov/protein/XP_017597430.1","XP_017597430.1")</f>
        <v>XP_017597430.1</v>
      </c>
      <c r="D757">
        <v>43090</v>
      </c>
      <c r="E757" t="str">
        <f>HYPERLINK("http://www.ncbi.nlm.nih.gov/Taxonomy/Browser/wwwtax.cgi?mode=Info&amp;id=85066&amp;lvl=3&amp;lin=f&amp;keep=1&amp;srchmode=1&amp;unlock","85066")</f>
        <v>85066</v>
      </c>
      <c r="F757" t="s">
        <v>241</v>
      </c>
      <c r="G757" t="str">
        <f>HYPERLINK("http://www.ncbi.nlm.nih.gov/Taxonomy/Browser/wwwtax.cgi?mode=Info&amp;id=85066&amp;lvl=3&amp;lin=f&amp;keep=1&amp;srchmode=1&amp;unlock","Corvus brachyrhynchos")</f>
        <v>Corvus brachyrhynchos</v>
      </c>
      <c r="H757" t="s">
        <v>734</v>
      </c>
      <c r="I757" t="str">
        <f>HYPERLINK("http://www.ncbi.nlm.nih.gov/protein/XP_017597430.1","PREDICTED: ryanodine receptor 3 isoform X11")</f>
        <v>PREDICTED: ryanodine receptor 3 isoform X11</v>
      </c>
      <c r="J757">
        <v>4866.21</v>
      </c>
      <c r="K757" t="s">
        <v>22</v>
      </c>
      <c r="L757">
        <v>276</v>
      </c>
      <c r="M757">
        <v>9.75</v>
      </c>
      <c r="N757">
        <v>46.55</v>
      </c>
      <c r="O757" t="s">
        <v>19</v>
      </c>
      <c r="P757" t="s">
        <v>20</v>
      </c>
      <c r="Q757" t="s">
        <v>19</v>
      </c>
      <c r="R757" t="str">
        <f>HYPERLINK("https://cfpub.epa.gov/ecotox/explore.cfm?ncbi=85066","Explore in ECOTOX")</f>
        <v>Explore in ECOTOX</v>
      </c>
    </row>
    <row r="758" spans="1:18" x14ac:dyDescent="0.45">
      <c r="A758" t="s">
        <v>1264</v>
      </c>
      <c r="B758">
        <v>8</v>
      </c>
      <c r="C758" t="str">
        <f>HYPERLINK("http://www.ncbi.nlm.nih.gov/protein/XP_010288227.1","XP_010288227.1")</f>
        <v>XP_010288227.1</v>
      </c>
      <c r="D758">
        <v>28598</v>
      </c>
      <c r="E758" t="str">
        <f>HYPERLINK("http://www.ncbi.nlm.nih.gov/Taxonomy/Browser/wwwtax.cgi?mode=Info&amp;id=97097&amp;lvl=3&amp;lin=f&amp;keep=1&amp;srchmode=1&amp;unlock","97097")</f>
        <v>97097</v>
      </c>
      <c r="F758" t="s">
        <v>241</v>
      </c>
      <c r="G758" t="str">
        <f>HYPERLINK("http://www.ncbi.nlm.nih.gov/Taxonomy/Browser/wwwtax.cgi?mode=Info&amp;id=97097&amp;lvl=3&amp;lin=f&amp;keep=1&amp;srchmode=1&amp;unlock","Phaethon lepturus")</f>
        <v>Phaethon lepturus</v>
      </c>
      <c r="H758" t="s">
        <v>735</v>
      </c>
      <c r="I758" t="str">
        <f>HYPERLINK("http://www.ncbi.nlm.nih.gov/protein/XP_010288227.1","PREDICTED: LOW QUALITY PROTEIN: ryanodine receptor 3, partial")</f>
        <v>PREDICTED: LOW QUALITY PROTEIN: ryanodine receptor 3, partial</v>
      </c>
      <c r="J758">
        <v>4860.05</v>
      </c>
      <c r="K758" t="s">
        <v>22</v>
      </c>
      <c r="L758">
        <v>276</v>
      </c>
      <c r="M758">
        <v>9.75</v>
      </c>
      <c r="N758">
        <v>46.49</v>
      </c>
      <c r="O758" t="s">
        <v>19</v>
      </c>
      <c r="P758" t="s">
        <v>20</v>
      </c>
      <c r="Q758" t="s">
        <v>19</v>
      </c>
      <c r="R758" t="str">
        <f>HYPERLINK("https://cfpub.epa.gov/ecotox/explore.cfm?ncbi=97097","Explore in ECOTOX")</f>
        <v>Explore in ECOTOX</v>
      </c>
    </row>
    <row r="759" spans="1:18" x14ac:dyDescent="0.45">
      <c r="A759" t="s">
        <v>1264</v>
      </c>
      <c r="B759">
        <v>8</v>
      </c>
      <c r="C759" t="str">
        <f>HYPERLINK("http://www.ncbi.nlm.nih.gov/protein/KAJ8290418.1","KAJ8290418.1")</f>
        <v>KAJ8290418.1</v>
      </c>
      <c r="D759">
        <v>22572</v>
      </c>
      <c r="E759" t="str">
        <f>HYPERLINK("http://www.ncbi.nlm.nih.gov/Taxonomy/Browser/wwwtax.cgi?mode=Info&amp;id=473457&amp;lvl=3&amp;lin=f&amp;keep=1&amp;srchmode=1&amp;unlock","473457")</f>
        <v>473457</v>
      </c>
      <c r="F759" t="s">
        <v>17</v>
      </c>
      <c r="G759" t="str">
        <f>HYPERLINK("http://www.ncbi.nlm.nih.gov/Taxonomy/Browser/wwwtax.cgi?mode=Info&amp;id=473457&amp;lvl=3&amp;lin=f&amp;keep=1&amp;srchmode=1&amp;unlock","Gymnothorax javanicus")</f>
        <v>Gymnothorax javanicus</v>
      </c>
      <c r="H759" t="s">
        <v>736</v>
      </c>
      <c r="I759" t="str">
        <f>HYPERLINK("http://www.ncbi.nlm.nih.gov/protein/KAJ8290418.1","hypothetical protein GJAV_G00012610")</f>
        <v>hypothetical protein GJAV_G00012610</v>
      </c>
      <c r="J759">
        <v>4845.03</v>
      </c>
      <c r="K759" t="s">
        <v>22</v>
      </c>
      <c r="L759">
        <v>276</v>
      </c>
      <c r="M759">
        <v>9.75</v>
      </c>
      <c r="N759">
        <v>46.35</v>
      </c>
      <c r="O759" t="s">
        <v>19</v>
      </c>
      <c r="P759" t="s">
        <v>20</v>
      </c>
      <c r="Q759" t="s">
        <v>19</v>
      </c>
      <c r="R759" t="str">
        <f>HYPERLINK("https://cfpub.epa.gov/ecotox/explore.cfm?ncbi=473457","Explore in ECOTOX")</f>
        <v>Explore in ECOTOX</v>
      </c>
    </row>
    <row r="760" spans="1:18" x14ac:dyDescent="0.45">
      <c r="A760" t="s">
        <v>1264</v>
      </c>
      <c r="B760">
        <v>8</v>
      </c>
      <c r="C760" t="str">
        <f>HYPERLINK("http://www.ncbi.nlm.nih.gov/protein/KAF4083867.1","KAF4083867.1")</f>
        <v>KAF4083867.1</v>
      </c>
      <c r="D760">
        <v>24522</v>
      </c>
      <c r="E760" t="str">
        <f>HYPERLINK("http://www.ncbi.nlm.nih.gov/Taxonomy/Browser/wwwtax.cgi?mode=Info&amp;id=219545&amp;lvl=3&amp;lin=f&amp;keep=1&amp;srchmode=1&amp;unlock","219545")</f>
        <v>219545</v>
      </c>
      <c r="F760" t="s">
        <v>17</v>
      </c>
      <c r="G760" t="str">
        <f>HYPERLINK("http://www.ncbi.nlm.nih.gov/Taxonomy/Browser/wwwtax.cgi?mode=Info&amp;id=219545&amp;lvl=3&amp;lin=f&amp;keep=1&amp;srchmode=1&amp;unlock","Ameiurus melas")</f>
        <v>Ameiurus melas</v>
      </c>
      <c r="H760" t="s">
        <v>737</v>
      </c>
      <c r="I760" t="str">
        <f>HYPERLINK("http://www.ncbi.nlm.nih.gov/protein/KAF4083867.1","hypothetical protein AMELA_G00122270")</f>
        <v>hypothetical protein AMELA_G00122270</v>
      </c>
      <c r="J760">
        <v>4831.54</v>
      </c>
      <c r="K760" t="s">
        <v>22</v>
      </c>
      <c r="L760">
        <v>276</v>
      </c>
      <c r="M760">
        <v>9.75</v>
      </c>
      <c r="N760">
        <v>46.22</v>
      </c>
      <c r="O760" t="s">
        <v>19</v>
      </c>
      <c r="P760" t="s">
        <v>20</v>
      </c>
      <c r="Q760" t="s">
        <v>19</v>
      </c>
      <c r="R760" t="str">
        <f>HYPERLINK("https://cfpub.epa.gov/ecotox/explore.cfm?ncbi=219545","Explore in ECOTOX")</f>
        <v>Explore in ECOTOX</v>
      </c>
    </row>
    <row r="761" spans="1:18" x14ac:dyDescent="0.45">
      <c r="A761" t="s">
        <v>1264</v>
      </c>
      <c r="B761">
        <v>8</v>
      </c>
      <c r="C761" t="str">
        <f>HYPERLINK("http://www.ncbi.nlm.nih.gov/protein/XP_023783701.1","XP_023783701.1")</f>
        <v>XP_023783701.1</v>
      </c>
      <c r="D761">
        <v>31627</v>
      </c>
      <c r="E761" t="str">
        <f>HYPERLINK("http://www.ncbi.nlm.nih.gov/Taxonomy/Browser/wwwtax.cgi?mode=Info&amp;id=156563&amp;lvl=3&amp;lin=f&amp;keep=1&amp;srchmode=1&amp;unlock","156563")</f>
        <v>156563</v>
      </c>
      <c r="F761" t="s">
        <v>241</v>
      </c>
      <c r="G761" t="str">
        <f>HYPERLINK("http://www.ncbi.nlm.nih.gov/Taxonomy/Browser/wwwtax.cgi?mode=Info&amp;id=156563&amp;lvl=3&amp;lin=f&amp;keep=1&amp;srchmode=1&amp;unlock","Cyanistes caeruleus")</f>
        <v>Cyanistes caeruleus</v>
      </c>
      <c r="H761" t="s">
        <v>738</v>
      </c>
      <c r="I761" t="str">
        <f>HYPERLINK("http://www.ncbi.nlm.nih.gov/protein/XP_023783701.1","ryanodine receptor 3")</f>
        <v>ryanodine receptor 3</v>
      </c>
      <c r="J761">
        <v>4831.54</v>
      </c>
      <c r="K761" t="s">
        <v>22</v>
      </c>
      <c r="L761">
        <v>276</v>
      </c>
      <c r="M761">
        <v>9.75</v>
      </c>
      <c r="N761">
        <v>46.22</v>
      </c>
      <c r="O761" t="s">
        <v>19</v>
      </c>
      <c r="P761" t="s">
        <v>20</v>
      </c>
      <c r="Q761" t="s">
        <v>19</v>
      </c>
      <c r="R761" t="str">
        <f>HYPERLINK("https://cfpub.epa.gov/ecotox/explore.cfm?ncbi=156563","Explore in ECOTOX")</f>
        <v>Explore in ECOTOX</v>
      </c>
    </row>
    <row r="762" spans="1:18" x14ac:dyDescent="0.45">
      <c r="A762" t="s">
        <v>1264</v>
      </c>
      <c r="B762">
        <v>8</v>
      </c>
      <c r="C762" t="str">
        <f>HYPERLINK("http://www.ncbi.nlm.nih.gov/protein/XP_011844521.1","XP_011844521.1")</f>
        <v>XP_011844521.1</v>
      </c>
      <c r="D762">
        <v>38461</v>
      </c>
      <c r="E762" t="str">
        <f>HYPERLINK("http://www.ncbi.nlm.nih.gov/Taxonomy/Browser/wwwtax.cgi?mode=Info&amp;id=9568&amp;lvl=3&amp;lin=f&amp;keep=1&amp;srchmode=1&amp;unlock","9568")</f>
        <v>9568</v>
      </c>
      <c r="F762" t="s">
        <v>96</v>
      </c>
      <c r="G762" t="str">
        <f>HYPERLINK("http://www.ncbi.nlm.nih.gov/Taxonomy/Browser/wwwtax.cgi?mode=Info&amp;id=9568&amp;lvl=3&amp;lin=f&amp;keep=1&amp;srchmode=1&amp;unlock","Mandrillus leucophaeus")</f>
        <v>Mandrillus leucophaeus</v>
      </c>
      <c r="H762" t="s">
        <v>739</v>
      </c>
      <c r="I762" t="str">
        <f>HYPERLINK("http://www.ncbi.nlm.nih.gov/protein/XP_011844521.1","PREDICTED: ryanodine receptor 3")</f>
        <v>PREDICTED: ryanodine receptor 3</v>
      </c>
      <c r="J762">
        <v>4823.07</v>
      </c>
      <c r="K762" t="s">
        <v>22</v>
      </c>
      <c r="L762">
        <v>276</v>
      </c>
      <c r="M762">
        <v>9.75</v>
      </c>
      <c r="N762">
        <v>46.14</v>
      </c>
      <c r="O762" t="s">
        <v>19</v>
      </c>
      <c r="P762" t="s">
        <v>20</v>
      </c>
      <c r="Q762" t="s">
        <v>19</v>
      </c>
      <c r="R762" t="str">
        <f>HYPERLINK("https://cfpub.epa.gov/ecotox/explore.cfm?ncbi=9568","Explore in ECOTOX")</f>
        <v>Explore in ECOTOX</v>
      </c>
    </row>
    <row r="763" spans="1:18" x14ac:dyDescent="0.45">
      <c r="A763" t="s">
        <v>1264</v>
      </c>
      <c r="B763">
        <v>8</v>
      </c>
      <c r="C763" t="str">
        <f>HYPERLINK("http://www.ncbi.nlm.nih.gov/protein/XP_014635880.1","XP_014635880.1")</f>
        <v>XP_014635880.1</v>
      </c>
      <c r="D763">
        <v>33637</v>
      </c>
      <c r="E763" t="str">
        <f>HYPERLINK("http://www.ncbi.nlm.nih.gov/Taxonomy/Browser/wwwtax.cgi?mode=Info&amp;id=73337&amp;lvl=3&amp;lin=f&amp;keep=1&amp;srchmode=1&amp;unlock","73337")</f>
        <v>73337</v>
      </c>
      <c r="F763" t="s">
        <v>96</v>
      </c>
      <c r="G763" t="str">
        <f>HYPERLINK("http://www.ncbi.nlm.nih.gov/Taxonomy/Browser/wwwtax.cgi?mode=Info&amp;id=73337&amp;lvl=3&amp;lin=f&amp;keep=1&amp;srchmode=1&amp;unlock","Ceratotherium simum simum")</f>
        <v>Ceratotherium simum simum</v>
      </c>
      <c r="H763" t="s">
        <v>740</v>
      </c>
      <c r="I763" t="str">
        <f>HYPERLINK("http://www.ncbi.nlm.nih.gov/protein/XP_014635880.1","PREDICTED: ryanodine receptor 3")</f>
        <v>PREDICTED: ryanodine receptor 3</v>
      </c>
      <c r="J763">
        <v>4822.3</v>
      </c>
      <c r="K763" t="s">
        <v>22</v>
      </c>
      <c r="L763">
        <v>276</v>
      </c>
      <c r="M763">
        <v>9.75</v>
      </c>
      <c r="N763">
        <v>46.13</v>
      </c>
      <c r="O763" t="s">
        <v>19</v>
      </c>
      <c r="P763" t="s">
        <v>20</v>
      </c>
      <c r="Q763" t="s">
        <v>19</v>
      </c>
      <c r="R763" t="str">
        <f>HYPERLINK("https://cfpub.epa.gov/ecotox/explore.cfm?ncbi=73337","Explore in ECOTOX")</f>
        <v>Explore in ECOTOX</v>
      </c>
    </row>
    <row r="764" spans="1:18" x14ac:dyDescent="0.45">
      <c r="A764" t="s">
        <v>1264</v>
      </c>
      <c r="B764">
        <v>8</v>
      </c>
      <c r="C764" t="str">
        <f>HYPERLINK("http://www.ncbi.nlm.nih.gov/protein/RLW10063.1","RLW10063.1")</f>
        <v>RLW10063.1</v>
      </c>
      <c r="D764">
        <v>19082</v>
      </c>
      <c r="E764" t="str">
        <f>HYPERLINK("http://www.ncbi.nlm.nih.gov/Taxonomy/Browser/wwwtax.cgi?mode=Info&amp;id=44316&amp;lvl=3&amp;lin=f&amp;keep=1&amp;srchmode=1&amp;unlock","44316")</f>
        <v>44316</v>
      </c>
      <c r="F764" t="s">
        <v>241</v>
      </c>
      <c r="G764" t="str">
        <f>HYPERLINK("http://www.ncbi.nlm.nih.gov/Taxonomy/Browser/wwwtax.cgi?mode=Info&amp;id=44316&amp;lvl=3&amp;lin=f&amp;keep=1&amp;srchmode=1&amp;unlock","Chloebia gouldiae")</f>
        <v>Chloebia gouldiae</v>
      </c>
      <c r="H764" t="s">
        <v>741</v>
      </c>
      <c r="I764" t="str">
        <f>HYPERLINK("http://www.ncbi.nlm.nih.gov/protein/RLW10063.1","hypothetical protein DV515_00002198")</f>
        <v>hypothetical protein DV515_00002198</v>
      </c>
      <c r="J764">
        <v>4819.99</v>
      </c>
      <c r="K764" t="s">
        <v>22</v>
      </c>
      <c r="L764">
        <v>276</v>
      </c>
      <c r="M764">
        <v>9.75</v>
      </c>
      <c r="N764">
        <v>46.11</v>
      </c>
      <c r="O764" t="s">
        <v>19</v>
      </c>
      <c r="P764" t="s">
        <v>20</v>
      </c>
      <c r="Q764" t="s">
        <v>19</v>
      </c>
      <c r="R764" t="str">
        <f>HYPERLINK("https://cfpub.epa.gov/ecotox/explore.cfm?ncbi=44316","Explore in ECOTOX")</f>
        <v>Explore in ECOTOX</v>
      </c>
    </row>
    <row r="765" spans="1:18" x14ac:dyDescent="0.45">
      <c r="A765" t="s">
        <v>1264</v>
      </c>
      <c r="B765">
        <v>8</v>
      </c>
      <c r="C765" t="str">
        <f>HYPERLINK("http://www.ncbi.nlm.nih.gov/protein/XP_015264808.1","XP_015264808.1")</f>
        <v>XP_015264808.1</v>
      </c>
      <c r="D765">
        <v>24685</v>
      </c>
      <c r="E765" t="str">
        <f>HYPERLINK("http://www.ncbi.nlm.nih.gov/Taxonomy/Browser/wwwtax.cgi?mode=Info&amp;id=146911&amp;lvl=3&amp;lin=f&amp;keep=1&amp;srchmode=1&amp;unlock","146911")</f>
        <v>146911</v>
      </c>
      <c r="F765" t="s">
        <v>192</v>
      </c>
      <c r="G765" t="str">
        <f>HYPERLINK("http://www.ncbi.nlm.nih.gov/Taxonomy/Browser/wwwtax.cgi?mode=Info&amp;id=146911&amp;lvl=3&amp;lin=f&amp;keep=1&amp;srchmode=1&amp;unlock","Gekko japonicus")</f>
        <v>Gekko japonicus</v>
      </c>
      <c r="H765" t="s">
        <v>255</v>
      </c>
      <c r="I765" t="str">
        <f>HYPERLINK("http://www.ncbi.nlm.nih.gov/protein/XP_015264808.1","PREDICTED: ryanodine receptor 3")</f>
        <v>PREDICTED: ryanodine receptor 3</v>
      </c>
      <c r="J765">
        <v>4818.83</v>
      </c>
      <c r="K765" t="s">
        <v>22</v>
      </c>
      <c r="L765">
        <v>276</v>
      </c>
      <c r="M765">
        <v>9.75</v>
      </c>
      <c r="N765">
        <v>46.1</v>
      </c>
      <c r="O765" t="s">
        <v>19</v>
      </c>
      <c r="P765" t="s">
        <v>20</v>
      </c>
      <c r="Q765" t="s">
        <v>19</v>
      </c>
      <c r="R765" t="str">
        <f>HYPERLINK("https://cfpub.epa.gov/ecotox/explore.cfm?ncbi=146911","Explore in ECOTOX")</f>
        <v>Explore in ECOTOX</v>
      </c>
    </row>
    <row r="766" spans="1:18" x14ac:dyDescent="0.45">
      <c r="A766" t="s">
        <v>1264</v>
      </c>
      <c r="B766">
        <v>8</v>
      </c>
      <c r="C766" t="str">
        <f>HYPERLINK("http://www.ncbi.nlm.nih.gov/protein/XP_032620826.1","XP_032620826.1")</f>
        <v>XP_032620826.1</v>
      </c>
      <c r="D766">
        <v>44415</v>
      </c>
      <c r="E766" t="str">
        <f>HYPERLINK("http://www.ncbi.nlm.nih.gov/Taxonomy/Browser/wwwtax.cgi?mode=Info&amp;id=106734&amp;lvl=3&amp;lin=f&amp;keep=1&amp;srchmode=1&amp;unlock","106734")</f>
        <v>106734</v>
      </c>
      <c r="F766" t="s">
        <v>203</v>
      </c>
      <c r="G766" t="str">
        <f>HYPERLINK("http://www.ncbi.nlm.nih.gov/Taxonomy/Browser/wwwtax.cgi?mode=Info&amp;id=106734&amp;lvl=3&amp;lin=f&amp;keep=1&amp;srchmode=1&amp;unlock","Chelonoidis abingdonii")</f>
        <v>Chelonoidis abingdonii</v>
      </c>
      <c r="H766" t="s">
        <v>742</v>
      </c>
      <c r="I766" t="str">
        <f>HYPERLINK("http://www.ncbi.nlm.nih.gov/protein/XP_032620826.1","LOW QUALITY PROTEIN: ryanodine receptor 3-like")</f>
        <v>LOW QUALITY PROTEIN: ryanodine receptor 3-like</v>
      </c>
      <c r="J766">
        <v>4815.37</v>
      </c>
      <c r="K766" t="s">
        <v>22</v>
      </c>
      <c r="L766">
        <v>276</v>
      </c>
      <c r="M766">
        <v>9.75</v>
      </c>
      <c r="N766">
        <v>46.06</v>
      </c>
      <c r="O766" t="s">
        <v>19</v>
      </c>
      <c r="P766" t="s">
        <v>20</v>
      </c>
      <c r="Q766" t="s">
        <v>19</v>
      </c>
      <c r="R766" t="str">
        <f>HYPERLINK("https://cfpub.epa.gov/ecotox/explore.cfm?ncbi=106734","Explore in ECOTOX")</f>
        <v>Explore in ECOTOX</v>
      </c>
    </row>
    <row r="767" spans="1:18" x14ac:dyDescent="0.45">
      <c r="A767" t="s">
        <v>1264</v>
      </c>
      <c r="B767">
        <v>8</v>
      </c>
      <c r="C767" t="str">
        <f>HYPERLINK("http://www.ncbi.nlm.nih.gov/protein/XP_035745681.1","XP_035745681.1")</f>
        <v>XP_035745681.1</v>
      </c>
      <c r="D767">
        <v>37444</v>
      </c>
      <c r="E767" t="str">
        <f>HYPERLINK("http://www.ncbi.nlm.nih.gov/Taxonomy/Browser/wwwtax.cgi?mode=Info&amp;id=188379&amp;lvl=3&amp;lin=f&amp;keep=1&amp;srchmode=1&amp;unlock","188379")</f>
        <v>188379</v>
      </c>
      <c r="F767" t="s">
        <v>241</v>
      </c>
      <c r="G767" t="str">
        <f>HYPERLINK("http://www.ncbi.nlm.nih.gov/Taxonomy/Browser/wwwtax.cgi?mode=Info&amp;id=188379&amp;lvl=3&amp;lin=f&amp;keep=1&amp;srchmode=1&amp;unlock","Egretta garzetta")</f>
        <v>Egretta garzetta</v>
      </c>
      <c r="H767" t="s">
        <v>743</v>
      </c>
      <c r="I767" t="str">
        <f>HYPERLINK("http://www.ncbi.nlm.nih.gov/protein/XP_035745681.1","LOW QUALITY PROTEIN: ryanodine receptor 3")</f>
        <v>LOW QUALITY PROTEIN: ryanodine receptor 3</v>
      </c>
      <c r="J767">
        <v>4813.4399999999996</v>
      </c>
      <c r="K767" t="s">
        <v>22</v>
      </c>
      <c r="L767">
        <v>276</v>
      </c>
      <c r="M767">
        <v>9.75</v>
      </c>
      <c r="N767">
        <v>46.04</v>
      </c>
      <c r="O767" t="s">
        <v>19</v>
      </c>
      <c r="P767" t="s">
        <v>20</v>
      </c>
      <c r="Q767" t="s">
        <v>19</v>
      </c>
      <c r="R767" t="str">
        <f>HYPERLINK("https://cfpub.epa.gov/ecotox/explore.cfm?ncbi=188379","Explore in ECOTOX")</f>
        <v>Explore in ECOTOX</v>
      </c>
    </row>
    <row r="768" spans="1:18" x14ac:dyDescent="0.45">
      <c r="A768" t="s">
        <v>1264</v>
      </c>
      <c r="B768">
        <v>8</v>
      </c>
      <c r="C768" t="str">
        <f>HYPERLINK("http://www.ncbi.nlm.nih.gov/protein/XP_017655619.1","XP_017655619.1")</f>
        <v>XP_017655619.1</v>
      </c>
      <c r="D768">
        <v>49440</v>
      </c>
      <c r="E768" t="str">
        <f>HYPERLINK("http://www.ncbi.nlm.nih.gov/Taxonomy/Browser/wwwtax.cgi?mode=Info&amp;id=1026970&amp;lvl=3&amp;lin=f&amp;keep=1&amp;srchmode=1&amp;unlock","1026970")</f>
        <v>1026970</v>
      </c>
      <c r="F768" t="s">
        <v>96</v>
      </c>
      <c r="G768" t="str">
        <f>HYPERLINK("http://www.ncbi.nlm.nih.gov/Taxonomy/Browser/wwwtax.cgi?mode=Info&amp;id=1026970&amp;lvl=3&amp;lin=f&amp;keep=1&amp;srchmode=1&amp;unlock","Nannospalax galili")</f>
        <v>Nannospalax galili</v>
      </c>
      <c r="H768" t="s">
        <v>744</v>
      </c>
      <c r="I768" t="str">
        <f>HYPERLINK("http://www.ncbi.nlm.nih.gov/protein/XP_017655619.1","ryanodine receptor 3")</f>
        <v>ryanodine receptor 3</v>
      </c>
      <c r="J768">
        <v>4808.82</v>
      </c>
      <c r="K768" t="s">
        <v>22</v>
      </c>
      <c r="L768">
        <v>276</v>
      </c>
      <c r="M768">
        <v>9.75</v>
      </c>
      <c r="N768">
        <v>46</v>
      </c>
      <c r="O768" t="s">
        <v>19</v>
      </c>
      <c r="P768" t="s">
        <v>20</v>
      </c>
      <c r="Q768" t="s">
        <v>19</v>
      </c>
      <c r="R768" t="str">
        <f>HYPERLINK("https://cfpub.epa.gov/ecotox/explore.cfm?ncbi=1026970","Explore in ECOTOX")</f>
        <v>Explore in ECOTOX</v>
      </c>
    </row>
    <row r="769" spans="1:18" x14ac:dyDescent="0.45">
      <c r="A769" t="s">
        <v>1264</v>
      </c>
      <c r="B769">
        <v>8</v>
      </c>
      <c r="C769" t="str">
        <f>HYPERLINK("http://www.ncbi.nlm.nih.gov/protein/KAF0870432.1","KAF0870432.1")</f>
        <v>KAF0870432.1</v>
      </c>
      <c r="D769">
        <v>17554</v>
      </c>
      <c r="E769" t="str">
        <f>HYPERLINK("http://www.ncbi.nlm.nih.gov/Taxonomy/Browser/wwwtax.cgi?mode=Info&amp;id=9678&amp;lvl=3&amp;lin=f&amp;keep=1&amp;srchmode=1&amp;unlock","9678")</f>
        <v>9678</v>
      </c>
      <c r="F769" t="s">
        <v>96</v>
      </c>
      <c r="G769" t="str">
        <f>HYPERLINK("http://www.ncbi.nlm.nih.gov/Taxonomy/Browser/wwwtax.cgi?mode=Info&amp;id=9678&amp;lvl=3&amp;lin=f&amp;keep=1&amp;srchmode=1&amp;unlock","Crocuta crocuta")</f>
        <v>Crocuta crocuta</v>
      </c>
      <c r="H769" t="s">
        <v>745</v>
      </c>
      <c r="I769" t="str">
        <f>HYPERLINK("http://www.ncbi.nlm.nih.gov/protein/KAF0870432.1","RYR2 protein, partial")</f>
        <v>RYR2 protein, partial</v>
      </c>
      <c r="J769">
        <v>4806.8900000000003</v>
      </c>
      <c r="K769" t="s">
        <v>22</v>
      </c>
      <c r="L769">
        <v>276</v>
      </c>
      <c r="M769">
        <v>9.75</v>
      </c>
      <c r="N769">
        <v>45.98</v>
      </c>
      <c r="O769" t="s">
        <v>19</v>
      </c>
      <c r="P769" t="s">
        <v>20</v>
      </c>
      <c r="Q769" t="s">
        <v>19</v>
      </c>
      <c r="R769" t="str">
        <f>HYPERLINK("https://cfpub.epa.gov/ecotox/explore.cfm?ncbi=9678","Explore in ECOTOX")</f>
        <v>Explore in ECOTOX</v>
      </c>
    </row>
    <row r="770" spans="1:18" x14ac:dyDescent="0.45">
      <c r="A770" t="s">
        <v>1264</v>
      </c>
      <c r="B770">
        <v>8</v>
      </c>
      <c r="C770" t="str">
        <f>HYPERLINK("http://www.ncbi.nlm.nih.gov/protein/CAB3265843.1","CAB3265843.1")</f>
        <v>CAB3265843.1</v>
      </c>
      <c r="D770">
        <v>9704</v>
      </c>
      <c r="E770" t="str">
        <f>HYPERLINK("http://www.ncbi.nlm.nih.gov/Taxonomy/Browser/wwwtax.cgi?mode=Info&amp;id=59560&amp;lvl=3&amp;lin=f&amp;keep=1&amp;srchmode=1&amp;unlock","59560")</f>
        <v>59560</v>
      </c>
      <c r="F770" t="s">
        <v>727</v>
      </c>
      <c r="G770" t="str">
        <f>HYPERLINK("http://www.ncbi.nlm.nih.gov/Taxonomy/Browser/wwwtax.cgi?mode=Info&amp;id=59560&amp;lvl=3&amp;lin=f&amp;keep=1&amp;srchmode=1&amp;unlock","Phallusia mammillata")</f>
        <v>Phallusia mammillata</v>
      </c>
      <c r="H770" t="s">
        <v>746</v>
      </c>
      <c r="I770" t="str">
        <f>HYPERLINK("http://www.ncbi.nlm.nih.gov/protein/CAB3265843.1","ryanodine receptor 3")</f>
        <v>ryanodine receptor 3</v>
      </c>
      <c r="J770">
        <v>4806.12</v>
      </c>
      <c r="K770" t="s">
        <v>22</v>
      </c>
      <c r="L770">
        <v>276</v>
      </c>
      <c r="M770">
        <v>9.75</v>
      </c>
      <c r="N770">
        <v>45.97</v>
      </c>
      <c r="O770" t="s">
        <v>19</v>
      </c>
      <c r="P770" t="s">
        <v>20</v>
      </c>
      <c r="Q770" t="s">
        <v>19</v>
      </c>
      <c r="R770" t="str">
        <f>HYPERLINK("https://cfpub.epa.gov/ecotox/explore.cfm?ncbi=59560","Explore in ECOTOX")</f>
        <v>Explore in ECOTOX</v>
      </c>
    </row>
    <row r="771" spans="1:18" x14ac:dyDescent="0.45">
      <c r="A771" t="s">
        <v>1264</v>
      </c>
      <c r="B771">
        <v>8</v>
      </c>
      <c r="C771" t="str">
        <f>HYPERLINK("http://www.ncbi.nlm.nih.gov/protein/XP_031527799.1","XP_031527799.1")</f>
        <v>XP_031527799.1</v>
      </c>
      <c r="D771">
        <v>45493</v>
      </c>
      <c r="E771" t="str">
        <f>HYPERLINK("http://www.ncbi.nlm.nih.gov/Taxonomy/Browser/wwwtax.cgi?mode=Info&amp;id=30538&amp;lvl=3&amp;lin=f&amp;keep=1&amp;srchmode=1&amp;unlock","30538")</f>
        <v>30538</v>
      </c>
      <c r="F771" t="s">
        <v>96</v>
      </c>
      <c r="G771" t="str">
        <f>HYPERLINK("http://www.ncbi.nlm.nih.gov/Taxonomy/Browser/wwwtax.cgi?mode=Info&amp;id=30538&amp;lvl=3&amp;lin=f&amp;keep=1&amp;srchmode=1&amp;unlock","Vicugna pacos")</f>
        <v>Vicugna pacos</v>
      </c>
      <c r="H771" t="s">
        <v>747</v>
      </c>
      <c r="I771" t="str">
        <f>HYPERLINK("http://www.ncbi.nlm.nih.gov/protein/XP_031527799.1","ryanodine receptor 2")</f>
        <v>ryanodine receptor 2</v>
      </c>
      <c r="J771">
        <v>4798.03</v>
      </c>
      <c r="K771" t="s">
        <v>22</v>
      </c>
      <c r="L771">
        <v>276</v>
      </c>
      <c r="M771">
        <v>9.75</v>
      </c>
      <c r="N771">
        <v>45.9</v>
      </c>
      <c r="O771" t="s">
        <v>19</v>
      </c>
      <c r="P771" t="s">
        <v>20</v>
      </c>
      <c r="Q771" t="s">
        <v>19</v>
      </c>
      <c r="R771" t="str">
        <f>HYPERLINK("https://cfpub.epa.gov/ecotox/explore.cfm?ncbi=30538","Explore in ECOTOX")</f>
        <v>Explore in ECOTOX</v>
      </c>
    </row>
    <row r="772" spans="1:18" x14ac:dyDescent="0.45">
      <c r="A772" t="s">
        <v>1264</v>
      </c>
      <c r="B772">
        <v>8</v>
      </c>
      <c r="C772" t="str">
        <f>HYPERLINK("http://www.ncbi.nlm.nih.gov/protein/XP_027725717.1","XP_027725717.1")</f>
        <v>XP_027725717.1</v>
      </c>
      <c r="D772">
        <v>42743</v>
      </c>
      <c r="E772" t="str">
        <f>HYPERLINK("http://www.ncbi.nlm.nih.gov/Taxonomy/Browser/wwwtax.cgi?mode=Info&amp;id=29139&amp;lvl=3&amp;lin=f&amp;keep=1&amp;srchmode=1&amp;unlock","29139")</f>
        <v>29139</v>
      </c>
      <c r="F772" t="s">
        <v>96</v>
      </c>
      <c r="G772" t="str">
        <f>HYPERLINK("http://www.ncbi.nlm.nih.gov/Taxonomy/Browser/wwwtax.cgi?mode=Info&amp;id=29139&amp;lvl=3&amp;lin=f&amp;keep=1&amp;srchmode=1&amp;unlock","Vombatus ursinus")</f>
        <v>Vombatus ursinus</v>
      </c>
      <c r="H772" t="s">
        <v>748</v>
      </c>
      <c r="I772" t="str">
        <f>HYPERLINK("http://www.ncbi.nlm.nih.gov/protein/XP_027725717.1","ryanodine receptor 3")</f>
        <v>ryanodine receptor 3</v>
      </c>
      <c r="J772">
        <v>4784.93</v>
      </c>
      <c r="K772" t="s">
        <v>22</v>
      </c>
      <c r="L772">
        <v>276</v>
      </c>
      <c r="M772">
        <v>9.75</v>
      </c>
      <c r="N772">
        <v>45.77</v>
      </c>
      <c r="O772" t="s">
        <v>19</v>
      </c>
      <c r="P772" t="s">
        <v>20</v>
      </c>
      <c r="Q772" t="s">
        <v>19</v>
      </c>
      <c r="R772" t="str">
        <f>HYPERLINK("https://cfpub.epa.gov/ecotox/explore.cfm?ncbi=29139","Explore in ECOTOX")</f>
        <v>Explore in ECOTOX</v>
      </c>
    </row>
    <row r="773" spans="1:18" x14ac:dyDescent="0.45">
      <c r="A773" t="s">
        <v>1264</v>
      </c>
      <c r="B773">
        <v>8</v>
      </c>
      <c r="C773" t="str">
        <f>HYPERLINK("http://www.ncbi.nlm.nih.gov/protein/XP_023414540.1","XP_023414540.1")</f>
        <v>XP_023414540.1</v>
      </c>
      <c r="D773">
        <v>41939</v>
      </c>
      <c r="E773" t="str">
        <f>HYPERLINK("http://www.ncbi.nlm.nih.gov/Taxonomy/Browser/wwwtax.cgi?mode=Info&amp;id=9785&amp;lvl=3&amp;lin=f&amp;keep=1&amp;srchmode=1&amp;unlock","9785")</f>
        <v>9785</v>
      </c>
      <c r="F773" t="s">
        <v>96</v>
      </c>
      <c r="G773" t="str">
        <f>HYPERLINK("http://www.ncbi.nlm.nih.gov/Taxonomy/Browser/wwwtax.cgi?mode=Info&amp;id=9785&amp;lvl=3&amp;lin=f&amp;keep=1&amp;srchmode=1&amp;unlock","Loxodonta africana")</f>
        <v>Loxodonta africana</v>
      </c>
      <c r="H773" t="s">
        <v>749</v>
      </c>
      <c r="I773" t="str">
        <f>HYPERLINK("http://www.ncbi.nlm.nih.gov/protein/XP_023414540.1","LOW QUALITY PROTEIN: ryanodine receptor 3")</f>
        <v>LOW QUALITY PROTEIN: ryanodine receptor 3</v>
      </c>
      <c r="J773">
        <v>4783.78</v>
      </c>
      <c r="K773" t="s">
        <v>22</v>
      </c>
      <c r="L773">
        <v>276</v>
      </c>
      <c r="M773">
        <v>9.75</v>
      </c>
      <c r="N773">
        <v>45.76</v>
      </c>
      <c r="O773" t="s">
        <v>19</v>
      </c>
      <c r="P773" t="s">
        <v>20</v>
      </c>
      <c r="Q773" t="s">
        <v>19</v>
      </c>
      <c r="R773" t="str">
        <f>HYPERLINK("https://cfpub.epa.gov/ecotox/explore.cfm?ncbi=9785","Explore in ECOTOX")</f>
        <v>Explore in ECOTOX</v>
      </c>
    </row>
    <row r="774" spans="1:18" x14ac:dyDescent="0.45">
      <c r="A774" t="s">
        <v>1264</v>
      </c>
      <c r="B774">
        <v>8</v>
      </c>
      <c r="C774" t="str">
        <f>HYPERLINK("http://www.ncbi.nlm.nih.gov/protein/XP_054369595.1","XP_054369595.1")</f>
        <v>XP_054369595.1</v>
      </c>
      <c r="D774">
        <v>45739</v>
      </c>
      <c r="E774" t="str">
        <f>HYPERLINK("http://www.ncbi.nlm.nih.gov/Taxonomy/Browser/wwwtax.cgi?mode=Info&amp;id=9716&amp;lvl=3&amp;lin=f&amp;keep=1&amp;srchmode=1&amp;unlock","9716")</f>
        <v>9716</v>
      </c>
      <c r="F774" t="s">
        <v>96</v>
      </c>
      <c r="G774" t="str">
        <f>HYPERLINK("http://www.ncbi.nlm.nih.gov/Taxonomy/Browser/wwwtax.cgi?mode=Info&amp;id=9716&amp;lvl=3&amp;lin=f&amp;keep=1&amp;srchmode=1&amp;unlock","Mirounga angustirostris")</f>
        <v>Mirounga angustirostris</v>
      </c>
      <c r="H774" t="s">
        <v>750</v>
      </c>
      <c r="I774" t="str">
        <f>HYPERLINK("http://www.ncbi.nlm.nih.gov/protein/XP_054369595.1","ryanodine receptor 3")</f>
        <v>ryanodine receptor 3</v>
      </c>
      <c r="J774">
        <v>4776.8500000000004</v>
      </c>
      <c r="K774" t="s">
        <v>22</v>
      </c>
      <c r="L774">
        <v>276</v>
      </c>
      <c r="M774">
        <v>9.75</v>
      </c>
      <c r="N774">
        <v>45.69</v>
      </c>
      <c r="O774" t="s">
        <v>19</v>
      </c>
      <c r="P774" t="s">
        <v>20</v>
      </c>
      <c r="Q774" t="s">
        <v>19</v>
      </c>
      <c r="R774" t="str">
        <f>HYPERLINK("https://cfpub.epa.gov/ecotox/explore.cfm?ncbi=9716","Explore in ECOTOX")</f>
        <v>Explore in ECOTOX</v>
      </c>
    </row>
    <row r="775" spans="1:18" x14ac:dyDescent="0.45">
      <c r="A775" t="s">
        <v>1264</v>
      </c>
      <c r="B775">
        <v>8</v>
      </c>
      <c r="C775" t="str">
        <f>HYPERLINK("http://www.ncbi.nlm.nih.gov/protein/XP_004409092.1","XP_004409092.1")</f>
        <v>XP_004409092.1</v>
      </c>
      <c r="D775">
        <v>31383</v>
      </c>
      <c r="E775" t="str">
        <f>HYPERLINK("http://www.ncbi.nlm.nih.gov/Taxonomy/Browser/wwwtax.cgi?mode=Info&amp;id=9708&amp;lvl=3&amp;lin=f&amp;keep=1&amp;srchmode=1&amp;unlock","9708")</f>
        <v>9708</v>
      </c>
      <c r="F775" t="s">
        <v>96</v>
      </c>
      <c r="G775" t="str">
        <f>HYPERLINK("http://www.ncbi.nlm.nih.gov/Taxonomy/Browser/wwwtax.cgi?mode=Info&amp;id=9708&amp;lvl=3&amp;lin=f&amp;keep=1&amp;srchmode=1&amp;unlock","Odobenus rosmarus divergens")</f>
        <v>Odobenus rosmarus divergens</v>
      </c>
      <c r="H775" t="s">
        <v>751</v>
      </c>
      <c r="I775" t="str">
        <f>HYPERLINK("http://www.ncbi.nlm.nih.gov/protein/XP_004409092.1","PREDICTED: ryanodine receptor 3")</f>
        <v>PREDICTED: ryanodine receptor 3</v>
      </c>
      <c r="J775">
        <v>4771.45</v>
      </c>
      <c r="K775" t="s">
        <v>22</v>
      </c>
      <c r="L775">
        <v>276</v>
      </c>
      <c r="M775">
        <v>9.75</v>
      </c>
      <c r="N775">
        <v>45.64</v>
      </c>
      <c r="O775" t="s">
        <v>19</v>
      </c>
      <c r="P775" t="s">
        <v>20</v>
      </c>
      <c r="Q775" t="s">
        <v>19</v>
      </c>
      <c r="R775" t="str">
        <f>HYPERLINK("https://cfpub.epa.gov/ecotox/explore.cfm?ncbi=9708","Explore in ECOTOX")</f>
        <v>Explore in ECOTOX</v>
      </c>
    </row>
    <row r="776" spans="1:18" x14ac:dyDescent="0.45">
      <c r="A776" t="s">
        <v>1264</v>
      </c>
      <c r="B776">
        <v>8</v>
      </c>
      <c r="C776" t="str">
        <f>HYPERLINK("http://www.ncbi.nlm.nih.gov/protein/XP_015413022.1","XP_015413022.1")</f>
        <v>XP_015413022.1</v>
      </c>
      <c r="D776">
        <v>48727</v>
      </c>
      <c r="E776" t="str">
        <f>HYPERLINK("http://www.ncbi.nlm.nih.gov/Taxonomy/Browser/wwwtax.cgi?mode=Info&amp;id=225400&amp;lvl=3&amp;lin=f&amp;keep=1&amp;srchmode=1&amp;unlock","225400")</f>
        <v>225400</v>
      </c>
      <c r="F776" t="s">
        <v>96</v>
      </c>
      <c r="G776" t="str">
        <f>HYPERLINK("http://www.ncbi.nlm.nih.gov/Taxonomy/Browser/wwwtax.cgi?mode=Info&amp;id=225400&amp;lvl=3&amp;lin=f&amp;keep=1&amp;srchmode=1&amp;unlock","Myotis davidii")</f>
        <v>Myotis davidii</v>
      </c>
      <c r="H776" t="s">
        <v>387</v>
      </c>
      <c r="I776" t="str">
        <f>HYPERLINK("http://www.ncbi.nlm.nih.gov/protein/XP_015413022.1","PREDICTED: LOW QUALITY PROTEIN: ryanodine receptor 3")</f>
        <v>PREDICTED: LOW QUALITY PROTEIN: ryanodine receptor 3</v>
      </c>
      <c r="J776">
        <v>4770.68</v>
      </c>
      <c r="K776" t="s">
        <v>22</v>
      </c>
      <c r="L776">
        <v>276</v>
      </c>
      <c r="M776">
        <v>9.75</v>
      </c>
      <c r="N776">
        <v>45.64</v>
      </c>
      <c r="O776" t="s">
        <v>19</v>
      </c>
      <c r="P776" t="s">
        <v>20</v>
      </c>
      <c r="Q776" t="s">
        <v>19</v>
      </c>
      <c r="R776" t="str">
        <f>HYPERLINK("https://cfpub.epa.gov/ecotox/explore.cfm?ncbi=225400","Explore in ECOTOX")</f>
        <v>Explore in ECOTOX</v>
      </c>
    </row>
    <row r="777" spans="1:18" x14ac:dyDescent="0.45">
      <c r="A777" t="s">
        <v>1264</v>
      </c>
      <c r="B777">
        <v>8</v>
      </c>
      <c r="C777" t="str">
        <f>HYPERLINK("http://www.ncbi.nlm.nih.gov/protein/XP_008582266.1","XP_008582266.1")</f>
        <v>XP_008582266.1</v>
      </c>
      <c r="D777">
        <v>32194</v>
      </c>
      <c r="E777" t="str">
        <f>HYPERLINK("http://www.ncbi.nlm.nih.gov/Taxonomy/Browser/wwwtax.cgi?mode=Info&amp;id=482537&amp;lvl=3&amp;lin=f&amp;keep=1&amp;srchmode=1&amp;unlock","482537")</f>
        <v>482537</v>
      </c>
      <c r="F777" t="s">
        <v>96</v>
      </c>
      <c r="G777" t="str">
        <f>HYPERLINK("http://www.ncbi.nlm.nih.gov/Taxonomy/Browser/wwwtax.cgi?mode=Info&amp;id=482537&amp;lvl=3&amp;lin=f&amp;keep=1&amp;srchmode=1&amp;unlock","Galeopterus variegatus")</f>
        <v>Galeopterus variegatus</v>
      </c>
      <c r="H777" t="s">
        <v>752</v>
      </c>
      <c r="I777" t="str">
        <f>HYPERLINK("http://www.ncbi.nlm.nih.gov/protein/XP_008582266.1","PREDICTED: ryanodine receptor 3, partial")</f>
        <v>PREDICTED: ryanodine receptor 3, partial</v>
      </c>
      <c r="J777">
        <v>4732.93</v>
      </c>
      <c r="K777" t="s">
        <v>22</v>
      </c>
      <c r="L777">
        <v>276</v>
      </c>
      <c r="M777">
        <v>9.75</v>
      </c>
      <c r="N777">
        <v>45.27</v>
      </c>
      <c r="O777" t="s">
        <v>19</v>
      </c>
      <c r="P777" t="s">
        <v>20</v>
      </c>
      <c r="Q777" t="s">
        <v>19</v>
      </c>
      <c r="R777" t="str">
        <f>HYPERLINK("https://cfpub.epa.gov/ecotox/explore.cfm?ncbi=482537","Explore in ECOTOX")</f>
        <v>Explore in ECOTOX</v>
      </c>
    </row>
    <row r="778" spans="1:18" x14ac:dyDescent="0.45">
      <c r="A778" t="s">
        <v>1264</v>
      </c>
      <c r="B778">
        <v>8</v>
      </c>
      <c r="C778" t="str">
        <f>HYPERLINK("http://www.ncbi.nlm.nih.gov/protein/XP_018669433.1","XP_018669433.1")</f>
        <v>XP_018669433.1</v>
      </c>
      <c r="D778">
        <v>23442</v>
      </c>
      <c r="E778" t="str">
        <f>HYPERLINK("http://www.ncbi.nlm.nih.gov/Taxonomy/Browser/wwwtax.cgi?mode=Info&amp;id=7719&amp;lvl=3&amp;lin=f&amp;keep=1&amp;srchmode=1&amp;unlock","7719")</f>
        <v>7719</v>
      </c>
      <c r="F778" t="s">
        <v>727</v>
      </c>
      <c r="G778" t="str">
        <f>HYPERLINK("http://www.ncbi.nlm.nih.gov/Taxonomy/Browser/wwwtax.cgi?mode=Info&amp;id=7719&amp;lvl=3&amp;lin=f&amp;keep=1&amp;srchmode=1&amp;unlock","Ciona intestinalis")</f>
        <v>Ciona intestinalis</v>
      </c>
      <c r="H778" t="s">
        <v>753</v>
      </c>
      <c r="I778" t="str">
        <f>HYPERLINK("http://www.ncbi.nlm.nih.gov/protein/XP_018669433.1","ryanodine receptor 3")</f>
        <v>ryanodine receptor 3</v>
      </c>
      <c r="J778">
        <v>4718.3</v>
      </c>
      <c r="K778" t="s">
        <v>22</v>
      </c>
      <c r="L778">
        <v>276</v>
      </c>
      <c r="M778">
        <v>9.75</v>
      </c>
      <c r="N778">
        <v>45.13</v>
      </c>
      <c r="O778" t="s">
        <v>19</v>
      </c>
      <c r="P778" t="s">
        <v>20</v>
      </c>
      <c r="Q778" t="s">
        <v>19</v>
      </c>
      <c r="R778" t="str">
        <f>HYPERLINK("https://cfpub.epa.gov/ecotox/explore.cfm?ncbi=7719","Explore in ECOTOX")</f>
        <v>Explore in ECOTOX</v>
      </c>
    </row>
    <row r="779" spans="1:18" x14ac:dyDescent="0.45">
      <c r="A779" t="s">
        <v>1264</v>
      </c>
      <c r="B779">
        <v>8</v>
      </c>
      <c r="C779" t="str">
        <f>HYPERLINK("http://www.ncbi.nlm.nih.gov/protein/KAI1237803.1","KAI1237803.1")</f>
        <v>KAI1237803.1</v>
      </c>
      <c r="D779">
        <v>14273</v>
      </c>
      <c r="E779" t="str">
        <f>HYPERLINK("http://www.ncbi.nlm.nih.gov/Taxonomy/Browser/wwwtax.cgi?mode=Info&amp;id=245042&amp;lvl=3&amp;lin=f&amp;keep=1&amp;srchmode=1&amp;unlock","245042")</f>
        <v>245042</v>
      </c>
      <c r="F779" t="s">
        <v>241</v>
      </c>
      <c r="G779" t="str">
        <f>HYPERLINK("http://www.ncbi.nlm.nih.gov/Taxonomy/Browser/wwwtax.cgi?mode=Info&amp;id=245042&amp;lvl=3&amp;lin=f&amp;keep=1&amp;srchmode=1&amp;unlock","Lamprotornis superbus")</f>
        <v>Lamprotornis superbus</v>
      </c>
      <c r="H779" t="s">
        <v>754</v>
      </c>
      <c r="I779" t="str">
        <f>HYPERLINK("http://www.ncbi.nlm.nih.gov/protein/KAI1237803.1","hypothetical protein IHE44_0013890")</f>
        <v>hypothetical protein IHE44_0013890</v>
      </c>
      <c r="J779">
        <v>4691.72</v>
      </c>
      <c r="K779" t="s">
        <v>22</v>
      </c>
      <c r="L779">
        <v>276</v>
      </c>
      <c r="M779">
        <v>9.75</v>
      </c>
      <c r="N779">
        <v>44.88</v>
      </c>
      <c r="O779" t="s">
        <v>19</v>
      </c>
      <c r="P779" t="s">
        <v>20</v>
      </c>
      <c r="Q779" t="s">
        <v>19</v>
      </c>
      <c r="R779" t="str">
        <f>HYPERLINK("https://cfpub.epa.gov/ecotox/explore.cfm?ncbi=245042","Explore in ECOTOX")</f>
        <v>Explore in ECOTOX</v>
      </c>
    </row>
    <row r="780" spans="1:18" x14ac:dyDescent="0.45">
      <c r="A780" t="s">
        <v>1264</v>
      </c>
      <c r="B780">
        <v>8</v>
      </c>
      <c r="C780" t="str">
        <f>HYPERLINK("http://www.ncbi.nlm.nih.gov/protein/TNM94653.1","TNM94653.1")</f>
        <v>TNM94653.1</v>
      </c>
      <c r="D780">
        <v>20164</v>
      </c>
      <c r="E780" t="str">
        <f>HYPERLINK("http://www.ncbi.nlm.nih.gov/Taxonomy/Browser/wwwtax.cgi?mode=Info&amp;id=433685&amp;lvl=3&amp;lin=f&amp;keep=1&amp;srchmode=1&amp;unlock","433685")</f>
        <v>433685</v>
      </c>
      <c r="F780" t="s">
        <v>17</v>
      </c>
      <c r="G780" t="str">
        <f>HYPERLINK("http://www.ncbi.nlm.nih.gov/Taxonomy/Browser/wwwtax.cgi?mode=Info&amp;id=433685&amp;lvl=3&amp;lin=f&amp;keep=1&amp;srchmode=1&amp;unlock","Takifugu bimaculatus")</f>
        <v>Takifugu bimaculatus</v>
      </c>
      <c r="H780" t="s">
        <v>755</v>
      </c>
      <c r="I780" t="str">
        <f>HYPERLINK("http://www.ncbi.nlm.nih.gov/protein/TNM94653.1","hypothetical protein fugu_017412")</f>
        <v>hypothetical protein fugu_017412</v>
      </c>
      <c r="J780">
        <v>4578.47</v>
      </c>
      <c r="K780" t="s">
        <v>22</v>
      </c>
      <c r="L780">
        <v>276</v>
      </c>
      <c r="M780">
        <v>9.75</v>
      </c>
      <c r="N780">
        <v>43.8</v>
      </c>
      <c r="O780" t="s">
        <v>19</v>
      </c>
      <c r="P780" t="s">
        <v>20</v>
      </c>
      <c r="Q780" t="s">
        <v>19</v>
      </c>
      <c r="R780" t="str">
        <f>HYPERLINK("https://cfpub.epa.gov/ecotox/explore.cfm?ncbi=433685","Explore in ECOTOX")</f>
        <v>Explore in ECOTOX</v>
      </c>
    </row>
    <row r="781" spans="1:18" x14ac:dyDescent="0.45">
      <c r="A781" t="s">
        <v>1264</v>
      </c>
      <c r="B781">
        <v>8</v>
      </c>
      <c r="C781" t="str">
        <f>HYPERLINK("http://www.ncbi.nlm.nih.gov/protein/XP_012862710.2","XP_012862710.2")</f>
        <v>XP_012862710.2</v>
      </c>
      <c r="D781">
        <v>32216</v>
      </c>
      <c r="E781" t="str">
        <f>HYPERLINK("http://www.ncbi.nlm.nih.gov/Taxonomy/Browser/wwwtax.cgi?mode=Info&amp;id=9371&amp;lvl=3&amp;lin=f&amp;keep=1&amp;srchmode=1&amp;unlock","9371")</f>
        <v>9371</v>
      </c>
      <c r="F781" t="s">
        <v>96</v>
      </c>
      <c r="G781" t="str">
        <f>HYPERLINK("http://www.ncbi.nlm.nih.gov/Taxonomy/Browser/wwwtax.cgi?mode=Info&amp;id=9371&amp;lvl=3&amp;lin=f&amp;keep=1&amp;srchmode=1&amp;unlock","Echinops telfairi")</f>
        <v>Echinops telfairi</v>
      </c>
      <c r="H781" t="s">
        <v>756</v>
      </c>
      <c r="I781" t="str">
        <f>HYPERLINK("http://www.ncbi.nlm.nih.gov/protein/XP_012862710.2","ryanodine receptor 3")</f>
        <v>ryanodine receptor 3</v>
      </c>
      <c r="J781">
        <v>4521.07</v>
      </c>
      <c r="K781" t="s">
        <v>22</v>
      </c>
      <c r="L781">
        <v>276</v>
      </c>
      <c r="M781">
        <v>9.75</v>
      </c>
      <c r="N781">
        <v>43.25</v>
      </c>
      <c r="O781" t="s">
        <v>19</v>
      </c>
      <c r="P781" t="s">
        <v>20</v>
      </c>
      <c r="Q781" t="s">
        <v>19</v>
      </c>
      <c r="R781" t="str">
        <f>HYPERLINK("https://cfpub.epa.gov/ecotox/explore.cfm?ncbi=9371","Explore in ECOTOX")</f>
        <v>Explore in ECOTOX</v>
      </c>
    </row>
    <row r="782" spans="1:18" x14ac:dyDescent="0.45">
      <c r="A782" t="s">
        <v>1264</v>
      </c>
      <c r="B782">
        <v>8</v>
      </c>
      <c r="C782" t="str">
        <f>HYPERLINK("http://www.ncbi.nlm.nih.gov/protein/XP_055878945.1","XP_055878945.1")</f>
        <v>XP_055878945.1</v>
      </c>
      <c r="D782">
        <v>127041</v>
      </c>
      <c r="E782" t="str">
        <f>HYPERLINK("http://www.ncbi.nlm.nih.gov/Taxonomy/Browser/wwwtax.cgi?mode=Info&amp;id=6526&amp;lvl=3&amp;lin=f&amp;keep=1&amp;srchmode=1&amp;unlock","6526")</f>
        <v>6526</v>
      </c>
      <c r="F782" t="s">
        <v>757</v>
      </c>
      <c r="G782" t="str">
        <f>HYPERLINK("http://www.ncbi.nlm.nih.gov/Taxonomy/Browser/wwwtax.cgi?mode=Info&amp;id=6526&amp;lvl=3&amp;lin=f&amp;keep=1&amp;srchmode=1&amp;unlock","Biomphalaria glabrata")</f>
        <v>Biomphalaria glabrata</v>
      </c>
      <c r="H782" t="s">
        <v>758</v>
      </c>
      <c r="I782" t="str">
        <f>HYPERLINK("http://www.ncbi.nlm.nih.gov/protein/XP_055878945.1","ryanodine receptor-like isoform X15")</f>
        <v>ryanodine receptor-like isoform X15</v>
      </c>
      <c r="J782">
        <v>4477.16</v>
      </c>
      <c r="K782" t="s">
        <v>22</v>
      </c>
      <c r="L782">
        <v>276</v>
      </c>
      <c r="M782">
        <v>9.75</v>
      </c>
      <c r="N782">
        <v>42.83</v>
      </c>
      <c r="O782" t="s">
        <v>19</v>
      </c>
      <c r="P782" t="s">
        <v>20</v>
      </c>
      <c r="Q782" t="s">
        <v>19</v>
      </c>
      <c r="R782" t="str">
        <f>HYPERLINK("https://cfpub.epa.gov/ecotox/explore.cfm?ncbi=6526","Explore in ECOTOX")</f>
        <v>Explore in ECOTOX</v>
      </c>
    </row>
    <row r="783" spans="1:18" x14ac:dyDescent="0.45">
      <c r="A783" t="s">
        <v>1264</v>
      </c>
      <c r="B783">
        <v>8</v>
      </c>
      <c r="C783" t="str">
        <f>HYPERLINK("http://www.ncbi.nlm.nih.gov/protein/KAG8123547.1","KAG8123547.1")</f>
        <v>KAG8123547.1</v>
      </c>
      <c r="D783">
        <v>25952</v>
      </c>
      <c r="E783" t="str">
        <f>HYPERLINK("http://www.ncbi.nlm.nih.gov/Taxonomy/Browser/wwwtax.cgi?mode=Info&amp;id=35670&amp;lvl=3&amp;lin=f&amp;keep=1&amp;srchmode=1&amp;unlock","35670")</f>
        <v>35670</v>
      </c>
      <c r="F783" t="s">
        <v>192</v>
      </c>
      <c r="G783" t="str">
        <f>HYPERLINK("http://www.ncbi.nlm.nih.gov/Taxonomy/Browser/wwwtax.cgi?mode=Info&amp;id=35670&amp;lvl=3&amp;lin=f&amp;keep=1&amp;srchmode=1&amp;unlock","Naja naja")</f>
        <v>Naja naja</v>
      </c>
      <c r="H783" t="s">
        <v>759</v>
      </c>
      <c r="I783" t="str">
        <f>HYPERLINK("http://www.ncbi.nlm.nih.gov/protein/KAG8123547.1","hypothetical protein E2320_018933")</f>
        <v>hypothetical protein E2320_018933</v>
      </c>
      <c r="J783">
        <v>4429.01</v>
      </c>
      <c r="K783" t="s">
        <v>22</v>
      </c>
      <c r="L783">
        <v>276</v>
      </c>
      <c r="M783">
        <v>9.75</v>
      </c>
      <c r="N783">
        <v>42.37</v>
      </c>
      <c r="O783" t="s">
        <v>19</v>
      </c>
      <c r="P783" t="s">
        <v>20</v>
      </c>
      <c r="Q783" t="s">
        <v>19</v>
      </c>
      <c r="R783" t="str">
        <f>HYPERLINK("https://cfpub.epa.gov/ecotox/explore.cfm?ncbi=35670","Explore in ECOTOX")</f>
        <v>Explore in ECOTOX</v>
      </c>
    </row>
    <row r="784" spans="1:18" x14ac:dyDescent="0.45">
      <c r="A784" t="s">
        <v>1264</v>
      </c>
      <c r="B784">
        <v>8</v>
      </c>
      <c r="C784" t="str">
        <f>HYPERLINK("http://www.ncbi.nlm.nih.gov/protein/XP_045780972.1","XP_045780972.1")</f>
        <v>XP_045780972.1</v>
      </c>
      <c r="D784">
        <v>26205</v>
      </c>
      <c r="E784" t="str">
        <f>HYPERLINK("http://www.ncbi.nlm.nih.gov/Taxonomy/Browser/wwwtax.cgi?mode=Info&amp;id=191418&amp;lvl=3&amp;lin=f&amp;keep=1&amp;srchmode=1&amp;unlock","191418")</f>
        <v>191418</v>
      </c>
      <c r="F784" t="s">
        <v>760</v>
      </c>
      <c r="G784" t="str">
        <f>HYPERLINK("http://www.ncbi.nlm.nih.gov/Taxonomy/Browser/wwwtax.cgi?mode=Info&amp;id=191418&amp;lvl=3&amp;lin=f&amp;keep=1&amp;srchmode=1&amp;unlock","Maniola jurtina")</f>
        <v>Maniola jurtina</v>
      </c>
      <c r="H784" t="s">
        <v>761</v>
      </c>
      <c r="I784" t="str">
        <f>HYPERLINK("http://www.ncbi.nlm.nih.gov/protein/XP_045780972.1","ryanodine receptor isoform X28")</f>
        <v>ryanodine receptor isoform X28</v>
      </c>
      <c r="J784">
        <v>4314.6099999999997</v>
      </c>
      <c r="K784" t="s">
        <v>22</v>
      </c>
      <c r="L784">
        <v>276</v>
      </c>
      <c r="M784">
        <v>9.75</v>
      </c>
      <c r="N784">
        <v>41.27</v>
      </c>
      <c r="O784" t="s">
        <v>19</v>
      </c>
      <c r="P784" t="s">
        <v>20</v>
      </c>
      <c r="Q784" t="s">
        <v>19</v>
      </c>
      <c r="R784" t="str">
        <f>HYPERLINK("https://cfpub.epa.gov/ecotox/explore.cfm?ncbi=191418","Explore in ECOTOX")</f>
        <v>Explore in ECOTOX</v>
      </c>
    </row>
    <row r="785" spans="1:18" x14ac:dyDescent="0.45">
      <c r="A785" t="s">
        <v>1264</v>
      </c>
      <c r="B785">
        <v>8</v>
      </c>
      <c r="C785" t="str">
        <f>HYPERLINK("http://www.ncbi.nlm.nih.gov/protein/XP_047037554.1","XP_047037554.1")</f>
        <v>XP_047037554.1</v>
      </c>
      <c r="D785">
        <v>24038</v>
      </c>
      <c r="E785" t="str">
        <f>HYPERLINK("http://www.ncbi.nlm.nih.gov/Taxonomy/Browser/wwwtax.cgi?mode=Info&amp;id=7113&amp;lvl=3&amp;lin=f&amp;keep=1&amp;srchmode=1&amp;unlock","7113")</f>
        <v>7113</v>
      </c>
      <c r="F785" t="s">
        <v>760</v>
      </c>
      <c r="G785" t="str">
        <f>HYPERLINK("http://www.ncbi.nlm.nih.gov/Taxonomy/Browser/wwwtax.cgi?mode=Info&amp;id=7113&amp;lvl=3&amp;lin=f&amp;keep=1&amp;srchmode=1&amp;unlock","Helicoverpa zea")</f>
        <v>Helicoverpa zea</v>
      </c>
      <c r="H785" t="s">
        <v>762</v>
      </c>
      <c r="I785" t="str">
        <f>HYPERLINK("http://www.ncbi.nlm.nih.gov/protein/XP_047037554.1","ryanodine receptor isoform X26")</f>
        <v>ryanodine receptor isoform X26</v>
      </c>
      <c r="J785">
        <v>4309.6000000000004</v>
      </c>
      <c r="K785" t="s">
        <v>22</v>
      </c>
      <c r="L785">
        <v>276</v>
      </c>
      <c r="M785">
        <v>9.75</v>
      </c>
      <c r="N785">
        <v>41.22</v>
      </c>
      <c r="O785" t="s">
        <v>19</v>
      </c>
      <c r="P785" t="s">
        <v>20</v>
      </c>
      <c r="Q785" t="s">
        <v>19</v>
      </c>
      <c r="R785" t="str">
        <f>HYPERLINK("https://cfpub.epa.gov/ecotox/explore.cfm?ncbi=7113","Explore in ECOTOX")</f>
        <v>Explore in ECOTOX</v>
      </c>
    </row>
    <row r="786" spans="1:18" x14ac:dyDescent="0.45">
      <c r="A786" t="s">
        <v>1264</v>
      </c>
      <c r="B786">
        <v>8</v>
      </c>
      <c r="C786" t="str">
        <f>HYPERLINK("http://www.ncbi.nlm.nih.gov/protein/XP_049707632.1","XP_049707632.1")</f>
        <v>XP_049707632.1</v>
      </c>
      <c r="D786">
        <v>47394</v>
      </c>
      <c r="E786" t="str">
        <f>HYPERLINK("http://www.ncbi.nlm.nih.gov/Taxonomy/Browser/wwwtax.cgi?mode=Info&amp;id=29058&amp;lvl=3&amp;lin=f&amp;keep=1&amp;srchmode=1&amp;unlock","29058")</f>
        <v>29058</v>
      </c>
      <c r="F786" t="s">
        <v>760</v>
      </c>
      <c r="G786" t="str">
        <f>HYPERLINK("http://www.ncbi.nlm.nih.gov/Taxonomy/Browser/wwwtax.cgi?mode=Info&amp;id=29058&amp;lvl=3&amp;lin=f&amp;keep=1&amp;srchmode=1&amp;unlock","Helicoverpa armigera")</f>
        <v>Helicoverpa armigera</v>
      </c>
      <c r="H786" t="s">
        <v>763</v>
      </c>
      <c r="I786" t="str">
        <f>HYPERLINK("http://www.ncbi.nlm.nih.gov/protein/XP_049707632.1","ryanodine receptor isoform X45")</f>
        <v>ryanodine receptor isoform X45</v>
      </c>
      <c r="J786">
        <v>4308.4399999999996</v>
      </c>
      <c r="K786" t="s">
        <v>22</v>
      </c>
      <c r="L786">
        <v>276</v>
      </c>
      <c r="M786">
        <v>9.75</v>
      </c>
      <c r="N786">
        <v>41.21</v>
      </c>
      <c r="O786" t="s">
        <v>19</v>
      </c>
      <c r="P786" t="s">
        <v>20</v>
      </c>
      <c r="Q786" t="s">
        <v>19</v>
      </c>
      <c r="R786" t="str">
        <f>HYPERLINK("https://cfpub.epa.gov/ecotox/explore.cfm?ncbi=29058","Explore in ECOTOX")</f>
        <v>Explore in ECOTOX</v>
      </c>
    </row>
    <row r="787" spans="1:18" x14ac:dyDescent="0.45">
      <c r="A787" t="s">
        <v>1264</v>
      </c>
      <c r="B787">
        <v>8</v>
      </c>
      <c r="C787" t="str">
        <f>HYPERLINK("http://www.ncbi.nlm.nih.gov/protein/XP_026469278.1","XP_026469278.1")</f>
        <v>XP_026469278.1</v>
      </c>
      <c r="D787">
        <v>22320</v>
      </c>
      <c r="E787" t="str">
        <f>HYPERLINK("http://www.ncbi.nlm.nih.gov/Taxonomy/Browser/wwwtax.cgi?mode=Info&amp;id=7515&amp;lvl=3&amp;lin=f&amp;keep=1&amp;srchmode=1&amp;unlock","7515")</f>
        <v>7515</v>
      </c>
      <c r="F787" t="s">
        <v>760</v>
      </c>
      <c r="G787" t="str">
        <f>HYPERLINK("http://www.ncbi.nlm.nih.gov/Taxonomy/Browser/wwwtax.cgi?mode=Info&amp;id=7515&amp;lvl=3&amp;lin=f&amp;keep=1&amp;srchmode=1&amp;unlock","Ctenocephalides felis")</f>
        <v>Ctenocephalides felis</v>
      </c>
      <c r="H787" t="s">
        <v>764</v>
      </c>
      <c r="I787" t="str">
        <f>HYPERLINK("http://www.ncbi.nlm.nih.gov/protein/XP_026469278.1","LOW QUALITY PROTEIN: ryanodine receptor-like")</f>
        <v>LOW QUALITY PROTEIN: ryanodine receptor-like</v>
      </c>
      <c r="J787">
        <v>4306.13</v>
      </c>
      <c r="K787" t="s">
        <v>22</v>
      </c>
      <c r="L787">
        <v>276</v>
      </c>
      <c r="M787">
        <v>9.75</v>
      </c>
      <c r="N787">
        <v>41.19</v>
      </c>
      <c r="O787" t="s">
        <v>19</v>
      </c>
      <c r="P787" t="s">
        <v>20</v>
      </c>
      <c r="Q787" t="s">
        <v>19</v>
      </c>
      <c r="R787" t="str">
        <f>HYPERLINK("https://cfpub.epa.gov/ecotox/explore.cfm?ncbi=7515","Explore in ECOTOX")</f>
        <v>Explore in ECOTOX</v>
      </c>
    </row>
    <row r="788" spans="1:18" x14ac:dyDescent="0.45">
      <c r="A788" t="s">
        <v>1264</v>
      </c>
      <c r="B788">
        <v>8</v>
      </c>
      <c r="C788" t="str">
        <f>HYPERLINK("http://www.ncbi.nlm.nih.gov/protein/KAG7271671.1","KAG7271671.1")</f>
        <v>KAG7271671.1</v>
      </c>
      <c r="D788">
        <v>38868</v>
      </c>
      <c r="E788" t="str">
        <f>HYPERLINK("http://www.ncbi.nlm.nih.gov/Taxonomy/Browser/wwwtax.cgi?mode=Info&amp;id=163118&amp;lvl=3&amp;lin=f&amp;keep=1&amp;srchmode=1&amp;unlock","163118")</f>
        <v>163118</v>
      </c>
      <c r="F788" t="s">
        <v>17</v>
      </c>
      <c r="G788" t="str">
        <f>HYPERLINK("http://www.ncbi.nlm.nih.gov/Taxonomy/Browser/wwwtax.cgi?mode=Info&amp;id=163118&amp;lvl=3&amp;lin=f&amp;keep=1&amp;srchmode=1&amp;unlock","Coryphaenoides rupestris")</f>
        <v>Coryphaenoides rupestris</v>
      </c>
      <c r="H788" t="s">
        <v>765</v>
      </c>
      <c r="I788" t="str">
        <f>HYPERLINK("http://www.ncbi.nlm.nih.gov/protein/KAG7271671.1","hypothetical protein CRUP_022288, partial")</f>
        <v>hypothetical protein CRUP_022288, partial</v>
      </c>
      <c r="J788">
        <v>4305.3599999999997</v>
      </c>
      <c r="K788" t="s">
        <v>19</v>
      </c>
      <c r="L788">
        <v>276</v>
      </c>
      <c r="M788">
        <v>9.75</v>
      </c>
      <c r="N788">
        <v>41.18</v>
      </c>
      <c r="O788" t="s">
        <v>19</v>
      </c>
      <c r="P788" t="s">
        <v>20</v>
      </c>
      <c r="Q788" t="s">
        <v>19</v>
      </c>
      <c r="R788" t="str">
        <f>HYPERLINK("https://cfpub.epa.gov/ecotox/explore.cfm?ncbi=163118","Explore in ECOTOX")</f>
        <v>Explore in ECOTOX</v>
      </c>
    </row>
    <row r="789" spans="1:18" x14ac:dyDescent="0.45">
      <c r="A789" t="s">
        <v>1264</v>
      </c>
      <c r="B789">
        <v>8</v>
      </c>
      <c r="C789" t="str">
        <f>HYPERLINK("http://www.ncbi.nlm.nih.gov/protein/NXJ07318.1","NXJ07318.1")</f>
        <v>NXJ07318.1</v>
      </c>
      <c r="D789">
        <v>13852</v>
      </c>
      <c r="E789" t="str">
        <f>HYPERLINK("http://www.ncbi.nlm.nih.gov/Taxonomy/Browser/wwwtax.cgi?mode=Info&amp;id=886794&amp;lvl=3&amp;lin=f&amp;keep=1&amp;srchmode=1&amp;unlock","886794")</f>
        <v>886794</v>
      </c>
      <c r="F789" t="s">
        <v>241</v>
      </c>
      <c r="G789" t="str">
        <f>HYPERLINK("http://www.ncbi.nlm.nih.gov/Taxonomy/Browser/wwwtax.cgi?mode=Info&amp;id=886794&amp;lvl=3&amp;lin=f&amp;keep=1&amp;srchmode=1&amp;unlock","Odontophorus gujanensis")</f>
        <v>Odontophorus gujanensis</v>
      </c>
      <c r="H789" t="s">
        <v>766</v>
      </c>
      <c r="I789" t="str">
        <f>HYPERLINK("http://www.ncbi.nlm.nih.gov/protein/NXJ07318.1","RYR2 protein")</f>
        <v>RYR2 protein</v>
      </c>
      <c r="J789">
        <v>4291.1099999999997</v>
      </c>
      <c r="K789" t="s">
        <v>22</v>
      </c>
      <c r="L789">
        <v>276</v>
      </c>
      <c r="M789">
        <v>9.75</v>
      </c>
      <c r="N789">
        <v>41.05</v>
      </c>
      <c r="O789" t="s">
        <v>19</v>
      </c>
      <c r="P789" t="s">
        <v>20</v>
      </c>
      <c r="Q789" t="s">
        <v>19</v>
      </c>
      <c r="R789" t="str">
        <f>HYPERLINK("https://cfpub.epa.gov/ecotox/explore.cfm?ncbi=886794","Explore in ECOTOX")</f>
        <v>Explore in ECOTOX</v>
      </c>
    </row>
    <row r="790" spans="1:18" x14ac:dyDescent="0.45">
      <c r="A790" t="s">
        <v>1264</v>
      </c>
      <c r="B790">
        <v>8</v>
      </c>
      <c r="C790" t="str">
        <f>HYPERLINK("http://www.ncbi.nlm.nih.gov/protein/XP_052743060.1","XP_052743060.1")</f>
        <v>XP_052743060.1</v>
      </c>
      <c r="D790">
        <v>22148</v>
      </c>
      <c r="E790" t="str">
        <f>HYPERLINK("http://www.ncbi.nlm.nih.gov/Taxonomy/Browser/wwwtax.cgi?mode=Info&amp;id=110368&amp;lvl=3&amp;lin=f&amp;keep=1&amp;srchmode=1&amp;unlock","110368")</f>
        <v>110368</v>
      </c>
      <c r="F790" t="s">
        <v>760</v>
      </c>
      <c r="G790" t="str">
        <f>HYPERLINK("http://www.ncbi.nlm.nih.gov/Taxonomy/Browser/wwwtax.cgi?mode=Info&amp;id=110368&amp;lvl=3&amp;lin=f&amp;keep=1&amp;srchmode=1&amp;unlock","Bicyclus anynana")</f>
        <v>Bicyclus anynana</v>
      </c>
      <c r="H790" t="s">
        <v>767</v>
      </c>
      <c r="I790" t="str">
        <f>HYPERLINK("http://www.ncbi.nlm.nih.gov/protein/XP_052743060.1","ryanodine receptor isoform X12")</f>
        <v>ryanodine receptor isoform X12</v>
      </c>
      <c r="J790">
        <v>4288.03</v>
      </c>
      <c r="K790" t="s">
        <v>22</v>
      </c>
      <c r="L790">
        <v>276</v>
      </c>
      <c r="M790">
        <v>9.75</v>
      </c>
      <c r="N790">
        <v>41.02</v>
      </c>
      <c r="O790" t="s">
        <v>19</v>
      </c>
      <c r="P790" t="s">
        <v>20</v>
      </c>
      <c r="Q790" t="s">
        <v>19</v>
      </c>
      <c r="R790" t="str">
        <f>HYPERLINK("https://cfpub.epa.gov/ecotox/explore.cfm?ncbi=110368","Explore in ECOTOX")</f>
        <v>Explore in ECOTOX</v>
      </c>
    </row>
    <row r="791" spans="1:18" x14ac:dyDescent="0.45">
      <c r="A791" t="s">
        <v>1264</v>
      </c>
      <c r="B791">
        <v>8</v>
      </c>
      <c r="C791" t="str">
        <f>HYPERLINK("http://www.ncbi.nlm.nih.gov/protein/XP_041985706.1","XP_041985706.1")</f>
        <v>XP_041985706.1</v>
      </c>
      <c r="D791">
        <v>21792</v>
      </c>
      <c r="E791" t="str">
        <f>HYPERLINK("http://www.ncbi.nlm.nih.gov/Taxonomy/Browser/wwwtax.cgi?mode=Info&amp;id=91739&amp;lvl=3&amp;lin=f&amp;keep=1&amp;srchmode=1&amp;unlock","91739")</f>
        <v>91739</v>
      </c>
      <c r="F791" t="s">
        <v>760</v>
      </c>
      <c r="G791" t="str">
        <f>HYPERLINK("http://www.ncbi.nlm.nih.gov/Taxonomy/Browser/wwwtax.cgi?mode=Info&amp;id=91739&amp;lvl=3&amp;lin=f&amp;keep=1&amp;srchmode=1&amp;unlock","Aricia agestis")</f>
        <v>Aricia agestis</v>
      </c>
      <c r="H791" t="s">
        <v>768</v>
      </c>
      <c r="I791" t="str">
        <f>HYPERLINK("http://www.ncbi.nlm.nih.gov/protein/XP_041985706.1","ryanodine receptor isoform X24")</f>
        <v>ryanodine receptor isoform X24</v>
      </c>
      <c r="J791">
        <v>4283.41</v>
      </c>
      <c r="K791" t="s">
        <v>22</v>
      </c>
      <c r="L791">
        <v>276</v>
      </c>
      <c r="M791">
        <v>9.75</v>
      </c>
      <c r="N791">
        <v>40.97</v>
      </c>
      <c r="O791" t="s">
        <v>19</v>
      </c>
      <c r="P791" t="s">
        <v>20</v>
      </c>
      <c r="Q791" t="s">
        <v>19</v>
      </c>
      <c r="R791" t="str">
        <f>HYPERLINK("https://cfpub.epa.gov/ecotox/explore.cfm?ncbi=91739","Explore in ECOTOX")</f>
        <v>Explore in ECOTOX</v>
      </c>
    </row>
    <row r="792" spans="1:18" x14ac:dyDescent="0.45">
      <c r="A792" t="s">
        <v>1264</v>
      </c>
      <c r="B792">
        <v>8</v>
      </c>
      <c r="C792" t="str">
        <f>HYPERLINK("http://www.ncbi.nlm.nih.gov/protein/XP_011880153.1","XP_011880153.1")</f>
        <v>XP_011880153.1</v>
      </c>
      <c r="D792">
        <v>26327</v>
      </c>
      <c r="E792" t="str">
        <f>HYPERLINK("http://www.ncbi.nlm.nih.gov/Taxonomy/Browser/wwwtax.cgi?mode=Info&amp;id=411798&amp;lvl=3&amp;lin=f&amp;keep=1&amp;srchmode=1&amp;unlock","411798")</f>
        <v>411798</v>
      </c>
      <c r="F792" t="s">
        <v>760</v>
      </c>
      <c r="G792" t="str">
        <f>HYPERLINK("http://www.ncbi.nlm.nih.gov/Taxonomy/Browser/wwwtax.cgi?mode=Info&amp;id=411798&amp;lvl=3&amp;lin=f&amp;keep=1&amp;srchmode=1&amp;unlock","Vollenhovia emeryi")</f>
        <v>Vollenhovia emeryi</v>
      </c>
      <c r="H792" t="s">
        <v>769</v>
      </c>
      <c r="I792" t="str">
        <f>HYPERLINK("http://www.ncbi.nlm.nih.gov/protein/XP_011880153.1","PREDICTED: ryanodine receptor 44F isoform X3")</f>
        <v>PREDICTED: ryanodine receptor 44F isoform X3</v>
      </c>
      <c r="J792">
        <v>4275.7</v>
      </c>
      <c r="K792" t="s">
        <v>22</v>
      </c>
      <c r="L792">
        <v>276</v>
      </c>
      <c r="M792">
        <v>9.75</v>
      </c>
      <c r="N792">
        <v>40.9</v>
      </c>
      <c r="O792" t="s">
        <v>19</v>
      </c>
      <c r="P792" t="s">
        <v>20</v>
      </c>
      <c r="Q792" t="s">
        <v>19</v>
      </c>
      <c r="R792" t="str">
        <f>HYPERLINK("https://cfpub.epa.gov/ecotox/explore.cfm?ncbi=411798","Explore in ECOTOX")</f>
        <v>Explore in ECOTOX</v>
      </c>
    </row>
    <row r="793" spans="1:18" x14ac:dyDescent="0.45">
      <c r="A793" t="s">
        <v>1264</v>
      </c>
      <c r="B793">
        <v>8</v>
      </c>
      <c r="C793" t="str">
        <f>HYPERLINK("http://www.ncbi.nlm.nih.gov/protein/XP_036147379.1","XP_036147379.1")</f>
        <v>XP_036147379.1</v>
      </c>
      <c r="D793">
        <v>29228</v>
      </c>
      <c r="E793" t="str">
        <f>HYPERLINK("http://www.ncbi.nlm.nih.gov/Taxonomy/Browser/wwwtax.cgi?mode=Info&amp;id=307658&amp;lvl=3&amp;lin=f&amp;keep=1&amp;srchmode=1&amp;unlock","307658")</f>
        <v>307658</v>
      </c>
      <c r="F793" t="s">
        <v>760</v>
      </c>
      <c r="G793" t="str">
        <f>HYPERLINK("http://www.ncbi.nlm.nih.gov/Taxonomy/Browser/wwwtax.cgi?mode=Info&amp;id=307658&amp;lvl=3&amp;lin=f&amp;keep=1&amp;srchmode=1&amp;unlock","Monomorium pharaonis")</f>
        <v>Monomorium pharaonis</v>
      </c>
      <c r="H793" t="s">
        <v>770</v>
      </c>
      <c r="I793" t="str">
        <f>HYPERLINK("http://www.ncbi.nlm.nih.gov/protein/XP_036147379.1","ryanodine receptor isoform X10")</f>
        <v>ryanodine receptor isoform X10</v>
      </c>
      <c r="J793">
        <v>4265.6899999999996</v>
      </c>
      <c r="K793" t="s">
        <v>22</v>
      </c>
      <c r="L793">
        <v>276</v>
      </c>
      <c r="M793">
        <v>9.75</v>
      </c>
      <c r="N793">
        <v>40.799999999999997</v>
      </c>
      <c r="O793" t="s">
        <v>19</v>
      </c>
      <c r="P793" t="s">
        <v>20</v>
      </c>
      <c r="Q793" t="s">
        <v>19</v>
      </c>
      <c r="R793" t="str">
        <f>HYPERLINK("https://cfpub.epa.gov/ecotox/explore.cfm?ncbi=307658","Explore in ECOTOX")</f>
        <v>Explore in ECOTOX</v>
      </c>
    </row>
    <row r="794" spans="1:18" x14ac:dyDescent="0.45">
      <c r="A794" t="s">
        <v>1264</v>
      </c>
      <c r="B794">
        <v>8</v>
      </c>
      <c r="C794" t="str">
        <f>HYPERLINK("http://www.ncbi.nlm.nih.gov/protein/XP_018343964.1","XP_018343964.1")</f>
        <v>XP_018343964.1</v>
      </c>
      <c r="D794">
        <v>35615</v>
      </c>
      <c r="E794" t="str">
        <f>HYPERLINK("http://www.ncbi.nlm.nih.gov/Taxonomy/Browser/wwwtax.cgi?mode=Info&amp;id=34720&amp;lvl=3&amp;lin=f&amp;keep=1&amp;srchmode=1&amp;unlock","34720")</f>
        <v>34720</v>
      </c>
      <c r="F794" t="s">
        <v>760</v>
      </c>
      <c r="G794" t="str">
        <f>HYPERLINK("http://www.ncbi.nlm.nih.gov/Taxonomy/Browser/wwwtax.cgi?mode=Info&amp;id=34720&amp;lvl=3&amp;lin=f&amp;keep=1&amp;srchmode=1&amp;unlock","Trachymyrmex septentrionalis")</f>
        <v>Trachymyrmex septentrionalis</v>
      </c>
      <c r="H794" t="s">
        <v>769</v>
      </c>
      <c r="I794" t="str">
        <f>HYPERLINK("http://www.ncbi.nlm.nih.gov/protein/XP_018343964.1","PREDICTED: ryanodine receptor")</f>
        <v>PREDICTED: ryanodine receptor</v>
      </c>
      <c r="J794">
        <v>4265.6899999999996</v>
      </c>
      <c r="K794" t="s">
        <v>22</v>
      </c>
      <c r="L794">
        <v>276</v>
      </c>
      <c r="M794">
        <v>9.75</v>
      </c>
      <c r="N794">
        <v>40.799999999999997</v>
      </c>
      <c r="O794" t="s">
        <v>19</v>
      </c>
      <c r="P794" t="s">
        <v>20</v>
      </c>
      <c r="Q794" t="s">
        <v>19</v>
      </c>
      <c r="R794" t="str">
        <f>HYPERLINK("https://cfpub.epa.gov/ecotox/explore.cfm?ncbi=34720","Explore in ECOTOX")</f>
        <v>Explore in ECOTOX</v>
      </c>
    </row>
    <row r="795" spans="1:18" x14ac:dyDescent="0.45">
      <c r="A795" t="s">
        <v>1264</v>
      </c>
      <c r="B795">
        <v>8</v>
      </c>
      <c r="C795" t="str">
        <f>HYPERLINK("http://www.ncbi.nlm.nih.gov/protein/XP_024876753.1","XP_024876753.1")</f>
        <v>XP_024876753.1</v>
      </c>
      <c r="D795">
        <v>27313</v>
      </c>
      <c r="E795" t="str">
        <f>HYPERLINK("http://www.ncbi.nlm.nih.gov/Taxonomy/Browser/wwwtax.cgi?mode=Info&amp;id=300111&amp;lvl=3&amp;lin=f&amp;keep=1&amp;srchmode=1&amp;unlock","300111")</f>
        <v>300111</v>
      </c>
      <c r="F795" t="s">
        <v>760</v>
      </c>
      <c r="G795" t="str">
        <f>HYPERLINK("http://www.ncbi.nlm.nih.gov/Taxonomy/Browser/wwwtax.cgi?mode=Info&amp;id=300111&amp;lvl=3&amp;lin=f&amp;keep=1&amp;srchmode=1&amp;unlock","Temnothorax curvispinosus")</f>
        <v>Temnothorax curvispinosus</v>
      </c>
      <c r="H795" t="s">
        <v>769</v>
      </c>
      <c r="I795" t="str">
        <f>HYPERLINK("http://www.ncbi.nlm.nih.gov/protein/XP_024876753.1","ryanodine receptor isoform X5")</f>
        <v>ryanodine receptor isoform X5</v>
      </c>
      <c r="J795">
        <v>4263.76</v>
      </c>
      <c r="K795" t="s">
        <v>22</v>
      </c>
      <c r="L795">
        <v>276</v>
      </c>
      <c r="M795">
        <v>9.75</v>
      </c>
      <c r="N795">
        <v>40.79</v>
      </c>
      <c r="O795" t="s">
        <v>19</v>
      </c>
      <c r="P795" t="s">
        <v>20</v>
      </c>
      <c r="Q795" t="s">
        <v>19</v>
      </c>
      <c r="R795" t="str">
        <f>HYPERLINK("https://cfpub.epa.gov/ecotox/explore.cfm?ncbi=300111","Explore in ECOTOX")</f>
        <v>Explore in ECOTOX</v>
      </c>
    </row>
    <row r="796" spans="1:18" x14ac:dyDescent="0.45">
      <c r="A796" t="s">
        <v>1264</v>
      </c>
      <c r="B796">
        <v>8</v>
      </c>
      <c r="C796" t="str">
        <f>HYPERLINK("http://www.ncbi.nlm.nih.gov/protein/XP_018373269.1","XP_018373269.1")</f>
        <v>XP_018373269.1</v>
      </c>
      <c r="D796">
        <v>40061</v>
      </c>
      <c r="E796" t="str">
        <f>HYPERLINK("http://www.ncbi.nlm.nih.gov/Taxonomy/Browser/wwwtax.cgi?mode=Info&amp;id=471704&amp;lvl=3&amp;lin=f&amp;keep=1&amp;srchmode=1&amp;unlock","471704")</f>
        <v>471704</v>
      </c>
      <c r="F796" t="s">
        <v>760</v>
      </c>
      <c r="G796" t="str">
        <f>HYPERLINK("http://www.ncbi.nlm.nih.gov/Taxonomy/Browser/wwwtax.cgi?mode=Info&amp;id=471704&amp;lvl=3&amp;lin=f&amp;keep=1&amp;srchmode=1&amp;unlock","Trachymyrmex cornetzi")</f>
        <v>Trachymyrmex cornetzi</v>
      </c>
      <c r="H796" t="s">
        <v>769</v>
      </c>
      <c r="I796" t="str">
        <f>HYPERLINK("http://www.ncbi.nlm.nih.gov/protein/XP_018373269.1","PREDICTED: ryanodine receptor isoform X9")</f>
        <v>PREDICTED: ryanodine receptor isoform X9</v>
      </c>
      <c r="J796">
        <v>4261.83</v>
      </c>
      <c r="K796" t="s">
        <v>22</v>
      </c>
      <c r="L796">
        <v>276</v>
      </c>
      <c r="M796">
        <v>9.75</v>
      </c>
      <c r="N796">
        <v>40.770000000000003</v>
      </c>
      <c r="O796" t="s">
        <v>19</v>
      </c>
      <c r="P796" t="s">
        <v>20</v>
      </c>
      <c r="Q796" t="s">
        <v>19</v>
      </c>
      <c r="R796" t="str">
        <f>HYPERLINK("https://cfpub.epa.gov/ecotox/explore.cfm?ncbi=471704","Explore in ECOTOX")</f>
        <v>Explore in ECOTOX</v>
      </c>
    </row>
    <row r="797" spans="1:18" x14ac:dyDescent="0.45">
      <c r="A797" t="s">
        <v>1264</v>
      </c>
      <c r="B797">
        <v>8</v>
      </c>
      <c r="C797" t="str">
        <f>HYPERLINK("http://www.ncbi.nlm.nih.gov/protein/XP_046142849.1","XP_046142849.1")</f>
        <v>XP_046142849.1</v>
      </c>
      <c r="D797">
        <v>24291</v>
      </c>
      <c r="E797" t="str">
        <f>HYPERLINK("http://www.ncbi.nlm.nih.gov/Taxonomy/Browser/wwwtax.cgi?mode=Info&amp;id=1437191&amp;lvl=3&amp;lin=f&amp;keep=1&amp;srchmode=1&amp;unlock","1437191")</f>
        <v>1437191</v>
      </c>
      <c r="F797" t="s">
        <v>760</v>
      </c>
      <c r="G797" t="str">
        <f>HYPERLINK("http://www.ncbi.nlm.nih.gov/Taxonomy/Browser/wwwtax.cgi?mode=Info&amp;id=1437191&amp;lvl=3&amp;lin=f&amp;keep=1&amp;srchmode=1&amp;unlock","Osmia bicornis bicornis")</f>
        <v>Osmia bicornis bicornis</v>
      </c>
      <c r="H797" t="s">
        <v>771</v>
      </c>
      <c r="I797" t="str">
        <f>HYPERLINK("http://www.ncbi.nlm.nih.gov/protein/XP_046142849.1","ryanodine receptor isoform X13")</f>
        <v>ryanodine receptor isoform X13</v>
      </c>
      <c r="J797">
        <v>4260.29</v>
      </c>
      <c r="K797" t="s">
        <v>22</v>
      </c>
      <c r="L797">
        <v>276</v>
      </c>
      <c r="M797">
        <v>9.75</v>
      </c>
      <c r="N797">
        <v>40.75</v>
      </c>
      <c r="O797" t="s">
        <v>19</v>
      </c>
      <c r="P797" t="s">
        <v>20</v>
      </c>
      <c r="Q797" t="s">
        <v>19</v>
      </c>
      <c r="R797" t="str">
        <f>HYPERLINK("https://cfpub.epa.gov/ecotox/explore.cfm?ncbi=1437191","Explore in ECOTOX")</f>
        <v>Explore in ECOTOX</v>
      </c>
    </row>
    <row r="798" spans="1:18" x14ac:dyDescent="0.45">
      <c r="A798" t="s">
        <v>1264</v>
      </c>
      <c r="B798">
        <v>8</v>
      </c>
      <c r="C798" t="str">
        <f>HYPERLINK("http://www.ncbi.nlm.nih.gov/protein/XP_029674681.1","XP_029674681.1")</f>
        <v>XP_029674681.1</v>
      </c>
      <c r="D798">
        <v>22533</v>
      </c>
      <c r="E798" t="str">
        <f>HYPERLINK("http://www.ncbi.nlm.nih.gov/Taxonomy/Browser/wwwtax.cgi?mode=Info&amp;id=72781&amp;lvl=3&amp;lin=f&amp;keep=1&amp;srchmode=1&amp;unlock","72781")</f>
        <v>72781</v>
      </c>
      <c r="F798" t="s">
        <v>760</v>
      </c>
      <c r="G798" t="str">
        <f>HYPERLINK("http://www.ncbi.nlm.nih.gov/Taxonomy/Browser/wwwtax.cgi?mode=Info&amp;id=72781&amp;lvl=3&amp;lin=f&amp;keep=1&amp;srchmode=1&amp;unlock","Formica exsecta")</f>
        <v>Formica exsecta</v>
      </c>
      <c r="H798" t="s">
        <v>769</v>
      </c>
      <c r="I798" t="str">
        <f>HYPERLINK("http://www.ncbi.nlm.nih.gov/protein/XP_029674681.1","ryanodine receptor isoform X4")</f>
        <v>ryanodine receptor isoform X4</v>
      </c>
      <c r="J798">
        <v>4252.97</v>
      </c>
      <c r="K798" t="s">
        <v>22</v>
      </c>
      <c r="L798">
        <v>276</v>
      </c>
      <c r="M798">
        <v>9.75</v>
      </c>
      <c r="N798">
        <v>40.68</v>
      </c>
      <c r="O798" t="s">
        <v>19</v>
      </c>
      <c r="P798" t="s">
        <v>20</v>
      </c>
      <c r="Q798" t="s">
        <v>19</v>
      </c>
      <c r="R798" t="str">
        <f>HYPERLINK("https://cfpub.epa.gov/ecotox/explore.cfm?ncbi=72781","Explore in ECOTOX")</f>
        <v>Explore in ECOTOX</v>
      </c>
    </row>
    <row r="799" spans="1:18" x14ac:dyDescent="0.45">
      <c r="A799" t="s">
        <v>1264</v>
      </c>
      <c r="B799">
        <v>8</v>
      </c>
      <c r="C799" t="str">
        <f>HYPERLINK("http://www.ncbi.nlm.nih.gov/protein/XP_011644713.1","XP_011644713.1")</f>
        <v>XP_011644713.1</v>
      </c>
      <c r="D799">
        <v>19273</v>
      </c>
      <c r="E799" t="str">
        <f>HYPERLINK("http://www.ncbi.nlm.nih.gov/Taxonomy/Browser/wwwtax.cgi?mode=Info&amp;id=144034&amp;lvl=3&amp;lin=f&amp;keep=1&amp;srchmode=1&amp;unlock","144034")</f>
        <v>144034</v>
      </c>
      <c r="F799" t="s">
        <v>760</v>
      </c>
      <c r="G799" t="str">
        <f>HYPERLINK("http://www.ncbi.nlm.nih.gov/Taxonomy/Browser/wwwtax.cgi?mode=Info&amp;id=144034&amp;lvl=3&amp;lin=f&amp;keep=1&amp;srchmode=1&amp;unlock","Pogonomyrmex barbatus")</f>
        <v>Pogonomyrmex barbatus</v>
      </c>
      <c r="H799" t="s">
        <v>772</v>
      </c>
      <c r="I799" t="str">
        <f>HYPERLINK("http://www.ncbi.nlm.nih.gov/protein/XP_011644713.1","ryanodine receptor isoform X5")</f>
        <v>ryanodine receptor isoform X5</v>
      </c>
      <c r="J799">
        <v>4251.82</v>
      </c>
      <c r="K799" t="s">
        <v>22</v>
      </c>
      <c r="L799">
        <v>276</v>
      </c>
      <c r="M799">
        <v>9.75</v>
      </c>
      <c r="N799">
        <v>40.67</v>
      </c>
      <c r="O799" t="s">
        <v>19</v>
      </c>
      <c r="P799" t="s">
        <v>20</v>
      </c>
      <c r="Q799" t="s">
        <v>19</v>
      </c>
      <c r="R799" t="str">
        <f>HYPERLINK("https://cfpub.epa.gov/ecotox/explore.cfm?ncbi=144034","Explore in ECOTOX")</f>
        <v>Explore in ECOTOX</v>
      </c>
    </row>
    <row r="800" spans="1:18" x14ac:dyDescent="0.45">
      <c r="A800" t="s">
        <v>1264</v>
      </c>
      <c r="B800">
        <v>8</v>
      </c>
      <c r="C800" t="str">
        <f>HYPERLINK("http://www.ncbi.nlm.nih.gov/protein/XP_039305067.1","XP_039305067.1")</f>
        <v>XP_039305067.1</v>
      </c>
      <c r="D800">
        <v>31394</v>
      </c>
      <c r="E800" t="str">
        <f>HYPERLINK("http://www.ncbi.nlm.nih.gov/Taxonomy/Browser/wwwtax.cgi?mode=Info&amp;id=13686&amp;lvl=3&amp;lin=f&amp;keep=1&amp;srchmode=1&amp;unlock","13686")</f>
        <v>13686</v>
      </c>
      <c r="F800" t="s">
        <v>760</v>
      </c>
      <c r="G800" t="str">
        <f>HYPERLINK("http://www.ncbi.nlm.nih.gov/Taxonomy/Browser/wwwtax.cgi?mode=Info&amp;id=13686&amp;lvl=3&amp;lin=f&amp;keep=1&amp;srchmode=1&amp;unlock","Solenopsis invicta")</f>
        <v>Solenopsis invicta</v>
      </c>
      <c r="H800" t="s">
        <v>773</v>
      </c>
      <c r="I800" t="str">
        <f>HYPERLINK("http://www.ncbi.nlm.nih.gov/protein/XP_039305067.1","ryanodine receptor isoform X14")</f>
        <v>ryanodine receptor isoform X14</v>
      </c>
      <c r="J800">
        <v>4251.43</v>
      </c>
      <c r="K800" t="s">
        <v>22</v>
      </c>
      <c r="L800">
        <v>276</v>
      </c>
      <c r="M800">
        <v>9.75</v>
      </c>
      <c r="N800">
        <v>40.67</v>
      </c>
      <c r="O800" t="s">
        <v>19</v>
      </c>
      <c r="P800" t="s">
        <v>20</v>
      </c>
      <c r="Q800" t="s">
        <v>19</v>
      </c>
      <c r="R800" t="str">
        <f>HYPERLINK("https://cfpub.epa.gov/ecotox/explore.cfm?ncbi=13686","Explore in ECOTOX")</f>
        <v>Explore in ECOTOX</v>
      </c>
    </row>
    <row r="801" spans="1:18" x14ac:dyDescent="0.45">
      <c r="A801" t="s">
        <v>1264</v>
      </c>
      <c r="B801">
        <v>8</v>
      </c>
      <c r="C801" t="str">
        <f>HYPERLINK("http://www.ncbi.nlm.nih.gov/protein/EFN78897.1","EFN78897.1")</f>
        <v>EFN78897.1</v>
      </c>
      <c r="D801">
        <v>41853</v>
      </c>
      <c r="E801" t="str">
        <f>HYPERLINK("http://www.ncbi.nlm.nih.gov/Taxonomy/Browser/wwwtax.cgi?mode=Info&amp;id=610380&amp;lvl=3&amp;lin=f&amp;keep=1&amp;srchmode=1&amp;unlock","610380")</f>
        <v>610380</v>
      </c>
      <c r="F801" t="s">
        <v>760</v>
      </c>
      <c r="G801" t="str">
        <f>HYPERLINK("http://www.ncbi.nlm.nih.gov/Taxonomy/Browser/wwwtax.cgi?mode=Info&amp;id=610380&amp;lvl=3&amp;lin=f&amp;keep=1&amp;srchmode=1&amp;unlock","Harpegnathos saltator")</f>
        <v>Harpegnathos saltator</v>
      </c>
      <c r="H801" t="s">
        <v>774</v>
      </c>
      <c r="I801" t="str">
        <f>HYPERLINK("http://www.ncbi.nlm.nih.gov/protein/EFN78897.1","Ryanodine receptor 44F")</f>
        <v>Ryanodine receptor 44F</v>
      </c>
      <c r="J801">
        <v>4249.12</v>
      </c>
      <c r="K801" t="s">
        <v>22</v>
      </c>
      <c r="L801">
        <v>276</v>
      </c>
      <c r="M801">
        <v>9.75</v>
      </c>
      <c r="N801">
        <v>40.65</v>
      </c>
      <c r="O801" t="s">
        <v>19</v>
      </c>
      <c r="P801" t="s">
        <v>20</v>
      </c>
      <c r="Q801" t="s">
        <v>19</v>
      </c>
      <c r="R801" t="str">
        <f>HYPERLINK("https://cfpub.epa.gov/ecotox/explore.cfm?ncbi=610380","Explore in ECOTOX")</f>
        <v>Explore in ECOTOX</v>
      </c>
    </row>
    <row r="802" spans="1:18" x14ac:dyDescent="0.45">
      <c r="A802" t="s">
        <v>1264</v>
      </c>
      <c r="B802">
        <v>8</v>
      </c>
      <c r="C802" t="str">
        <f>HYPERLINK("http://www.ncbi.nlm.nih.gov/protein/XP_053999766.1","XP_053999766.1")</f>
        <v>XP_053999766.1</v>
      </c>
      <c r="D802">
        <v>21709</v>
      </c>
      <c r="E802" t="str">
        <f>HYPERLINK("http://www.ncbi.nlm.nih.gov/Taxonomy/Browser/wwwtax.cgi?mode=Info&amp;id=313031&amp;lvl=3&amp;lin=f&amp;keep=1&amp;srchmode=1&amp;unlock","313031")</f>
        <v>313031</v>
      </c>
      <c r="F802" t="s">
        <v>760</v>
      </c>
      <c r="G802" t="str">
        <f>HYPERLINK("http://www.ncbi.nlm.nih.gov/Taxonomy/Browser/wwwtax.cgi?mode=Info&amp;id=313031&amp;lvl=3&amp;lin=f&amp;keep=1&amp;srchmode=1&amp;unlock","Hylaeus anthracinus")</f>
        <v>Hylaeus anthracinus</v>
      </c>
      <c r="H802" t="s">
        <v>775</v>
      </c>
      <c r="I802" t="str">
        <f>HYPERLINK("http://www.ncbi.nlm.nih.gov/protein/XP_053999766.1","ryanodine receptor isoform X7")</f>
        <v>ryanodine receptor isoform X7</v>
      </c>
      <c r="J802">
        <v>4248.74</v>
      </c>
      <c r="K802" t="s">
        <v>22</v>
      </c>
      <c r="L802">
        <v>276</v>
      </c>
      <c r="M802">
        <v>9.75</v>
      </c>
      <c r="N802">
        <v>40.64</v>
      </c>
      <c r="O802" t="s">
        <v>19</v>
      </c>
      <c r="P802" t="s">
        <v>20</v>
      </c>
      <c r="Q802" t="s">
        <v>19</v>
      </c>
      <c r="R802" t="str">
        <f>HYPERLINK("https://cfpub.epa.gov/ecotox/explore.cfm?ncbi=313031","Explore in ECOTOX")</f>
        <v>Explore in ECOTOX</v>
      </c>
    </row>
    <row r="803" spans="1:18" x14ac:dyDescent="0.45">
      <c r="A803" t="s">
        <v>1264</v>
      </c>
      <c r="B803">
        <v>8</v>
      </c>
      <c r="C803" t="str">
        <f>HYPERLINK("http://www.ncbi.nlm.nih.gov/protein/XP_034171910.1","XP_034171910.1")</f>
        <v>XP_034171910.1</v>
      </c>
      <c r="D803">
        <v>25981</v>
      </c>
      <c r="E803" t="str">
        <f>HYPERLINK("http://www.ncbi.nlm.nih.gov/Taxonomy/Browser/wwwtax.cgi?mode=Info&amp;id=473952&amp;lvl=3&amp;lin=f&amp;keep=1&amp;srchmode=1&amp;unlock","473952")</f>
        <v>473952</v>
      </c>
      <c r="F803" t="s">
        <v>760</v>
      </c>
      <c r="G803" t="str">
        <f>HYPERLINK("http://www.ncbi.nlm.nih.gov/Taxonomy/Browser/wwwtax.cgi?mode=Info&amp;id=473952&amp;lvl=3&amp;lin=f&amp;keep=1&amp;srchmode=1&amp;unlock","Osmia lignaria")</f>
        <v>Osmia lignaria</v>
      </c>
      <c r="H803" t="s">
        <v>776</v>
      </c>
      <c r="I803" t="str">
        <f>HYPERLINK("http://www.ncbi.nlm.nih.gov/protein/XP_034171910.1","ryanodine receptor isoform X11")</f>
        <v>ryanodine receptor isoform X11</v>
      </c>
      <c r="J803">
        <v>4242.96</v>
      </c>
      <c r="K803" t="s">
        <v>22</v>
      </c>
      <c r="L803">
        <v>276</v>
      </c>
      <c r="M803">
        <v>9.75</v>
      </c>
      <c r="N803">
        <v>40.590000000000003</v>
      </c>
      <c r="O803" t="s">
        <v>19</v>
      </c>
      <c r="P803" t="s">
        <v>20</v>
      </c>
      <c r="Q803" t="s">
        <v>19</v>
      </c>
      <c r="R803" t="str">
        <f>HYPERLINK("https://cfpub.epa.gov/ecotox/explore.cfm?ncbi=473952","Explore in ECOTOX")</f>
        <v>Explore in ECOTOX</v>
      </c>
    </row>
    <row r="804" spans="1:18" x14ac:dyDescent="0.45">
      <c r="A804" t="s">
        <v>1264</v>
      </c>
      <c r="B804">
        <v>8</v>
      </c>
      <c r="C804" t="str">
        <f>HYPERLINK("http://www.ncbi.nlm.nih.gov/protein/XP_055373120.1","XP_055373120.1")</f>
        <v>XP_055373120.1</v>
      </c>
      <c r="D804">
        <v>19938</v>
      </c>
      <c r="E804" t="str">
        <f>HYPERLINK("http://www.ncbi.nlm.nih.gov/Taxonomy/Browser/wwwtax.cgi?mode=Info&amp;id=2530218&amp;lvl=3&amp;lin=f&amp;keep=1&amp;srchmode=1&amp;unlock","2530218")</f>
        <v>2530218</v>
      </c>
      <c r="F804" t="s">
        <v>760</v>
      </c>
      <c r="G804" t="str">
        <f>HYPERLINK("http://www.ncbi.nlm.nih.gov/Taxonomy/Browser/wwwtax.cgi?mode=Info&amp;id=2530218&amp;lvl=3&amp;lin=f&amp;keep=1&amp;srchmode=1&amp;unlock","Condylostylus longicornis")</f>
        <v>Condylostylus longicornis</v>
      </c>
      <c r="H804" t="s">
        <v>777</v>
      </c>
      <c r="I804" t="str">
        <f>HYPERLINK("http://www.ncbi.nlm.nih.gov/protein/XP_055373120.1","ryanodine receptor isoform X17")</f>
        <v>ryanodine receptor isoform X17</v>
      </c>
      <c r="J804">
        <v>4188.26</v>
      </c>
      <c r="K804" t="s">
        <v>22</v>
      </c>
      <c r="L804">
        <v>276</v>
      </c>
      <c r="M804">
        <v>9.75</v>
      </c>
      <c r="N804">
        <v>40.06</v>
      </c>
      <c r="O804" t="s">
        <v>19</v>
      </c>
      <c r="P804" t="s">
        <v>20</v>
      </c>
      <c r="Q804" t="s">
        <v>19</v>
      </c>
      <c r="R804" t="str">
        <f>HYPERLINK("https://cfpub.epa.gov/ecotox/explore.cfm?ncbi=2530218","Explore in ECOTOX")</f>
        <v>Explore in ECOTOX</v>
      </c>
    </row>
    <row r="805" spans="1:18" x14ac:dyDescent="0.45">
      <c r="A805" t="s">
        <v>1264</v>
      </c>
      <c r="B805">
        <v>8</v>
      </c>
      <c r="C805" t="str">
        <f>HYPERLINK("http://www.ncbi.nlm.nih.gov/protein/NXW55754.1","NXW55754.1")</f>
        <v>NXW55754.1</v>
      </c>
      <c r="D805">
        <v>13972</v>
      </c>
      <c r="E805" t="str">
        <f>HYPERLINK("http://www.ncbi.nlm.nih.gov/Taxonomy/Browser/wwwtax.cgi?mode=Info&amp;id=325343&amp;lvl=3&amp;lin=f&amp;keep=1&amp;srchmode=1&amp;unlock","325343")</f>
        <v>325343</v>
      </c>
      <c r="F805" t="s">
        <v>241</v>
      </c>
      <c r="G805" t="str">
        <f>HYPERLINK("http://www.ncbi.nlm.nih.gov/Taxonomy/Browser/wwwtax.cgi?mode=Info&amp;id=325343&amp;lvl=3&amp;lin=f&amp;keep=1&amp;srchmode=1&amp;unlock","Eurystomus gularis")</f>
        <v>Eurystomus gularis</v>
      </c>
      <c r="H805" t="s">
        <v>778</v>
      </c>
      <c r="I805" t="str">
        <f>HYPERLINK("http://www.ncbi.nlm.nih.gov/protein/NXW55754.1","RYR2 protein")</f>
        <v>RYR2 protein</v>
      </c>
      <c r="J805">
        <v>4187.88</v>
      </c>
      <c r="K805" t="s">
        <v>22</v>
      </c>
      <c r="L805">
        <v>276</v>
      </c>
      <c r="M805">
        <v>9.75</v>
      </c>
      <c r="N805">
        <v>40.06</v>
      </c>
      <c r="O805" t="s">
        <v>19</v>
      </c>
      <c r="P805" t="s">
        <v>20</v>
      </c>
      <c r="Q805" t="s">
        <v>19</v>
      </c>
      <c r="R805" t="str">
        <f>HYPERLINK("https://cfpub.epa.gov/ecotox/explore.cfm?ncbi=325343","Explore in ECOTOX")</f>
        <v>Explore in ECOTOX</v>
      </c>
    </row>
    <row r="806" spans="1:18" x14ac:dyDescent="0.45">
      <c r="A806" t="s">
        <v>1264</v>
      </c>
      <c r="B806">
        <v>8</v>
      </c>
      <c r="C806" t="str">
        <f>HYPERLINK("http://www.ncbi.nlm.nih.gov/protein/TGZ51927.1","TGZ51927.1")</f>
        <v>TGZ51927.1</v>
      </c>
      <c r="D806">
        <v>13123</v>
      </c>
      <c r="E806" t="str">
        <f>HYPERLINK("http://www.ncbi.nlm.nih.gov/Taxonomy/Browser/wwwtax.cgi?mode=Info&amp;id=300112&amp;lvl=3&amp;lin=f&amp;keep=1&amp;srchmode=1&amp;unlock","300112")</f>
        <v>300112</v>
      </c>
      <c r="F806" t="s">
        <v>760</v>
      </c>
      <c r="G806" t="str">
        <f>HYPERLINK("http://www.ncbi.nlm.nih.gov/Taxonomy/Browser/wwwtax.cgi?mode=Info&amp;id=300112&amp;lvl=3&amp;lin=f&amp;keep=1&amp;srchmode=1&amp;unlock","Temnothorax longispinosus")</f>
        <v>Temnothorax longispinosus</v>
      </c>
      <c r="H806" t="s">
        <v>769</v>
      </c>
      <c r="I806" t="str">
        <f>HYPERLINK("http://www.ncbi.nlm.nih.gov/protein/TGZ51927.1","Ryanodine receptor 44F")</f>
        <v>Ryanodine receptor 44F</v>
      </c>
      <c r="J806">
        <v>4160.91</v>
      </c>
      <c r="K806" t="s">
        <v>22</v>
      </c>
      <c r="L806">
        <v>276</v>
      </c>
      <c r="M806">
        <v>9.75</v>
      </c>
      <c r="N806">
        <v>39.799999999999997</v>
      </c>
      <c r="O806" t="s">
        <v>19</v>
      </c>
      <c r="P806" t="s">
        <v>20</v>
      </c>
      <c r="Q806" t="s">
        <v>19</v>
      </c>
      <c r="R806" t="str">
        <f>HYPERLINK("https://cfpub.epa.gov/ecotox/explore.cfm?ncbi=300112","Explore in ECOTOX")</f>
        <v>Explore in ECOTOX</v>
      </c>
    </row>
    <row r="807" spans="1:18" x14ac:dyDescent="0.45">
      <c r="A807" t="s">
        <v>1264</v>
      </c>
      <c r="B807">
        <v>8</v>
      </c>
      <c r="C807" t="str">
        <f>HYPERLINK("http://www.ncbi.nlm.nih.gov/protein/NXQ89279.1","NXQ89279.1")</f>
        <v>NXQ89279.1</v>
      </c>
      <c r="D807">
        <v>14112</v>
      </c>
      <c r="E807" t="str">
        <f>HYPERLINK("http://www.ncbi.nlm.nih.gov/Taxonomy/Browser/wwwtax.cgi?mode=Info&amp;id=48427&amp;lvl=3&amp;lin=f&amp;keep=1&amp;srchmode=1&amp;unlock","48427")</f>
        <v>48427</v>
      </c>
      <c r="F807" t="s">
        <v>241</v>
      </c>
      <c r="G807" t="str">
        <f>HYPERLINK("http://www.ncbi.nlm.nih.gov/Taxonomy/Browser/wwwtax.cgi?mode=Info&amp;id=48427&amp;lvl=3&amp;lin=f&amp;keep=1&amp;srchmode=1&amp;unlock","Nyctibius grandis")</f>
        <v>Nyctibius grandis</v>
      </c>
      <c r="H807" t="s">
        <v>687</v>
      </c>
      <c r="I807" t="str">
        <f>HYPERLINK("http://www.ncbi.nlm.nih.gov/protein/NXQ89279.1","RYR3 protein")</f>
        <v>RYR3 protein</v>
      </c>
      <c r="J807">
        <v>4134.72</v>
      </c>
      <c r="K807" t="s">
        <v>22</v>
      </c>
      <c r="L807">
        <v>276</v>
      </c>
      <c r="M807">
        <v>9.75</v>
      </c>
      <c r="N807">
        <v>39.549999999999997</v>
      </c>
      <c r="O807" t="s">
        <v>19</v>
      </c>
      <c r="P807" t="s">
        <v>20</v>
      </c>
      <c r="Q807" t="s">
        <v>19</v>
      </c>
      <c r="R807" t="str">
        <f>HYPERLINK("https://cfpub.epa.gov/ecotox/explore.cfm?ncbi=48427","Explore in ECOTOX")</f>
        <v>Explore in ECOTOX</v>
      </c>
    </row>
    <row r="808" spans="1:18" x14ac:dyDescent="0.45">
      <c r="A808" t="s">
        <v>1264</v>
      </c>
      <c r="B808">
        <v>8</v>
      </c>
      <c r="C808" t="str">
        <f>HYPERLINK("http://www.ncbi.nlm.nih.gov/protein/XP_050722298.1","XP_050722298.1")</f>
        <v>XP_050722298.1</v>
      </c>
      <c r="D808">
        <v>55747</v>
      </c>
      <c r="E808" t="str">
        <f>HYPERLINK("http://www.ncbi.nlm.nih.gov/Taxonomy/Browser/wwwtax.cgi?mode=Info&amp;id=95602&amp;lvl=3&amp;lin=f&amp;keep=1&amp;srchmode=1&amp;unlock","95602")</f>
        <v>95602</v>
      </c>
      <c r="F808" t="s">
        <v>779</v>
      </c>
      <c r="G808" t="str">
        <f>HYPERLINK("http://www.ncbi.nlm.nih.gov/Taxonomy/Browser/wwwtax.cgi?mode=Info&amp;id=95602&amp;lvl=3&amp;lin=f&amp;keep=1&amp;srchmode=1&amp;unlock","Eriocheir sinensis")</f>
        <v>Eriocheir sinensis</v>
      </c>
      <c r="H808" t="s">
        <v>780</v>
      </c>
      <c r="I808" t="str">
        <f>HYPERLINK("http://www.ncbi.nlm.nih.gov/protein/XP_050722298.1","ryanodine receptor-like isoform X9")</f>
        <v>ryanodine receptor-like isoform X9</v>
      </c>
      <c r="J808">
        <v>4113.53</v>
      </c>
      <c r="K808" t="s">
        <v>19</v>
      </c>
      <c r="L808">
        <v>276</v>
      </c>
      <c r="M808">
        <v>9.75</v>
      </c>
      <c r="N808">
        <v>39.35</v>
      </c>
      <c r="O808" t="s">
        <v>19</v>
      </c>
      <c r="P808" t="s">
        <v>20</v>
      </c>
      <c r="Q808" t="s">
        <v>19</v>
      </c>
      <c r="R808" t="str">
        <f>HYPERLINK("https://cfpub.epa.gov/ecotox/explore.cfm?ncbi=95602","Explore in ECOTOX")</f>
        <v>Explore in ECOTOX</v>
      </c>
    </row>
    <row r="809" spans="1:18" x14ac:dyDescent="0.45">
      <c r="A809" t="s">
        <v>1264</v>
      </c>
      <c r="B809">
        <v>8</v>
      </c>
      <c r="C809" t="str">
        <f>HYPERLINK("http://www.ncbi.nlm.nih.gov/protein/WCO13211.1","WCO13211.1")</f>
        <v>WCO13211.1</v>
      </c>
      <c r="D809">
        <v>151</v>
      </c>
      <c r="E809" t="str">
        <f>HYPERLINK("http://www.ncbi.nlm.nih.gov/Taxonomy/Browser/wwwtax.cgi?mode=Info&amp;id=6717&amp;lvl=3&amp;lin=f&amp;keep=1&amp;srchmode=1&amp;unlock","6717")</f>
        <v>6717</v>
      </c>
      <c r="F809" t="s">
        <v>779</v>
      </c>
      <c r="G809" t="str">
        <f>HYPERLINK("http://www.ncbi.nlm.nih.gov/Taxonomy/Browser/wwwtax.cgi?mode=Info&amp;id=6717&amp;lvl=3&amp;lin=f&amp;keep=1&amp;srchmode=1&amp;unlock","Astacus leptodactylus")</f>
        <v>Astacus leptodactylus</v>
      </c>
      <c r="H809" t="s">
        <v>781</v>
      </c>
      <c r="I809" t="str">
        <f>HYPERLINK("http://www.ncbi.nlm.nih.gov/protein/WCO13211.1","ryanodine receptor")</f>
        <v>ryanodine receptor</v>
      </c>
      <c r="J809">
        <v>4112.38</v>
      </c>
      <c r="K809" t="s">
        <v>22</v>
      </c>
      <c r="L809">
        <v>276</v>
      </c>
      <c r="M809">
        <v>9.75</v>
      </c>
      <c r="N809">
        <v>39.340000000000003</v>
      </c>
      <c r="O809" t="s">
        <v>19</v>
      </c>
      <c r="P809" t="s">
        <v>20</v>
      </c>
      <c r="Q809" t="s">
        <v>19</v>
      </c>
      <c r="R809" t="str">
        <f>HYPERLINK("https://cfpub.epa.gov/ecotox/explore.cfm?ncbi=6717","Explore in ECOTOX")</f>
        <v>Explore in ECOTOX</v>
      </c>
    </row>
    <row r="810" spans="1:18" x14ac:dyDescent="0.45">
      <c r="A810" t="s">
        <v>1264</v>
      </c>
      <c r="B810">
        <v>8</v>
      </c>
      <c r="C810" t="str">
        <f>HYPERLINK("http://www.ncbi.nlm.nih.gov/protein/XP_045113402.1","XP_045113402.1")</f>
        <v>XP_045113402.1</v>
      </c>
      <c r="D810">
        <v>138506</v>
      </c>
      <c r="E810" t="str">
        <f>HYPERLINK("http://www.ncbi.nlm.nih.gov/Taxonomy/Browser/wwwtax.cgi?mode=Info&amp;id=210409&amp;lvl=3&amp;lin=f&amp;keep=1&amp;srchmode=1&amp;unlock","210409")</f>
        <v>210409</v>
      </c>
      <c r="F810" t="s">
        <v>779</v>
      </c>
      <c r="G810" t="str">
        <f>HYPERLINK("http://www.ncbi.nlm.nih.gov/Taxonomy/Browser/wwwtax.cgi?mode=Info&amp;id=210409&amp;lvl=3&amp;lin=f&amp;keep=1&amp;srchmode=1&amp;unlock","Portunus trituberculatus")</f>
        <v>Portunus trituberculatus</v>
      </c>
      <c r="H810" t="s">
        <v>782</v>
      </c>
      <c r="I810" t="str">
        <f>HYPERLINK("http://www.ncbi.nlm.nih.gov/protein/XP_045113402.1","ryanodine receptor-like")</f>
        <v>ryanodine receptor-like</v>
      </c>
      <c r="J810">
        <v>4103.5200000000004</v>
      </c>
      <c r="K810" t="s">
        <v>19</v>
      </c>
      <c r="L810">
        <v>276</v>
      </c>
      <c r="M810">
        <v>9.75</v>
      </c>
      <c r="N810">
        <v>39.25</v>
      </c>
      <c r="O810" t="s">
        <v>19</v>
      </c>
      <c r="P810" t="s">
        <v>20</v>
      </c>
      <c r="Q810" t="s">
        <v>19</v>
      </c>
      <c r="R810" t="str">
        <f>HYPERLINK("https://cfpub.epa.gov/ecotox/explore.cfm?ncbi=210409","Explore in ECOTOX")</f>
        <v>Explore in ECOTOX</v>
      </c>
    </row>
    <row r="811" spans="1:18" x14ac:dyDescent="0.45">
      <c r="A811" t="s">
        <v>1264</v>
      </c>
      <c r="B811">
        <v>8</v>
      </c>
      <c r="C811" t="str">
        <f>HYPERLINK("http://www.ncbi.nlm.nih.gov/protein/XP_023383470.1","XP_023383470.1")</f>
        <v>XP_023383470.1</v>
      </c>
      <c r="D811">
        <v>43884</v>
      </c>
      <c r="E811" t="str">
        <f>HYPERLINK("http://www.ncbi.nlm.nih.gov/Taxonomy/Browser/wwwtax.cgi?mode=Info&amp;id=132908&amp;lvl=3&amp;lin=f&amp;keep=1&amp;srchmode=1&amp;unlock","132908")</f>
        <v>132908</v>
      </c>
      <c r="F811" t="s">
        <v>96</v>
      </c>
      <c r="G811" t="str">
        <f>HYPERLINK("http://www.ncbi.nlm.nih.gov/Taxonomy/Browser/wwwtax.cgi?mode=Info&amp;id=132908&amp;lvl=3&amp;lin=f&amp;keep=1&amp;srchmode=1&amp;unlock","Pteropus vampyrus")</f>
        <v>Pteropus vampyrus</v>
      </c>
      <c r="H811" t="s">
        <v>783</v>
      </c>
      <c r="I811" t="str">
        <f>HYPERLINK("http://www.ncbi.nlm.nih.gov/protein/XP_023383470.1","ryanodine receptor 3")</f>
        <v>ryanodine receptor 3</v>
      </c>
      <c r="J811">
        <v>4086.95</v>
      </c>
      <c r="K811" t="s">
        <v>22</v>
      </c>
      <c r="L811">
        <v>276</v>
      </c>
      <c r="M811">
        <v>9.75</v>
      </c>
      <c r="N811">
        <v>39.090000000000003</v>
      </c>
      <c r="O811" t="s">
        <v>19</v>
      </c>
      <c r="P811" t="s">
        <v>20</v>
      </c>
      <c r="Q811" t="s">
        <v>19</v>
      </c>
      <c r="R811" t="str">
        <f>HYPERLINK("https://cfpub.epa.gov/ecotox/explore.cfm?ncbi=132908","Explore in ECOTOX")</f>
        <v>Explore in ECOTOX</v>
      </c>
    </row>
    <row r="812" spans="1:18" x14ac:dyDescent="0.45">
      <c r="A812" t="s">
        <v>1264</v>
      </c>
      <c r="B812">
        <v>8</v>
      </c>
      <c r="C812" t="str">
        <f>HYPERLINK("http://www.ncbi.nlm.nih.gov/protein/XP_010079144.1","XP_010079144.1")</f>
        <v>XP_010079144.1</v>
      </c>
      <c r="D812">
        <v>27073</v>
      </c>
      <c r="E812" t="str">
        <f>HYPERLINK("http://www.ncbi.nlm.nih.gov/Taxonomy/Browser/wwwtax.cgi?mode=Info&amp;id=240206&amp;lvl=3&amp;lin=f&amp;keep=1&amp;srchmode=1&amp;unlock","240206")</f>
        <v>240206</v>
      </c>
      <c r="F812" t="s">
        <v>241</v>
      </c>
      <c r="G812" t="str">
        <f>HYPERLINK("http://www.ncbi.nlm.nih.gov/Taxonomy/Browser/wwwtax.cgi?mode=Info&amp;id=240206&amp;lvl=3&amp;lin=f&amp;keep=1&amp;srchmode=1&amp;unlock","Pterocles gutturalis")</f>
        <v>Pterocles gutturalis</v>
      </c>
      <c r="H812" t="s">
        <v>784</v>
      </c>
      <c r="I812" t="str">
        <f>HYPERLINK("http://www.ncbi.nlm.nih.gov/protein/XP_010079144.1","PREDICTED: LOW QUALITY PROTEIN: ryanodine receptor 3-like, partial")</f>
        <v>PREDICTED: LOW QUALITY PROTEIN: ryanodine receptor 3-like, partial</v>
      </c>
      <c r="J812">
        <v>4070.39</v>
      </c>
      <c r="K812" t="s">
        <v>22</v>
      </c>
      <c r="L812">
        <v>276</v>
      </c>
      <c r="M812">
        <v>9.75</v>
      </c>
      <c r="N812">
        <v>38.94</v>
      </c>
      <c r="O812" t="s">
        <v>19</v>
      </c>
      <c r="P812" t="s">
        <v>20</v>
      </c>
      <c r="Q812" t="s">
        <v>19</v>
      </c>
      <c r="R812" t="str">
        <f>HYPERLINK("https://cfpub.epa.gov/ecotox/explore.cfm?ncbi=240206","Explore in ECOTOX")</f>
        <v>Explore in ECOTOX</v>
      </c>
    </row>
    <row r="813" spans="1:18" x14ac:dyDescent="0.45">
      <c r="A813" t="s">
        <v>1264</v>
      </c>
      <c r="B813">
        <v>8</v>
      </c>
      <c r="C813" t="str">
        <f>HYPERLINK("http://www.ncbi.nlm.nih.gov/protein/NXI90335.1","NXI90335.1")</f>
        <v>NXI90335.1</v>
      </c>
      <c r="D813">
        <v>13920</v>
      </c>
      <c r="E813" t="str">
        <f>HYPERLINK("http://www.ncbi.nlm.nih.gov/Taxonomy/Browser/wwwtax.cgi?mode=Info&amp;id=54359&amp;lvl=3&amp;lin=f&amp;keep=1&amp;srchmode=1&amp;unlock","54359")</f>
        <v>54359</v>
      </c>
      <c r="F813" t="s">
        <v>241</v>
      </c>
      <c r="G813" t="str">
        <f>HYPERLINK("http://www.ncbi.nlm.nih.gov/Taxonomy/Browser/wwwtax.cgi?mode=Info&amp;id=54359&amp;lvl=3&amp;lin=f&amp;keep=1&amp;srchmode=1&amp;unlock","Psophia crepitans")</f>
        <v>Psophia crepitans</v>
      </c>
      <c r="H813" t="s">
        <v>785</v>
      </c>
      <c r="I813" t="str">
        <f>HYPERLINK("http://www.ncbi.nlm.nih.gov/protein/NXI90335.1","RYR2 protein")</f>
        <v>RYR2 protein</v>
      </c>
      <c r="J813">
        <v>4059.6</v>
      </c>
      <c r="K813" t="s">
        <v>22</v>
      </c>
      <c r="L813">
        <v>276</v>
      </c>
      <c r="M813">
        <v>9.75</v>
      </c>
      <c r="N813">
        <v>38.83</v>
      </c>
      <c r="O813" t="s">
        <v>19</v>
      </c>
      <c r="P813" t="s">
        <v>20</v>
      </c>
      <c r="Q813" t="s">
        <v>19</v>
      </c>
      <c r="R813" t="str">
        <f>HYPERLINK("https://cfpub.epa.gov/ecotox/explore.cfm?ncbi=54359","Explore in ECOTOX")</f>
        <v>Explore in ECOTOX</v>
      </c>
    </row>
    <row r="814" spans="1:18" x14ac:dyDescent="0.45">
      <c r="A814" t="s">
        <v>1264</v>
      </c>
      <c r="B814">
        <v>8</v>
      </c>
      <c r="C814" t="str">
        <f>HYPERLINK("http://www.ncbi.nlm.nih.gov/protein/XP_010137660.1","XP_010137660.1")</f>
        <v>XP_010137660.1</v>
      </c>
      <c r="D814">
        <v>27222</v>
      </c>
      <c r="E814" t="str">
        <f>HYPERLINK("http://www.ncbi.nlm.nih.gov/Taxonomy/Browser/wwwtax.cgi?mode=Info&amp;id=175836&amp;lvl=3&amp;lin=f&amp;keep=1&amp;srchmode=1&amp;unlock","175836")</f>
        <v>175836</v>
      </c>
      <c r="F814" t="s">
        <v>241</v>
      </c>
      <c r="G814" t="str">
        <f>HYPERLINK("http://www.ncbi.nlm.nih.gov/Taxonomy/Browser/wwwtax.cgi?mode=Info&amp;id=175836&amp;lvl=3&amp;lin=f&amp;keep=1&amp;srchmode=1&amp;unlock","Buceros rhinoceros silvestris")</f>
        <v>Buceros rhinoceros silvestris</v>
      </c>
      <c r="H814" t="s">
        <v>786</v>
      </c>
      <c r="I814" t="str">
        <f>HYPERLINK("http://www.ncbi.nlm.nih.gov/protein/XP_010137660.1","PREDICTED: ryanodine receptor 3, partial")</f>
        <v>PREDICTED: ryanodine receptor 3, partial</v>
      </c>
      <c r="J814">
        <v>4046.51</v>
      </c>
      <c r="K814" t="s">
        <v>22</v>
      </c>
      <c r="L814">
        <v>276</v>
      </c>
      <c r="M814">
        <v>9.75</v>
      </c>
      <c r="N814">
        <v>38.71</v>
      </c>
      <c r="O814" t="s">
        <v>19</v>
      </c>
      <c r="P814" t="s">
        <v>20</v>
      </c>
      <c r="Q814" t="s">
        <v>19</v>
      </c>
      <c r="R814" t="str">
        <f>HYPERLINK("https://cfpub.epa.gov/ecotox/explore.cfm?ncbi=175836","Explore in ECOTOX")</f>
        <v>Explore in ECOTOX</v>
      </c>
    </row>
    <row r="815" spans="1:18" x14ac:dyDescent="0.45">
      <c r="A815" t="s">
        <v>1264</v>
      </c>
      <c r="B815">
        <v>8</v>
      </c>
      <c r="C815" t="str">
        <f>HYPERLINK("http://www.ncbi.nlm.nih.gov/protein/NWH59077.1","NWH59077.1")</f>
        <v>NWH59077.1</v>
      </c>
      <c r="D815">
        <v>13557</v>
      </c>
      <c r="E815" t="str">
        <f>HYPERLINK("http://www.ncbi.nlm.nih.gov/Taxonomy/Browser/wwwtax.cgi?mode=Info&amp;id=8947&amp;lvl=3&amp;lin=f&amp;keep=1&amp;srchmode=1&amp;unlock","8947")</f>
        <v>8947</v>
      </c>
      <c r="F815" t="s">
        <v>241</v>
      </c>
      <c r="G815" t="str">
        <f>HYPERLINK("http://www.ncbi.nlm.nih.gov/Taxonomy/Browser/wwwtax.cgi?mode=Info&amp;id=8947&amp;lvl=3&amp;lin=f&amp;keep=1&amp;srchmode=1&amp;unlock","Geococcyx californianus")</f>
        <v>Geococcyx californianus</v>
      </c>
      <c r="H815" t="s">
        <v>787</v>
      </c>
      <c r="I815" t="str">
        <f>HYPERLINK("http://www.ncbi.nlm.nih.gov/protein/NWH59077.1","RYR2 protein")</f>
        <v>RYR2 protein</v>
      </c>
      <c r="J815">
        <v>4008.76</v>
      </c>
      <c r="K815" t="s">
        <v>22</v>
      </c>
      <c r="L815">
        <v>276</v>
      </c>
      <c r="M815">
        <v>9.75</v>
      </c>
      <c r="N815">
        <v>38.35</v>
      </c>
      <c r="O815" t="s">
        <v>19</v>
      </c>
      <c r="P815" t="s">
        <v>20</v>
      </c>
      <c r="Q815" t="s">
        <v>19</v>
      </c>
      <c r="R815" t="str">
        <f>HYPERLINK("https://cfpub.epa.gov/ecotox/explore.cfm?ncbi=8947","Explore in ECOTOX")</f>
        <v>Explore in ECOTOX</v>
      </c>
    </row>
    <row r="816" spans="1:18" x14ac:dyDescent="0.45">
      <c r="A816" t="s">
        <v>1264</v>
      </c>
      <c r="B816">
        <v>8</v>
      </c>
      <c r="C816" t="str">
        <f>HYPERLINK("http://www.ncbi.nlm.nih.gov/protein/CAH1263970.1","CAH1263970.1")</f>
        <v>CAH1263970.1</v>
      </c>
      <c r="D816">
        <v>39938</v>
      </c>
      <c r="E816" t="str">
        <f>HYPERLINK("http://www.ncbi.nlm.nih.gov/Taxonomy/Browser/wwwtax.cgi?mode=Info&amp;id=7740&amp;lvl=3&amp;lin=f&amp;keep=1&amp;srchmode=1&amp;unlock","7740")</f>
        <v>7740</v>
      </c>
      <c r="F816" t="s">
        <v>788</v>
      </c>
      <c r="G816" t="str">
        <f>HYPERLINK("http://www.ncbi.nlm.nih.gov/Taxonomy/Browser/wwwtax.cgi?mode=Info&amp;id=7740&amp;lvl=3&amp;lin=f&amp;keep=1&amp;srchmode=1&amp;unlock","Branchiostoma lanceolatum")</f>
        <v>Branchiostoma lanceolatum</v>
      </c>
      <c r="H816" t="s">
        <v>789</v>
      </c>
      <c r="I816" t="str">
        <f>HYPERLINK("http://www.ncbi.nlm.nih.gov/protein/CAH1263970.1","RYR2")</f>
        <v>RYR2</v>
      </c>
      <c r="J816">
        <v>3969.85</v>
      </c>
      <c r="K816" t="s">
        <v>22</v>
      </c>
      <c r="L816">
        <v>276</v>
      </c>
      <c r="M816">
        <v>9.75</v>
      </c>
      <c r="N816">
        <v>37.97</v>
      </c>
      <c r="O816" t="s">
        <v>19</v>
      </c>
      <c r="P816" t="s">
        <v>20</v>
      </c>
      <c r="Q816" t="s">
        <v>19</v>
      </c>
      <c r="R816" t="str">
        <f>HYPERLINK("https://cfpub.epa.gov/ecotox/explore.cfm?ncbi=7740","Explore in ECOTOX")</f>
        <v>Explore in ECOTOX</v>
      </c>
    </row>
    <row r="817" spans="1:18" x14ac:dyDescent="0.45">
      <c r="A817" t="s">
        <v>1264</v>
      </c>
      <c r="B817">
        <v>8</v>
      </c>
      <c r="C817" t="str">
        <f>HYPERLINK("http://www.ncbi.nlm.nih.gov/protein/KAG8514615.1","KAG8514615.1")</f>
        <v>KAG8514615.1</v>
      </c>
      <c r="D817">
        <v>21011</v>
      </c>
      <c r="E817" t="str">
        <f>HYPERLINK("http://www.ncbi.nlm.nih.gov/Taxonomy/Browser/wwwtax.cgi?mode=Info&amp;id=202257&amp;lvl=3&amp;lin=f&amp;keep=1&amp;srchmode=1&amp;unlock","202257")</f>
        <v>202257</v>
      </c>
      <c r="F817" t="s">
        <v>96</v>
      </c>
      <c r="G817" t="str">
        <f>HYPERLINK("http://www.ncbi.nlm.nih.gov/Taxonomy/Browser/wwwtax.cgi?mode=Info&amp;id=202257&amp;lvl=3&amp;lin=f&amp;keep=1&amp;srchmode=1&amp;unlock","Galemys pyrenaicus")</f>
        <v>Galemys pyrenaicus</v>
      </c>
      <c r="H817" t="s">
        <v>790</v>
      </c>
      <c r="I817" t="str">
        <f>HYPERLINK("http://www.ncbi.nlm.nih.gov/protein/KAG8514615.1","Ryanodine receptor 3")</f>
        <v>Ryanodine receptor 3</v>
      </c>
      <c r="J817">
        <v>3949.82</v>
      </c>
      <c r="K817" t="s">
        <v>22</v>
      </c>
      <c r="L817">
        <v>276</v>
      </c>
      <c r="M817">
        <v>9.75</v>
      </c>
      <c r="N817">
        <v>37.78</v>
      </c>
      <c r="O817" t="s">
        <v>19</v>
      </c>
      <c r="P817" t="s">
        <v>20</v>
      </c>
      <c r="Q817" t="s">
        <v>19</v>
      </c>
      <c r="R817" t="str">
        <f>HYPERLINK("https://cfpub.epa.gov/ecotox/explore.cfm?ncbi=202257","Explore in ECOTOX")</f>
        <v>Explore in ECOTOX</v>
      </c>
    </row>
    <row r="818" spans="1:18" x14ac:dyDescent="0.45">
      <c r="A818" t="s">
        <v>1264</v>
      </c>
      <c r="B818">
        <v>8</v>
      </c>
      <c r="C818" t="str">
        <f>HYPERLINK("http://www.ncbi.nlm.nih.gov/protein/NWT34261.1","NWT34261.1")</f>
        <v>NWT34261.1</v>
      </c>
      <c r="D818">
        <v>14099</v>
      </c>
      <c r="E818" t="str">
        <f>HYPERLINK("http://www.ncbi.nlm.nih.gov/Taxonomy/Browser/wwwtax.cgi?mode=Info&amp;id=98964&amp;lvl=3&amp;lin=f&amp;keep=1&amp;srchmode=1&amp;unlock","98964")</f>
        <v>98964</v>
      </c>
      <c r="F818" t="s">
        <v>241</v>
      </c>
      <c r="G818" t="str">
        <f>HYPERLINK("http://www.ncbi.nlm.nih.gov/Taxonomy/Browser/wwwtax.cgi?mode=Info&amp;id=98964&amp;lvl=3&amp;lin=f&amp;keep=1&amp;srchmode=1&amp;unlock","Cardinalis cardinalis")</f>
        <v>Cardinalis cardinalis</v>
      </c>
      <c r="H818" t="s">
        <v>791</v>
      </c>
      <c r="I818" t="str">
        <f>HYPERLINK("http://www.ncbi.nlm.nih.gov/protein/NWT34261.1","RYR2 protein")</f>
        <v>RYR2 protein</v>
      </c>
      <c r="J818">
        <v>3925.94</v>
      </c>
      <c r="K818" t="s">
        <v>22</v>
      </c>
      <c r="L818">
        <v>276</v>
      </c>
      <c r="M818">
        <v>9.75</v>
      </c>
      <c r="N818">
        <v>37.549999999999997</v>
      </c>
      <c r="O818" t="s">
        <v>19</v>
      </c>
      <c r="P818" t="s">
        <v>20</v>
      </c>
      <c r="Q818" t="s">
        <v>19</v>
      </c>
      <c r="R818" t="str">
        <f>HYPERLINK("https://cfpub.epa.gov/ecotox/explore.cfm?ncbi=98964","Explore in ECOTOX")</f>
        <v>Explore in ECOTOX</v>
      </c>
    </row>
    <row r="819" spans="1:18" x14ac:dyDescent="0.45">
      <c r="A819" t="s">
        <v>1264</v>
      </c>
      <c r="B819">
        <v>8</v>
      </c>
      <c r="C819" t="str">
        <f>HYPERLINK("http://www.ncbi.nlm.nih.gov/protein/KAF4800675.1","KAF4800675.1")</f>
        <v>KAF4800675.1</v>
      </c>
      <c r="D819">
        <v>18371</v>
      </c>
      <c r="E819" t="str">
        <f>HYPERLINK("http://www.ncbi.nlm.nih.gov/Taxonomy/Browser/wwwtax.cgi?mode=Info&amp;id=311356&amp;lvl=3&amp;lin=f&amp;keep=1&amp;srchmode=1&amp;unlock","311356")</f>
        <v>311356</v>
      </c>
      <c r="F819" t="s">
        <v>241</v>
      </c>
      <c r="G819" t="str">
        <f>HYPERLINK("http://www.ncbi.nlm.nih.gov/Taxonomy/Browser/wwwtax.cgi?mode=Info&amp;id=311356&amp;lvl=3&amp;lin=f&amp;keep=1&amp;srchmode=1&amp;unlock","Turdus rufiventris")</f>
        <v>Turdus rufiventris</v>
      </c>
      <c r="H819" t="s">
        <v>792</v>
      </c>
      <c r="I819" t="str">
        <f>HYPERLINK("http://www.ncbi.nlm.nih.gov/protein/KAF4800675.1","ryanodine receptor 2")</f>
        <v>ryanodine receptor 2</v>
      </c>
      <c r="J819">
        <v>3924.78</v>
      </c>
      <c r="K819" t="s">
        <v>22</v>
      </c>
      <c r="L819">
        <v>276</v>
      </c>
      <c r="M819">
        <v>9.75</v>
      </c>
      <c r="N819">
        <v>37.54</v>
      </c>
      <c r="O819" t="s">
        <v>19</v>
      </c>
      <c r="P819" t="s">
        <v>20</v>
      </c>
      <c r="Q819" t="s">
        <v>19</v>
      </c>
      <c r="R819" t="str">
        <f>HYPERLINK("https://cfpub.epa.gov/ecotox/explore.cfm?ncbi=311356","Explore in ECOTOX")</f>
        <v>Explore in ECOTOX</v>
      </c>
    </row>
    <row r="820" spans="1:18" x14ac:dyDescent="0.45">
      <c r="A820" t="s">
        <v>1264</v>
      </c>
      <c r="B820">
        <v>8</v>
      </c>
      <c r="C820" t="str">
        <f>HYPERLINK("http://www.ncbi.nlm.nih.gov/protein/XP_019616605.1","XP_019616605.1")</f>
        <v>XP_019616605.1</v>
      </c>
      <c r="D820">
        <v>79871</v>
      </c>
      <c r="E820" t="str">
        <f>HYPERLINK("http://www.ncbi.nlm.nih.gov/Taxonomy/Browser/wwwtax.cgi?mode=Info&amp;id=7741&amp;lvl=3&amp;lin=f&amp;keep=1&amp;srchmode=1&amp;unlock","7741")</f>
        <v>7741</v>
      </c>
      <c r="F820" t="s">
        <v>788</v>
      </c>
      <c r="G820" t="str">
        <f>HYPERLINK("http://www.ncbi.nlm.nih.gov/Taxonomy/Browser/wwwtax.cgi?mode=Info&amp;id=7741&amp;lvl=3&amp;lin=f&amp;keep=1&amp;srchmode=1&amp;unlock","Branchiostoma belcheri")</f>
        <v>Branchiostoma belcheri</v>
      </c>
      <c r="H820" t="s">
        <v>793</v>
      </c>
      <c r="I820" t="str">
        <f>HYPERLINK("http://www.ncbi.nlm.nih.gov/protein/XP_019616605.1","PREDICTED: LOW QUALITY PROTEIN: ryanodine receptor 3-like")</f>
        <v>PREDICTED: LOW QUALITY PROTEIN: ryanodine receptor 3-like</v>
      </c>
      <c r="J820">
        <v>3917.85</v>
      </c>
      <c r="K820" t="s">
        <v>22</v>
      </c>
      <c r="L820">
        <v>276</v>
      </c>
      <c r="M820">
        <v>9.75</v>
      </c>
      <c r="N820">
        <v>37.479999999999997</v>
      </c>
      <c r="O820" t="s">
        <v>19</v>
      </c>
      <c r="P820" t="s">
        <v>20</v>
      </c>
      <c r="Q820" t="s">
        <v>19</v>
      </c>
      <c r="R820" t="str">
        <f>HYPERLINK("https://cfpub.epa.gov/ecotox/explore.cfm?ncbi=7741","Explore in ECOTOX")</f>
        <v>Explore in ECOTOX</v>
      </c>
    </row>
    <row r="821" spans="1:18" x14ac:dyDescent="0.45">
      <c r="A821" t="s">
        <v>1264</v>
      </c>
      <c r="B821">
        <v>8</v>
      </c>
      <c r="C821" t="str">
        <f>HYPERLINK("http://www.ncbi.nlm.nih.gov/protein/XP_023320281.1","XP_023320281.1")</f>
        <v>XP_023320281.1</v>
      </c>
      <c r="D821">
        <v>30482</v>
      </c>
      <c r="E821" t="str">
        <f>HYPERLINK("http://www.ncbi.nlm.nih.gov/Taxonomy/Browser/wwwtax.cgi?mode=Info&amp;id=1294199&amp;lvl=3&amp;lin=f&amp;keep=1&amp;srchmode=1&amp;unlock","1294199")</f>
        <v>1294199</v>
      </c>
      <c r="F821" t="s">
        <v>794</v>
      </c>
      <c r="G821" t="str">
        <f>HYPERLINK("http://www.ncbi.nlm.nih.gov/Taxonomy/Browser/wwwtax.cgi?mode=Info&amp;id=1294199&amp;lvl=3&amp;lin=f&amp;keep=1&amp;srchmode=1&amp;unlock","Eurytemora carolleeae")</f>
        <v>Eurytemora carolleeae</v>
      </c>
      <c r="H821" t="s">
        <v>795</v>
      </c>
      <c r="I821" t="str">
        <f>HYPERLINK("http://www.ncbi.nlm.nih.gov/protein/XP_023320281.1","ryanodine receptor isoform X4")</f>
        <v>ryanodine receptor isoform X4</v>
      </c>
      <c r="J821">
        <v>3903.98</v>
      </c>
      <c r="K821" t="s">
        <v>22</v>
      </c>
      <c r="L821">
        <v>276</v>
      </c>
      <c r="M821">
        <v>9.75</v>
      </c>
      <c r="N821">
        <v>37.340000000000003</v>
      </c>
      <c r="O821" t="s">
        <v>19</v>
      </c>
      <c r="P821" t="s">
        <v>20</v>
      </c>
      <c r="Q821" t="s">
        <v>19</v>
      </c>
      <c r="R821" t="str">
        <f>HYPERLINK("https://cfpub.epa.gov/ecotox/explore.cfm?ncbi=1294199","Explore in ECOTOX")</f>
        <v>Explore in ECOTOX</v>
      </c>
    </row>
    <row r="822" spans="1:18" x14ac:dyDescent="0.45">
      <c r="A822" t="s">
        <v>1264</v>
      </c>
      <c r="B822">
        <v>8</v>
      </c>
      <c r="C822" t="str">
        <f>HYPERLINK("http://www.ncbi.nlm.nih.gov/protein/XP_035681467.1","XP_035681467.1")</f>
        <v>XP_035681467.1</v>
      </c>
      <c r="D822">
        <v>44104</v>
      </c>
      <c r="E822" t="str">
        <f>HYPERLINK("http://www.ncbi.nlm.nih.gov/Taxonomy/Browser/wwwtax.cgi?mode=Info&amp;id=7739&amp;lvl=3&amp;lin=f&amp;keep=1&amp;srchmode=1&amp;unlock","7739")</f>
        <v>7739</v>
      </c>
      <c r="F822" t="s">
        <v>788</v>
      </c>
      <c r="G822" t="str">
        <f>HYPERLINK("http://www.ncbi.nlm.nih.gov/Taxonomy/Browser/wwwtax.cgi?mode=Info&amp;id=7739&amp;lvl=3&amp;lin=f&amp;keep=1&amp;srchmode=1&amp;unlock","Branchiostoma floridae")</f>
        <v>Branchiostoma floridae</v>
      </c>
      <c r="H822" t="s">
        <v>796</v>
      </c>
      <c r="I822" t="str">
        <f>HYPERLINK("http://www.ncbi.nlm.nih.gov/protein/XP_035681467.1","ryanodine receptor 3-like")</f>
        <v>ryanodine receptor 3-like</v>
      </c>
      <c r="J822">
        <v>3902.06</v>
      </c>
      <c r="K822" t="s">
        <v>22</v>
      </c>
      <c r="L822">
        <v>276</v>
      </c>
      <c r="M822">
        <v>9.75</v>
      </c>
      <c r="N822">
        <v>37.33</v>
      </c>
      <c r="O822" t="s">
        <v>19</v>
      </c>
      <c r="P822" t="s">
        <v>20</v>
      </c>
      <c r="Q822" t="s">
        <v>19</v>
      </c>
      <c r="R822" t="str">
        <f>HYPERLINK("https://cfpub.epa.gov/ecotox/explore.cfm?ncbi=7739","Explore in ECOTOX")</f>
        <v>Explore in ECOTOX</v>
      </c>
    </row>
    <row r="823" spans="1:18" x14ac:dyDescent="0.45">
      <c r="A823" t="s">
        <v>1264</v>
      </c>
      <c r="B823">
        <v>8</v>
      </c>
      <c r="C823" t="str">
        <f>HYPERLINK("http://www.ncbi.nlm.nih.gov/protein/VCW66537.1","VCW66537.1")</f>
        <v>VCW66537.1</v>
      </c>
      <c r="D823">
        <v>19856</v>
      </c>
      <c r="E823" t="str">
        <f>HYPERLINK("http://www.ncbi.nlm.nih.gov/Taxonomy/Browser/wwwtax.cgi?mode=Info&amp;id=48420&amp;lvl=3&amp;lin=f&amp;keep=1&amp;srchmode=1&amp;unlock","48420")</f>
        <v>48420</v>
      </c>
      <c r="F823" t="s">
        <v>96</v>
      </c>
      <c r="G823" t="str">
        <f>HYPERLINK("http://www.ncbi.nlm.nih.gov/Taxonomy/Browser/wwwtax.cgi?mode=Info&amp;id=48420&amp;lvl=3&amp;lin=f&amp;keep=1&amp;srchmode=1&amp;unlock","Gulo gulo")</f>
        <v>Gulo gulo</v>
      </c>
      <c r="H823" t="s">
        <v>797</v>
      </c>
      <c r="I823" t="str">
        <f>HYPERLINK("http://www.ncbi.nlm.nih.gov/protein/VCW66537.1","unnamed protein product, partial")</f>
        <v>unnamed protein product, partial</v>
      </c>
      <c r="J823">
        <v>3894.74</v>
      </c>
      <c r="K823" t="s">
        <v>19</v>
      </c>
      <c r="L823">
        <v>276</v>
      </c>
      <c r="M823">
        <v>9.75</v>
      </c>
      <c r="N823">
        <v>37.26</v>
      </c>
      <c r="O823" t="s">
        <v>19</v>
      </c>
      <c r="P823" t="s">
        <v>20</v>
      </c>
      <c r="Q823" t="s">
        <v>19</v>
      </c>
      <c r="R823" t="str">
        <f>HYPERLINK("https://cfpub.epa.gov/ecotox/explore.cfm?ncbi=48420","Explore in ECOTOX")</f>
        <v>Explore in ECOTOX</v>
      </c>
    </row>
    <row r="824" spans="1:18" x14ac:dyDescent="0.45">
      <c r="A824" t="s">
        <v>1264</v>
      </c>
      <c r="B824">
        <v>8</v>
      </c>
      <c r="C824" t="str">
        <f>HYPERLINK("http://www.ncbi.nlm.nih.gov/protein/XP_030890464.1","XP_030890464.1")</f>
        <v>XP_030890464.1</v>
      </c>
      <c r="D824">
        <v>40472</v>
      </c>
      <c r="E824" t="str">
        <f>HYPERLINK("http://www.ncbi.nlm.nih.gov/Taxonomy/Browser/wwwtax.cgi?mode=Info&amp;id=9713&amp;lvl=3&amp;lin=f&amp;keep=1&amp;srchmode=1&amp;unlock","9713")</f>
        <v>9713</v>
      </c>
      <c r="F824" t="s">
        <v>96</v>
      </c>
      <c r="G824" t="str">
        <f>HYPERLINK("http://www.ncbi.nlm.nih.gov/Taxonomy/Browser/wwwtax.cgi?mode=Info&amp;id=9713&amp;lvl=3&amp;lin=f&amp;keep=1&amp;srchmode=1&amp;unlock","Leptonychotes weddellii")</f>
        <v>Leptonychotes weddellii</v>
      </c>
      <c r="H824" t="s">
        <v>798</v>
      </c>
      <c r="I824" t="str">
        <f>HYPERLINK("http://www.ncbi.nlm.nih.gov/protein/XP_030890464.1","ryanodine receptor 1")</f>
        <v>ryanodine receptor 1</v>
      </c>
      <c r="J824">
        <v>3874.32</v>
      </c>
      <c r="K824" t="s">
        <v>19</v>
      </c>
      <c r="L824">
        <v>276</v>
      </c>
      <c r="M824">
        <v>9.75</v>
      </c>
      <c r="N824">
        <v>37.06</v>
      </c>
      <c r="O824" t="s">
        <v>19</v>
      </c>
      <c r="P824" t="s">
        <v>20</v>
      </c>
      <c r="Q824" t="s">
        <v>19</v>
      </c>
      <c r="R824" t="str">
        <f>HYPERLINK("https://cfpub.epa.gov/ecotox/explore.cfm?ncbi=9713","Explore in ECOTOX")</f>
        <v>Explore in ECOTOX</v>
      </c>
    </row>
    <row r="825" spans="1:18" x14ac:dyDescent="0.45">
      <c r="A825" t="s">
        <v>1264</v>
      </c>
      <c r="B825">
        <v>8</v>
      </c>
      <c r="C825" t="str">
        <f>HYPERLINK("http://www.ncbi.nlm.nih.gov/protein/KAF4010985.1","KAF4010985.1")</f>
        <v>KAF4010985.1</v>
      </c>
      <c r="D825">
        <v>19261</v>
      </c>
      <c r="E825" t="str">
        <f>HYPERLINK("http://www.ncbi.nlm.nih.gov/Taxonomy/Browser/wwwtax.cgi?mode=Info&amp;id=84702&amp;lvl=3&amp;lin=f&amp;keep=1&amp;srchmode=1&amp;unlock","84702")</f>
        <v>84702</v>
      </c>
      <c r="F825" t="s">
        <v>96</v>
      </c>
      <c r="G825" t="str">
        <f>HYPERLINK("http://www.ncbi.nlm.nih.gov/Taxonomy/Browser/wwwtax.cgi?mode=Info&amp;id=84702&amp;lvl=3&amp;lin=f&amp;keep=1&amp;srchmode=1&amp;unlock","Cervus hanglu yarkandensis")</f>
        <v>Cervus hanglu yarkandensis</v>
      </c>
      <c r="H825" t="s">
        <v>799</v>
      </c>
      <c r="I825" t="str">
        <f>HYPERLINK("http://www.ncbi.nlm.nih.gov/protein/KAF4010985.1","hypothetical protein G4228_002289")</f>
        <v>hypothetical protein G4228_002289</v>
      </c>
      <c r="J825">
        <v>3864.69</v>
      </c>
      <c r="K825" t="s">
        <v>19</v>
      </c>
      <c r="L825">
        <v>276</v>
      </c>
      <c r="M825">
        <v>9.75</v>
      </c>
      <c r="N825">
        <v>36.97</v>
      </c>
      <c r="O825" t="s">
        <v>19</v>
      </c>
      <c r="P825" t="s">
        <v>20</v>
      </c>
      <c r="Q825" t="s">
        <v>19</v>
      </c>
      <c r="R825" t="str">
        <f>HYPERLINK("https://cfpub.epa.gov/ecotox/explore.cfm?ncbi=84702","Explore in ECOTOX")</f>
        <v>Explore in ECOTOX</v>
      </c>
    </row>
    <row r="826" spans="1:18" x14ac:dyDescent="0.45">
      <c r="A826" t="s">
        <v>1264</v>
      </c>
      <c r="B826">
        <v>8</v>
      </c>
      <c r="C826" t="str">
        <f>HYPERLINK("http://www.ncbi.nlm.nih.gov/protein/CBY11776.1","CBY11776.1")</f>
        <v>CBY11776.1</v>
      </c>
      <c r="D826">
        <v>50047</v>
      </c>
      <c r="E826" t="str">
        <f>HYPERLINK("http://www.ncbi.nlm.nih.gov/Taxonomy/Browser/wwwtax.cgi?mode=Info&amp;id=34765&amp;lvl=3&amp;lin=f&amp;keep=1&amp;srchmode=1&amp;unlock","34765")</f>
        <v>34765</v>
      </c>
      <c r="F826" t="s">
        <v>800</v>
      </c>
      <c r="G826" t="str">
        <f>HYPERLINK("http://www.ncbi.nlm.nih.gov/Taxonomy/Browser/wwwtax.cgi?mode=Info&amp;id=34765&amp;lvl=3&amp;lin=f&amp;keep=1&amp;srchmode=1&amp;unlock","Oikopleura dioica")</f>
        <v>Oikopleura dioica</v>
      </c>
      <c r="H826" t="s">
        <v>801</v>
      </c>
      <c r="I826" t="str">
        <f>HYPERLINK("http://www.ncbi.nlm.nih.gov/protein/CBY11776.1","unnamed protein product")</f>
        <v>unnamed protein product</v>
      </c>
      <c r="J826">
        <v>3797.28</v>
      </c>
      <c r="K826" t="s">
        <v>22</v>
      </c>
      <c r="L826">
        <v>276</v>
      </c>
      <c r="M826">
        <v>9.75</v>
      </c>
      <c r="N826">
        <v>36.32</v>
      </c>
      <c r="O826" t="s">
        <v>19</v>
      </c>
      <c r="P826" t="s">
        <v>20</v>
      </c>
      <c r="Q826" t="s">
        <v>19</v>
      </c>
      <c r="R826" t="str">
        <f>HYPERLINK("https://cfpub.epa.gov/ecotox/explore.cfm?ncbi=34765","Explore in ECOTOX")</f>
        <v>Explore in ECOTOX</v>
      </c>
    </row>
    <row r="827" spans="1:18" x14ac:dyDescent="0.45">
      <c r="A827" t="s">
        <v>1264</v>
      </c>
      <c r="B827">
        <v>8</v>
      </c>
      <c r="C827" t="str">
        <f>HYPERLINK("http://www.ncbi.nlm.nih.gov/protein/KAA0711022.1","KAA0711022.1")</f>
        <v>KAA0711022.1</v>
      </c>
      <c r="D827">
        <v>24360</v>
      </c>
      <c r="E827" t="str">
        <f>HYPERLINK("http://www.ncbi.nlm.nih.gov/Taxonomy/Browser/wwwtax.cgi?mode=Info&amp;id=1572043&amp;lvl=3&amp;lin=f&amp;keep=1&amp;srchmode=1&amp;unlock","1572043")</f>
        <v>1572043</v>
      </c>
      <c r="F827" t="s">
        <v>17</v>
      </c>
      <c r="G827" t="str">
        <f>HYPERLINK("http://www.ncbi.nlm.nih.gov/Taxonomy/Browser/wwwtax.cgi?mode=Info&amp;id=1572043&amp;lvl=3&amp;lin=f&amp;keep=1&amp;srchmode=1&amp;unlock","Triplophysa tibetana")</f>
        <v>Triplophysa tibetana</v>
      </c>
      <c r="H827" t="s">
        <v>33</v>
      </c>
      <c r="I827" t="str">
        <f>HYPERLINK("http://www.ncbi.nlm.nih.gov/protein/KAA0711022.1","Ryanodine receptor 2")</f>
        <v>Ryanodine receptor 2</v>
      </c>
      <c r="J827">
        <v>3788.42</v>
      </c>
      <c r="K827" t="s">
        <v>22</v>
      </c>
      <c r="L827">
        <v>276</v>
      </c>
      <c r="M827">
        <v>9.75</v>
      </c>
      <c r="N827">
        <v>36.24</v>
      </c>
      <c r="O827" t="s">
        <v>19</v>
      </c>
      <c r="P827" t="s">
        <v>20</v>
      </c>
      <c r="Q827" t="s">
        <v>19</v>
      </c>
      <c r="R827" t="str">
        <f>HYPERLINK("https://cfpub.epa.gov/ecotox/explore.cfm?ncbi=1572043","Explore in ECOTOX")</f>
        <v>Explore in ECOTOX</v>
      </c>
    </row>
    <row r="828" spans="1:18" x14ac:dyDescent="0.45">
      <c r="A828" t="s">
        <v>1264</v>
      </c>
      <c r="B828">
        <v>8</v>
      </c>
      <c r="C828" t="str">
        <f>HYPERLINK("http://www.ncbi.nlm.nih.gov/protein/CAH0718463.1","CAH0718463.1")</f>
        <v>CAH0718463.1</v>
      </c>
      <c r="D828">
        <v>19712</v>
      </c>
      <c r="E828" t="str">
        <f>HYPERLINK("http://www.ncbi.nlm.nih.gov/Taxonomy/Browser/wwwtax.cgi?mode=Info&amp;id=405034&amp;lvl=3&amp;lin=f&amp;keep=1&amp;srchmode=1&amp;unlock","405034")</f>
        <v>405034</v>
      </c>
      <c r="F828" t="s">
        <v>760</v>
      </c>
      <c r="G828" t="str">
        <f>HYPERLINK("http://www.ncbi.nlm.nih.gov/Taxonomy/Browser/wwwtax.cgi?mode=Info&amp;id=405034&amp;lvl=3&amp;lin=f&amp;keep=1&amp;srchmode=1&amp;unlock","Brenthis ino")</f>
        <v>Brenthis ino</v>
      </c>
      <c r="H828" t="s">
        <v>802</v>
      </c>
      <c r="I828" t="str">
        <f>HYPERLINK("http://www.ncbi.nlm.nih.gov/protein/CAH0718463.1","unnamed protein product, partial")</f>
        <v>unnamed protein product, partial</v>
      </c>
      <c r="J828">
        <v>3775.33</v>
      </c>
      <c r="K828" t="s">
        <v>22</v>
      </c>
      <c r="L828">
        <v>276</v>
      </c>
      <c r="M828">
        <v>9.75</v>
      </c>
      <c r="N828">
        <v>36.11</v>
      </c>
      <c r="O828" t="s">
        <v>19</v>
      </c>
      <c r="P828" t="s">
        <v>20</v>
      </c>
      <c r="Q828" t="s">
        <v>19</v>
      </c>
      <c r="R828" t="str">
        <f>HYPERLINK("https://cfpub.epa.gov/ecotox/explore.cfm?ncbi=405034","Explore in ECOTOX")</f>
        <v>Explore in ECOTOX</v>
      </c>
    </row>
    <row r="829" spans="1:18" x14ac:dyDescent="0.45">
      <c r="A829" t="s">
        <v>1264</v>
      </c>
      <c r="B829">
        <v>8</v>
      </c>
      <c r="C829" t="str">
        <f>HYPERLINK("http://www.ncbi.nlm.nih.gov/protein/XP_031764167.1","XP_031764167.1")</f>
        <v>XP_031764167.1</v>
      </c>
      <c r="D829">
        <v>23842</v>
      </c>
      <c r="E829" t="str">
        <f>HYPERLINK("http://www.ncbi.nlm.nih.gov/Taxonomy/Browser/wwwtax.cgi?mode=Info&amp;id=7137&amp;lvl=3&amp;lin=f&amp;keep=1&amp;srchmode=1&amp;unlock","7137")</f>
        <v>7137</v>
      </c>
      <c r="F829" t="s">
        <v>760</v>
      </c>
      <c r="G829" t="str">
        <f>HYPERLINK("http://www.ncbi.nlm.nih.gov/Taxonomy/Browser/wwwtax.cgi?mode=Info&amp;id=7137&amp;lvl=3&amp;lin=f&amp;keep=1&amp;srchmode=1&amp;unlock","Galleria mellonella")</f>
        <v>Galleria mellonella</v>
      </c>
      <c r="H829" t="s">
        <v>803</v>
      </c>
      <c r="I829" t="str">
        <f>HYPERLINK("http://www.ncbi.nlm.nih.gov/protein/XP_031764167.1","ryanodine receptor isoform X42")</f>
        <v>ryanodine receptor isoform X42</v>
      </c>
      <c r="J829">
        <v>3761.84</v>
      </c>
      <c r="K829" t="s">
        <v>22</v>
      </c>
      <c r="L829">
        <v>276</v>
      </c>
      <c r="M829">
        <v>9.75</v>
      </c>
      <c r="N829">
        <v>35.99</v>
      </c>
      <c r="O829" t="s">
        <v>19</v>
      </c>
      <c r="P829" t="s">
        <v>20</v>
      </c>
      <c r="Q829" t="s">
        <v>19</v>
      </c>
      <c r="R829" t="str">
        <f>HYPERLINK("https://cfpub.epa.gov/ecotox/explore.cfm?ncbi=7137","Explore in ECOTOX")</f>
        <v>Explore in ECOTOX</v>
      </c>
    </row>
    <row r="830" spans="1:18" x14ac:dyDescent="0.45">
      <c r="A830" t="s">
        <v>1264</v>
      </c>
      <c r="B830">
        <v>8</v>
      </c>
      <c r="C830" t="str">
        <f>HYPERLINK("http://www.ncbi.nlm.nih.gov/protein/GFG39931.1","GFG39931.1")</f>
        <v>GFG39931.1</v>
      </c>
      <c r="D830">
        <v>14202</v>
      </c>
      <c r="E830" t="str">
        <f>HYPERLINK("http://www.ncbi.nlm.nih.gov/Taxonomy/Browser/wwwtax.cgi?mode=Info&amp;id=36987&amp;lvl=3&amp;lin=f&amp;keep=1&amp;srchmode=1&amp;unlock","36987")</f>
        <v>36987</v>
      </c>
      <c r="F830" t="s">
        <v>760</v>
      </c>
      <c r="G830" t="str">
        <f>HYPERLINK("http://www.ncbi.nlm.nih.gov/Taxonomy/Browser/wwwtax.cgi?mode=Info&amp;id=36987&amp;lvl=3&amp;lin=f&amp;keep=1&amp;srchmode=1&amp;unlock","Coptotermes formosanus")</f>
        <v>Coptotermes formosanus</v>
      </c>
      <c r="H830" t="s">
        <v>804</v>
      </c>
      <c r="I830" t="str">
        <f>HYPERLINK("http://www.ncbi.nlm.nih.gov/protein/GFG39931.1","hypothetical protein Cfor_08988, partial")</f>
        <v>hypothetical protein Cfor_08988, partial</v>
      </c>
      <c r="J830">
        <v>3736.04</v>
      </c>
      <c r="K830" t="s">
        <v>22</v>
      </c>
      <c r="L830">
        <v>276</v>
      </c>
      <c r="M830">
        <v>9.75</v>
      </c>
      <c r="N830">
        <v>35.74</v>
      </c>
      <c r="O830" t="s">
        <v>19</v>
      </c>
      <c r="P830" t="s">
        <v>20</v>
      </c>
      <c r="Q830" t="s">
        <v>19</v>
      </c>
      <c r="R830" t="str">
        <f>HYPERLINK("https://cfpub.epa.gov/ecotox/explore.cfm?ncbi=36987","Explore in ECOTOX")</f>
        <v>Explore in ECOTOX</v>
      </c>
    </row>
    <row r="831" spans="1:18" x14ac:dyDescent="0.45">
      <c r="A831" t="s">
        <v>1264</v>
      </c>
      <c r="B831">
        <v>8</v>
      </c>
      <c r="C831" t="str">
        <f>HYPERLINK("http://www.ncbi.nlm.nih.gov/protein/XP_050844670.1","XP_050844670.1")</f>
        <v>XP_050844670.1</v>
      </c>
      <c r="D831">
        <v>41869</v>
      </c>
      <c r="E831" t="str">
        <f>HYPERLINK("http://www.ncbi.nlm.nih.gov/Taxonomy/Browser/wwwtax.cgi?mode=Info&amp;id=7454&amp;lvl=3&amp;lin=f&amp;keep=1&amp;srchmode=1&amp;unlock","7454")</f>
        <v>7454</v>
      </c>
      <c r="F831" t="s">
        <v>760</v>
      </c>
      <c r="G831" t="str">
        <f>HYPERLINK("http://www.ncbi.nlm.nih.gov/Taxonomy/Browser/wwwtax.cgi?mode=Info&amp;id=7454&amp;lvl=3&amp;lin=f&amp;keep=1&amp;srchmode=1&amp;unlock","Vespula vulgaris")</f>
        <v>Vespula vulgaris</v>
      </c>
      <c r="H831" t="s">
        <v>805</v>
      </c>
      <c r="I831" t="str">
        <f>HYPERLINK("http://www.ncbi.nlm.nih.gov/protein/XP_050844670.1","ryanodine receptor isoform X9")</f>
        <v>ryanodine receptor isoform X9</v>
      </c>
      <c r="J831">
        <v>3714.85</v>
      </c>
      <c r="K831" t="s">
        <v>22</v>
      </c>
      <c r="L831">
        <v>276</v>
      </c>
      <c r="M831">
        <v>9.75</v>
      </c>
      <c r="N831">
        <v>35.54</v>
      </c>
      <c r="O831" t="s">
        <v>19</v>
      </c>
      <c r="P831" t="s">
        <v>20</v>
      </c>
      <c r="Q831" t="s">
        <v>19</v>
      </c>
      <c r="R831" t="str">
        <f>HYPERLINK("https://cfpub.epa.gov/ecotox/explore.cfm?ncbi=7454","Explore in ECOTOX")</f>
        <v>Explore in ECOTOX</v>
      </c>
    </row>
    <row r="832" spans="1:18" x14ac:dyDescent="0.45">
      <c r="A832" t="s">
        <v>1264</v>
      </c>
      <c r="B832">
        <v>8</v>
      </c>
      <c r="C832" t="str">
        <f>HYPERLINK("http://www.ncbi.nlm.nih.gov/protein/XP_015173053.1","XP_015173053.1")</f>
        <v>XP_015173053.1</v>
      </c>
      <c r="D832">
        <v>20991</v>
      </c>
      <c r="E832" t="str">
        <f>HYPERLINK("http://www.ncbi.nlm.nih.gov/Taxonomy/Browser/wwwtax.cgi?mode=Info&amp;id=743375&amp;lvl=3&amp;lin=f&amp;keep=1&amp;srchmode=1&amp;unlock","743375")</f>
        <v>743375</v>
      </c>
      <c r="F832" t="s">
        <v>760</v>
      </c>
      <c r="G832" t="str">
        <f>HYPERLINK("http://www.ncbi.nlm.nih.gov/Taxonomy/Browser/wwwtax.cgi?mode=Info&amp;id=743375&amp;lvl=3&amp;lin=f&amp;keep=1&amp;srchmode=1&amp;unlock","Polistes dominula")</f>
        <v>Polistes dominula</v>
      </c>
      <c r="H832" t="s">
        <v>806</v>
      </c>
      <c r="I832" t="str">
        <f>HYPERLINK("http://www.ncbi.nlm.nih.gov/protein/XP_015173053.1","PREDICTED: ryanodine receptor isoform X20")</f>
        <v>PREDICTED: ryanodine receptor isoform X20</v>
      </c>
      <c r="J832">
        <v>3713.69</v>
      </c>
      <c r="K832" t="s">
        <v>22</v>
      </c>
      <c r="L832">
        <v>276</v>
      </c>
      <c r="M832">
        <v>9.75</v>
      </c>
      <c r="N832">
        <v>35.520000000000003</v>
      </c>
      <c r="O832" t="s">
        <v>19</v>
      </c>
      <c r="P832" t="s">
        <v>20</v>
      </c>
      <c r="Q832" t="s">
        <v>19</v>
      </c>
      <c r="R832" t="str">
        <f>HYPERLINK("https://cfpub.epa.gov/ecotox/explore.cfm?ncbi=743375","Explore in ECOTOX")</f>
        <v>Explore in ECOTOX</v>
      </c>
    </row>
    <row r="833" spans="1:18" x14ac:dyDescent="0.45">
      <c r="A833" t="s">
        <v>1264</v>
      </c>
      <c r="B833">
        <v>8</v>
      </c>
      <c r="C833" t="str">
        <f>HYPERLINK("http://www.ncbi.nlm.nih.gov/protein/XP_043663454.1","XP_043663454.1")</f>
        <v>XP_043663454.1</v>
      </c>
      <c r="D833">
        <v>42409</v>
      </c>
      <c r="E833" t="str">
        <f>HYPERLINK("http://www.ncbi.nlm.nih.gov/Taxonomy/Browser/wwwtax.cgi?mode=Info&amp;id=30213&amp;lvl=3&amp;lin=f&amp;keep=1&amp;srchmode=1&amp;unlock","30213")</f>
        <v>30213</v>
      </c>
      <c r="F833" t="s">
        <v>760</v>
      </c>
      <c r="G833" t="str">
        <f>HYPERLINK("http://www.ncbi.nlm.nih.gov/Taxonomy/Browser/wwwtax.cgi?mode=Info&amp;id=30213&amp;lvl=3&amp;lin=f&amp;keep=1&amp;srchmode=1&amp;unlock","Vespula pensylvanica")</f>
        <v>Vespula pensylvanica</v>
      </c>
      <c r="H833" t="s">
        <v>807</v>
      </c>
      <c r="I833" t="str">
        <f>HYPERLINK("http://www.ncbi.nlm.nih.gov/protein/XP_043663454.1","ryanodine receptor isoform X8")</f>
        <v>ryanodine receptor isoform X8</v>
      </c>
      <c r="J833">
        <v>3711.77</v>
      </c>
      <c r="K833" t="s">
        <v>22</v>
      </c>
      <c r="L833">
        <v>276</v>
      </c>
      <c r="M833">
        <v>9.75</v>
      </c>
      <c r="N833">
        <v>35.51</v>
      </c>
      <c r="O833" t="s">
        <v>19</v>
      </c>
      <c r="P833" t="s">
        <v>20</v>
      </c>
      <c r="Q833" t="s">
        <v>19</v>
      </c>
      <c r="R833" t="str">
        <f>HYPERLINK("https://cfpub.epa.gov/ecotox/explore.cfm?ncbi=30213","Explore in ECOTOX")</f>
        <v>Explore in ECOTOX</v>
      </c>
    </row>
    <row r="834" spans="1:18" x14ac:dyDescent="0.45">
      <c r="A834" t="s">
        <v>1264</v>
      </c>
      <c r="B834">
        <v>8</v>
      </c>
      <c r="C834" t="str">
        <f>HYPERLINK("http://www.ncbi.nlm.nih.gov/protein/XP_014604696.1","XP_014604696.1")</f>
        <v>XP_014604696.1</v>
      </c>
      <c r="D834">
        <v>19309</v>
      </c>
      <c r="E834" t="str">
        <f>HYPERLINK("http://www.ncbi.nlm.nih.gov/Taxonomy/Browser/wwwtax.cgi?mode=Info&amp;id=91411&amp;lvl=3&amp;lin=f&amp;keep=1&amp;srchmode=1&amp;unlock","91411")</f>
        <v>91411</v>
      </c>
      <c r="F834" t="s">
        <v>760</v>
      </c>
      <c r="G834" t="str">
        <f>HYPERLINK("http://www.ncbi.nlm.nih.gov/Taxonomy/Browser/wwwtax.cgi?mode=Info&amp;id=91411&amp;lvl=3&amp;lin=f&amp;keep=1&amp;srchmode=1&amp;unlock","Polistes canadensis")</f>
        <v>Polistes canadensis</v>
      </c>
      <c r="H834" t="s">
        <v>808</v>
      </c>
      <c r="I834" t="str">
        <f>HYPERLINK("http://www.ncbi.nlm.nih.gov/protein/XP_014604696.1","PREDICTED: ryanodine receptor isoform X9")</f>
        <v>PREDICTED: ryanodine receptor isoform X9</v>
      </c>
      <c r="J834">
        <v>3710.23</v>
      </c>
      <c r="K834" t="s">
        <v>22</v>
      </c>
      <c r="L834">
        <v>276</v>
      </c>
      <c r="M834">
        <v>9.75</v>
      </c>
      <c r="N834">
        <v>35.49</v>
      </c>
      <c r="O834" t="s">
        <v>19</v>
      </c>
      <c r="P834" t="s">
        <v>20</v>
      </c>
      <c r="Q834" t="s">
        <v>19</v>
      </c>
      <c r="R834" t="str">
        <f>HYPERLINK("https://cfpub.epa.gov/ecotox/explore.cfm?ncbi=91411","Explore in ECOTOX")</f>
        <v>Explore in ECOTOX</v>
      </c>
    </row>
    <row r="835" spans="1:18" x14ac:dyDescent="0.45">
      <c r="A835" t="s">
        <v>1264</v>
      </c>
      <c r="B835">
        <v>8</v>
      </c>
      <c r="C835" t="str">
        <f>HYPERLINK("http://www.ncbi.nlm.nih.gov/protein/XP_018052371.1","XP_018052371.1")</f>
        <v>XP_018052371.1</v>
      </c>
      <c r="D835">
        <v>31101</v>
      </c>
      <c r="E835" t="str">
        <f>HYPERLINK("http://www.ncbi.nlm.nih.gov/Taxonomy/Browser/wwwtax.cgi?mode=Info&amp;id=520822&amp;lvl=3&amp;lin=f&amp;keep=1&amp;srchmode=1&amp;unlock","520822")</f>
        <v>520822</v>
      </c>
      <c r="F835" t="s">
        <v>760</v>
      </c>
      <c r="G835" t="str">
        <f>HYPERLINK("http://www.ncbi.nlm.nih.gov/Taxonomy/Browser/wwwtax.cgi?mode=Info&amp;id=520822&amp;lvl=3&amp;lin=f&amp;keep=1&amp;srchmode=1&amp;unlock","Atta colombica")</f>
        <v>Atta colombica</v>
      </c>
      <c r="H835" t="s">
        <v>809</v>
      </c>
      <c r="I835" t="str">
        <f>HYPERLINK("http://www.ncbi.nlm.nih.gov/protein/XP_018052371.1","PREDICTED: ryanodine receptor isoform X8")</f>
        <v>PREDICTED: ryanodine receptor isoform X8</v>
      </c>
      <c r="J835">
        <v>3707.92</v>
      </c>
      <c r="K835" t="s">
        <v>22</v>
      </c>
      <c r="L835">
        <v>276</v>
      </c>
      <c r="M835">
        <v>9.75</v>
      </c>
      <c r="N835">
        <v>35.47</v>
      </c>
      <c r="O835" t="s">
        <v>19</v>
      </c>
      <c r="P835" t="s">
        <v>20</v>
      </c>
      <c r="Q835" t="s">
        <v>19</v>
      </c>
      <c r="R835" t="str">
        <f>HYPERLINK("https://cfpub.epa.gov/ecotox/explore.cfm?ncbi=520822","Explore in ECOTOX")</f>
        <v>Explore in ECOTOX</v>
      </c>
    </row>
    <row r="836" spans="1:18" x14ac:dyDescent="0.45">
      <c r="A836" t="s">
        <v>1264</v>
      </c>
      <c r="B836">
        <v>8</v>
      </c>
      <c r="C836" t="str">
        <f>HYPERLINK("http://www.ncbi.nlm.nih.gov/protein/XP_011684423.1","XP_011684423.1")</f>
        <v>XP_011684423.1</v>
      </c>
      <c r="D836">
        <v>24365</v>
      </c>
      <c r="E836" t="str">
        <f>HYPERLINK("http://www.ncbi.nlm.nih.gov/Taxonomy/Browser/wwwtax.cgi?mode=Info&amp;id=64793&amp;lvl=3&amp;lin=f&amp;keep=1&amp;srchmode=1&amp;unlock","64793")</f>
        <v>64793</v>
      </c>
      <c r="F836" t="s">
        <v>760</v>
      </c>
      <c r="G836" t="str">
        <f>HYPERLINK("http://www.ncbi.nlm.nih.gov/Taxonomy/Browser/wwwtax.cgi?mode=Info&amp;id=64793&amp;lvl=3&amp;lin=f&amp;keep=1&amp;srchmode=1&amp;unlock","Wasmannia auropunctata")</f>
        <v>Wasmannia auropunctata</v>
      </c>
      <c r="H836" t="s">
        <v>810</v>
      </c>
      <c r="I836" t="str">
        <f>HYPERLINK("http://www.ncbi.nlm.nih.gov/protein/XP_011684423.1","PREDICTED: ryanodine receptor 44F isoform X21")</f>
        <v>PREDICTED: ryanodine receptor 44F isoform X21</v>
      </c>
      <c r="J836">
        <v>3706.76</v>
      </c>
      <c r="K836" t="s">
        <v>22</v>
      </c>
      <c r="L836">
        <v>276</v>
      </c>
      <c r="M836">
        <v>9.75</v>
      </c>
      <c r="N836">
        <v>35.46</v>
      </c>
      <c r="O836" t="s">
        <v>19</v>
      </c>
      <c r="P836" t="s">
        <v>20</v>
      </c>
      <c r="Q836" t="s">
        <v>19</v>
      </c>
      <c r="R836" t="str">
        <f>HYPERLINK("https://cfpub.epa.gov/ecotox/explore.cfm?ncbi=64793","Explore in ECOTOX")</f>
        <v>Explore in ECOTOX</v>
      </c>
    </row>
    <row r="837" spans="1:18" x14ac:dyDescent="0.45">
      <c r="A837" t="s">
        <v>1264</v>
      </c>
      <c r="B837">
        <v>8</v>
      </c>
      <c r="C837" t="str">
        <f>HYPERLINK("http://www.ncbi.nlm.nih.gov/protein/XP_032680346.1","XP_032680346.1")</f>
        <v>XP_032680346.1</v>
      </c>
      <c r="D837">
        <v>29198</v>
      </c>
      <c r="E837" t="str">
        <f>HYPERLINK("http://www.ncbi.nlm.nih.gov/Taxonomy/Browser/wwwtax.cgi?mode=Info&amp;id=486640&amp;lvl=3&amp;lin=f&amp;keep=1&amp;srchmode=1&amp;unlock","486640")</f>
        <v>486640</v>
      </c>
      <c r="F837" t="s">
        <v>760</v>
      </c>
      <c r="G837" t="str">
        <f>HYPERLINK("http://www.ncbi.nlm.nih.gov/Taxonomy/Browser/wwwtax.cgi?mode=Info&amp;id=486640&amp;lvl=3&amp;lin=f&amp;keep=1&amp;srchmode=1&amp;unlock","Odontomachus brunneus")</f>
        <v>Odontomachus brunneus</v>
      </c>
      <c r="H837" t="s">
        <v>769</v>
      </c>
      <c r="I837" t="str">
        <f>HYPERLINK("http://www.ncbi.nlm.nih.gov/protein/XP_032680346.1","ryanodine receptor isoform X9")</f>
        <v>ryanodine receptor isoform X9</v>
      </c>
      <c r="J837">
        <v>3704.06</v>
      </c>
      <c r="K837" t="s">
        <v>22</v>
      </c>
      <c r="L837">
        <v>276</v>
      </c>
      <c r="M837">
        <v>9.75</v>
      </c>
      <c r="N837">
        <v>35.43</v>
      </c>
      <c r="O837" t="s">
        <v>19</v>
      </c>
      <c r="P837" t="s">
        <v>20</v>
      </c>
      <c r="Q837" t="s">
        <v>19</v>
      </c>
      <c r="R837" t="str">
        <f>HYPERLINK("https://cfpub.epa.gov/ecotox/explore.cfm?ncbi=486640","Explore in ECOTOX")</f>
        <v>Explore in ECOTOX</v>
      </c>
    </row>
    <row r="838" spans="1:18" x14ac:dyDescent="0.45">
      <c r="A838" t="s">
        <v>1264</v>
      </c>
      <c r="B838">
        <v>8</v>
      </c>
      <c r="C838" t="str">
        <f>HYPERLINK("http://www.ncbi.nlm.nih.gov/protein/CAF1471924.1","CAF1471924.1")</f>
        <v>CAF1471924.1</v>
      </c>
      <c r="D838">
        <v>513812</v>
      </c>
      <c r="E838" t="str">
        <f>HYPERLINK("http://www.ncbi.nlm.nih.gov/Taxonomy/Browser/wwwtax.cgi?mode=Info&amp;id=392030&amp;lvl=3&amp;lin=f&amp;keep=1&amp;srchmode=1&amp;unlock","392030")</f>
        <v>392030</v>
      </c>
      <c r="F838" t="s">
        <v>811</v>
      </c>
      <c r="G838" t="str">
        <f>HYPERLINK("http://www.ncbi.nlm.nih.gov/Taxonomy/Browser/wwwtax.cgi?mode=Info&amp;id=392030&amp;lvl=3&amp;lin=f&amp;keep=1&amp;srchmode=1&amp;unlock","Rotaria magnacalcarata")</f>
        <v>Rotaria magnacalcarata</v>
      </c>
      <c r="H838" t="s">
        <v>812</v>
      </c>
      <c r="I838" t="str">
        <f>HYPERLINK("http://www.ncbi.nlm.nih.gov/protein/CAF1471924.1","unnamed protein product")</f>
        <v>unnamed protein product</v>
      </c>
      <c r="J838">
        <v>3702.52</v>
      </c>
      <c r="K838" t="s">
        <v>22</v>
      </c>
      <c r="L838">
        <v>276</v>
      </c>
      <c r="M838">
        <v>9.75</v>
      </c>
      <c r="N838">
        <v>35.42</v>
      </c>
      <c r="O838" t="s">
        <v>19</v>
      </c>
      <c r="P838" t="s">
        <v>20</v>
      </c>
      <c r="Q838" t="s">
        <v>19</v>
      </c>
      <c r="R838" t="str">
        <f>HYPERLINK("https://cfpub.epa.gov/ecotox/explore.cfm?ncbi=392030","Explore in ECOTOX")</f>
        <v>Explore in ECOTOX</v>
      </c>
    </row>
    <row r="839" spans="1:18" x14ac:dyDescent="0.45">
      <c r="A839" t="s">
        <v>1264</v>
      </c>
      <c r="B839">
        <v>8</v>
      </c>
      <c r="C839" t="str">
        <f>HYPERLINK("http://www.ncbi.nlm.nih.gov/protein/XP_020281092.1","XP_020281092.1")</f>
        <v>XP_020281092.1</v>
      </c>
      <c r="D839">
        <v>23521</v>
      </c>
      <c r="E839" t="str">
        <f>HYPERLINK("http://www.ncbi.nlm.nih.gov/Taxonomy/Browser/wwwtax.cgi?mode=Info&amp;id=219809&amp;lvl=3&amp;lin=f&amp;keep=1&amp;srchmode=1&amp;unlock","219809")</f>
        <v>219809</v>
      </c>
      <c r="F839" t="s">
        <v>760</v>
      </c>
      <c r="G839" t="str">
        <f>HYPERLINK("http://www.ncbi.nlm.nih.gov/Taxonomy/Browser/wwwtax.cgi?mode=Info&amp;id=219809&amp;lvl=3&amp;lin=f&amp;keep=1&amp;srchmode=1&amp;unlock","Pseudomyrmex gracilis")</f>
        <v>Pseudomyrmex gracilis</v>
      </c>
      <c r="H839" t="s">
        <v>769</v>
      </c>
      <c r="I839" t="str">
        <f>HYPERLINK("http://www.ncbi.nlm.nih.gov/protein/XP_020281092.1","ryanodine receptor isoform X21")</f>
        <v>ryanodine receptor isoform X21</v>
      </c>
      <c r="J839">
        <v>3699.06</v>
      </c>
      <c r="K839" t="s">
        <v>22</v>
      </c>
      <c r="L839">
        <v>276</v>
      </c>
      <c r="M839">
        <v>9.75</v>
      </c>
      <c r="N839">
        <v>35.380000000000003</v>
      </c>
      <c r="O839" t="s">
        <v>19</v>
      </c>
      <c r="P839" t="s">
        <v>20</v>
      </c>
      <c r="Q839" t="s">
        <v>19</v>
      </c>
      <c r="R839" t="str">
        <f>HYPERLINK("https://cfpub.epa.gov/ecotox/explore.cfm?ncbi=219809","Explore in ECOTOX")</f>
        <v>Explore in ECOTOX</v>
      </c>
    </row>
    <row r="840" spans="1:18" x14ac:dyDescent="0.45">
      <c r="A840" t="s">
        <v>1264</v>
      </c>
      <c r="B840">
        <v>8</v>
      </c>
      <c r="C840" t="str">
        <f>HYPERLINK("http://www.ncbi.nlm.nih.gov/protein/XP_053972721.1","XP_053972721.1")</f>
        <v>XP_053972721.1</v>
      </c>
      <c r="D840">
        <v>24956</v>
      </c>
      <c r="E840" t="str">
        <f>HYPERLINK("http://www.ncbi.nlm.nih.gov/Taxonomy/Browser/wwwtax.cgi?mode=Info&amp;id=313075&amp;lvl=3&amp;lin=f&amp;keep=1&amp;srchmode=1&amp;unlock","313075")</f>
        <v>313075</v>
      </c>
      <c r="F840" t="s">
        <v>760</v>
      </c>
      <c r="G840" t="str">
        <f>HYPERLINK("http://www.ncbi.nlm.nih.gov/Taxonomy/Browser/wwwtax.cgi?mode=Info&amp;id=313075&amp;lvl=3&amp;lin=f&amp;keep=1&amp;srchmode=1&amp;unlock","Hylaeus volcanicus")</f>
        <v>Hylaeus volcanicus</v>
      </c>
      <c r="H840" t="s">
        <v>775</v>
      </c>
      <c r="I840" t="str">
        <f>HYPERLINK("http://www.ncbi.nlm.nih.gov/protein/XP_053972721.1","ryanodine receptor isoform X7")</f>
        <v>ryanodine receptor isoform X7</v>
      </c>
      <c r="J840">
        <v>3698.29</v>
      </c>
      <c r="K840" t="s">
        <v>22</v>
      </c>
      <c r="L840">
        <v>276</v>
      </c>
      <c r="M840">
        <v>9.75</v>
      </c>
      <c r="N840">
        <v>35.380000000000003</v>
      </c>
      <c r="O840" t="s">
        <v>19</v>
      </c>
      <c r="P840" t="s">
        <v>20</v>
      </c>
      <c r="Q840" t="s">
        <v>19</v>
      </c>
      <c r="R840" t="str">
        <f>HYPERLINK("https://cfpub.epa.gov/ecotox/explore.cfm?ncbi=313075","Explore in ECOTOX")</f>
        <v>Explore in ECOTOX</v>
      </c>
    </row>
    <row r="841" spans="1:18" x14ac:dyDescent="0.45">
      <c r="A841" t="s">
        <v>1264</v>
      </c>
      <c r="B841">
        <v>8</v>
      </c>
      <c r="C841" t="str">
        <f>HYPERLINK("http://www.ncbi.nlm.nih.gov/protein/XP_043499297.1","XP_043499297.1")</f>
        <v>XP_043499297.1</v>
      </c>
      <c r="D841">
        <v>20977</v>
      </c>
      <c r="E841" t="str">
        <f>HYPERLINK("http://www.ncbi.nlm.nih.gov/Taxonomy/Browser/wwwtax.cgi?mode=Info&amp;id=30207&amp;lvl=3&amp;lin=f&amp;keep=1&amp;srchmode=1&amp;unlock","30207")</f>
        <v>30207</v>
      </c>
      <c r="F841" t="s">
        <v>760</v>
      </c>
      <c r="G841" t="str">
        <f>HYPERLINK("http://www.ncbi.nlm.nih.gov/Taxonomy/Browser/wwwtax.cgi?mode=Info&amp;id=30207&amp;lvl=3&amp;lin=f&amp;keep=1&amp;srchmode=1&amp;unlock","Polistes fuscatus")</f>
        <v>Polistes fuscatus</v>
      </c>
      <c r="H841" t="s">
        <v>813</v>
      </c>
      <c r="I841" t="str">
        <f>HYPERLINK("http://www.ncbi.nlm.nih.gov/protein/XP_043499297.1","ryanodine receptor isoform X3")</f>
        <v>ryanodine receptor isoform X3</v>
      </c>
      <c r="J841">
        <v>3697.52</v>
      </c>
      <c r="K841" t="s">
        <v>22</v>
      </c>
      <c r="L841">
        <v>276</v>
      </c>
      <c r="M841">
        <v>9.75</v>
      </c>
      <c r="N841">
        <v>35.369999999999997</v>
      </c>
      <c r="O841" t="s">
        <v>19</v>
      </c>
      <c r="P841" t="s">
        <v>20</v>
      </c>
      <c r="Q841" t="s">
        <v>19</v>
      </c>
      <c r="R841" t="str">
        <f>HYPERLINK("https://cfpub.epa.gov/ecotox/explore.cfm?ncbi=30207","Explore in ECOTOX")</f>
        <v>Explore in ECOTOX</v>
      </c>
    </row>
    <row r="842" spans="1:18" x14ac:dyDescent="0.45">
      <c r="A842" t="s">
        <v>1264</v>
      </c>
      <c r="B842">
        <v>8</v>
      </c>
      <c r="C842" t="str">
        <f>HYPERLINK("http://www.ncbi.nlm.nih.gov/protein/XP_014476815.1","XP_014476815.1")</f>
        <v>XP_014476815.1</v>
      </c>
      <c r="D842">
        <v>22424</v>
      </c>
      <c r="E842" t="str">
        <f>HYPERLINK("http://www.ncbi.nlm.nih.gov/Taxonomy/Browser/wwwtax.cgi?mode=Info&amp;id=609295&amp;lvl=3&amp;lin=f&amp;keep=1&amp;srchmode=1&amp;unlock","609295")</f>
        <v>609295</v>
      </c>
      <c r="F842" t="s">
        <v>760</v>
      </c>
      <c r="G842" t="str">
        <f>HYPERLINK("http://www.ncbi.nlm.nih.gov/Taxonomy/Browser/wwwtax.cgi?mode=Info&amp;id=609295&amp;lvl=3&amp;lin=f&amp;keep=1&amp;srchmode=1&amp;unlock","Dinoponera quadriceps")</f>
        <v>Dinoponera quadriceps</v>
      </c>
      <c r="H842" t="s">
        <v>769</v>
      </c>
      <c r="I842" t="str">
        <f>HYPERLINK("http://www.ncbi.nlm.nih.gov/protein/XP_014476815.1","PREDICTED: ryanodine receptor isoform X5")</f>
        <v>PREDICTED: ryanodine receptor isoform X5</v>
      </c>
      <c r="J842">
        <v>3697.13</v>
      </c>
      <c r="K842" t="s">
        <v>22</v>
      </c>
      <c r="L842">
        <v>276</v>
      </c>
      <c r="M842">
        <v>9.75</v>
      </c>
      <c r="N842">
        <v>35.369999999999997</v>
      </c>
      <c r="O842" t="s">
        <v>19</v>
      </c>
      <c r="P842" t="s">
        <v>20</v>
      </c>
      <c r="Q842" t="s">
        <v>19</v>
      </c>
      <c r="R842" t="str">
        <f>HYPERLINK("https://cfpub.epa.gov/ecotox/explore.cfm?ncbi=609295","Explore in ECOTOX")</f>
        <v>Explore in ECOTOX</v>
      </c>
    </row>
    <row r="843" spans="1:18" x14ac:dyDescent="0.45">
      <c r="A843" t="s">
        <v>1264</v>
      </c>
      <c r="B843">
        <v>8</v>
      </c>
      <c r="C843" t="str">
        <f>HYPERLINK("http://www.ncbi.nlm.nih.gov/protein/XP_026830185.1","XP_026830185.1")</f>
        <v>XP_026830185.1</v>
      </c>
      <c r="D843">
        <v>53815</v>
      </c>
      <c r="E843" t="str">
        <f>HYPERLINK("http://www.ncbi.nlm.nih.gov/Taxonomy/Browser/wwwtax.cgi?mode=Info&amp;id=2015173&amp;lvl=3&amp;lin=f&amp;keep=1&amp;srchmode=1&amp;unlock","2015173")</f>
        <v>2015173</v>
      </c>
      <c r="F843" t="s">
        <v>760</v>
      </c>
      <c r="G843" t="str">
        <f>HYPERLINK("http://www.ncbi.nlm.nih.gov/Taxonomy/Browser/wwwtax.cgi?mode=Info&amp;id=2015173&amp;lvl=3&amp;lin=f&amp;keep=1&amp;srchmode=1&amp;unlock","Ooceraea biroi")</f>
        <v>Ooceraea biroi</v>
      </c>
      <c r="H843" t="s">
        <v>814</v>
      </c>
      <c r="I843" t="str">
        <f>HYPERLINK("http://www.ncbi.nlm.nih.gov/protein/XP_026830185.1","ryanodine receptor isoform X20")</f>
        <v>ryanodine receptor isoform X20</v>
      </c>
      <c r="J843">
        <v>3692.89</v>
      </c>
      <c r="K843" t="s">
        <v>22</v>
      </c>
      <c r="L843">
        <v>276</v>
      </c>
      <c r="M843">
        <v>9.75</v>
      </c>
      <c r="N843">
        <v>35.33</v>
      </c>
      <c r="O843" t="s">
        <v>19</v>
      </c>
      <c r="P843" t="s">
        <v>20</v>
      </c>
      <c r="Q843" t="s">
        <v>19</v>
      </c>
      <c r="R843" t="str">
        <f>HYPERLINK("https://cfpub.epa.gov/ecotox/explore.cfm?ncbi=2015173","Explore in ECOTOX")</f>
        <v>Explore in ECOTOX</v>
      </c>
    </row>
    <row r="844" spans="1:18" x14ac:dyDescent="0.45">
      <c r="A844" t="s">
        <v>1264</v>
      </c>
      <c r="B844">
        <v>8</v>
      </c>
      <c r="C844" t="str">
        <f>HYPERLINK("http://www.ncbi.nlm.nih.gov/protein/CAF3688837.1","CAF3688837.1")</f>
        <v>CAF3688837.1</v>
      </c>
      <c r="D844">
        <v>412302</v>
      </c>
      <c r="E844" t="str">
        <f>HYPERLINK("http://www.ncbi.nlm.nih.gov/Taxonomy/Browser/wwwtax.cgi?mode=Info&amp;id=433720&amp;lvl=3&amp;lin=f&amp;keep=1&amp;srchmode=1&amp;unlock","433720")</f>
        <v>433720</v>
      </c>
      <c r="F844" t="s">
        <v>811</v>
      </c>
      <c r="G844" t="str">
        <f>HYPERLINK("http://www.ncbi.nlm.nih.gov/Taxonomy/Browser/wwwtax.cgi?mode=Info&amp;id=433720&amp;lvl=3&amp;lin=f&amp;keep=1&amp;srchmode=1&amp;unlock","Adineta steineri")</f>
        <v>Adineta steineri</v>
      </c>
      <c r="H844" t="s">
        <v>812</v>
      </c>
      <c r="I844" t="str">
        <f>HYPERLINK("http://www.ncbi.nlm.nih.gov/protein/CAF3688837.1","unnamed protein product")</f>
        <v>unnamed protein product</v>
      </c>
      <c r="J844">
        <v>3692.51</v>
      </c>
      <c r="K844" t="s">
        <v>22</v>
      </c>
      <c r="L844">
        <v>276</v>
      </c>
      <c r="M844">
        <v>9.75</v>
      </c>
      <c r="N844">
        <v>35.32</v>
      </c>
      <c r="O844" t="s">
        <v>19</v>
      </c>
      <c r="P844" t="s">
        <v>20</v>
      </c>
      <c r="Q844" t="s">
        <v>19</v>
      </c>
      <c r="R844" t="str">
        <f>HYPERLINK("https://cfpub.epa.gov/ecotox/explore.cfm?ncbi=433720","Explore in ECOTOX")</f>
        <v>Explore in ECOTOX</v>
      </c>
    </row>
    <row r="845" spans="1:18" x14ac:dyDescent="0.45">
      <c r="A845" t="s">
        <v>1264</v>
      </c>
      <c r="B845">
        <v>8</v>
      </c>
      <c r="C845" t="str">
        <f>HYPERLINK("http://www.ncbi.nlm.nih.gov/protein/XP_012136718.1","XP_012136718.1")</f>
        <v>XP_012136718.1</v>
      </c>
      <c r="D845">
        <v>26091</v>
      </c>
      <c r="E845" t="str">
        <f>HYPERLINK("http://www.ncbi.nlm.nih.gov/Taxonomy/Browser/wwwtax.cgi?mode=Info&amp;id=143995&amp;lvl=3&amp;lin=f&amp;keep=1&amp;srchmode=1&amp;unlock","143995")</f>
        <v>143995</v>
      </c>
      <c r="F845" t="s">
        <v>760</v>
      </c>
      <c r="G845" t="str">
        <f>HYPERLINK("http://www.ncbi.nlm.nih.gov/Taxonomy/Browser/wwwtax.cgi?mode=Info&amp;id=143995&amp;lvl=3&amp;lin=f&amp;keep=1&amp;srchmode=1&amp;unlock","Megachile rotundata")</f>
        <v>Megachile rotundata</v>
      </c>
      <c r="H845" t="s">
        <v>815</v>
      </c>
      <c r="I845" t="str">
        <f>HYPERLINK("http://www.ncbi.nlm.nih.gov/protein/XP_012136718.1","PREDICTED: ryanodine receptor 44F isoform X6")</f>
        <v>PREDICTED: ryanodine receptor 44F isoform X6</v>
      </c>
      <c r="J845">
        <v>3692.12</v>
      </c>
      <c r="K845" t="s">
        <v>22</v>
      </c>
      <c r="L845">
        <v>276</v>
      </c>
      <c r="M845">
        <v>9.75</v>
      </c>
      <c r="N845">
        <v>35.32</v>
      </c>
      <c r="O845" t="s">
        <v>19</v>
      </c>
      <c r="P845" t="s">
        <v>20</v>
      </c>
      <c r="Q845" t="s">
        <v>19</v>
      </c>
      <c r="R845" t="str">
        <f>HYPERLINK("https://cfpub.epa.gov/ecotox/explore.cfm?ncbi=143995","Explore in ECOTOX")</f>
        <v>Explore in ECOTOX</v>
      </c>
    </row>
    <row r="846" spans="1:18" x14ac:dyDescent="0.45">
      <c r="A846" t="s">
        <v>1264</v>
      </c>
      <c r="B846">
        <v>8</v>
      </c>
      <c r="C846" t="str">
        <f>HYPERLINK("http://www.ncbi.nlm.nih.gov/protein/KAH0951098.1","KAH0951098.1")</f>
        <v>KAH0951098.1</v>
      </c>
      <c r="D846">
        <v>12585</v>
      </c>
      <c r="E846" t="str">
        <f>HYPERLINK("http://www.ncbi.nlm.nih.gov/Taxonomy/Browser/wwwtax.cgi?mode=Info&amp;id=213866&amp;lvl=3&amp;lin=f&amp;keep=1&amp;srchmode=1&amp;unlock","213866")</f>
        <v>213866</v>
      </c>
      <c r="F846" t="s">
        <v>760</v>
      </c>
      <c r="G846" t="str">
        <f>HYPERLINK("http://www.ncbi.nlm.nih.gov/Taxonomy/Browser/wwwtax.cgi?mode=Info&amp;id=213866&amp;lvl=3&amp;lin=f&amp;keep=1&amp;srchmode=1&amp;unlock","Eciton burchellii")</f>
        <v>Eciton burchellii</v>
      </c>
      <c r="H846" t="s">
        <v>769</v>
      </c>
      <c r="I846" t="str">
        <f>HYPERLINK("http://www.ncbi.nlm.nih.gov/protein/KAH0951098.1","hypothetical protein HN011_002469")</f>
        <v>hypothetical protein HN011_002469</v>
      </c>
      <c r="J846">
        <v>3688.66</v>
      </c>
      <c r="K846" t="s">
        <v>22</v>
      </c>
      <c r="L846">
        <v>276</v>
      </c>
      <c r="M846">
        <v>9.75</v>
      </c>
      <c r="N846">
        <v>35.29</v>
      </c>
      <c r="O846" t="s">
        <v>19</v>
      </c>
      <c r="P846" t="s">
        <v>20</v>
      </c>
      <c r="Q846" t="s">
        <v>19</v>
      </c>
      <c r="R846" t="str">
        <f>HYPERLINK("https://cfpub.epa.gov/ecotox/explore.cfm?ncbi=213866","Explore in ECOTOX")</f>
        <v>Explore in ECOTOX</v>
      </c>
    </row>
    <row r="847" spans="1:18" x14ac:dyDescent="0.45">
      <c r="A847" t="s">
        <v>1264</v>
      </c>
      <c r="B847">
        <v>8</v>
      </c>
      <c r="C847" t="str">
        <f>HYPERLINK("http://www.ncbi.nlm.nih.gov/protein/XP_012063211.1","XP_012063211.1")</f>
        <v>XP_012063211.1</v>
      </c>
      <c r="D847">
        <v>10769</v>
      </c>
      <c r="E847" t="str">
        <f>HYPERLINK("http://www.ncbi.nlm.nih.gov/Taxonomy/Browser/wwwtax.cgi?mode=Info&amp;id=12957&amp;lvl=3&amp;lin=f&amp;keep=1&amp;srchmode=1&amp;unlock","12957")</f>
        <v>12957</v>
      </c>
      <c r="F847" t="s">
        <v>760</v>
      </c>
      <c r="G847" t="str">
        <f>HYPERLINK("http://www.ncbi.nlm.nih.gov/Taxonomy/Browser/wwwtax.cgi?mode=Info&amp;id=12957&amp;lvl=3&amp;lin=f&amp;keep=1&amp;srchmode=1&amp;unlock","Atta cephalotes")</f>
        <v>Atta cephalotes</v>
      </c>
      <c r="H847" t="s">
        <v>809</v>
      </c>
      <c r="I847" t="str">
        <f>HYPERLINK("http://www.ncbi.nlm.nih.gov/protein/XP_012063211.1","PREDICTED: ryanodine receptor 44F")</f>
        <v>PREDICTED: ryanodine receptor 44F</v>
      </c>
      <c r="J847">
        <v>3683.65</v>
      </c>
      <c r="K847" t="s">
        <v>22</v>
      </c>
      <c r="L847">
        <v>276</v>
      </c>
      <c r="M847">
        <v>9.75</v>
      </c>
      <c r="N847">
        <v>35.24</v>
      </c>
      <c r="O847" t="s">
        <v>19</v>
      </c>
      <c r="P847" t="s">
        <v>20</v>
      </c>
      <c r="Q847" t="s">
        <v>19</v>
      </c>
      <c r="R847" t="str">
        <f>HYPERLINK("https://cfpub.epa.gov/ecotox/explore.cfm?ncbi=12957","Explore in ECOTOX")</f>
        <v>Explore in ECOTOX</v>
      </c>
    </row>
    <row r="848" spans="1:18" x14ac:dyDescent="0.45">
      <c r="A848" t="s">
        <v>1264</v>
      </c>
      <c r="B848">
        <v>8</v>
      </c>
      <c r="C848" t="str">
        <f>HYPERLINK("http://www.ncbi.nlm.nih.gov/protein/PBC34336.1","PBC34336.1")</f>
        <v>PBC34336.1</v>
      </c>
      <c r="D848">
        <v>10318</v>
      </c>
      <c r="E848" t="str">
        <f>HYPERLINK("http://www.ncbi.nlm.nih.gov/Taxonomy/Browser/wwwtax.cgi?mode=Info&amp;id=94128&amp;lvl=3&amp;lin=f&amp;keep=1&amp;srchmode=1&amp;unlock","94128")</f>
        <v>94128</v>
      </c>
      <c r="F848" t="s">
        <v>760</v>
      </c>
      <c r="G848" t="str">
        <f>HYPERLINK("http://www.ncbi.nlm.nih.gov/Taxonomy/Browser/wwwtax.cgi?mode=Info&amp;id=94128&amp;lvl=3&amp;lin=f&amp;keep=1&amp;srchmode=1&amp;unlock","Apis cerana cerana")</f>
        <v>Apis cerana cerana</v>
      </c>
      <c r="H848" t="s">
        <v>816</v>
      </c>
      <c r="I848" t="str">
        <f>HYPERLINK("http://www.ncbi.nlm.nih.gov/protein/PBC34336.1","Ryanodine receptor 44F")</f>
        <v>Ryanodine receptor 44F</v>
      </c>
      <c r="J848">
        <v>3678.26</v>
      </c>
      <c r="K848" t="s">
        <v>19</v>
      </c>
      <c r="L848">
        <v>276</v>
      </c>
      <c r="M848">
        <v>9.75</v>
      </c>
      <c r="N848">
        <v>35.19</v>
      </c>
      <c r="O848" t="s">
        <v>19</v>
      </c>
      <c r="P848" t="s">
        <v>20</v>
      </c>
      <c r="Q848" t="s">
        <v>19</v>
      </c>
      <c r="R848" t="str">
        <f>HYPERLINK("https://cfpub.epa.gov/ecotox/explore.cfm?ncbi=94128","Explore in ECOTOX")</f>
        <v>Explore in ECOTOX</v>
      </c>
    </row>
    <row r="849" spans="1:18" x14ac:dyDescent="0.45">
      <c r="A849" t="s">
        <v>1264</v>
      </c>
      <c r="B849">
        <v>8</v>
      </c>
      <c r="C849" t="str">
        <f>HYPERLINK("http://www.ncbi.nlm.nih.gov/protein/XP_050457342.1","XP_050457342.1")</f>
        <v>XP_050457342.1</v>
      </c>
      <c r="D849">
        <v>22436</v>
      </c>
      <c r="E849" t="str">
        <f>HYPERLINK("http://www.ncbi.nlm.nih.gov/Taxonomy/Browser/wwwtax.cgi?mode=Info&amp;id=1086592&amp;lvl=3&amp;lin=f&amp;keep=1&amp;srchmode=1&amp;unlock","1086592")</f>
        <v>1086592</v>
      </c>
      <c r="F849" t="s">
        <v>760</v>
      </c>
      <c r="G849" t="str">
        <f>HYPERLINK("http://www.ncbi.nlm.nih.gov/Taxonomy/Browser/wwwtax.cgi?mode=Info&amp;id=1086592&amp;lvl=3&amp;lin=f&amp;keep=1&amp;srchmode=1&amp;unlock","Cataglyphis hispanica")</f>
        <v>Cataglyphis hispanica</v>
      </c>
      <c r="H849" t="s">
        <v>769</v>
      </c>
      <c r="I849" t="str">
        <f>HYPERLINK("http://www.ncbi.nlm.nih.gov/protein/XP_050457342.1","ryanodine receptor isoform X10")</f>
        <v>ryanodine receptor isoform X10</v>
      </c>
      <c r="J849">
        <v>3675.17</v>
      </c>
      <c r="K849" t="s">
        <v>22</v>
      </c>
      <c r="L849">
        <v>276</v>
      </c>
      <c r="M849">
        <v>9.75</v>
      </c>
      <c r="N849">
        <v>35.159999999999997</v>
      </c>
      <c r="O849" t="s">
        <v>19</v>
      </c>
      <c r="P849" t="s">
        <v>20</v>
      </c>
      <c r="Q849" t="s">
        <v>19</v>
      </c>
      <c r="R849" t="str">
        <f>HYPERLINK("https://cfpub.epa.gov/ecotox/explore.cfm?ncbi=1086592","Explore in ECOTOX")</f>
        <v>Explore in ECOTOX</v>
      </c>
    </row>
    <row r="850" spans="1:18" x14ac:dyDescent="0.45">
      <c r="A850" t="s">
        <v>1264</v>
      </c>
      <c r="B850">
        <v>8</v>
      </c>
      <c r="C850" t="str">
        <f>HYPERLINK("http://www.ncbi.nlm.nih.gov/protein/KAK1131229.1","KAK1131229.1")</f>
        <v>KAK1131229.1</v>
      </c>
      <c r="D850">
        <v>21376</v>
      </c>
      <c r="E850" t="str">
        <f>HYPERLINK("http://www.ncbi.nlm.nih.gov/Taxonomy/Browser/wwwtax.cgi?mode=Info&amp;id=60889&amp;lvl=3&amp;lin=f&amp;keep=1&amp;srchmode=1&amp;unlock","60889")</f>
        <v>60889</v>
      </c>
      <c r="F850" t="s">
        <v>760</v>
      </c>
      <c r="G850" t="str">
        <f>HYPERLINK("http://www.ncbi.nlm.nih.gov/Taxonomy/Browser/wwwtax.cgi?mode=Info&amp;id=60889&amp;lvl=3&amp;lin=f&amp;keep=1&amp;srchmode=1&amp;unlock","Melipona bicolor")</f>
        <v>Melipona bicolor</v>
      </c>
      <c r="H850" t="s">
        <v>817</v>
      </c>
      <c r="I850" t="str">
        <f>HYPERLINK("http://www.ncbi.nlm.nih.gov/protein/KAK1131229.1","hypothetical protein K0M31_017517")</f>
        <v>hypothetical protein K0M31_017517</v>
      </c>
      <c r="J850">
        <v>3668.63</v>
      </c>
      <c r="K850" t="s">
        <v>22</v>
      </c>
      <c r="L850">
        <v>276</v>
      </c>
      <c r="M850">
        <v>9.75</v>
      </c>
      <c r="N850">
        <v>35.090000000000003</v>
      </c>
      <c r="O850" t="s">
        <v>19</v>
      </c>
      <c r="P850" t="s">
        <v>20</v>
      </c>
      <c r="Q850" t="s">
        <v>19</v>
      </c>
      <c r="R850" t="str">
        <f>HYPERLINK("https://cfpub.epa.gov/ecotox/explore.cfm?ncbi=60889","Explore in ECOTOX")</f>
        <v>Explore in ECOTOX</v>
      </c>
    </row>
    <row r="851" spans="1:18" x14ac:dyDescent="0.45">
      <c r="A851" t="s">
        <v>1264</v>
      </c>
      <c r="B851">
        <v>8</v>
      </c>
      <c r="C851" t="str">
        <f>HYPERLINK("http://www.ncbi.nlm.nih.gov/protein/XP_011054963.1","XP_011054963.1")</f>
        <v>XP_011054963.1</v>
      </c>
      <c r="D851">
        <v>34211</v>
      </c>
      <c r="E851" t="str">
        <f>HYPERLINK("http://www.ncbi.nlm.nih.gov/Taxonomy/Browser/wwwtax.cgi?mode=Info&amp;id=103372&amp;lvl=3&amp;lin=f&amp;keep=1&amp;srchmode=1&amp;unlock","103372")</f>
        <v>103372</v>
      </c>
      <c r="F851" t="s">
        <v>760</v>
      </c>
      <c r="G851" t="str">
        <f>HYPERLINK("http://www.ncbi.nlm.nih.gov/Taxonomy/Browser/wwwtax.cgi?mode=Info&amp;id=103372&amp;lvl=3&amp;lin=f&amp;keep=1&amp;srchmode=1&amp;unlock","Acromyrmex echinatior")</f>
        <v>Acromyrmex echinatior</v>
      </c>
      <c r="H851" t="s">
        <v>818</v>
      </c>
      <c r="I851" t="str">
        <f>HYPERLINK("http://www.ncbi.nlm.nih.gov/protein/XP_011054963.1","PREDICTED: LOW QUALITY PROTEIN: ryanodine receptor 44F")</f>
        <v>PREDICTED: LOW QUALITY PROTEIN: ryanodine receptor 44F</v>
      </c>
      <c r="J851">
        <v>3665.16</v>
      </c>
      <c r="K851" t="s">
        <v>22</v>
      </c>
      <c r="L851">
        <v>276</v>
      </c>
      <c r="M851">
        <v>9.75</v>
      </c>
      <c r="N851">
        <v>35.06</v>
      </c>
      <c r="O851" t="s">
        <v>19</v>
      </c>
      <c r="P851" t="s">
        <v>20</v>
      </c>
      <c r="Q851" t="s">
        <v>19</v>
      </c>
      <c r="R851" t="str">
        <f>HYPERLINK("https://cfpub.epa.gov/ecotox/explore.cfm?ncbi=103372","Explore in ECOTOX")</f>
        <v>Explore in ECOTOX</v>
      </c>
    </row>
    <row r="852" spans="1:18" x14ac:dyDescent="0.45">
      <c r="A852" t="s">
        <v>1264</v>
      </c>
      <c r="B852">
        <v>8</v>
      </c>
      <c r="C852" t="str">
        <f>HYPERLINK("http://www.ncbi.nlm.nih.gov/protein/KYN50349.1","KYN50349.1")</f>
        <v>KYN50349.1</v>
      </c>
      <c r="D852">
        <v>31343</v>
      </c>
      <c r="E852" t="str">
        <f>HYPERLINK("http://www.ncbi.nlm.nih.gov/Taxonomy/Browser/wwwtax.cgi?mode=Info&amp;id=456900&amp;lvl=3&amp;lin=f&amp;keep=1&amp;srchmode=1&amp;unlock","456900")</f>
        <v>456900</v>
      </c>
      <c r="F852" t="s">
        <v>760</v>
      </c>
      <c r="G852" t="str">
        <f>HYPERLINK("http://www.ncbi.nlm.nih.gov/Taxonomy/Browser/wwwtax.cgi?mode=Info&amp;id=456900&amp;lvl=3&amp;lin=f&amp;keep=1&amp;srchmode=1&amp;unlock","Cyphomyrmex costatus")</f>
        <v>Cyphomyrmex costatus</v>
      </c>
      <c r="H852" t="s">
        <v>769</v>
      </c>
      <c r="I852" t="str">
        <f>HYPERLINK("http://www.ncbi.nlm.nih.gov/protein/KYN50349.1","Ryanodine receptor 44F")</f>
        <v>Ryanodine receptor 44F</v>
      </c>
      <c r="J852">
        <v>3641.28</v>
      </c>
      <c r="K852" t="s">
        <v>22</v>
      </c>
      <c r="L852">
        <v>276</v>
      </c>
      <c r="M852">
        <v>9.75</v>
      </c>
      <c r="N852">
        <v>34.83</v>
      </c>
      <c r="O852" t="s">
        <v>19</v>
      </c>
      <c r="P852" t="s">
        <v>20</v>
      </c>
      <c r="Q852" t="s">
        <v>19</v>
      </c>
      <c r="R852" t="str">
        <f>HYPERLINK("https://cfpub.epa.gov/ecotox/explore.cfm?ncbi=456900","Explore in ECOTOX")</f>
        <v>Explore in ECOTOX</v>
      </c>
    </row>
    <row r="853" spans="1:18" x14ac:dyDescent="0.45">
      <c r="A853" t="s">
        <v>1264</v>
      </c>
      <c r="B853">
        <v>8</v>
      </c>
      <c r="C853" t="str">
        <f>HYPERLINK("http://www.ncbi.nlm.nih.gov/protein/XP_059488121.1","XP_059488121.1")</f>
        <v>XP_059488121.1</v>
      </c>
      <c r="D853">
        <v>23097</v>
      </c>
      <c r="E853" t="str">
        <f>HYPERLINK("http://www.ncbi.nlm.nih.gov/Taxonomy/Browser/wwwtax.cgi?mode=Info&amp;id=2078957&amp;lvl=3&amp;lin=f&amp;keep=1&amp;srchmode=1&amp;unlock","2078957")</f>
        <v>2078957</v>
      </c>
      <c r="F853" t="s">
        <v>760</v>
      </c>
      <c r="G853" t="str">
        <f>HYPERLINK("http://www.ncbi.nlm.nih.gov/Taxonomy/Browser/wwwtax.cgi?mode=Info&amp;id=2078957&amp;lvl=3&amp;lin=f&amp;keep=1&amp;srchmode=1&amp;unlock","Neocloeon triangulifer")</f>
        <v>Neocloeon triangulifer</v>
      </c>
      <c r="H853" t="s">
        <v>819</v>
      </c>
      <c r="I853" t="str">
        <f>HYPERLINK("http://www.ncbi.nlm.nih.gov/protein/XP_059488121.1","LOW QUALITY PROTEIN: ryanodine receptor")</f>
        <v>LOW QUALITY PROTEIN: ryanodine receptor</v>
      </c>
      <c r="J853">
        <v>3640.89</v>
      </c>
      <c r="K853" t="s">
        <v>22</v>
      </c>
      <c r="L853">
        <v>276</v>
      </c>
      <c r="M853">
        <v>9.75</v>
      </c>
      <c r="N853">
        <v>34.83</v>
      </c>
      <c r="O853" t="s">
        <v>19</v>
      </c>
      <c r="P853" t="s">
        <v>20</v>
      </c>
      <c r="Q853" t="s">
        <v>19</v>
      </c>
      <c r="R853" t="str">
        <f>HYPERLINK("https://cfpub.epa.gov/ecotox/explore.cfm?ncbi=2078957","Explore in ECOTOX")</f>
        <v>Explore in ECOTOX</v>
      </c>
    </row>
    <row r="854" spans="1:18" x14ac:dyDescent="0.45">
      <c r="A854" t="s">
        <v>1264</v>
      </c>
      <c r="B854">
        <v>8</v>
      </c>
      <c r="C854" t="str">
        <f>HYPERLINK("http://www.ncbi.nlm.nih.gov/protein/KAJ8780551.1","KAJ8780551.1")</f>
        <v>KAJ8780551.1</v>
      </c>
      <c r="D854">
        <v>34482</v>
      </c>
      <c r="E854" t="str">
        <f>HYPERLINK("http://www.ncbi.nlm.nih.gov/Taxonomy/Browser/wwwtax.cgi?mode=Info&amp;id=9764&amp;lvl=3&amp;lin=f&amp;keep=1&amp;srchmode=1&amp;unlock","9764")</f>
        <v>9764</v>
      </c>
      <c r="F854" t="s">
        <v>96</v>
      </c>
      <c r="G854" t="str">
        <f>HYPERLINK("http://www.ncbi.nlm.nih.gov/Taxonomy/Browser/wwwtax.cgi?mode=Info&amp;id=9764&amp;lvl=3&amp;lin=f&amp;keep=1&amp;srchmode=1&amp;unlock","Eschrichtius robustus")</f>
        <v>Eschrichtius robustus</v>
      </c>
      <c r="H854" t="s">
        <v>820</v>
      </c>
      <c r="I854" t="str">
        <f>HYPERLINK("http://www.ncbi.nlm.nih.gov/protein/KAJ8780551.1","hypothetical protein J1605_011466")</f>
        <v>hypothetical protein J1605_011466</v>
      </c>
      <c r="J854">
        <v>3604.68</v>
      </c>
      <c r="K854" t="s">
        <v>22</v>
      </c>
      <c r="L854">
        <v>276</v>
      </c>
      <c r="M854">
        <v>9.75</v>
      </c>
      <c r="N854">
        <v>34.479999999999997</v>
      </c>
      <c r="O854" t="s">
        <v>19</v>
      </c>
      <c r="P854" t="s">
        <v>20</v>
      </c>
      <c r="Q854" t="s">
        <v>19</v>
      </c>
      <c r="R854" t="str">
        <f>HYPERLINK("https://cfpub.epa.gov/ecotox/explore.cfm?ncbi=9764","Explore in ECOTOX")</f>
        <v>Explore in ECOTOX</v>
      </c>
    </row>
    <row r="855" spans="1:18" x14ac:dyDescent="0.45">
      <c r="A855" t="s">
        <v>1264</v>
      </c>
      <c r="B855">
        <v>8</v>
      </c>
      <c r="C855" t="str">
        <f>HYPERLINK("http://www.ncbi.nlm.nih.gov/protein/XP_047491807.1","XP_047491807.1")</f>
        <v>XP_047491807.1</v>
      </c>
      <c r="D855">
        <v>35168</v>
      </c>
      <c r="E855" t="str">
        <f>HYPERLINK("http://www.ncbi.nlm.nih.gov/Taxonomy/Browser/wwwtax.cgi?mode=Info&amp;id=139456&amp;lvl=3&amp;lin=f&amp;keep=1&amp;srchmode=1&amp;unlock","139456")</f>
        <v>139456</v>
      </c>
      <c r="F855" t="s">
        <v>779</v>
      </c>
      <c r="G855" t="str">
        <f>HYPERLINK("http://www.ncbi.nlm.nih.gov/Taxonomy/Browser/wwwtax.cgi?mode=Info&amp;id=139456&amp;lvl=3&amp;lin=f&amp;keep=1&amp;srchmode=1&amp;unlock","Penaeus chinensis")</f>
        <v>Penaeus chinensis</v>
      </c>
      <c r="H855" t="s">
        <v>821</v>
      </c>
      <c r="I855" t="str">
        <f>HYPERLINK("http://www.ncbi.nlm.nih.gov/protein/XP_047491807.1","LOW QUALITY PROTEIN: ryanodine receptor-like")</f>
        <v>LOW QUALITY PROTEIN: ryanodine receptor-like</v>
      </c>
      <c r="J855">
        <v>3584.65</v>
      </c>
      <c r="K855" t="s">
        <v>22</v>
      </c>
      <c r="L855">
        <v>276</v>
      </c>
      <c r="M855">
        <v>9.75</v>
      </c>
      <c r="N855">
        <v>34.29</v>
      </c>
      <c r="O855" t="s">
        <v>19</v>
      </c>
      <c r="P855" t="s">
        <v>20</v>
      </c>
      <c r="Q855" t="s">
        <v>19</v>
      </c>
      <c r="R855" t="str">
        <f>HYPERLINK("https://cfpub.epa.gov/ecotox/explore.cfm?ncbi=139456","Explore in ECOTOX")</f>
        <v>Explore in ECOTOX</v>
      </c>
    </row>
    <row r="856" spans="1:18" x14ac:dyDescent="0.45">
      <c r="A856" t="s">
        <v>1264</v>
      </c>
      <c r="B856">
        <v>8</v>
      </c>
      <c r="C856" t="str">
        <f>HYPERLINK("http://www.ncbi.nlm.nih.gov/protein/XP_009510893.1","XP_009510893.1")</f>
        <v>XP_009510893.1</v>
      </c>
      <c r="D856">
        <v>26167</v>
      </c>
      <c r="E856" t="str">
        <f>HYPERLINK("http://www.ncbi.nlm.nih.gov/Taxonomy/Browser/wwwtax.cgi?mode=Info&amp;id=9209&amp;lvl=3&amp;lin=f&amp;keep=1&amp;srchmode=1&amp;unlock","9209")</f>
        <v>9209</v>
      </c>
      <c r="F856" t="s">
        <v>241</v>
      </c>
      <c r="G856" t="str">
        <f>HYPERLINK("http://www.ncbi.nlm.nih.gov/Taxonomy/Browser/wwwtax.cgi?mode=Info&amp;id=9209&amp;lvl=3&amp;lin=f&amp;keep=1&amp;srchmode=1&amp;unlock","Phalacrocorax carbo")</f>
        <v>Phalacrocorax carbo</v>
      </c>
      <c r="H856" t="s">
        <v>822</v>
      </c>
      <c r="I856" t="str">
        <f>HYPERLINK("http://www.ncbi.nlm.nih.gov/protein/XP_009510893.1","PREDICTED: ryanodine receptor 2, partial")</f>
        <v>PREDICTED: ryanodine receptor 2, partial</v>
      </c>
      <c r="J856">
        <v>3559.23</v>
      </c>
      <c r="K856" t="s">
        <v>22</v>
      </c>
      <c r="L856">
        <v>276</v>
      </c>
      <c r="M856">
        <v>9.75</v>
      </c>
      <c r="N856">
        <v>34.049999999999997</v>
      </c>
      <c r="O856" t="s">
        <v>19</v>
      </c>
      <c r="P856" t="s">
        <v>20</v>
      </c>
      <c r="Q856" t="s">
        <v>19</v>
      </c>
      <c r="R856" t="str">
        <f>HYPERLINK("https://cfpub.epa.gov/ecotox/explore.cfm?ncbi=9209","Explore in ECOTOX")</f>
        <v>Explore in ECOTOX</v>
      </c>
    </row>
    <row r="857" spans="1:18" x14ac:dyDescent="0.45">
      <c r="A857" t="s">
        <v>1264</v>
      </c>
      <c r="B857">
        <v>8</v>
      </c>
      <c r="C857" t="str">
        <f>HYPERLINK("http://www.ncbi.nlm.nih.gov/protein/XP_010016644.1","XP_010016644.1")</f>
        <v>XP_010016644.1</v>
      </c>
      <c r="D857">
        <v>27838</v>
      </c>
      <c r="E857" t="str">
        <f>HYPERLINK("http://www.ncbi.nlm.nih.gov/Taxonomy/Browser/wwwtax.cgi?mode=Info&amp;id=176057&amp;lvl=3&amp;lin=f&amp;keep=1&amp;srchmode=1&amp;unlock","176057")</f>
        <v>176057</v>
      </c>
      <c r="F857" t="s">
        <v>241</v>
      </c>
      <c r="G857" t="str">
        <f>HYPERLINK("http://www.ncbi.nlm.nih.gov/Taxonomy/Browser/wwwtax.cgi?mode=Info&amp;id=176057&amp;lvl=3&amp;lin=f&amp;keep=1&amp;srchmode=1&amp;unlock","Nestor notabilis")</f>
        <v>Nestor notabilis</v>
      </c>
      <c r="H857" t="s">
        <v>823</v>
      </c>
      <c r="I857" t="str">
        <f>HYPERLINK("http://www.ncbi.nlm.nih.gov/protein/XP_010016644.1","PREDICTED: ryanodine receptor 3, partial")</f>
        <v>PREDICTED: ryanodine receptor 3, partial</v>
      </c>
      <c r="J857">
        <v>3507.61</v>
      </c>
      <c r="K857" t="s">
        <v>22</v>
      </c>
      <c r="L857">
        <v>276</v>
      </c>
      <c r="M857">
        <v>9.75</v>
      </c>
      <c r="N857">
        <v>33.549999999999997</v>
      </c>
      <c r="O857" t="s">
        <v>19</v>
      </c>
      <c r="P857" t="s">
        <v>20</v>
      </c>
      <c r="Q857" t="s">
        <v>19</v>
      </c>
      <c r="R857" t="str">
        <f>HYPERLINK("https://cfpub.epa.gov/ecotox/explore.cfm?ncbi=176057","Explore in ECOTOX")</f>
        <v>Explore in ECOTOX</v>
      </c>
    </row>
    <row r="858" spans="1:18" x14ac:dyDescent="0.45">
      <c r="A858" t="s">
        <v>1264</v>
      </c>
      <c r="B858">
        <v>8</v>
      </c>
      <c r="C858" t="str">
        <f>HYPERLINK("http://www.ncbi.nlm.nih.gov/protein/XP_042892545.1","XP_042892545.1")</f>
        <v>XP_042892545.1</v>
      </c>
      <c r="D858">
        <v>40256</v>
      </c>
      <c r="E858" t="str">
        <f>HYPERLINK("http://www.ncbi.nlm.nih.gov/Taxonomy/Browser/wwwtax.cgi?mode=Info&amp;id=27405&amp;lvl=3&amp;lin=f&amp;keep=1&amp;srchmode=1&amp;unlock","27405")</f>
        <v>27405</v>
      </c>
      <c r="F858" t="s">
        <v>779</v>
      </c>
      <c r="G858" t="str">
        <f>HYPERLINK("http://www.ncbi.nlm.nih.gov/Taxonomy/Browser/wwwtax.cgi?mode=Info&amp;id=27405&amp;lvl=3&amp;lin=f&amp;keep=1&amp;srchmode=1&amp;unlock","Penaeus japonicus")</f>
        <v>Penaeus japonicus</v>
      </c>
      <c r="H858" t="s">
        <v>824</v>
      </c>
      <c r="I858" t="str">
        <f>HYPERLINK("http://www.ncbi.nlm.nih.gov/protein/XP_042892545.1","ryanodine receptor-like isoform X7")</f>
        <v>ryanodine receptor-like isoform X7</v>
      </c>
      <c r="J858">
        <v>3466.01</v>
      </c>
      <c r="K858" t="s">
        <v>22</v>
      </c>
      <c r="L858">
        <v>276</v>
      </c>
      <c r="M858">
        <v>9.75</v>
      </c>
      <c r="N858">
        <v>33.159999999999997</v>
      </c>
      <c r="O858" t="s">
        <v>19</v>
      </c>
      <c r="P858" t="s">
        <v>20</v>
      </c>
      <c r="Q858" t="s">
        <v>19</v>
      </c>
      <c r="R858" t="str">
        <f>HYPERLINK("https://cfpub.epa.gov/ecotox/explore.cfm?ncbi=27405","Explore in ECOTOX")</f>
        <v>Explore in ECOTOX</v>
      </c>
    </row>
    <row r="859" spans="1:18" x14ac:dyDescent="0.45">
      <c r="A859" t="s">
        <v>1264</v>
      </c>
      <c r="B859">
        <v>8</v>
      </c>
      <c r="C859" t="str">
        <f>HYPERLINK("http://www.ncbi.nlm.nih.gov/protein/NXI11248.1","NXI11248.1")</f>
        <v>NXI11248.1</v>
      </c>
      <c r="D859">
        <v>14281</v>
      </c>
      <c r="E859" t="str">
        <f>HYPERLINK("http://www.ncbi.nlm.nih.gov/Taxonomy/Browser/wwwtax.cgi?mode=Info&amp;id=175120&amp;lvl=3&amp;lin=f&amp;keep=1&amp;srchmode=1&amp;unlock","175120")</f>
        <v>175120</v>
      </c>
      <c r="F859" t="s">
        <v>241</v>
      </c>
      <c r="G859" t="str">
        <f>HYPERLINK("http://www.ncbi.nlm.nih.gov/Taxonomy/Browser/wwwtax.cgi?mode=Info&amp;id=175120&amp;lvl=3&amp;lin=f&amp;keep=1&amp;srchmode=1&amp;unlock","Irena cyanogastra")</f>
        <v>Irena cyanogastra</v>
      </c>
      <c r="H859" t="s">
        <v>825</v>
      </c>
      <c r="I859" t="str">
        <f>HYPERLINK("http://www.ncbi.nlm.nih.gov/protein/NXI11248.1","RYR2 protein")</f>
        <v>RYR2 protein</v>
      </c>
      <c r="J859">
        <v>3452.91</v>
      </c>
      <c r="K859" t="s">
        <v>22</v>
      </c>
      <c r="L859">
        <v>276</v>
      </c>
      <c r="M859">
        <v>9.75</v>
      </c>
      <c r="N859">
        <v>33.03</v>
      </c>
      <c r="O859" t="s">
        <v>19</v>
      </c>
      <c r="P859" t="s">
        <v>20</v>
      </c>
      <c r="Q859" t="s">
        <v>19</v>
      </c>
      <c r="R859" t="str">
        <f>HYPERLINK("https://cfpub.epa.gov/ecotox/explore.cfm?ncbi=175120","Explore in ECOTOX")</f>
        <v>Explore in ECOTOX</v>
      </c>
    </row>
    <row r="860" spans="1:18" x14ac:dyDescent="0.45">
      <c r="A860" t="s">
        <v>1264</v>
      </c>
      <c r="B860">
        <v>8</v>
      </c>
      <c r="C860" t="str">
        <f>HYPERLINK("http://www.ncbi.nlm.nih.gov/protein/XP_053626989.1","XP_053626989.1")</f>
        <v>XP_053626989.1</v>
      </c>
      <c r="D860">
        <v>32058</v>
      </c>
      <c r="E860" t="str">
        <f>HYPERLINK("http://www.ncbi.nlm.nih.gov/Taxonomy/Browser/wwwtax.cgi?mode=Info&amp;id=27406&amp;lvl=3&amp;lin=f&amp;keep=1&amp;srchmode=1&amp;unlock","27406")</f>
        <v>27406</v>
      </c>
      <c r="F860" t="s">
        <v>779</v>
      </c>
      <c r="G860" t="str">
        <f>HYPERLINK("http://www.ncbi.nlm.nih.gov/Taxonomy/Browser/wwwtax.cgi?mode=Info&amp;id=27406&amp;lvl=3&amp;lin=f&amp;keep=1&amp;srchmode=1&amp;unlock","Cherax quadricarinatus")</f>
        <v>Cherax quadricarinatus</v>
      </c>
      <c r="H860" t="s">
        <v>826</v>
      </c>
      <c r="I860" t="str">
        <f>HYPERLINK("http://www.ncbi.nlm.nih.gov/protein/XP_053626989.1","LOW QUALITY PROTEIN: ryanodine receptor-like")</f>
        <v>LOW QUALITY PROTEIN: ryanodine receptor-like</v>
      </c>
      <c r="J860">
        <v>3335.43</v>
      </c>
      <c r="K860" t="s">
        <v>19</v>
      </c>
      <c r="L860">
        <v>276</v>
      </c>
      <c r="M860">
        <v>9.75</v>
      </c>
      <c r="N860">
        <v>31.91</v>
      </c>
      <c r="O860" t="s">
        <v>19</v>
      </c>
      <c r="P860" t="s">
        <v>20</v>
      </c>
      <c r="Q860" t="s">
        <v>19</v>
      </c>
      <c r="R860" t="str">
        <f>HYPERLINK("https://cfpub.epa.gov/ecotox/explore.cfm?ncbi=27406","Explore in ECOTOX")</f>
        <v>Explore in ECOTOX</v>
      </c>
    </row>
    <row r="861" spans="1:18" x14ac:dyDescent="0.45">
      <c r="A861" t="s">
        <v>1264</v>
      </c>
      <c r="B861">
        <v>8</v>
      </c>
      <c r="C861" t="str">
        <f>HYPERLINK("http://www.ncbi.nlm.nih.gov/protein/CAF0956393.1","CAF0956393.1")</f>
        <v>CAF0956393.1</v>
      </c>
      <c r="D861">
        <v>113535</v>
      </c>
      <c r="E861" t="str">
        <f>HYPERLINK("http://www.ncbi.nlm.nih.gov/Taxonomy/Browser/wwwtax.cgi?mode=Info&amp;id=249248&amp;lvl=3&amp;lin=f&amp;keep=1&amp;srchmode=1&amp;unlock","249248")</f>
        <v>249248</v>
      </c>
      <c r="F861" t="s">
        <v>811</v>
      </c>
      <c r="G861" t="str">
        <f>HYPERLINK("http://www.ncbi.nlm.nih.gov/Taxonomy/Browser/wwwtax.cgi?mode=Info&amp;id=249248&amp;lvl=3&amp;lin=f&amp;keep=1&amp;srchmode=1&amp;unlock","Adineta ricciae")</f>
        <v>Adineta ricciae</v>
      </c>
      <c r="H861" t="s">
        <v>812</v>
      </c>
      <c r="I861" t="str">
        <f>HYPERLINK("http://www.ncbi.nlm.nih.gov/protein/CAF0956393.1","unnamed protein product")</f>
        <v>unnamed protein product</v>
      </c>
      <c r="J861">
        <v>3316.17</v>
      </c>
      <c r="K861" t="s">
        <v>22</v>
      </c>
      <c r="L861">
        <v>276</v>
      </c>
      <c r="M861">
        <v>9.75</v>
      </c>
      <c r="N861">
        <v>31.72</v>
      </c>
      <c r="O861" t="s">
        <v>19</v>
      </c>
      <c r="P861" t="s">
        <v>20</v>
      </c>
      <c r="Q861" t="s">
        <v>19</v>
      </c>
      <c r="R861" t="str">
        <f>HYPERLINK("https://cfpub.epa.gov/ecotox/explore.cfm?ncbi=249248","Explore in ECOTOX")</f>
        <v>Explore in ECOTOX</v>
      </c>
    </row>
    <row r="862" spans="1:18" x14ac:dyDescent="0.45">
      <c r="A862" t="s">
        <v>1264</v>
      </c>
      <c r="B862">
        <v>8</v>
      </c>
      <c r="C862" t="str">
        <f>HYPERLINK("http://www.ncbi.nlm.nih.gov/protein/KAF3840903.1","KAF3840903.1")</f>
        <v>KAF3840903.1</v>
      </c>
      <c r="D862">
        <v>29437</v>
      </c>
      <c r="E862" t="str">
        <f>HYPERLINK("http://www.ncbi.nlm.nih.gov/Taxonomy/Browser/wwwtax.cgi?mode=Info&amp;id=36200&amp;lvl=3&amp;lin=f&amp;keep=1&amp;srchmode=1&amp;unlock","36200")</f>
        <v>36200</v>
      </c>
      <c r="F862" t="s">
        <v>17</v>
      </c>
      <c r="G862" t="str">
        <f>HYPERLINK("http://www.ncbi.nlm.nih.gov/Taxonomy/Browser/wwwtax.cgi?mode=Info&amp;id=36200&amp;lvl=3&amp;lin=f&amp;keep=1&amp;srchmode=1&amp;unlock","Dissostichus mawsoni")</f>
        <v>Dissostichus mawsoni</v>
      </c>
      <c r="H862" t="s">
        <v>827</v>
      </c>
      <c r="I862" t="str">
        <f>HYPERLINK("http://www.ncbi.nlm.nih.gov/protein/KAF3840903.1","hypothetical protein F7725_006765")</f>
        <v>hypothetical protein F7725_006765</v>
      </c>
      <c r="J862">
        <v>3290.36</v>
      </c>
      <c r="K862" t="s">
        <v>19</v>
      </c>
      <c r="L862">
        <v>276</v>
      </c>
      <c r="M862">
        <v>9.75</v>
      </c>
      <c r="N862">
        <v>31.47</v>
      </c>
      <c r="O862" t="s">
        <v>19</v>
      </c>
      <c r="P862" t="s">
        <v>20</v>
      </c>
      <c r="Q862" t="s">
        <v>19</v>
      </c>
      <c r="R862" t="str">
        <f>HYPERLINK("https://cfpub.epa.gov/ecotox/explore.cfm?ncbi=36200","Explore in ECOTOX")</f>
        <v>Explore in ECOTOX</v>
      </c>
    </row>
    <row r="863" spans="1:18" x14ac:dyDescent="0.45">
      <c r="A863" t="s">
        <v>1264</v>
      </c>
      <c r="B863">
        <v>8</v>
      </c>
      <c r="C863" t="str">
        <f>HYPERLINK("http://www.ncbi.nlm.nih.gov/protein/KAJ7416519.1","KAJ7416519.1")</f>
        <v>KAJ7416519.1</v>
      </c>
      <c r="D863">
        <v>17517</v>
      </c>
      <c r="E863" t="str">
        <f>HYPERLINK("http://www.ncbi.nlm.nih.gov/Taxonomy/Browser/wwwtax.cgi?mode=Info&amp;id=371930&amp;lvl=3&amp;lin=f&amp;keep=1&amp;srchmode=1&amp;unlock","371930")</f>
        <v>371930</v>
      </c>
      <c r="F863" t="s">
        <v>241</v>
      </c>
      <c r="G863" t="str">
        <f>HYPERLINK("http://www.ncbi.nlm.nih.gov/Taxonomy/Browser/wwwtax.cgi?mode=Info&amp;id=371930&amp;lvl=3&amp;lin=f&amp;keep=1&amp;srchmode=1&amp;unlock","Pitangus sulphuratus")</f>
        <v>Pitangus sulphuratus</v>
      </c>
      <c r="H863" t="s">
        <v>435</v>
      </c>
      <c r="I863" t="str">
        <f>HYPERLINK("http://www.ncbi.nlm.nih.gov/protein/KAJ7416519.1","hypothetical protein BTVI_35536")</f>
        <v>hypothetical protein BTVI_35536</v>
      </c>
      <c r="J863">
        <v>3286.51</v>
      </c>
      <c r="K863" t="s">
        <v>22</v>
      </c>
      <c r="L863">
        <v>276</v>
      </c>
      <c r="M863">
        <v>9.75</v>
      </c>
      <c r="N863">
        <v>31.44</v>
      </c>
      <c r="O863" t="s">
        <v>19</v>
      </c>
      <c r="P863" t="s">
        <v>20</v>
      </c>
      <c r="Q863" t="s">
        <v>19</v>
      </c>
      <c r="R863" t="str">
        <f>HYPERLINK("https://cfpub.epa.gov/ecotox/explore.cfm?ncbi=371930","Explore in ECOTOX")</f>
        <v>Explore in ECOTOX</v>
      </c>
    </row>
    <row r="864" spans="1:18" x14ac:dyDescent="0.45">
      <c r="A864" t="s">
        <v>1264</v>
      </c>
      <c r="B864">
        <v>8</v>
      </c>
      <c r="C864" t="str">
        <f>HYPERLINK("http://www.ncbi.nlm.nih.gov/protein/XP_009692846.1","XP_009692846.1")</f>
        <v>XP_009692846.1</v>
      </c>
      <c r="D864">
        <v>27816</v>
      </c>
      <c r="E864" t="str">
        <f>HYPERLINK("http://www.ncbi.nlm.nih.gov/Taxonomy/Browser/wwwtax.cgi?mode=Info&amp;id=54380&amp;lvl=3&amp;lin=f&amp;keep=1&amp;srchmode=1&amp;unlock","54380")</f>
        <v>54380</v>
      </c>
      <c r="F864" t="s">
        <v>241</v>
      </c>
      <c r="G864" t="str">
        <f>HYPERLINK("http://www.ncbi.nlm.nih.gov/Taxonomy/Browser/wwwtax.cgi?mode=Info&amp;id=54380&amp;lvl=3&amp;lin=f&amp;keep=1&amp;srchmode=1&amp;unlock","Cariama cristata")</f>
        <v>Cariama cristata</v>
      </c>
      <c r="H864" t="s">
        <v>828</v>
      </c>
      <c r="I864" t="str">
        <f>HYPERLINK("http://www.ncbi.nlm.nih.gov/protein/XP_009692846.1","PREDICTED: ryanodine receptor 3, partial")</f>
        <v>PREDICTED: ryanodine receptor 3, partial</v>
      </c>
      <c r="J864">
        <v>3271.1</v>
      </c>
      <c r="K864" t="s">
        <v>22</v>
      </c>
      <c r="L864">
        <v>276</v>
      </c>
      <c r="M864">
        <v>9.75</v>
      </c>
      <c r="N864">
        <v>31.29</v>
      </c>
      <c r="O864" t="s">
        <v>19</v>
      </c>
      <c r="P864" t="s">
        <v>20</v>
      </c>
      <c r="Q864" t="s">
        <v>19</v>
      </c>
      <c r="R864" t="str">
        <f>HYPERLINK("https://cfpub.epa.gov/ecotox/explore.cfm?ncbi=54380","Explore in ECOTOX")</f>
        <v>Explore in ECOTOX</v>
      </c>
    </row>
    <row r="865" spans="1:18" x14ac:dyDescent="0.45">
      <c r="A865" t="s">
        <v>1264</v>
      </c>
      <c r="B865">
        <v>8</v>
      </c>
      <c r="C865" t="str">
        <f>HYPERLINK("http://www.ncbi.nlm.nih.gov/protein/XP_059086487.1","XP_059086487.1")</f>
        <v>XP_059086487.1</v>
      </c>
      <c r="D865">
        <v>37877</v>
      </c>
      <c r="E865" t="str">
        <f>HYPERLINK("http://www.ncbi.nlm.nih.gov/Taxonomy/Browser/wwwtax.cgi?mode=Info&amp;id=6832&amp;lvl=3&amp;lin=f&amp;keep=1&amp;srchmode=1&amp;unlock","6832")</f>
        <v>6832</v>
      </c>
      <c r="F865" t="s">
        <v>794</v>
      </c>
      <c r="G865" t="str">
        <f>HYPERLINK("http://www.ncbi.nlm.nih.gov/Taxonomy/Browser/wwwtax.cgi?mode=Info&amp;id=6832&amp;lvl=3&amp;lin=f&amp;keep=1&amp;srchmode=1&amp;unlock","Tigriopus californicus")</f>
        <v>Tigriopus californicus</v>
      </c>
      <c r="H865" t="s">
        <v>829</v>
      </c>
      <c r="I865" t="str">
        <f>HYPERLINK("http://www.ncbi.nlm.nih.gov/protein/XP_059086487.1","ryanodine receptor-like")</f>
        <v>ryanodine receptor-like</v>
      </c>
      <c r="J865">
        <v>3236.82</v>
      </c>
      <c r="K865" t="s">
        <v>22</v>
      </c>
      <c r="L865">
        <v>276</v>
      </c>
      <c r="M865">
        <v>9.75</v>
      </c>
      <c r="N865">
        <v>30.96</v>
      </c>
      <c r="O865" t="s">
        <v>19</v>
      </c>
      <c r="P865" t="s">
        <v>20</v>
      </c>
      <c r="Q865" t="s">
        <v>19</v>
      </c>
      <c r="R865" t="str">
        <f>HYPERLINK("https://cfpub.epa.gov/ecotox/explore.cfm?ncbi=6832","Explore in ECOTOX")</f>
        <v>Explore in ECOTOX</v>
      </c>
    </row>
    <row r="866" spans="1:18" x14ac:dyDescent="0.45">
      <c r="A866" t="s">
        <v>1264</v>
      </c>
      <c r="B866">
        <v>8</v>
      </c>
      <c r="C866" t="str">
        <f>HYPERLINK("http://www.ncbi.nlm.nih.gov/protein/UJR09568.1","UJR09568.1")</f>
        <v>UJR09568.1</v>
      </c>
      <c r="D866">
        <v>33135</v>
      </c>
      <c r="E866" t="str">
        <f>HYPERLINK("http://www.ncbi.nlm.nih.gov/Taxonomy/Browser/wwwtax.cgi?mode=Info&amp;id=104782&amp;lvl=3&amp;lin=f&amp;keep=1&amp;srchmode=1&amp;unlock","104782")</f>
        <v>104782</v>
      </c>
      <c r="F866" t="s">
        <v>811</v>
      </c>
      <c r="G866" t="str">
        <f>HYPERLINK("http://www.ncbi.nlm.nih.gov/Taxonomy/Browser/wwwtax.cgi?mode=Info&amp;id=104782&amp;lvl=3&amp;lin=f&amp;keep=1&amp;srchmode=1&amp;unlock","Adineta vaga")</f>
        <v>Adineta vaga</v>
      </c>
      <c r="H866" t="s">
        <v>812</v>
      </c>
      <c r="I866" t="str">
        <f>HYPERLINK("http://www.ncbi.nlm.nih.gov/protein/UJR09568.1","hypothetical protein I4U23_013803")</f>
        <v>hypothetical protein I4U23_013803</v>
      </c>
      <c r="J866">
        <v>3231.81</v>
      </c>
      <c r="K866" t="s">
        <v>22</v>
      </c>
      <c r="L866">
        <v>276</v>
      </c>
      <c r="M866">
        <v>9.75</v>
      </c>
      <c r="N866">
        <v>30.91</v>
      </c>
      <c r="O866" t="s">
        <v>19</v>
      </c>
      <c r="P866" t="s">
        <v>20</v>
      </c>
      <c r="Q866" t="s">
        <v>19</v>
      </c>
      <c r="R866" t="str">
        <f>HYPERLINK("https://cfpub.epa.gov/ecotox/explore.cfm?ncbi=104782","Explore in ECOTOX")</f>
        <v>Explore in ECOTOX</v>
      </c>
    </row>
    <row r="867" spans="1:18" x14ac:dyDescent="0.45">
      <c r="A867" t="s">
        <v>1264</v>
      </c>
      <c r="B867">
        <v>8</v>
      </c>
      <c r="C867" t="str">
        <f>HYPERLINK("http://www.ncbi.nlm.nih.gov/protein/XP_009574679.1","XP_009574679.1")</f>
        <v>XP_009574679.1</v>
      </c>
      <c r="D867">
        <v>28139</v>
      </c>
      <c r="E867" t="str">
        <f>HYPERLINK("http://www.ncbi.nlm.nih.gov/Taxonomy/Browser/wwwtax.cgi?mode=Info&amp;id=30455&amp;lvl=3&amp;lin=f&amp;keep=1&amp;srchmode=1&amp;unlock","30455")</f>
        <v>30455</v>
      </c>
      <c r="F867" t="s">
        <v>241</v>
      </c>
      <c r="G867" t="str">
        <f>HYPERLINK("http://www.ncbi.nlm.nih.gov/Taxonomy/Browser/wwwtax.cgi?mode=Info&amp;id=30455&amp;lvl=3&amp;lin=f&amp;keep=1&amp;srchmode=1&amp;unlock","Fulmarus glacialis")</f>
        <v>Fulmarus glacialis</v>
      </c>
      <c r="H867" t="s">
        <v>830</v>
      </c>
      <c r="I867" t="str">
        <f>HYPERLINK("http://www.ncbi.nlm.nih.gov/protein/XP_009574679.1","PREDICTED: ryanodine receptor 2, partial")</f>
        <v>PREDICTED: ryanodine receptor 2, partial</v>
      </c>
      <c r="J867">
        <v>3230.27</v>
      </c>
      <c r="K867" t="s">
        <v>22</v>
      </c>
      <c r="L867">
        <v>276</v>
      </c>
      <c r="M867">
        <v>9.75</v>
      </c>
      <c r="N867">
        <v>30.9</v>
      </c>
      <c r="O867" t="s">
        <v>19</v>
      </c>
      <c r="P867" t="s">
        <v>20</v>
      </c>
      <c r="Q867" t="s">
        <v>19</v>
      </c>
      <c r="R867" t="str">
        <f>HYPERLINK("https://cfpub.epa.gov/ecotox/explore.cfm?ncbi=30455","Explore in ECOTOX")</f>
        <v>Explore in ECOTOX</v>
      </c>
    </row>
    <row r="868" spans="1:18" x14ac:dyDescent="0.45">
      <c r="A868" t="s">
        <v>1264</v>
      </c>
      <c r="B868">
        <v>8</v>
      </c>
      <c r="C868" t="str">
        <f>HYPERLINK("http://www.ncbi.nlm.nih.gov/protein/KAK2507410.1","KAK2507410.1")</f>
        <v>KAK2507410.1</v>
      </c>
      <c r="D868">
        <v>21901</v>
      </c>
      <c r="E868" t="str">
        <f>HYPERLINK("http://www.ncbi.nlm.nih.gov/Taxonomy/Browser/wwwtax.cgi?mode=Info&amp;id=1559511&amp;lvl=3&amp;lin=f&amp;keep=1&amp;srchmode=1&amp;unlock","1559511")</f>
        <v>1559511</v>
      </c>
      <c r="F868" t="s">
        <v>96</v>
      </c>
      <c r="G868" t="str">
        <f>HYPERLINK("http://www.ncbi.nlm.nih.gov/Taxonomy/Browser/wwwtax.cgi?mode=Info&amp;id=1559511&amp;lvl=3&amp;lin=f&amp;keep=1&amp;srchmode=1&amp;unlock","Smutsia gigantea")</f>
        <v>Smutsia gigantea</v>
      </c>
      <c r="H868" t="s">
        <v>831</v>
      </c>
      <c r="I868" t="str">
        <f>HYPERLINK("http://www.ncbi.nlm.nih.gov/protein/KAK2507410.1","hypothetical protein MC885_007629, partial")</f>
        <v>hypothetical protein MC885_007629, partial</v>
      </c>
      <c r="J868">
        <v>3174.42</v>
      </c>
      <c r="K868" t="s">
        <v>22</v>
      </c>
      <c r="L868">
        <v>276</v>
      </c>
      <c r="M868">
        <v>9.75</v>
      </c>
      <c r="N868">
        <v>30.37</v>
      </c>
      <c r="O868" t="s">
        <v>19</v>
      </c>
      <c r="P868" t="s">
        <v>20</v>
      </c>
      <c r="Q868" t="s">
        <v>19</v>
      </c>
      <c r="R868" t="str">
        <f>HYPERLINK("https://cfpub.epa.gov/ecotox/explore.cfm?ncbi=1559511","Explore in ECOTOX")</f>
        <v>Explore in ECOTOX</v>
      </c>
    </row>
    <row r="869" spans="1:18" x14ac:dyDescent="0.45">
      <c r="A869" t="s">
        <v>1264</v>
      </c>
      <c r="B869">
        <v>8</v>
      </c>
      <c r="C869" t="str">
        <f>HYPERLINK("http://www.ncbi.nlm.nih.gov/protein/KAK0046902.1","KAK0046902.1")</f>
        <v>KAK0046902.1</v>
      </c>
      <c r="D869">
        <v>31133</v>
      </c>
      <c r="E869" t="str">
        <f>HYPERLINK("http://www.ncbi.nlm.nih.gov/Taxonomy/Browser/wwwtax.cgi?mode=Info&amp;id=112525&amp;lvl=3&amp;lin=f&amp;keep=1&amp;srchmode=1&amp;unlock","112525")</f>
        <v>112525</v>
      </c>
      <c r="F869" t="s">
        <v>757</v>
      </c>
      <c r="G869" t="str">
        <f>HYPERLINK("http://www.ncbi.nlm.nih.gov/Taxonomy/Browser/wwwtax.cgi?mode=Info&amp;id=112525&amp;lvl=3&amp;lin=f&amp;keep=1&amp;srchmode=1&amp;unlock","Biomphalaria pfeifferi")</f>
        <v>Biomphalaria pfeifferi</v>
      </c>
      <c r="H869" t="s">
        <v>832</v>
      </c>
      <c r="I869" t="str">
        <f>HYPERLINK("http://www.ncbi.nlm.nih.gov/protein/KAK0046902.1","ryanodine receptor 44F, partial")</f>
        <v>ryanodine receptor 44F, partial</v>
      </c>
      <c r="J869">
        <v>3167.1</v>
      </c>
      <c r="K869" t="s">
        <v>22</v>
      </c>
      <c r="L869">
        <v>276</v>
      </c>
      <c r="M869">
        <v>9.75</v>
      </c>
      <c r="N869">
        <v>30.3</v>
      </c>
      <c r="O869" t="s">
        <v>19</v>
      </c>
      <c r="P869" t="s">
        <v>20</v>
      </c>
      <c r="Q869" t="s">
        <v>19</v>
      </c>
      <c r="R869" t="str">
        <f>HYPERLINK("https://cfpub.epa.gov/ecotox/explore.cfm?ncbi=112525","Explore in ECOTOX")</f>
        <v>Explore in ECOTOX</v>
      </c>
    </row>
    <row r="870" spans="1:18" x14ac:dyDescent="0.45">
      <c r="A870" t="s">
        <v>1264</v>
      </c>
      <c r="B870">
        <v>8</v>
      </c>
      <c r="C870" t="str">
        <f>HYPERLINK("http://www.ncbi.nlm.nih.gov/protein/XP_056020730.1","XP_056020730.1")</f>
        <v>XP_056020730.1</v>
      </c>
      <c r="D870">
        <v>57629</v>
      </c>
      <c r="E870" t="str">
        <f>HYPERLINK("http://www.ncbi.nlm.nih.gov/Taxonomy/Browser/wwwtax.cgi?mode=Info&amp;id=37623&amp;lvl=3&amp;lin=f&amp;keep=1&amp;srchmode=1&amp;unlock","37623")</f>
        <v>37623</v>
      </c>
      <c r="F870" t="s">
        <v>833</v>
      </c>
      <c r="G870" t="str">
        <f>HYPERLINK("http://www.ncbi.nlm.nih.gov/Taxonomy/Browser/wwwtax.cgi?mode=Info&amp;id=37623&amp;lvl=3&amp;lin=f&amp;keep=1&amp;srchmode=1&amp;unlock","Ostrea edulis")</f>
        <v>Ostrea edulis</v>
      </c>
      <c r="H870" t="s">
        <v>834</v>
      </c>
      <c r="I870" t="str">
        <f>HYPERLINK("http://www.ncbi.nlm.nih.gov/protein/XP_056020730.1","ryanodine receptor-like isoform X10")</f>
        <v>ryanodine receptor-like isoform X10</v>
      </c>
      <c r="J870">
        <v>3162.09</v>
      </c>
      <c r="K870" t="s">
        <v>22</v>
      </c>
      <c r="L870">
        <v>276</v>
      </c>
      <c r="M870">
        <v>9.75</v>
      </c>
      <c r="N870">
        <v>30.25</v>
      </c>
      <c r="O870" t="s">
        <v>19</v>
      </c>
      <c r="P870" t="s">
        <v>20</v>
      </c>
      <c r="Q870" t="s">
        <v>19</v>
      </c>
      <c r="R870" t="str">
        <f>HYPERLINK("https://cfpub.epa.gov/ecotox/explore.cfm?ncbi=37623","Explore in ECOTOX")</f>
        <v>Explore in ECOTOX</v>
      </c>
    </row>
    <row r="871" spans="1:18" x14ac:dyDescent="0.45">
      <c r="A871" t="s">
        <v>1264</v>
      </c>
      <c r="B871">
        <v>8</v>
      </c>
      <c r="C871" t="str">
        <f>HYPERLINK("http://www.ncbi.nlm.nih.gov/protein/PAA86181.1","PAA86181.1")</f>
        <v>PAA86181.1</v>
      </c>
      <c r="D871">
        <v>49035</v>
      </c>
      <c r="E871" t="str">
        <f>HYPERLINK("http://www.ncbi.nlm.nih.gov/Taxonomy/Browser/wwwtax.cgi?mode=Info&amp;id=282301&amp;lvl=3&amp;lin=f&amp;keep=1&amp;srchmode=1&amp;unlock","282301")</f>
        <v>282301</v>
      </c>
      <c r="F871" t="s">
        <v>835</v>
      </c>
      <c r="G871" t="str">
        <f>HYPERLINK("http://www.ncbi.nlm.nih.gov/Taxonomy/Browser/wwwtax.cgi?mode=Info&amp;id=282301&amp;lvl=3&amp;lin=f&amp;keep=1&amp;srchmode=1&amp;unlock","Macrostomum lignano")</f>
        <v>Macrostomum lignano</v>
      </c>
      <c r="H871" t="s">
        <v>836</v>
      </c>
      <c r="I871" t="str">
        <f>HYPERLINK("http://www.ncbi.nlm.nih.gov/protein/PAA86181.1","hypothetical protein BOX15_Mlig033273g1")</f>
        <v>hypothetical protein BOX15_Mlig033273g1</v>
      </c>
      <c r="J871">
        <v>3154.39</v>
      </c>
      <c r="K871" t="s">
        <v>22</v>
      </c>
      <c r="L871">
        <v>276</v>
      </c>
      <c r="M871">
        <v>9.75</v>
      </c>
      <c r="N871">
        <v>30.17</v>
      </c>
      <c r="O871" t="s">
        <v>19</v>
      </c>
      <c r="P871" t="s">
        <v>20</v>
      </c>
      <c r="Q871" t="s">
        <v>19</v>
      </c>
      <c r="R871" t="str">
        <f>HYPERLINK("https://cfpub.epa.gov/ecotox/explore.cfm?ncbi=282301","Explore in ECOTOX")</f>
        <v>Explore in ECOTOX</v>
      </c>
    </row>
    <row r="872" spans="1:18" x14ac:dyDescent="0.45">
      <c r="A872" t="s">
        <v>1264</v>
      </c>
      <c r="B872">
        <v>8</v>
      </c>
      <c r="C872" t="str">
        <f>HYPERLINK("http://www.ncbi.nlm.nih.gov/protein/XP_061163608.1","XP_061163608.1")</f>
        <v>XP_061163608.1</v>
      </c>
      <c r="D872">
        <v>36242</v>
      </c>
      <c r="E872" t="str">
        <f>HYPERLINK("http://www.ncbi.nlm.nih.gov/Taxonomy/Browser/wwwtax.cgi?mode=Info&amp;id=191078&amp;lvl=3&amp;lin=f&amp;keep=1&amp;srchmode=1&amp;unlock","191078")</f>
        <v>191078</v>
      </c>
      <c r="F872" t="s">
        <v>833</v>
      </c>
      <c r="G872" t="str">
        <f>HYPERLINK("http://www.ncbi.nlm.nih.gov/Taxonomy/Browser/wwwtax.cgi?mode=Info&amp;id=191078&amp;lvl=3&amp;lin=f&amp;keep=1&amp;srchmode=1&amp;unlock","Saccostrea echinata")</f>
        <v>Saccostrea echinata</v>
      </c>
      <c r="H872" t="s">
        <v>837</v>
      </c>
      <c r="I872" t="str">
        <f>HYPERLINK("http://www.ncbi.nlm.nih.gov/protein/XP_061163608.1","ryanodine receptor-like isoform X2")</f>
        <v>ryanodine receptor-like isoform X2</v>
      </c>
      <c r="J872">
        <v>3153.61</v>
      </c>
      <c r="K872" t="s">
        <v>22</v>
      </c>
      <c r="L872">
        <v>276</v>
      </c>
      <c r="M872">
        <v>9.75</v>
      </c>
      <c r="N872">
        <v>30.17</v>
      </c>
      <c r="O872" t="s">
        <v>19</v>
      </c>
      <c r="P872" t="s">
        <v>20</v>
      </c>
      <c r="Q872" t="s">
        <v>19</v>
      </c>
      <c r="R872" t="str">
        <f>HYPERLINK("https://cfpub.epa.gov/ecotox/explore.cfm?ncbi=191078","Explore in ECOTOX")</f>
        <v>Explore in ECOTOX</v>
      </c>
    </row>
    <row r="873" spans="1:18" x14ac:dyDescent="0.45">
      <c r="A873" t="s">
        <v>1264</v>
      </c>
      <c r="B873">
        <v>8</v>
      </c>
      <c r="C873" t="str">
        <f>HYPERLINK("http://www.ncbi.nlm.nih.gov/protein/XP_053408027.1","XP_053408027.1")</f>
        <v>XP_053408027.1</v>
      </c>
      <c r="D873">
        <v>63352</v>
      </c>
      <c r="E873" t="str">
        <f>HYPERLINK("http://www.ncbi.nlm.nih.gov/Taxonomy/Browser/wwwtax.cgi?mode=Info&amp;id=6596&amp;lvl=3&amp;lin=f&amp;keep=1&amp;srchmode=1&amp;unlock","6596")</f>
        <v>6596</v>
      </c>
      <c r="F873" t="s">
        <v>833</v>
      </c>
      <c r="G873" t="str">
        <f>HYPERLINK("http://www.ncbi.nlm.nih.gov/Taxonomy/Browser/wwwtax.cgi?mode=Info&amp;id=6596&amp;lvl=3&amp;lin=f&amp;keep=1&amp;srchmode=1&amp;unlock","Mercenaria mercenaria")</f>
        <v>Mercenaria mercenaria</v>
      </c>
      <c r="H873" t="s">
        <v>838</v>
      </c>
      <c r="I873" t="str">
        <f>HYPERLINK("http://www.ncbi.nlm.nih.gov/protein/XP_053408027.1","ryanodine receptor-like isoform X9")</f>
        <v>ryanodine receptor-like isoform X9</v>
      </c>
      <c r="J873">
        <v>3146.68</v>
      </c>
      <c r="K873" t="s">
        <v>22</v>
      </c>
      <c r="L873">
        <v>276</v>
      </c>
      <c r="M873">
        <v>9.75</v>
      </c>
      <c r="N873">
        <v>30.1</v>
      </c>
      <c r="O873" t="s">
        <v>19</v>
      </c>
      <c r="P873" t="s">
        <v>20</v>
      </c>
      <c r="Q873" t="s">
        <v>19</v>
      </c>
      <c r="R873" t="str">
        <f>HYPERLINK("https://cfpub.epa.gov/ecotox/explore.cfm?ncbi=6596","Explore in ECOTOX")</f>
        <v>Explore in ECOTOX</v>
      </c>
    </row>
    <row r="874" spans="1:18" x14ac:dyDescent="0.45">
      <c r="A874" t="s">
        <v>1264</v>
      </c>
      <c r="B874">
        <v>8</v>
      </c>
      <c r="C874" t="str">
        <f>HYPERLINK("http://www.ncbi.nlm.nih.gov/protein/XP_052768468.1","XP_052768468.1")</f>
        <v>XP_052768468.1</v>
      </c>
      <c r="D874">
        <v>100629</v>
      </c>
      <c r="E874" t="str">
        <f>HYPERLINK("http://www.ncbi.nlm.nih.gov/Taxonomy/Browser/wwwtax.cgi?mode=Info&amp;id=6604&amp;lvl=3&amp;lin=f&amp;keep=1&amp;srchmode=1&amp;unlock","6604")</f>
        <v>6604</v>
      </c>
      <c r="F874" t="s">
        <v>833</v>
      </c>
      <c r="G874" t="str">
        <f>HYPERLINK("http://www.ncbi.nlm.nih.gov/Taxonomy/Browser/wwwtax.cgi?mode=Info&amp;id=6604&amp;lvl=3&amp;lin=f&amp;keep=1&amp;srchmode=1&amp;unlock","Mya arenaria")</f>
        <v>Mya arenaria</v>
      </c>
      <c r="H874" t="s">
        <v>839</v>
      </c>
      <c r="I874" t="str">
        <f>HYPERLINK("http://www.ncbi.nlm.nih.gov/protein/XP_052768468.1","ryanodine receptor-like isoform X6")</f>
        <v>ryanodine receptor-like isoform X6</v>
      </c>
      <c r="J874">
        <v>3145.14</v>
      </c>
      <c r="K874" t="s">
        <v>22</v>
      </c>
      <c r="L874">
        <v>276</v>
      </c>
      <c r="M874">
        <v>9.75</v>
      </c>
      <c r="N874">
        <v>30.09</v>
      </c>
      <c r="O874" t="s">
        <v>19</v>
      </c>
      <c r="P874" t="s">
        <v>20</v>
      </c>
      <c r="Q874" t="s">
        <v>19</v>
      </c>
      <c r="R874" t="str">
        <f>HYPERLINK("https://cfpub.epa.gov/ecotox/explore.cfm?ncbi=6604","Explore in ECOTOX")</f>
        <v>Explore in ECOTOX</v>
      </c>
    </row>
    <row r="875" spans="1:18" x14ac:dyDescent="0.45">
      <c r="A875" t="s">
        <v>1264</v>
      </c>
      <c r="B875">
        <v>8</v>
      </c>
      <c r="C875" t="str">
        <f>HYPERLINK("http://www.ncbi.nlm.nih.gov/protein/XP_022329873.1","XP_022329873.1")</f>
        <v>XP_022329873.1</v>
      </c>
      <c r="D875">
        <v>60531</v>
      </c>
      <c r="E875" t="str">
        <f>HYPERLINK("http://www.ncbi.nlm.nih.gov/Taxonomy/Browser/wwwtax.cgi?mode=Info&amp;id=6565&amp;lvl=3&amp;lin=f&amp;keep=1&amp;srchmode=1&amp;unlock","6565")</f>
        <v>6565</v>
      </c>
      <c r="F875" t="s">
        <v>833</v>
      </c>
      <c r="G875" t="str">
        <f>HYPERLINK("http://www.ncbi.nlm.nih.gov/Taxonomy/Browser/wwwtax.cgi?mode=Info&amp;id=6565&amp;lvl=3&amp;lin=f&amp;keep=1&amp;srchmode=1&amp;unlock","Crassostrea virginica")</f>
        <v>Crassostrea virginica</v>
      </c>
      <c r="H875" t="s">
        <v>840</v>
      </c>
      <c r="I875" t="str">
        <f>HYPERLINK("http://www.ncbi.nlm.nih.gov/protein/XP_022329873.1","ryanodine receptor-like")</f>
        <v>ryanodine receptor-like</v>
      </c>
      <c r="J875">
        <v>3142.83</v>
      </c>
      <c r="K875" t="s">
        <v>22</v>
      </c>
      <c r="L875">
        <v>276</v>
      </c>
      <c r="M875">
        <v>9.75</v>
      </c>
      <c r="N875">
        <v>30.06</v>
      </c>
      <c r="O875" t="s">
        <v>19</v>
      </c>
      <c r="P875" t="s">
        <v>20</v>
      </c>
      <c r="Q875" t="s">
        <v>19</v>
      </c>
      <c r="R875" t="str">
        <f>HYPERLINK("https://cfpub.epa.gov/ecotox/explore.cfm?ncbi=6565","Explore in ECOTOX")</f>
        <v>Explore in ECOTOX</v>
      </c>
    </row>
    <row r="876" spans="1:18" x14ac:dyDescent="0.45">
      <c r="A876" t="s">
        <v>1264</v>
      </c>
      <c r="B876">
        <v>8</v>
      </c>
      <c r="C876" t="str">
        <f>HYPERLINK("http://www.ncbi.nlm.nih.gov/protein/XP_052699875.1","XP_052699875.1")</f>
        <v>XP_052699875.1</v>
      </c>
      <c r="D876">
        <v>50190</v>
      </c>
      <c r="E876" t="str">
        <f>HYPERLINK("http://www.ncbi.nlm.nih.gov/Taxonomy/Browser/wwwtax.cgi?mode=Info&amp;id=558553&amp;lvl=3&amp;lin=f&amp;keep=1&amp;srchmode=1&amp;unlock","558553")</f>
        <v>558553</v>
      </c>
      <c r="F876" t="s">
        <v>833</v>
      </c>
      <c r="G876" t="str">
        <f>HYPERLINK("http://www.ncbi.nlm.nih.gov/Taxonomy/Browser/wwwtax.cgi?mode=Info&amp;id=558553&amp;lvl=3&amp;lin=f&amp;keep=1&amp;srchmode=1&amp;unlock","Crassostrea angulata")</f>
        <v>Crassostrea angulata</v>
      </c>
      <c r="H876" t="s">
        <v>841</v>
      </c>
      <c r="I876" t="str">
        <f>HYPERLINK("http://www.ncbi.nlm.nih.gov/protein/XP_052699875.1","ryanodine receptor-like isoform X8")</f>
        <v>ryanodine receptor-like isoform X8</v>
      </c>
      <c r="J876">
        <v>3140.52</v>
      </c>
      <c r="K876" t="s">
        <v>22</v>
      </c>
      <c r="L876">
        <v>276</v>
      </c>
      <c r="M876">
        <v>9.75</v>
      </c>
      <c r="N876">
        <v>30.04</v>
      </c>
      <c r="O876" t="s">
        <v>19</v>
      </c>
      <c r="P876" t="s">
        <v>20</v>
      </c>
      <c r="Q876" t="s">
        <v>19</v>
      </c>
      <c r="R876" t="str">
        <f>HYPERLINK("https://cfpub.epa.gov/ecotox/explore.cfm?ncbi=558553","Explore in ECOTOX")</f>
        <v>Explore in ECOTOX</v>
      </c>
    </row>
    <row r="877" spans="1:18" x14ac:dyDescent="0.45">
      <c r="A877" t="s">
        <v>1264</v>
      </c>
      <c r="B877">
        <v>8</v>
      </c>
      <c r="C877" t="str">
        <f>HYPERLINK("http://www.ncbi.nlm.nih.gov/protein/XP_060571012.1","XP_060571012.1")</f>
        <v>XP_060571012.1</v>
      </c>
      <c r="D877">
        <v>58643</v>
      </c>
      <c r="E877" t="str">
        <f>HYPERLINK("http://www.ncbi.nlm.nih.gov/Taxonomy/Browser/wwwtax.cgi?mode=Info&amp;id=129788&amp;lvl=3&amp;lin=f&amp;keep=1&amp;srchmode=1&amp;unlock","129788")</f>
        <v>129788</v>
      </c>
      <c r="F877" t="s">
        <v>833</v>
      </c>
      <c r="G877" t="str">
        <f>HYPERLINK("http://www.ncbi.nlm.nih.gov/Taxonomy/Browser/wwwtax.cgi?mode=Info&amp;id=129788&amp;lvl=3&amp;lin=f&amp;keep=1&amp;srchmode=1&amp;unlock","Ruditapes philippinarum")</f>
        <v>Ruditapes philippinarum</v>
      </c>
      <c r="H877" t="s">
        <v>842</v>
      </c>
      <c r="I877" t="str">
        <f>HYPERLINK("http://www.ncbi.nlm.nih.gov/protein/XP_060571012.1","ryanodine receptor-like isoform X4")</f>
        <v>ryanodine receptor-like isoform X4</v>
      </c>
      <c r="J877">
        <v>3139.36</v>
      </c>
      <c r="K877" t="s">
        <v>22</v>
      </c>
      <c r="L877">
        <v>276</v>
      </c>
      <c r="M877">
        <v>9.75</v>
      </c>
      <c r="N877">
        <v>30.03</v>
      </c>
      <c r="O877" t="s">
        <v>19</v>
      </c>
      <c r="P877" t="s">
        <v>20</v>
      </c>
      <c r="Q877" t="s">
        <v>19</v>
      </c>
      <c r="R877" t="str">
        <f>HYPERLINK("https://cfpub.epa.gov/ecotox/explore.cfm?ncbi=129788","Explore in ECOTOX")</f>
        <v>Explore in ECOTOX</v>
      </c>
    </row>
    <row r="878" spans="1:18" x14ac:dyDescent="0.45">
      <c r="A878" t="s">
        <v>1264</v>
      </c>
      <c r="B878">
        <v>8</v>
      </c>
      <c r="C878" t="str">
        <f>HYPERLINK("http://www.ncbi.nlm.nih.gov/protein/KAK3094056.1","KAK3094056.1")</f>
        <v>KAK3094056.1</v>
      </c>
      <c r="D878">
        <v>25618</v>
      </c>
      <c r="E878" t="str">
        <f>HYPERLINK("http://www.ncbi.nlm.nih.gov/Taxonomy/Browser/wwwtax.cgi?mode=Info&amp;id=66713&amp;lvl=3&amp;lin=f&amp;keep=1&amp;srchmode=1&amp;unlock","66713")</f>
        <v>66713</v>
      </c>
      <c r="F878" t="s">
        <v>833</v>
      </c>
      <c r="G878" t="str">
        <f>HYPERLINK("http://www.ncbi.nlm.nih.gov/Taxonomy/Browser/wwwtax.cgi?mode=Info&amp;id=66713&amp;lvl=3&amp;lin=f&amp;keep=1&amp;srchmode=1&amp;unlock","Pinctada imbricata")</f>
        <v>Pinctada imbricata</v>
      </c>
      <c r="H878" t="s">
        <v>843</v>
      </c>
      <c r="I878" t="str">
        <f>HYPERLINK("http://www.ncbi.nlm.nih.gov/protein/KAK3094056.1","hypothetical protein FSP39_023525")</f>
        <v>hypothetical protein FSP39_023525</v>
      </c>
      <c r="J878">
        <v>3133.58</v>
      </c>
      <c r="K878" t="s">
        <v>22</v>
      </c>
      <c r="L878">
        <v>276</v>
      </c>
      <c r="M878">
        <v>9.75</v>
      </c>
      <c r="N878">
        <v>29.98</v>
      </c>
      <c r="O878" t="s">
        <v>19</v>
      </c>
      <c r="P878" t="s">
        <v>20</v>
      </c>
      <c r="Q878" t="s">
        <v>19</v>
      </c>
      <c r="R878" t="str">
        <f>HYPERLINK("https://cfpub.epa.gov/ecotox/explore.cfm?ncbi=66713","Explore in ECOTOX")</f>
        <v>Explore in ECOTOX</v>
      </c>
    </row>
    <row r="879" spans="1:18" x14ac:dyDescent="0.45">
      <c r="A879" t="s">
        <v>1264</v>
      </c>
      <c r="B879">
        <v>8</v>
      </c>
      <c r="C879" t="str">
        <f>HYPERLINK("http://www.ncbi.nlm.nih.gov/protein/XP_048259823.1","XP_048259823.1")</f>
        <v>XP_048259823.1</v>
      </c>
      <c r="D879">
        <v>55859</v>
      </c>
      <c r="E879" t="str">
        <f>HYPERLINK("http://www.ncbi.nlm.nih.gov/Taxonomy/Browser/wwwtax.cgi?mode=Info&amp;id=6454&amp;lvl=3&amp;lin=f&amp;keep=1&amp;srchmode=1&amp;unlock","6454")</f>
        <v>6454</v>
      </c>
      <c r="F879" t="s">
        <v>757</v>
      </c>
      <c r="G879" t="str">
        <f>HYPERLINK("http://www.ncbi.nlm.nih.gov/Taxonomy/Browser/wwwtax.cgi?mode=Info&amp;id=6454&amp;lvl=3&amp;lin=f&amp;keep=1&amp;srchmode=1&amp;unlock","Haliotis rufescens")</f>
        <v>Haliotis rufescens</v>
      </c>
      <c r="H879" t="s">
        <v>844</v>
      </c>
      <c r="I879" t="str">
        <f>HYPERLINK("http://www.ncbi.nlm.nih.gov/protein/XP_048259823.1","ryanodine receptor-like isoform X20")</f>
        <v>ryanodine receptor-like isoform X20</v>
      </c>
      <c r="J879">
        <v>3103.15</v>
      </c>
      <c r="K879" t="s">
        <v>22</v>
      </c>
      <c r="L879">
        <v>276</v>
      </c>
      <c r="M879">
        <v>9.75</v>
      </c>
      <c r="N879">
        <v>29.68</v>
      </c>
      <c r="O879" t="s">
        <v>19</v>
      </c>
      <c r="P879" t="s">
        <v>20</v>
      </c>
      <c r="Q879" t="s">
        <v>19</v>
      </c>
      <c r="R879" t="str">
        <f>HYPERLINK("https://cfpub.epa.gov/ecotox/explore.cfm?ncbi=6454","Explore in ECOTOX")</f>
        <v>Explore in ECOTOX</v>
      </c>
    </row>
    <row r="880" spans="1:18" x14ac:dyDescent="0.45">
      <c r="A880" t="s">
        <v>1264</v>
      </c>
      <c r="B880">
        <v>8</v>
      </c>
      <c r="C880" t="str">
        <f>HYPERLINK("http://www.ncbi.nlm.nih.gov/protein/KAK3608599.1","KAK3608599.1")</f>
        <v>KAK3608599.1</v>
      </c>
      <c r="D880">
        <v>37094</v>
      </c>
      <c r="E880" t="str">
        <f>HYPERLINK("http://www.ncbi.nlm.nih.gov/Taxonomy/Browser/wwwtax.cgi?mode=Info&amp;id=2493646&amp;lvl=3&amp;lin=f&amp;keep=1&amp;srchmode=1&amp;unlock","2493646")</f>
        <v>2493646</v>
      </c>
      <c r="F880" t="s">
        <v>833</v>
      </c>
      <c r="G880" t="str">
        <f>HYPERLINK("http://www.ncbi.nlm.nih.gov/Taxonomy/Browser/wwwtax.cgi?mode=Info&amp;id=2493646&amp;lvl=3&amp;lin=f&amp;keep=1&amp;srchmode=1&amp;unlock","Potamilus streckersoni")</f>
        <v>Potamilus streckersoni</v>
      </c>
      <c r="H880" t="s">
        <v>845</v>
      </c>
      <c r="I880" t="str">
        <f>HYPERLINK("http://www.ncbi.nlm.nih.gov/protein/KAK3608599.1","hypothetical protein CHS0354_042592")</f>
        <v>hypothetical protein CHS0354_042592</v>
      </c>
      <c r="J880">
        <v>3097.76</v>
      </c>
      <c r="K880" t="s">
        <v>22</v>
      </c>
      <c r="L880">
        <v>276</v>
      </c>
      <c r="M880">
        <v>9.75</v>
      </c>
      <c r="N880">
        <v>29.63</v>
      </c>
      <c r="O880" t="s">
        <v>19</v>
      </c>
      <c r="P880" t="s">
        <v>20</v>
      </c>
      <c r="Q880" t="s">
        <v>19</v>
      </c>
      <c r="R880" t="str">
        <f>HYPERLINK("https://cfpub.epa.gov/ecotox/explore.cfm?ncbi=2493646","Explore in ECOTOX")</f>
        <v>Explore in ECOTOX</v>
      </c>
    </row>
    <row r="881" spans="1:18" x14ac:dyDescent="0.45">
      <c r="A881" t="s">
        <v>1264</v>
      </c>
      <c r="B881">
        <v>8</v>
      </c>
      <c r="C881" t="str">
        <f>HYPERLINK("http://www.ncbi.nlm.nih.gov/protein/XP_041353188.1","XP_041353188.1")</f>
        <v>XP_041353188.1</v>
      </c>
      <c r="D881">
        <v>33296</v>
      </c>
      <c r="E881" t="str">
        <f>HYPERLINK("http://www.ncbi.nlm.nih.gov/Taxonomy/Browser/wwwtax.cgi?mode=Info&amp;id=1735272&amp;lvl=3&amp;lin=f&amp;keep=1&amp;srchmode=1&amp;unlock","1735272")</f>
        <v>1735272</v>
      </c>
      <c r="F881" t="s">
        <v>757</v>
      </c>
      <c r="G881" t="str">
        <f>HYPERLINK("http://www.ncbi.nlm.nih.gov/Taxonomy/Browser/wwwtax.cgi?mode=Info&amp;id=1735272&amp;lvl=3&amp;lin=f&amp;keep=1&amp;srchmode=1&amp;unlock","Gigantopelta aegis")</f>
        <v>Gigantopelta aegis</v>
      </c>
      <c r="H881" t="s">
        <v>832</v>
      </c>
      <c r="I881" t="str">
        <f>HYPERLINK("http://www.ncbi.nlm.nih.gov/protein/XP_041353188.1","ryanodine receptor-like isoform X3")</f>
        <v>ryanodine receptor-like isoform X3</v>
      </c>
      <c r="J881">
        <v>3094.29</v>
      </c>
      <c r="K881" t="s">
        <v>22</v>
      </c>
      <c r="L881">
        <v>276</v>
      </c>
      <c r="M881">
        <v>9.75</v>
      </c>
      <c r="N881">
        <v>29.6</v>
      </c>
      <c r="O881" t="s">
        <v>19</v>
      </c>
      <c r="P881" t="s">
        <v>20</v>
      </c>
      <c r="Q881" t="s">
        <v>19</v>
      </c>
      <c r="R881" t="str">
        <f>HYPERLINK("https://cfpub.epa.gov/ecotox/explore.cfm?ncbi=1735272","Explore in ECOTOX")</f>
        <v>Explore in ECOTOX</v>
      </c>
    </row>
    <row r="882" spans="1:18" x14ac:dyDescent="0.45">
      <c r="A882" t="s">
        <v>1264</v>
      </c>
      <c r="B882">
        <v>8</v>
      </c>
      <c r="C882" t="str">
        <f>HYPERLINK("http://www.ncbi.nlm.nih.gov/protein/XP_010154938.1","XP_010154938.1")</f>
        <v>XP_010154938.1</v>
      </c>
      <c r="D882">
        <v>27322</v>
      </c>
      <c r="E882" t="str">
        <f>HYPERLINK("http://www.ncbi.nlm.nih.gov/Taxonomy/Browser/wwwtax.cgi?mode=Info&amp;id=54383&amp;lvl=3&amp;lin=f&amp;keep=1&amp;srchmode=1&amp;unlock","54383")</f>
        <v>54383</v>
      </c>
      <c r="F882" t="s">
        <v>241</v>
      </c>
      <c r="G882" t="str">
        <f>HYPERLINK("http://www.ncbi.nlm.nih.gov/Taxonomy/Browser/wwwtax.cgi?mode=Info&amp;id=54383&amp;lvl=3&amp;lin=f&amp;keep=1&amp;srchmode=1&amp;unlock","Eurypyga helias")</f>
        <v>Eurypyga helias</v>
      </c>
      <c r="H882" t="s">
        <v>846</v>
      </c>
      <c r="I882" t="str">
        <f>HYPERLINK("http://www.ncbi.nlm.nih.gov/protein/XP_010154938.1","PREDICTED: LOW QUALITY PROTEIN: ryanodine receptor 3-like, partial")</f>
        <v>PREDICTED: LOW QUALITY PROTEIN: ryanodine receptor 3-like, partial</v>
      </c>
      <c r="J882">
        <v>3080.81</v>
      </c>
      <c r="K882" t="s">
        <v>22</v>
      </c>
      <c r="L882">
        <v>276</v>
      </c>
      <c r="M882">
        <v>9.75</v>
      </c>
      <c r="N882">
        <v>29.47</v>
      </c>
      <c r="O882" t="s">
        <v>19</v>
      </c>
      <c r="P882" t="s">
        <v>20</v>
      </c>
      <c r="Q882" t="s">
        <v>19</v>
      </c>
      <c r="R882" t="str">
        <f>HYPERLINK("https://cfpub.epa.gov/ecotox/explore.cfm?ncbi=54383","Explore in ECOTOX")</f>
        <v>Explore in ECOTOX</v>
      </c>
    </row>
    <row r="883" spans="1:18" x14ac:dyDescent="0.45">
      <c r="A883" t="s">
        <v>1264</v>
      </c>
      <c r="B883">
        <v>8</v>
      </c>
      <c r="C883" t="str">
        <f>HYPERLINK("http://www.ncbi.nlm.nih.gov/protein/KAK3736857.1","KAK3736857.1")</f>
        <v>KAK3736857.1</v>
      </c>
      <c r="D883">
        <v>70119</v>
      </c>
      <c r="E883" t="str">
        <f>HYPERLINK("http://www.ncbi.nlm.nih.gov/Taxonomy/Browser/wwwtax.cgi?mode=Info&amp;id=231223&amp;lvl=3&amp;lin=f&amp;keep=1&amp;srchmode=1&amp;unlock","231223")</f>
        <v>231223</v>
      </c>
      <c r="F883" t="s">
        <v>757</v>
      </c>
      <c r="G883" t="str">
        <f>HYPERLINK("http://www.ncbi.nlm.nih.gov/Taxonomy/Browser/wwwtax.cgi?mode=Info&amp;id=231223&amp;lvl=3&amp;lin=f&amp;keep=1&amp;srchmode=1&amp;unlock","Elysia crispata")</f>
        <v>Elysia crispata</v>
      </c>
      <c r="H883" t="s">
        <v>847</v>
      </c>
      <c r="I883" t="str">
        <f>HYPERLINK("http://www.ncbi.nlm.nih.gov/protein/KAK3736857.1","hypothetical protein RRG08_000604")</f>
        <v>hypothetical protein RRG08_000604</v>
      </c>
      <c r="J883">
        <v>3078.5</v>
      </c>
      <c r="K883" t="s">
        <v>22</v>
      </c>
      <c r="L883">
        <v>276</v>
      </c>
      <c r="M883">
        <v>9.75</v>
      </c>
      <c r="N883">
        <v>29.45</v>
      </c>
      <c r="O883" t="s">
        <v>19</v>
      </c>
      <c r="P883" t="s">
        <v>20</v>
      </c>
      <c r="Q883" t="s">
        <v>19</v>
      </c>
      <c r="R883" t="str">
        <f>HYPERLINK("https://cfpub.epa.gov/ecotox/explore.cfm?ncbi=231223","Explore in ECOTOX")</f>
        <v>Explore in ECOTOX</v>
      </c>
    </row>
    <row r="884" spans="1:18" x14ac:dyDescent="0.45">
      <c r="A884" t="s">
        <v>1264</v>
      </c>
      <c r="B884">
        <v>8</v>
      </c>
      <c r="C884" t="str">
        <f>HYPERLINK("http://www.ncbi.nlm.nih.gov/protein/XP_046400097.1","XP_046400097.1")</f>
        <v>XP_046400097.1</v>
      </c>
      <c r="D884">
        <v>27290</v>
      </c>
      <c r="E884" t="str">
        <f>HYPERLINK("http://www.ncbi.nlm.nih.gov/Taxonomy/Browser/wwwtax.cgi?mode=Info&amp;id=197161&amp;lvl=3&amp;lin=f&amp;keep=1&amp;srchmode=1&amp;unlock","197161")</f>
        <v>197161</v>
      </c>
      <c r="F884" t="s">
        <v>760</v>
      </c>
      <c r="G884" t="str">
        <f>HYPERLINK("http://www.ncbi.nlm.nih.gov/Taxonomy/Browser/wwwtax.cgi?mode=Info&amp;id=197161&amp;lvl=3&amp;lin=f&amp;keep=1&amp;srchmode=1&amp;unlock","Ischnura elegans")</f>
        <v>Ischnura elegans</v>
      </c>
      <c r="H884" t="s">
        <v>848</v>
      </c>
      <c r="I884" t="str">
        <f>HYPERLINK("http://www.ncbi.nlm.nih.gov/protein/XP_046400097.1","ryanodine receptor isoform X2")</f>
        <v>ryanodine receptor isoform X2</v>
      </c>
      <c r="J884">
        <v>3078.12</v>
      </c>
      <c r="K884" t="s">
        <v>22</v>
      </c>
      <c r="L884">
        <v>276</v>
      </c>
      <c r="M884">
        <v>9.75</v>
      </c>
      <c r="N884">
        <v>29.44</v>
      </c>
      <c r="O884" t="s">
        <v>19</v>
      </c>
      <c r="P884" t="s">
        <v>20</v>
      </c>
      <c r="Q884" t="s">
        <v>19</v>
      </c>
      <c r="R884" t="str">
        <f>HYPERLINK("https://cfpub.epa.gov/ecotox/explore.cfm?ncbi=197161","Explore in ECOTOX")</f>
        <v>Explore in ECOTOX</v>
      </c>
    </row>
    <row r="885" spans="1:18" x14ac:dyDescent="0.45">
      <c r="A885" t="s">
        <v>1264</v>
      </c>
      <c r="B885">
        <v>8</v>
      </c>
      <c r="C885" t="str">
        <f>HYPERLINK("http://www.ncbi.nlm.nih.gov/protein/XP_033734868.1","XP_033734868.1")</f>
        <v>XP_033734868.1</v>
      </c>
      <c r="D885">
        <v>40009</v>
      </c>
      <c r="E885" t="str">
        <f>HYPERLINK("http://www.ncbi.nlm.nih.gov/Taxonomy/Browser/wwwtax.cgi?mode=Info&amp;id=6579&amp;lvl=3&amp;lin=f&amp;keep=1&amp;srchmode=1&amp;unlock","6579")</f>
        <v>6579</v>
      </c>
      <c r="F885" t="s">
        <v>833</v>
      </c>
      <c r="G885" t="str">
        <f>HYPERLINK("http://www.ncbi.nlm.nih.gov/Taxonomy/Browser/wwwtax.cgi?mode=Info&amp;id=6579&amp;lvl=3&amp;lin=f&amp;keep=1&amp;srchmode=1&amp;unlock","Pecten maximus")</f>
        <v>Pecten maximus</v>
      </c>
      <c r="H885" t="s">
        <v>849</v>
      </c>
      <c r="I885" t="str">
        <f>HYPERLINK("http://www.ncbi.nlm.nih.gov/protein/XP_033734868.1","LOW QUALITY PROTEIN: ryanodine receptor-like")</f>
        <v>LOW QUALITY PROTEIN: ryanodine receptor-like</v>
      </c>
      <c r="J885">
        <v>3070.03</v>
      </c>
      <c r="K885" t="s">
        <v>22</v>
      </c>
      <c r="L885">
        <v>276</v>
      </c>
      <c r="M885">
        <v>9.75</v>
      </c>
      <c r="N885">
        <v>29.37</v>
      </c>
      <c r="O885" t="s">
        <v>19</v>
      </c>
      <c r="P885" t="s">
        <v>20</v>
      </c>
      <c r="Q885" t="s">
        <v>19</v>
      </c>
      <c r="R885" t="str">
        <f>HYPERLINK("https://cfpub.epa.gov/ecotox/explore.cfm?ncbi=6579","Explore in ECOTOX")</f>
        <v>Explore in ECOTOX</v>
      </c>
    </row>
    <row r="886" spans="1:18" x14ac:dyDescent="0.45">
      <c r="A886" t="s">
        <v>1264</v>
      </c>
      <c r="B886">
        <v>8</v>
      </c>
      <c r="C886" t="str">
        <f>HYPERLINK("http://www.ncbi.nlm.nih.gov/protein/XP_023711458.1","XP_023711458.1")</f>
        <v>XP_023711458.1</v>
      </c>
      <c r="D886">
        <v>59777</v>
      </c>
      <c r="E886" t="str">
        <f>HYPERLINK("http://www.ncbi.nlm.nih.gov/Taxonomy/Browser/wwwtax.cgi?mode=Info&amp;id=105785&amp;lvl=3&amp;lin=f&amp;keep=1&amp;srchmode=1&amp;unlock","105785")</f>
        <v>105785</v>
      </c>
      <c r="F886" t="s">
        <v>760</v>
      </c>
      <c r="G886" t="str">
        <f>HYPERLINK("http://www.ncbi.nlm.nih.gov/Taxonomy/Browser/wwwtax.cgi?mode=Info&amp;id=105785&amp;lvl=3&amp;lin=f&amp;keep=1&amp;srchmode=1&amp;unlock","Cryptotermes secundus")</f>
        <v>Cryptotermes secundus</v>
      </c>
      <c r="H886" t="s">
        <v>850</v>
      </c>
      <c r="I886" t="str">
        <f>HYPERLINK("http://www.ncbi.nlm.nih.gov/protein/XP_023711458.1","ryanodine receptor isoform X1")</f>
        <v>ryanodine receptor isoform X1</v>
      </c>
      <c r="J886">
        <v>3069.26</v>
      </c>
      <c r="K886" t="s">
        <v>22</v>
      </c>
      <c r="L886">
        <v>276</v>
      </c>
      <c r="M886">
        <v>9.75</v>
      </c>
      <c r="N886">
        <v>29.36</v>
      </c>
      <c r="O886" t="s">
        <v>19</v>
      </c>
      <c r="P886" t="s">
        <v>20</v>
      </c>
      <c r="Q886" t="s">
        <v>19</v>
      </c>
      <c r="R886" t="str">
        <f>HYPERLINK("https://cfpub.epa.gov/ecotox/explore.cfm?ncbi=105785","Explore in ECOTOX")</f>
        <v>Explore in ECOTOX</v>
      </c>
    </row>
    <row r="887" spans="1:18" x14ac:dyDescent="0.45">
      <c r="A887" t="s">
        <v>1264</v>
      </c>
      <c r="B887">
        <v>8</v>
      </c>
      <c r="C887" t="str">
        <f>HYPERLINK("http://www.ncbi.nlm.nih.gov/protein/XP_009059256.1","XP_009059256.1")</f>
        <v>XP_009059256.1</v>
      </c>
      <c r="D887">
        <v>47715</v>
      </c>
      <c r="E887" t="str">
        <f>HYPERLINK("http://www.ncbi.nlm.nih.gov/Taxonomy/Browser/wwwtax.cgi?mode=Info&amp;id=225164&amp;lvl=3&amp;lin=f&amp;keep=1&amp;srchmode=1&amp;unlock","225164")</f>
        <v>225164</v>
      </c>
      <c r="F887" t="s">
        <v>757</v>
      </c>
      <c r="G887" t="str">
        <f>HYPERLINK("http://www.ncbi.nlm.nih.gov/Taxonomy/Browser/wwwtax.cgi?mode=Info&amp;id=225164&amp;lvl=3&amp;lin=f&amp;keep=1&amp;srchmode=1&amp;unlock","Lottia gigantea")</f>
        <v>Lottia gigantea</v>
      </c>
      <c r="H887" t="s">
        <v>851</v>
      </c>
      <c r="I887" t="str">
        <f>HYPERLINK("http://www.ncbi.nlm.nih.gov/protein/XP_009059256.1","hypothetical protein LOTGIDRAFT_123762")</f>
        <v>hypothetical protein LOTGIDRAFT_123762</v>
      </c>
      <c r="J887">
        <v>3064.63</v>
      </c>
      <c r="K887" t="s">
        <v>22</v>
      </c>
      <c r="L887">
        <v>276</v>
      </c>
      <c r="M887">
        <v>9.75</v>
      </c>
      <c r="N887">
        <v>29.32</v>
      </c>
      <c r="O887" t="s">
        <v>19</v>
      </c>
      <c r="P887" t="s">
        <v>20</v>
      </c>
      <c r="Q887" t="s">
        <v>19</v>
      </c>
      <c r="R887" t="str">
        <f>HYPERLINK("https://cfpub.epa.gov/ecotox/explore.cfm?ncbi=225164","Explore in ECOTOX")</f>
        <v>Explore in ECOTOX</v>
      </c>
    </row>
    <row r="888" spans="1:18" x14ac:dyDescent="0.45">
      <c r="A888" t="s">
        <v>1264</v>
      </c>
      <c r="B888">
        <v>8</v>
      </c>
      <c r="C888" t="str">
        <f>HYPERLINK("http://www.ncbi.nlm.nih.gov/protein/AQR59331.1","AQR59331.1")</f>
        <v>AQR59331.1</v>
      </c>
      <c r="D888">
        <v>48191</v>
      </c>
      <c r="E888" t="str">
        <f>HYPERLINK("http://www.ncbi.nlm.nih.gov/Taxonomy/Browser/wwwtax.cgi?mode=Info&amp;id=7038&amp;lvl=3&amp;lin=f&amp;keep=1&amp;srchmode=1&amp;unlock","7038")</f>
        <v>7038</v>
      </c>
      <c r="F888" t="s">
        <v>760</v>
      </c>
      <c r="G888" t="str">
        <f>HYPERLINK("http://www.ncbi.nlm.nih.gov/Taxonomy/Browser/wwwtax.cgi?mode=Info&amp;id=7038&amp;lvl=3&amp;lin=f&amp;keep=1&amp;srchmode=1&amp;unlock","Bemisia tabaci")</f>
        <v>Bemisia tabaci</v>
      </c>
      <c r="H888" t="s">
        <v>852</v>
      </c>
      <c r="I888" t="str">
        <f>HYPERLINK("http://www.ncbi.nlm.nih.gov/protein/AQR59331.1","ryanodine receptor")</f>
        <v>ryanodine receptor</v>
      </c>
      <c r="J888">
        <v>3060.01</v>
      </c>
      <c r="K888" t="s">
        <v>22</v>
      </c>
      <c r="L888">
        <v>276</v>
      </c>
      <c r="M888">
        <v>9.75</v>
      </c>
      <c r="N888">
        <v>29.27</v>
      </c>
      <c r="O888" t="s">
        <v>19</v>
      </c>
      <c r="P888" t="s">
        <v>20</v>
      </c>
      <c r="Q888" t="s">
        <v>19</v>
      </c>
      <c r="R888" t="str">
        <f>HYPERLINK("https://cfpub.epa.gov/ecotox/explore.cfm?ncbi=7038","Explore in ECOTOX")</f>
        <v>Explore in ECOTOX</v>
      </c>
    </row>
    <row r="889" spans="1:18" x14ac:dyDescent="0.45">
      <c r="A889" t="s">
        <v>1264</v>
      </c>
      <c r="B889">
        <v>8</v>
      </c>
      <c r="C889" t="str">
        <f>HYPERLINK("http://www.ncbi.nlm.nih.gov/protein/XP_010191529.1","XP_010191529.1")</f>
        <v>XP_010191529.1</v>
      </c>
      <c r="D889">
        <v>29408</v>
      </c>
      <c r="E889" t="str">
        <f>HYPERLINK("http://www.ncbi.nlm.nih.gov/Taxonomy/Browser/wwwtax.cgi?mode=Info&amp;id=54374&amp;lvl=3&amp;lin=f&amp;keep=1&amp;srchmode=1&amp;unlock","54374")</f>
        <v>54374</v>
      </c>
      <c r="F889" t="s">
        <v>241</v>
      </c>
      <c r="G889" t="str">
        <f>HYPERLINK("http://www.ncbi.nlm.nih.gov/Taxonomy/Browser/wwwtax.cgi?mode=Info&amp;id=54374&amp;lvl=3&amp;lin=f&amp;keep=1&amp;srchmode=1&amp;unlock","Mesitornis unicolor")</f>
        <v>Mesitornis unicolor</v>
      </c>
      <c r="H889" t="s">
        <v>853</v>
      </c>
      <c r="I889" t="str">
        <f>HYPERLINK("http://www.ncbi.nlm.nih.gov/protein/XP_010191529.1","PREDICTED: ryanodine receptor 2, partial")</f>
        <v>PREDICTED: ryanodine receptor 2, partial</v>
      </c>
      <c r="J889">
        <v>3058.86</v>
      </c>
      <c r="K889" t="s">
        <v>22</v>
      </c>
      <c r="L889">
        <v>276</v>
      </c>
      <c r="M889">
        <v>9.75</v>
      </c>
      <c r="N889">
        <v>29.26</v>
      </c>
      <c r="O889" t="s">
        <v>19</v>
      </c>
      <c r="P889" t="s">
        <v>20</v>
      </c>
      <c r="Q889" t="s">
        <v>19</v>
      </c>
      <c r="R889" t="str">
        <f>HYPERLINK("https://cfpub.epa.gov/ecotox/explore.cfm?ncbi=54374","Explore in ECOTOX")</f>
        <v>Explore in ECOTOX</v>
      </c>
    </row>
    <row r="890" spans="1:18" x14ac:dyDescent="0.45">
      <c r="A890" t="s">
        <v>1264</v>
      </c>
      <c r="B890">
        <v>8</v>
      </c>
      <c r="C890" t="str">
        <f>HYPERLINK("http://www.ncbi.nlm.nih.gov/protein/VVC24075.1","VVC24075.1")</f>
        <v>VVC24075.1</v>
      </c>
      <c r="D890">
        <v>22249</v>
      </c>
      <c r="E890" t="str">
        <f>HYPERLINK("http://www.ncbi.nlm.nih.gov/Taxonomy/Browser/wwwtax.cgi?mode=Info&amp;id=506608&amp;lvl=3&amp;lin=f&amp;keep=1&amp;srchmode=1&amp;unlock","506608")</f>
        <v>506608</v>
      </c>
      <c r="F890" t="s">
        <v>760</v>
      </c>
      <c r="G890" t="str">
        <f>HYPERLINK("http://www.ncbi.nlm.nih.gov/Taxonomy/Browser/wwwtax.cgi?mode=Info&amp;id=506608&amp;lvl=3&amp;lin=f&amp;keep=1&amp;srchmode=1&amp;unlock","Cinara cedri")</f>
        <v>Cinara cedri</v>
      </c>
      <c r="H890" t="s">
        <v>854</v>
      </c>
      <c r="I890" t="str">
        <f>HYPERLINK("http://www.ncbi.nlm.nih.gov/protein/VVC24075.1","Hypothetical protein CINCED_3A010629")</f>
        <v>Hypothetical protein CINCED_3A010629</v>
      </c>
      <c r="J890">
        <v>3057.7</v>
      </c>
      <c r="K890" t="s">
        <v>22</v>
      </c>
      <c r="L890">
        <v>276</v>
      </c>
      <c r="M890">
        <v>9.75</v>
      </c>
      <c r="N890">
        <v>29.25</v>
      </c>
      <c r="O890" t="s">
        <v>19</v>
      </c>
      <c r="P890" t="s">
        <v>20</v>
      </c>
      <c r="Q890" t="s">
        <v>19</v>
      </c>
      <c r="R890" t="str">
        <f>HYPERLINK("https://cfpub.epa.gov/ecotox/explore.cfm?ncbi=506608","Explore in ECOTOX")</f>
        <v>Explore in ECOTOX</v>
      </c>
    </row>
    <row r="891" spans="1:18" x14ac:dyDescent="0.45">
      <c r="A891" t="s">
        <v>1264</v>
      </c>
      <c r="B891">
        <v>8</v>
      </c>
      <c r="C891" t="str">
        <f>HYPERLINK("http://www.ncbi.nlm.nih.gov/protein/XP_024217614.1","XP_024217614.1")</f>
        <v>XP_024217614.1</v>
      </c>
      <c r="D891">
        <v>26509</v>
      </c>
      <c r="E891" t="str">
        <f>HYPERLINK("http://www.ncbi.nlm.nih.gov/Taxonomy/Browser/wwwtax.cgi?mode=Info&amp;id=286706&amp;lvl=3&amp;lin=f&amp;keep=1&amp;srchmode=1&amp;unlock","286706")</f>
        <v>286706</v>
      </c>
      <c r="F891" t="s">
        <v>760</v>
      </c>
      <c r="G891" t="str">
        <f>HYPERLINK("http://www.ncbi.nlm.nih.gov/Taxonomy/Browser/wwwtax.cgi?mode=Info&amp;id=286706&amp;lvl=3&amp;lin=f&amp;keep=1&amp;srchmode=1&amp;unlock","Halyomorpha halys")</f>
        <v>Halyomorpha halys</v>
      </c>
      <c r="H891" t="s">
        <v>855</v>
      </c>
      <c r="I891" t="str">
        <f>HYPERLINK("http://www.ncbi.nlm.nih.gov/protein/XP_024217614.1","ryanodine receptor")</f>
        <v>ryanodine receptor</v>
      </c>
      <c r="J891">
        <v>3057.31</v>
      </c>
      <c r="K891" t="s">
        <v>22</v>
      </c>
      <c r="L891">
        <v>276</v>
      </c>
      <c r="M891">
        <v>9.75</v>
      </c>
      <c r="N891">
        <v>29.25</v>
      </c>
      <c r="O891" t="s">
        <v>19</v>
      </c>
      <c r="P891" t="s">
        <v>20</v>
      </c>
      <c r="Q891" t="s">
        <v>19</v>
      </c>
      <c r="R891" t="str">
        <f>HYPERLINK("https://cfpub.epa.gov/ecotox/explore.cfm?ncbi=286706","Explore in ECOTOX")</f>
        <v>Explore in ECOTOX</v>
      </c>
    </row>
    <row r="892" spans="1:18" x14ac:dyDescent="0.45">
      <c r="A892" t="s">
        <v>1264</v>
      </c>
      <c r="B892">
        <v>8</v>
      </c>
      <c r="C892" t="str">
        <f>HYPERLINK("http://www.ncbi.nlm.nih.gov/protein/XP_050531213.1","XP_050531213.1")</f>
        <v>XP_050531213.1</v>
      </c>
      <c r="D892">
        <v>29825</v>
      </c>
      <c r="E892" t="str">
        <f>HYPERLINK("http://www.ncbi.nlm.nih.gov/Taxonomy/Browser/wwwtax.cgi?mode=Info&amp;id=58002&amp;lvl=3&amp;lin=f&amp;keep=1&amp;srchmode=1&amp;unlock","58002")</f>
        <v>58002</v>
      </c>
      <c r="F892" t="s">
        <v>760</v>
      </c>
      <c r="G892" t="str">
        <f>HYPERLINK("http://www.ncbi.nlm.nih.gov/Taxonomy/Browser/wwwtax.cgi?mode=Info&amp;id=58002&amp;lvl=3&amp;lin=f&amp;keep=1&amp;srchmode=1&amp;unlock","Daktulosphaira vitifoliae")</f>
        <v>Daktulosphaira vitifoliae</v>
      </c>
      <c r="H892" t="s">
        <v>856</v>
      </c>
      <c r="I892" t="str">
        <f>HYPERLINK("http://www.ncbi.nlm.nih.gov/protein/XP_050531213.1","ryanodine receptor isoform X1")</f>
        <v>ryanodine receptor isoform X1</v>
      </c>
      <c r="J892">
        <v>3055.77</v>
      </c>
      <c r="K892" t="s">
        <v>22</v>
      </c>
      <c r="L892">
        <v>276</v>
      </c>
      <c r="M892">
        <v>9.75</v>
      </c>
      <c r="N892">
        <v>29.23</v>
      </c>
      <c r="O892" t="s">
        <v>19</v>
      </c>
      <c r="P892" t="s">
        <v>20</v>
      </c>
      <c r="Q892" t="s">
        <v>19</v>
      </c>
      <c r="R892" t="str">
        <f>HYPERLINK("https://cfpub.epa.gov/ecotox/explore.cfm?ncbi=58002","Explore in ECOTOX")</f>
        <v>Explore in ECOTOX</v>
      </c>
    </row>
    <row r="893" spans="1:18" x14ac:dyDescent="0.45">
      <c r="A893" t="s">
        <v>1264</v>
      </c>
      <c r="B893">
        <v>8</v>
      </c>
      <c r="C893" t="str">
        <f>HYPERLINK("http://www.ncbi.nlm.nih.gov/protein/XP_025425821.1","XP_025425821.1")</f>
        <v>XP_025425821.1</v>
      </c>
      <c r="D893">
        <v>21324</v>
      </c>
      <c r="E893" t="str">
        <f>HYPERLINK("http://www.ncbi.nlm.nih.gov/Taxonomy/Browser/wwwtax.cgi?mode=Info&amp;id=143950&amp;lvl=3&amp;lin=f&amp;keep=1&amp;srchmode=1&amp;unlock","143950")</f>
        <v>143950</v>
      </c>
      <c r="F893" t="s">
        <v>760</v>
      </c>
      <c r="G893" t="str">
        <f>HYPERLINK("http://www.ncbi.nlm.nih.gov/Taxonomy/Browser/wwwtax.cgi?mode=Info&amp;id=143950&amp;lvl=3&amp;lin=f&amp;keep=1&amp;srchmode=1&amp;unlock","Sipha flava")</f>
        <v>Sipha flava</v>
      </c>
      <c r="H893" t="s">
        <v>857</v>
      </c>
      <c r="I893" t="str">
        <f>HYPERLINK("http://www.ncbi.nlm.nih.gov/protein/XP_025425821.1","ryanodine receptor")</f>
        <v>ryanodine receptor</v>
      </c>
      <c r="J893">
        <v>3054.62</v>
      </c>
      <c r="K893" t="s">
        <v>22</v>
      </c>
      <c r="L893">
        <v>276</v>
      </c>
      <c r="M893">
        <v>9.75</v>
      </c>
      <c r="N893">
        <v>29.22</v>
      </c>
      <c r="O893" t="s">
        <v>19</v>
      </c>
      <c r="P893" t="s">
        <v>20</v>
      </c>
      <c r="Q893" t="s">
        <v>19</v>
      </c>
      <c r="R893" t="str">
        <f>HYPERLINK("https://cfpub.epa.gov/ecotox/explore.cfm?ncbi=143950","Explore in ECOTOX")</f>
        <v>Explore in ECOTOX</v>
      </c>
    </row>
    <row r="894" spans="1:18" x14ac:dyDescent="0.45">
      <c r="A894" t="s">
        <v>1264</v>
      </c>
      <c r="B894">
        <v>8</v>
      </c>
      <c r="C894" t="str">
        <f>HYPERLINK("http://www.ncbi.nlm.nih.gov/protein/XP_050444131.1","XP_050444131.1")</f>
        <v>XP_050444131.1</v>
      </c>
      <c r="D894">
        <v>25067</v>
      </c>
      <c r="E894" t="str">
        <f>HYPERLINK("http://www.ncbi.nlm.nih.gov/Taxonomy/Browser/wwwtax.cgi?mode=Info&amp;id=133065&amp;lvl=3&amp;lin=f&amp;keep=1&amp;srchmode=1&amp;unlock","133065")</f>
        <v>133065</v>
      </c>
      <c r="F894" t="s">
        <v>760</v>
      </c>
      <c r="G894" t="str">
        <f>HYPERLINK("http://www.ncbi.nlm.nih.gov/Taxonomy/Browser/wwwtax.cgi?mode=Info&amp;id=133065&amp;lvl=3&amp;lin=f&amp;keep=1&amp;srchmode=1&amp;unlock","Adelges cooleyi")</f>
        <v>Adelges cooleyi</v>
      </c>
      <c r="H894" t="s">
        <v>858</v>
      </c>
      <c r="I894" t="str">
        <f>HYPERLINK("http://www.ncbi.nlm.nih.gov/protein/XP_050444131.1","ryanodine receptor")</f>
        <v>ryanodine receptor</v>
      </c>
      <c r="J894">
        <v>3051.15</v>
      </c>
      <c r="K894" t="s">
        <v>22</v>
      </c>
      <c r="L894">
        <v>276</v>
      </c>
      <c r="M894">
        <v>9.75</v>
      </c>
      <c r="N894">
        <v>29.19</v>
      </c>
      <c r="O894" t="s">
        <v>19</v>
      </c>
      <c r="P894" t="s">
        <v>20</v>
      </c>
      <c r="Q894" t="s">
        <v>19</v>
      </c>
      <c r="R894" t="str">
        <f>HYPERLINK("https://cfpub.epa.gov/ecotox/explore.cfm?ncbi=133065","Explore in ECOTOX")</f>
        <v>Explore in ECOTOX</v>
      </c>
    </row>
    <row r="895" spans="1:18" x14ac:dyDescent="0.45">
      <c r="A895" t="s">
        <v>1264</v>
      </c>
      <c r="B895">
        <v>8</v>
      </c>
      <c r="C895" t="str">
        <f>HYPERLINK("http://www.ncbi.nlm.nih.gov/protein/XP_050555823.1","XP_050555823.1")</f>
        <v>XP_050555823.1</v>
      </c>
      <c r="D895">
        <v>53818</v>
      </c>
      <c r="E895" t="str">
        <f>HYPERLINK("http://www.ncbi.nlm.nih.gov/Taxonomy/Browser/wwwtax.cgi?mode=Info&amp;id=7108&amp;lvl=3&amp;lin=f&amp;keep=1&amp;srchmode=1&amp;unlock","7108")</f>
        <v>7108</v>
      </c>
      <c r="F895" t="s">
        <v>760</v>
      </c>
      <c r="G895" t="str">
        <f>HYPERLINK("http://www.ncbi.nlm.nih.gov/Taxonomy/Browser/wwwtax.cgi?mode=Info&amp;id=7108&amp;lvl=3&amp;lin=f&amp;keep=1&amp;srchmode=1&amp;unlock","Spodoptera frugiperda")</f>
        <v>Spodoptera frugiperda</v>
      </c>
      <c r="H895" t="s">
        <v>859</v>
      </c>
      <c r="I895" t="str">
        <f>HYPERLINK("http://www.ncbi.nlm.nih.gov/protein/XP_050555823.1","ryanodine receptor isoform X36")</f>
        <v>ryanodine receptor isoform X36</v>
      </c>
      <c r="J895">
        <v>3049.23</v>
      </c>
      <c r="K895" t="s">
        <v>22</v>
      </c>
      <c r="L895">
        <v>276</v>
      </c>
      <c r="M895">
        <v>9.75</v>
      </c>
      <c r="N895">
        <v>29.17</v>
      </c>
      <c r="O895" t="s">
        <v>19</v>
      </c>
      <c r="P895" t="s">
        <v>20</v>
      </c>
      <c r="Q895" t="s">
        <v>19</v>
      </c>
      <c r="R895" t="str">
        <f>HYPERLINK("https://cfpub.epa.gov/ecotox/explore.cfm?ncbi=7108","Explore in ECOTOX")</f>
        <v>Explore in ECOTOX</v>
      </c>
    </row>
    <row r="896" spans="1:18" x14ac:dyDescent="0.45">
      <c r="A896" t="s">
        <v>1264</v>
      </c>
      <c r="B896">
        <v>8</v>
      </c>
      <c r="C896" t="str">
        <f>HYPERLINK("http://www.ncbi.nlm.nih.gov/protein/XP_044728216.1","XP_044728216.1")</f>
        <v>XP_044728216.1</v>
      </c>
      <c r="D896">
        <v>17743</v>
      </c>
      <c r="E896" t="str">
        <f>HYPERLINK("http://www.ncbi.nlm.nih.gov/Taxonomy/Browser/wwwtax.cgi?mode=Info&amp;id=189513&amp;lvl=3&amp;lin=f&amp;keep=1&amp;srchmode=1&amp;unlock","189513")</f>
        <v>189513</v>
      </c>
      <c r="F896" t="s">
        <v>760</v>
      </c>
      <c r="G896" t="str">
        <f>HYPERLINK("http://www.ncbi.nlm.nih.gov/Taxonomy/Browser/wwwtax.cgi?mode=Info&amp;id=189513&amp;lvl=3&amp;lin=f&amp;keep=1&amp;srchmode=1&amp;unlock","Chrysoperla carnea")</f>
        <v>Chrysoperla carnea</v>
      </c>
      <c r="H896" t="s">
        <v>860</v>
      </c>
      <c r="I896" t="str">
        <f>HYPERLINK("http://www.ncbi.nlm.nih.gov/protein/XP_044728216.1","ryanodine receptor")</f>
        <v>ryanodine receptor</v>
      </c>
      <c r="J896">
        <v>3044.6</v>
      </c>
      <c r="K896" t="s">
        <v>22</v>
      </c>
      <c r="L896">
        <v>276</v>
      </c>
      <c r="M896">
        <v>9.75</v>
      </c>
      <c r="N896">
        <v>29.12</v>
      </c>
      <c r="O896" t="s">
        <v>19</v>
      </c>
      <c r="P896" t="s">
        <v>20</v>
      </c>
      <c r="Q896" t="s">
        <v>19</v>
      </c>
      <c r="R896" t="str">
        <f>HYPERLINK("https://cfpub.epa.gov/ecotox/explore.cfm?ncbi=189513","Explore in ECOTOX")</f>
        <v>Explore in ECOTOX</v>
      </c>
    </row>
    <row r="897" spans="1:18" x14ac:dyDescent="0.45">
      <c r="A897" t="s">
        <v>1264</v>
      </c>
      <c r="B897">
        <v>8</v>
      </c>
      <c r="C897" t="str">
        <f>HYPERLINK("http://www.ncbi.nlm.nih.gov/protein/ALL55465.1","ALL55465.1")</f>
        <v>ALL55465.1</v>
      </c>
      <c r="D897">
        <v>48286</v>
      </c>
      <c r="E897" t="str">
        <f>HYPERLINK("http://www.ncbi.nlm.nih.gov/Taxonomy/Browser/wwwtax.cgi?mode=Info&amp;id=7107&amp;lvl=3&amp;lin=f&amp;keep=1&amp;srchmode=1&amp;unlock","7107")</f>
        <v>7107</v>
      </c>
      <c r="F897" t="s">
        <v>760</v>
      </c>
      <c r="G897" t="str">
        <f>HYPERLINK("http://www.ncbi.nlm.nih.gov/Taxonomy/Browser/wwwtax.cgi?mode=Info&amp;id=7107&amp;lvl=3&amp;lin=f&amp;keep=1&amp;srchmode=1&amp;unlock","Spodoptera exigua")</f>
        <v>Spodoptera exigua</v>
      </c>
      <c r="H897" t="s">
        <v>861</v>
      </c>
      <c r="I897" t="str">
        <f>HYPERLINK("http://www.ncbi.nlm.nih.gov/protein/ALL55465.1","ryanodine receptor")</f>
        <v>ryanodine receptor</v>
      </c>
      <c r="J897">
        <v>3044.22</v>
      </c>
      <c r="K897" t="s">
        <v>22</v>
      </c>
      <c r="L897">
        <v>276</v>
      </c>
      <c r="M897">
        <v>9.75</v>
      </c>
      <c r="N897">
        <v>29.12</v>
      </c>
      <c r="O897" t="s">
        <v>19</v>
      </c>
      <c r="P897" t="s">
        <v>20</v>
      </c>
      <c r="Q897" t="s">
        <v>19</v>
      </c>
      <c r="R897" t="str">
        <f>HYPERLINK("https://cfpub.epa.gov/ecotox/explore.cfm?ncbi=7107","Explore in ECOTOX")</f>
        <v>Explore in ECOTOX</v>
      </c>
    </row>
    <row r="898" spans="1:18" x14ac:dyDescent="0.45">
      <c r="A898" t="s">
        <v>1264</v>
      </c>
      <c r="B898">
        <v>8</v>
      </c>
      <c r="C898" t="str">
        <f>HYPERLINK("http://www.ncbi.nlm.nih.gov/protein/ELT95828.1","ELT95828.1")</f>
        <v>ELT95828.1</v>
      </c>
      <c r="D898">
        <v>32054</v>
      </c>
      <c r="E898" t="str">
        <f>HYPERLINK("http://www.ncbi.nlm.nih.gov/Taxonomy/Browser/wwwtax.cgi?mode=Info&amp;id=283909&amp;lvl=3&amp;lin=f&amp;keep=1&amp;srchmode=1&amp;unlock","283909")</f>
        <v>283909</v>
      </c>
      <c r="F898" t="s">
        <v>862</v>
      </c>
      <c r="G898" t="str">
        <f>HYPERLINK("http://www.ncbi.nlm.nih.gov/Taxonomy/Browser/wwwtax.cgi?mode=Info&amp;id=283909&amp;lvl=3&amp;lin=f&amp;keep=1&amp;srchmode=1&amp;unlock","Capitella teleta")</f>
        <v>Capitella teleta</v>
      </c>
      <c r="H898" t="s">
        <v>863</v>
      </c>
      <c r="I898" t="str">
        <f>HYPERLINK("http://www.ncbi.nlm.nih.gov/protein/ELT95828.1","hypothetical protein CAPTEDRAFT_159249")</f>
        <v>hypothetical protein CAPTEDRAFT_159249</v>
      </c>
      <c r="J898">
        <v>3042.29</v>
      </c>
      <c r="K898" t="s">
        <v>22</v>
      </c>
      <c r="L898">
        <v>276</v>
      </c>
      <c r="M898">
        <v>9.75</v>
      </c>
      <c r="N898">
        <v>29.1</v>
      </c>
      <c r="O898" t="s">
        <v>19</v>
      </c>
      <c r="P898" t="s">
        <v>20</v>
      </c>
      <c r="Q898" t="s">
        <v>19</v>
      </c>
      <c r="R898" t="str">
        <f>HYPERLINK("https://cfpub.epa.gov/ecotox/explore.cfm?ncbi=283909","Explore in ECOTOX")</f>
        <v>Explore in ECOTOX</v>
      </c>
    </row>
    <row r="899" spans="1:18" x14ac:dyDescent="0.45">
      <c r="A899" t="s">
        <v>1264</v>
      </c>
      <c r="B899">
        <v>8</v>
      </c>
      <c r="C899" t="str">
        <f>HYPERLINK("http://www.ncbi.nlm.nih.gov/protein/XP_047541201.1","XP_047541201.1")</f>
        <v>XP_047541201.1</v>
      </c>
      <c r="D899">
        <v>20161</v>
      </c>
      <c r="E899" t="str">
        <f>HYPERLINK("http://www.ncbi.nlm.nih.gov/Taxonomy/Browser/wwwtax.cgi?mode=Info&amp;id=42275&amp;lvl=3&amp;lin=f&amp;keep=1&amp;srchmode=1&amp;unlock","42275")</f>
        <v>42275</v>
      </c>
      <c r="F899" t="s">
        <v>760</v>
      </c>
      <c r="G899" t="str">
        <f>HYPERLINK("http://www.ncbi.nlm.nih.gov/Taxonomy/Browser/wwwtax.cgi?mode=Info&amp;id=42275&amp;lvl=3&amp;lin=f&amp;keep=1&amp;srchmode=1&amp;unlock","Vanessa atalanta")</f>
        <v>Vanessa atalanta</v>
      </c>
      <c r="H899" t="s">
        <v>864</v>
      </c>
      <c r="I899" t="str">
        <f>HYPERLINK("http://www.ncbi.nlm.nih.gov/protein/XP_047541201.1","ryanodine receptor isoform X20")</f>
        <v>ryanodine receptor isoform X20</v>
      </c>
      <c r="J899">
        <v>3038.83</v>
      </c>
      <c r="K899" t="s">
        <v>22</v>
      </c>
      <c r="L899">
        <v>276</v>
      </c>
      <c r="M899">
        <v>9.75</v>
      </c>
      <c r="N899">
        <v>29.07</v>
      </c>
      <c r="O899" t="s">
        <v>19</v>
      </c>
      <c r="P899" t="s">
        <v>20</v>
      </c>
      <c r="Q899" t="s">
        <v>19</v>
      </c>
      <c r="R899" t="str">
        <f>HYPERLINK("https://cfpub.epa.gov/ecotox/explore.cfm?ncbi=42275","Explore in ECOTOX")</f>
        <v>Explore in ECOTOX</v>
      </c>
    </row>
    <row r="900" spans="1:18" x14ac:dyDescent="0.45">
      <c r="A900" t="s">
        <v>1264</v>
      </c>
      <c r="B900">
        <v>8</v>
      </c>
      <c r="C900" t="str">
        <f>HYPERLINK("http://www.ncbi.nlm.nih.gov/protein/XP_023020685.1","XP_023020685.1")</f>
        <v>XP_023020685.1</v>
      </c>
      <c r="D900">
        <v>20165</v>
      </c>
      <c r="E900" t="str">
        <f>HYPERLINK("http://www.ncbi.nlm.nih.gov/Taxonomy/Browser/wwwtax.cgi?mode=Info&amp;id=7539&amp;lvl=3&amp;lin=f&amp;keep=1&amp;srchmode=1&amp;unlock","7539")</f>
        <v>7539</v>
      </c>
      <c r="F900" t="s">
        <v>760</v>
      </c>
      <c r="G900" t="str">
        <f>HYPERLINK("http://www.ncbi.nlm.nih.gov/Taxonomy/Browser/wwwtax.cgi?mode=Info&amp;id=7539&amp;lvl=3&amp;lin=f&amp;keep=1&amp;srchmode=1&amp;unlock","Leptinotarsa decemlineata")</f>
        <v>Leptinotarsa decemlineata</v>
      </c>
      <c r="H900" t="s">
        <v>865</v>
      </c>
      <c r="I900" t="str">
        <f>HYPERLINK("http://www.ncbi.nlm.nih.gov/protein/XP_023020685.1","ryanodine receptor")</f>
        <v>ryanodine receptor</v>
      </c>
      <c r="J900">
        <v>3038.05</v>
      </c>
      <c r="K900" t="s">
        <v>22</v>
      </c>
      <c r="L900">
        <v>276</v>
      </c>
      <c r="M900">
        <v>9.75</v>
      </c>
      <c r="N900">
        <v>29.06</v>
      </c>
      <c r="O900" t="s">
        <v>19</v>
      </c>
      <c r="P900" t="s">
        <v>20</v>
      </c>
      <c r="Q900" t="s">
        <v>19</v>
      </c>
      <c r="R900" t="str">
        <f>HYPERLINK("https://cfpub.epa.gov/ecotox/explore.cfm?ncbi=7539","Explore in ECOTOX")</f>
        <v>Explore in ECOTOX</v>
      </c>
    </row>
    <row r="901" spans="1:18" x14ac:dyDescent="0.45">
      <c r="A901" t="s">
        <v>1264</v>
      </c>
      <c r="B901">
        <v>8</v>
      </c>
      <c r="C901" t="str">
        <f>HYPERLINK("http://www.ncbi.nlm.nih.gov/protein/CAH1642165.1","CAH1642165.1")</f>
        <v>CAH1642165.1</v>
      </c>
      <c r="D901">
        <v>26484</v>
      </c>
      <c r="E901" t="str">
        <f>HYPERLINK("http://www.ncbi.nlm.nih.gov/Taxonomy/Browser/wwwtax.cgi?mode=Info&amp;id=7109&amp;lvl=3&amp;lin=f&amp;keep=1&amp;srchmode=1&amp;unlock","7109")</f>
        <v>7109</v>
      </c>
      <c r="F901" t="s">
        <v>760</v>
      </c>
      <c r="G901" t="str">
        <f>HYPERLINK("http://www.ncbi.nlm.nih.gov/Taxonomy/Browser/wwwtax.cgi?mode=Info&amp;id=7109&amp;lvl=3&amp;lin=f&amp;keep=1&amp;srchmode=1&amp;unlock","Spodoptera littoralis")</f>
        <v>Spodoptera littoralis</v>
      </c>
      <c r="H901" t="s">
        <v>866</v>
      </c>
      <c r="I901" t="str">
        <f>HYPERLINK("http://www.ncbi.nlm.nih.gov/protein/CAH1642165.1","unnamed protein product")</f>
        <v>unnamed protein product</v>
      </c>
      <c r="J901">
        <v>3037.67</v>
      </c>
      <c r="K901" t="s">
        <v>22</v>
      </c>
      <c r="L901">
        <v>276</v>
      </c>
      <c r="M901">
        <v>9.75</v>
      </c>
      <c r="N901">
        <v>29.06</v>
      </c>
      <c r="O901" t="s">
        <v>19</v>
      </c>
      <c r="P901" t="s">
        <v>20</v>
      </c>
      <c r="Q901" t="s">
        <v>19</v>
      </c>
      <c r="R901" t="str">
        <f>HYPERLINK("https://cfpub.epa.gov/ecotox/explore.cfm?ncbi=7109","Explore in ECOTOX")</f>
        <v>Explore in ECOTOX</v>
      </c>
    </row>
    <row r="902" spans="1:18" x14ac:dyDescent="0.45">
      <c r="A902" t="s">
        <v>1264</v>
      </c>
      <c r="B902">
        <v>8</v>
      </c>
      <c r="C902" t="str">
        <f>HYPERLINK("http://www.ncbi.nlm.nih.gov/protein/CAH1389013.1","CAH1389013.1")</f>
        <v>CAH1389013.1</v>
      </c>
      <c r="D902">
        <v>20409</v>
      </c>
      <c r="E902" t="str">
        <f>HYPERLINK("http://www.ncbi.nlm.nih.gov/Taxonomy/Browser/wwwtax.cgi?mode=Info&amp;id=85310&amp;lvl=3&amp;lin=f&amp;keep=1&amp;srchmode=1&amp;unlock","85310")</f>
        <v>85310</v>
      </c>
      <c r="F902" t="s">
        <v>760</v>
      </c>
      <c r="G902" t="str">
        <f>HYPERLINK("http://www.ncbi.nlm.nih.gov/Taxonomy/Browser/wwwtax.cgi?mode=Info&amp;id=85310&amp;lvl=3&amp;lin=f&amp;keep=1&amp;srchmode=1&amp;unlock","Nezara viridula")</f>
        <v>Nezara viridula</v>
      </c>
      <c r="H902" t="s">
        <v>867</v>
      </c>
      <c r="I902" t="str">
        <f>HYPERLINK("http://www.ncbi.nlm.nih.gov/protein/CAH1389013.1","unnamed protein product")</f>
        <v>unnamed protein product</v>
      </c>
      <c r="J902">
        <v>3036.9</v>
      </c>
      <c r="K902" t="s">
        <v>22</v>
      </c>
      <c r="L902">
        <v>276</v>
      </c>
      <c r="M902">
        <v>9.75</v>
      </c>
      <c r="N902">
        <v>29.05</v>
      </c>
      <c r="O902" t="s">
        <v>19</v>
      </c>
      <c r="P902" t="s">
        <v>20</v>
      </c>
      <c r="Q902" t="s">
        <v>19</v>
      </c>
      <c r="R902" t="str">
        <f>HYPERLINK("https://cfpub.epa.gov/ecotox/explore.cfm?ncbi=85310","Explore in ECOTOX")</f>
        <v>Explore in ECOTOX</v>
      </c>
    </row>
    <row r="903" spans="1:18" x14ac:dyDescent="0.45">
      <c r="A903" t="s">
        <v>1264</v>
      </c>
      <c r="B903">
        <v>8</v>
      </c>
      <c r="C903" t="str">
        <f>HYPERLINK("http://www.ncbi.nlm.nih.gov/protein/XP_046974314.1","XP_046974314.1")</f>
        <v>XP_046974314.1</v>
      </c>
      <c r="D903">
        <v>19970</v>
      </c>
      <c r="E903" t="str">
        <f>HYPERLINK("http://www.ncbi.nlm.nih.gov/Taxonomy/Browser/wwwtax.cgi?mode=Info&amp;id=171605&amp;lvl=3&amp;lin=f&amp;keep=1&amp;srchmode=1&amp;unlock","171605")</f>
        <v>171605</v>
      </c>
      <c r="F903" t="s">
        <v>760</v>
      </c>
      <c r="G903" t="str">
        <f>HYPERLINK("http://www.ncbi.nlm.nih.gov/Taxonomy/Browser/wwwtax.cgi?mode=Info&amp;id=171605&amp;lvl=3&amp;lin=f&amp;keep=1&amp;srchmode=1&amp;unlock","Vanessa cardui")</f>
        <v>Vanessa cardui</v>
      </c>
      <c r="H903" t="s">
        <v>868</v>
      </c>
      <c r="I903" t="str">
        <f>HYPERLINK("http://www.ncbi.nlm.nih.gov/protein/XP_046974314.1","ryanodine receptor")</f>
        <v>ryanodine receptor</v>
      </c>
      <c r="J903">
        <v>3036.9</v>
      </c>
      <c r="K903" t="s">
        <v>22</v>
      </c>
      <c r="L903">
        <v>276</v>
      </c>
      <c r="M903">
        <v>9.75</v>
      </c>
      <c r="N903">
        <v>29.05</v>
      </c>
      <c r="O903" t="s">
        <v>19</v>
      </c>
      <c r="P903" t="s">
        <v>20</v>
      </c>
      <c r="Q903" t="s">
        <v>19</v>
      </c>
      <c r="R903" t="str">
        <f>HYPERLINK("https://cfpub.epa.gov/ecotox/explore.cfm?ncbi=171605","Explore in ECOTOX")</f>
        <v>Explore in ECOTOX</v>
      </c>
    </row>
    <row r="904" spans="1:18" x14ac:dyDescent="0.45">
      <c r="A904" t="s">
        <v>1264</v>
      </c>
      <c r="B904">
        <v>8</v>
      </c>
      <c r="C904" t="str">
        <f>HYPERLINK("http://www.ncbi.nlm.nih.gov/protein/XP_050679264.1","XP_050679264.1")</f>
        <v>XP_050679264.1</v>
      </c>
      <c r="D904">
        <v>42365</v>
      </c>
      <c r="E904" t="str">
        <f>HYPERLINK("http://www.ncbi.nlm.nih.gov/Taxonomy/Browser/wwwtax.cgi?mode=Info&amp;id=189913&amp;lvl=3&amp;lin=f&amp;keep=1&amp;srchmode=1&amp;unlock","189913")</f>
        <v>189913</v>
      </c>
      <c r="F904" t="s">
        <v>760</v>
      </c>
      <c r="G904" t="str">
        <f>HYPERLINK("http://www.ncbi.nlm.nih.gov/Taxonomy/Browser/wwwtax.cgi?mode=Info&amp;id=189913&amp;lvl=3&amp;lin=f&amp;keep=1&amp;srchmode=1&amp;unlock","Leptidea sinapis")</f>
        <v>Leptidea sinapis</v>
      </c>
      <c r="H904" t="s">
        <v>869</v>
      </c>
      <c r="I904" t="str">
        <f>HYPERLINK("http://www.ncbi.nlm.nih.gov/protein/XP_050679264.1","ryanodine receptor isoform X1")</f>
        <v>ryanodine receptor isoform X1</v>
      </c>
      <c r="J904">
        <v>3036.51</v>
      </c>
      <c r="K904" t="s">
        <v>22</v>
      </c>
      <c r="L904">
        <v>276</v>
      </c>
      <c r="M904">
        <v>9.75</v>
      </c>
      <c r="N904">
        <v>29.05</v>
      </c>
      <c r="O904" t="s">
        <v>19</v>
      </c>
      <c r="P904" t="s">
        <v>20</v>
      </c>
      <c r="Q904" t="s">
        <v>19</v>
      </c>
      <c r="R904" t="str">
        <f>HYPERLINK("https://cfpub.epa.gov/ecotox/explore.cfm?ncbi=189913","Explore in ECOTOX")</f>
        <v>Explore in ECOTOX</v>
      </c>
    </row>
    <row r="905" spans="1:18" x14ac:dyDescent="0.45">
      <c r="A905" t="s">
        <v>1264</v>
      </c>
      <c r="B905">
        <v>8</v>
      </c>
      <c r="C905" t="str">
        <f>HYPERLINK("http://www.ncbi.nlm.nih.gov/protein/CAG4996270.1","CAG4996270.1")</f>
        <v>CAG4996270.1</v>
      </c>
      <c r="D905">
        <v>30345</v>
      </c>
      <c r="E905" t="str">
        <f>HYPERLINK("http://www.ncbi.nlm.nih.gov/Taxonomy/Browser/wwwtax.cgi?mode=Info&amp;id=110799&amp;lvl=3&amp;lin=f&amp;keep=1&amp;srchmode=1&amp;unlock","110799")</f>
        <v>110799</v>
      </c>
      <c r="F905" t="s">
        <v>760</v>
      </c>
      <c r="G905" t="str">
        <f>HYPERLINK("http://www.ncbi.nlm.nih.gov/Taxonomy/Browser/wwwtax.cgi?mode=Info&amp;id=110799&amp;lvl=3&amp;lin=f&amp;keep=1&amp;srchmode=1&amp;unlock","Parnassius apollo")</f>
        <v>Parnassius apollo</v>
      </c>
      <c r="H905" t="s">
        <v>870</v>
      </c>
      <c r="I905" t="str">
        <f>HYPERLINK("http://www.ncbi.nlm.nih.gov/protein/CAG4996270.1","unnamed protein product")</f>
        <v>unnamed protein product</v>
      </c>
      <c r="J905">
        <v>3034.2</v>
      </c>
      <c r="K905" t="s">
        <v>22</v>
      </c>
      <c r="L905">
        <v>276</v>
      </c>
      <c r="M905">
        <v>9.75</v>
      </c>
      <c r="N905">
        <v>29.02</v>
      </c>
      <c r="O905" t="s">
        <v>19</v>
      </c>
      <c r="P905" t="s">
        <v>20</v>
      </c>
      <c r="Q905" t="s">
        <v>19</v>
      </c>
      <c r="R905" t="str">
        <f>HYPERLINK("https://cfpub.epa.gov/ecotox/explore.cfm?ncbi=110799","Explore in ECOTOX")</f>
        <v>Explore in ECOTOX</v>
      </c>
    </row>
    <row r="906" spans="1:18" x14ac:dyDescent="0.45">
      <c r="A906" t="s">
        <v>1264</v>
      </c>
      <c r="B906">
        <v>8</v>
      </c>
      <c r="C906" t="str">
        <f>HYPERLINK("http://www.ncbi.nlm.nih.gov/protein/CAG4975022.1","CAG4975022.1")</f>
        <v>CAG4975022.1</v>
      </c>
      <c r="D906">
        <v>18219</v>
      </c>
      <c r="E906" t="str">
        <f>HYPERLINK("http://www.ncbi.nlm.nih.gov/Taxonomy/Browser/wwwtax.cgi?mode=Info&amp;id=42296&amp;lvl=3&amp;lin=f&amp;keep=1&amp;srchmode=1&amp;unlock","42296")</f>
        <v>42296</v>
      </c>
      <c r="F906" t="s">
        <v>760</v>
      </c>
      <c r="G906" t="str">
        <f>HYPERLINK("http://www.ncbi.nlm.nih.gov/Taxonomy/Browser/wwwtax.cgi?mode=Info&amp;id=42296&amp;lvl=3&amp;lin=f&amp;keep=1&amp;srchmode=1&amp;unlock","Colias eurytheme")</f>
        <v>Colias eurytheme</v>
      </c>
      <c r="H906" t="s">
        <v>871</v>
      </c>
      <c r="I906" t="str">
        <f>HYPERLINK("http://www.ncbi.nlm.nih.gov/protein/CAG4975022.1","unnamed protein product")</f>
        <v>unnamed protein product</v>
      </c>
      <c r="J906">
        <v>3032.66</v>
      </c>
      <c r="K906" t="s">
        <v>22</v>
      </c>
      <c r="L906">
        <v>276</v>
      </c>
      <c r="M906">
        <v>9.75</v>
      </c>
      <c r="N906">
        <v>29.01</v>
      </c>
      <c r="O906" t="s">
        <v>19</v>
      </c>
      <c r="P906" t="s">
        <v>20</v>
      </c>
      <c r="Q906" t="s">
        <v>19</v>
      </c>
      <c r="R906" t="str">
        <f>HYPERLINK("https://cfpub.epa.gov/ecotox/explore.cfm?ncbi=42296","Explore in ECOTOX")</f>
        <v>Explore in ECOTOX</v>
      </c>
    </row>
    <row r="907" spans="1:18" x14ac:dyDescent="0.45">
      <c r="A907" t="s">
        <v>1264</v>
      </c>
      <c r="B907">
        <v>8</v>
      </c>
      <c r="C907" t="str">
        <f>HYPERLINK("http://www.ncbi.nlm.nih.gov/protein/XP_034837530.1","XP_034837530.1")</f>
        <v>XP_034837530.1</v>
      </c>
      <c r="D907">
        <v>18114</v>
      </c>
      <c r="E907" t="str">
        <f>HYPERLINK("http://www.ncbi.nlm.nih.gov/Taxonomy/Browser/wwwtax.cgi?mode=Info&amp;id=2795564&amp;lvl=3&amp;lin=f&amp;keep=1&amp;srchmode=1&amp;unlock","2795564")</f>
        <v>2795564</v>
      </c>
      <c r="F907" t="s">
        <v>760</v>
      </c>
      <c r="G907" t="str">
        <f>HYPERLINK("http://www.ncbi.nlm.nih.gov/Taxonomy/Browser/wwwtax.cgi?mode=Info&amp;id=2795564&amp;lvl=3&amp;lin=f&amp;keep=1&amp;srchmode=1&amp;unlock","Maniola hyperantus")</f>
        <v>Maniola hyperantus</v>
      </c>
      <c r="H907" t="s">
        <v>872</v>
      </c>
      <c r="I907" t="str">
        <f>HYPERLINK("http://www.ncbi.nlm.nih.gov/protein/XP_034837530.1","ryanodine receptor isoform X15")</f>
        <v>ryanodine receptor isoform X15</v>
      </c>
      <c r="J907">
        <v>3032.28</v>
      </c>
      <c r="K907" t="s">
        <v>22</v>
      </c>
      <c r="L907">
        <v>276</v>
      </c>
      <c r="M907">
        <v>9.75</v>
      </c>
      <c r="N907">
        <v>29.01</v>
      </c>
      <c r="O907" t="s">
        <v>19</v>
      </c>
      <c r="P907" t="s">
        <v>20</v>
      </c>
      <c r="Q907" t="s">
        <v>19</v>
      </c>
      <c r="R907" t="str">
        <f>HYPERLINK("https://cfpub.epa.gov/ecotox/explore.cfm?ncbi=2795564","Explore in ECOTOX")</f>
        <v>Explore in ECOTOX</v>
      </c>
    </row>
    <row r="908" spans="1:18" x14ac:dyDescent="0.45">
      <c r="A908" t="s">
        <v>1264</v>
      </c>
      <c r="B908">
        <v>8</v>
      </c>
      <c r="C908" t="str">
        <f>HYPERLINK("http://www.ncbi.nlm.nih.gov/protein/CAH4037531.1","CAH4037531.1")</f>
        <v>CAH4037531.1</v>
      </c>
      <c r="D908">
        <v>38704</v>
      </c>
      <c r="E908" t="str">
        <f>HYPERLINK("http://www.ncbi.nlm.nih.gov/Taxonomy/Browser/wwwtax.cgi?mode=Info&amp;id=7116&amp;lvl=3&amp;lin=f&amp;keep=1&amp;srchmode=1&amp;unlock","7116")</f>
        <v>7116</v>
      </c>
      <c r="F908" t="s">
        <v>760</v>
      </c>
      <c r="G908" t="str">
        <f>HYPERLINK("http://www.ncbi.nlm.nih.gov/Taxonomy/Browser/wwwtax.cgi?mode=Info&amp;id=7116&amp;lvl=3&amp;lin=f&amp;keep=1&amp;srchmode=1&amp;unlock","Pieris brassicae")</f>
        <v>Pieris brassicae</v>
      </c>
      <c r="H908" t="s">
        <v>873</v>
      </c>
      <c r="I908" t="str">
        <f>HYPERLINK("http://www.ncbi.nlm.nih.gov/protein/CAH4037531.1","unnamed protein product")</f>
        <v>unnamed protein product</v>
      </c>
      <c r="J908">
        <v>3032.28</v>
      </c>
      <c r="K908" t="s">
        <v>22</v>
      </c>
      <c r="L908">
        <v>276</v>
      </c>
      <c r="M908">
        <v>9.75</v>
      </c>
      <c r="N908">
        <v>29.01</v>
      </c>
      <c r="O908" t="s">
        <v>19</v>
      </c>
      <c r="P908" t="s">
        <v>20</v>
      </c>
      <c r="Q908" t="s">
        <v>19</v>
      </c>
      <c r="R908" t="str">
        <f>HYPERLINK("https://cfpub.epa.gov/ecotox/explore.cfm?ncbi=7116","Explore in ECOTOX")</f>
        <v>Explore in ECOTOX</v>
      </c>
    </row>
    <row r="909" spans="1:18" x14ac:dyDescent="0.45">
      <c r="A909" t="s">
        <v>1264</v>
      </c>
      <c r="B909">
        <v>8</v>
      </c>
      <c r="C909" t="str">
        <f>HYPERLINK("http://www.ncbi.nlm.nih.gov/protein/XP_026484123.1","XP_026484123.1")</f>
        <v>XP_026484123.1</v>
      </c>
      <c r="D909">
        <v>18776</v>
      </c>
      <c r="E909" t="str">
        <f>HYPERLINK("http://www.ncbi.nlm.nih.gov/Taxonomy/Browser/wwwtax.cgi?mode=Info&amp;id=334116&amp;lvl=3&amp;lin=f&amp;keep=1&amp;srchmode=1&amp;unlock","334116")</f>
        <v>334116</v>
      </c>
      <c r="F909" t="s">
        <v>760</v>
      </c>
      <c r="G909" t="str">
        <f>HYPERLINK("http://www.ncbi.nlm.nih.gov/Taxonomy/Browser/wwwtax.cgi?mode=Info&amp;id=334116&amp;lvl=3&amp;lin=f&amp;keep=1&amp;srchmode=1&amp;unlock","Vanessa tameamea")</f>
        <v>Vanessa tameamea</v>
      </c>
      <c r="H909" t="s">
        <v>874</v>
      </c>
      <c r="I909" t="str">
        <f>HYPERLINK("http://www.ncbi.nlm.nih.gov/protein/XP_026484123.1","ryanodine receptor isoform X33")</f>
        <v>ryanodine receptor isoform X33</v>
      </c>
      <c r="J909">
        <v>3031.51</v>
      </c>
      <c r="K909" t="s">
        <v>22</v>
      </c>
      <c r="L909">
        <v>276</v>
      </c>
      <c r="M909">
        <v>9.75</v>
      </c>
      <c r="N909">
        <v>29</v>
      </c>
      <c r="O909" t="s">
        <v>19</v>
      </c>
      <c r="P909" t="s">
        <v>20</v>
      </c>
      <c r="Q909" t="s">
        <v>19</v>
      </c>
      <c r="R909" t="str">
        <f>HYPERLINK("https://cfpub.epa.gov/ecotox/explore.cfm?ncbi=334116","Explore in ECOTOX")</f>
        <v>Explore in ECOTOX</v>
      </c>
    </row>
    <row r="910" spans="1:18" x14ac:dyDescent="0.45">
      <c r="A910" t="s">
        <v>1264</v>
      </c>
      <c r="B910">
        <v>8</v>
      </c>
      <c r="C910" t="str">
        <f>HYPERLINK("http://www.ncbi.nlm.nih.gov/protein/XP_050357857.1","XP_050357857.1")</f>
        <v>XP_050357857.1</v>
      </c>
      <c r="D910">
        <v>21491</v>
      </c>
      <c r="E910" t="str">
        <f>HYPERLINK("http://www.ncbi.nlm.nih.gov/Taxonomy/Browser/wwwtax.cgi?mode=Info&amp;id=171585&amp;lvl=3&amp;lin=f&amp;keep=1&amp;srchmode=1&amp;unlock","171585")</f>
        <v>171585</v>
      </c>
      <c r="F910" t="s">
        <v>760</v>
      </c>
      <c r="G910" t="str">
        <f>HYPERLINK("http://www.ncbi.nlm.nih.gov/Taxonomy/Browser/wwwtax.cgi?mode=Info&amp;id=171585&amp;lvl=3&amp;lin=f&amp;keep=1&amp;srchmode=1&amp;unlock","Nymphalis io")</f>
        <v>Nymphalis io</v>
      </c>
      <c r="H910" t="s">
        <v>875</v>
      </c>
      <c r="I910" t="str">
        <f>HYPERLINK("http://www.ncbi.nlm.nih.gov/protein/XP_050357857.1","ryanodine receptor isoform X4")</f>
        <v>ryanodine receptor isoform X4</v>
      </c>
      <c r="J910">
        <v>3030.35</v>
      </c>
      <c r="K910" t="s">
        <v>22</v>
      </c>
      <c r="L910">
        <v>276</v>
      </c>
      <c r="M910">
        <v>9.75</v>
      </c>
      <c r="N910">
        <v>28.99</v>
      </c>
      <c r="O910" t="s">
        <v>19</v>
      </c>
      <c r="P910" t="s">
        <v>20</v>
      </c>
      <c r="Q910" t="s">
        <v>19</v>
      </c>
      <c r="R910" t="str">
        <f>HYPERLINK("https://cfpub.epa.gov/ecotox/explore.cfm?ncbi=171585","Explore in ECOTOX")</f>
        <v>Explore in ECOTOX</v>
      </c>
    </row>
    <row r="911" spans="1:18" x14ac:dyDescent="0.45">
      <c r="A911" t="s">
        <v>1264</v>
      </c>
      <c r="B911">
        <v>8</v>
      </c>
      <c r="C911" t="str">
        <f>HYPERLINK("http://www.ncbi.nlm.nih.gov/protein/WCC58829.1","WCC58829.1")</f>
        <v>WCC58829.1</v>
      </c>
      <c r="D911">
        <v>157</v>
      </c>
      <c r="E911" t="str">
        <f>HYPERLINK("http://www.ncbi.nlm.nih.gov/Taxonomy/Browser/wwwtax.cgi?mode=Info&amp;id=1651263&amp;lvl=3&amp;lin=f&amp;keep=1&amp;srchmode=1&amp;unlock","1651263")</f>
        <v>1651263</v>
      </c>
      <c r="F911" t="s">
        <v>760</v>
      </c>
      <c r="G911" t="str">
        <f>HYPERLINK("http://www.ncbi.nlm.nih.gov/Taxonomy/Browser/wwwtax.cgi?mode=Info&amp;id=1651263&amp;lvl=3&amp;lin=f&amp;keep=1&amp;srchmode=1&amp;unlock","Galeruca daurica")</f>
        <v>Galeruca daurica</v>
      </c>
      <c r="H911" t="s">
        <v>876</v>
      </c>
      <c r="I911" t="str">
        <f>HYPERLINK("http://www.ncbi.nlm.nih.gov/protein/WCC58829.1","ryanodine receptor")</f>
        <v>ryanodine receptor</v>
      </c>
      <c r="J911">
        <v>3029.58</v>
      </c>
      <c r="K911" t="s">
        <v>22</v>
      </c>
      <c r="L911">
        <v>276</v>
      </c>
      <c r="M911">
        <v>9.75</v>
      </c>
      <c r="N911">
        <v>28.98</v>
      </c>
      <c r="O911" t="s">
        <v>19</v>
      </c>
      <c r="P911" t="s">
        <v>20</v>
      </c>
      <c r="Q911" t="s">
        <v>19</v>
      </c>
      <c r="R911" t="str">
        <f>HYPERLINK("https://cfpub.epa.gov/ecotox/explore.cfm?ncbi=1651263","Explore in ECOTOX")</f>
        <v>Explore in ECOTOX</v>
      </c>
    </row>
    <row r="912" spans="1:18" x14ac:dyDescent="0.45">
      <c r="A912" t="s">
        <v>1264</v>
      </c>
      <c r="B912">
        <v>8</v>
      </c>
      <c r="C912" t="str">
        <f>HYPERLINK("http://www.ncbi.nlm.nih.gov/protein/XP_044271243.1","XP_044271243.1")</f>
        <v>XP_044271243.1</v>
      </c>
      <c r="D912">
        <v>20584</v>
      </c>
      <c r="E912" t="str">
        <f>HYPERLINK("http://www.ncbi.nlm.nih.gov/Taxonomy/Browser/wwwtax.cgi?mode=Info&amp;id=41895&amp;lvl=3&amp;lin=f&amp;keep=1&amp;srchmode=1&amp;unlock","41895")</f>
        <v>41895</v>
      </c>
      <c r="F912" t="s">
        <v>760</v>
      </c>
      <c r="G912" t="str">
        <f>HYPERLINK("http://www.ncbi.nlm.nih.gov/Taxonomy/Browser/wwwtax.cgi?mode=Info&amp;id=41895&amp;lvl=3&amp;lin=f&amp;keep=1&amp;srchmode=1&amp;unlock","Tribolium madens")</f>
        <v>Tribolium madens</v>
      </c>
      <c r="H912" t="s">
        <v>877</v>
      </c>
      <c r="I912" t="str">
        <f>HYPERLINK("http://www.ncbi.nlm.nih.gov/protein/XP_044271243.1","ryanodine receptor isoform X2")</f>
        <v>ryanodine receptor isoform X2</v>
      </c>
      <c r="J912">
        <v>3029.58</v>
      </c>
      <c r="K912" t="s">
        <v>22</v>
      </c>
      <c r="L912">
        <v>276</v>
      </c>
      <c r="M912">
        <v>9.75</v>
      </c>
      <c r="N912">
        <v>28.98</v>
      </c>
      <c r="O912" t="s">
        <v>19</v>
      </c>
      <c r="P912" t="s">
        <v>20</v>
      </c>
      <c r="Q912" t="s">
        <v>19</v>
      </c>
      <c r="R912" t="str">
        <f>HYPERLINK("https://cfpub.epa.gov/ecotox/explore.cfm?ncbi=41895","Explore in ECOTOX")</f>
        <v>Explore in ECOTOX</v>
      </c>
    </row>
    <row r="913" spans="1:18" x14ac:dyDescent="0.45">
      <c r="A913" t="s">
        <v>1264</v>
      </c>
      <c r="B913">
        <v>8</v>
      </c>
      <c r="C913" t="str">
        <f>HYPERLINK("http://www.ncbi.nlm.nih.gov/protein/XP_028040409.1","XP_028040409.1")</f>
        <v>XP_028040409.1</v>
      </c>
      <c r="D913">
        <v>20036</v>
      </c>
      <c r="E913" t="str">
        <f>HYPERLINK("http://www.ncbi.nlm.nih.gov/Taxonomy/Browser/wwwtax.cgi?mode=Info&amp;id=7092&amp;lvl=3&amp;lin=f&amp;keep=1&amp;srchmode=1&amp;unlock","7092")</f>
        <v>7092</v>
      </c>
      <c r="F913" t="s">
        <v>760</v>
      </c>
      <c r="G913" t="str">
        <f>HYPERLINK("http://www.ncbi.nlm.nih.gov/Taxonomy/Browser/wwwtax.cgi?mode=Info&amp;id=7092&amp;lvl=3&amp;lin=f&amp;keep=1&amp;srchmode=1&amp;unlock","Bombyx mandarina")</f>
        <v>Bombyx mandarina</v>
      </c>
      <c r="H913" t="s">
        <v>878</v>
      </c>
      <c r="I913" t="str">
        <f>HYPERLINK("http://www.ncbi.nlm.nih.gov/protein/XP_028040409.1","ryanodine receptor isoform X6")</f>
        <v>ryanodine receptor isoform X6</v>
      </c>
      <c r="J913">
        <v>3029.2</v>
      </c>
      <c r="K913" t="s">
        <v>22</v>
      </c>
      <c r="L913">
        <v>276</v>
      </c>
      <c r="M913">
        <v>9.75</v>
      </c>
      <c r="N913">
        <v>28.98</v>
      </c>
      <c r="O913" t="s">
        <v>19</v>
      </c>
      <c r="P913" t="s">
        <v>20</v>
      </c>
      <c r="Q913" t="s">
        <v>19</v>
      </c>
      <c r="R913" t="str">
        <f>HYPERLINK("https://cfpub.epa.gov/ecotox/explore.cfm?ncbi=7092","Explore in ECOTOX")</f>
        <v>Explore in ECOTOX</v>
      </c>
    </row>
    <row r="914" spans="1:18" x14ac:dyDescent="0.45">
      <c r="A914" t="s">
        <v>1264</v>
      </c>
      <c r="B914">
        <v>8</v>
      </c>
      <c r="C914" t="str">
        <f>HYPERLINK("http://www.ncbi.nlm.nih.gov/protein/XP_059045907.1","XP_059045907.1")</f>
        <v>XP_059045907.1</v>
      </c>
      <c r="D914">
        <v>18269</v>
      </c>
      <c r="E914" t="str">
        <f>HYPERLINK("http://www.ncbi.nlm.nih.gov/Taxonomy/Browser/wwwtax.cgi?mode=Info&amp;id=688607&amp;lvl=3&amp;lin=f&amp;keep=1&amp;srchmode=1&amp;unlock","688607")</f>
        <v>688607</v>
      </c>
      <c r="F914" t="s">
        <v>760</v>
      </c>
      <c r="G914" t="str">
        <f>HYPERLINK("http://www.ncbi.nlm.nih.gov/Taxonomy/Browser/wwwtax.cgi?mode=Info&amp;id=688607&amp;lvl=3&amp;lin=f&amp;keep=1&amp;srchmode=1&amp;unlock","Achroia grisella")</f>
        <v>Achroia grisella</v>
      </c>
      <c r="H914" t="s">
        <v>879</v>
      </c>
      <c r="I914" t="str">
        <f>HYPERLINK("http://www.ncbi.nlm.nih.gov/protein/XP_059045907.1","ryanodine receptor")</f>
        <v>ryanodine receptor</v>
      </c>
      <c r="J914">
        <v>3028.81</v>
      </c>
      <c r="K914" t="s">
        <v>22</v>
      </c>
      <c r="L914">
        <v>276</v>
      </c>
      <c r="M914">
        <v>9.75</v>
      </c>
      <c r="N914">
        <v>28.97</v>
      </c>
      <c r="O914" t="s">
        <v>19</v>
      </c>
      <c r="P914" t="s">
        <v>20</v>
      </c>
      <c r="Q914" t="s">
        <v>19</v>
      </c>
      <c r="R914" t="str">
        <f>HYPERLINK("https://cfpub.epa.gov/ecotox/explore.cfm?ncbi=688607","Explore in ECOTOX")</f>
        <v>Explore in ECOTOX</v>
      </c>
    </row>
    <row r="915" spans="1:18" x14ac:dyDescent="0.45">
      <c r="A915" t="s">
        <v>1264</v>
      </c>
      <c r="B915">
        <v>8</v>
      </c>
      <c r="C915" t="str">
        <f>HYPERLINK("http://www.ncbi.nlm.nih.gov/protein/XP_037875961.1","XP_037875961.1")</f>
        <v>XP_037875961.1</v>
      </c>
      <c r="D915">
        <v>33461</v>
      </c>
      <c r="E915" t="str">
        <f>HYPERLINK("http://www.ncbi.nlm.nih.gov/Taxonomy/Browser/wwwtax.cgi?mode=Info&amp;id=7091&amp;lvl=3&amp;lin=f&amp;keep=1&amp;srchmode=1&amp;unlock","7091")</f>
        <v>7091</v>
      </c>
      <c r="F915" t="s">
        <v>760</v>
      </c>
      <c r="G915" t="str">
        <f>HYPERLINK("http://www.ncbi.nlm.nih.gov/Taxonomy/Browser/wwwtax.cgi?mode=Info&amp;id=7091&amp;lvl=3&amp;lin=f&amp;keep=1&amp;srchmode=1&amp;unlock","Bombyx mori")</f>
        <v>Bombyx mori</v>
      </c>
      <c r="H915" t="s">
        <v>880</v>
      </c>
      <c r="I915" t="str">
        <f>HYPERLINK("http://www.ncbi.nlm.nih.gov/protein/XP_037875961.1","ryanodine receptor isoform X5")</f>
        <v>ryanodine receptor isoform X5</v>
      </c>
      <c r="J915">
        <v>3028.81</v>
      </c>
      <c r="K915" t="s">
        <v>22</v>
      </c>
      <c r="L915">
        <v>276</v>
      </c>
      <c r="M915">
        <v>9.75</v>
      </c>
      <c r="N915">
        <v>28.97</v>
      </c>
      <c r="O915" t="s">
        <v>19</v>
      </c>
      <c r="P915" t="s">
        <v>20</v>
      </c>
      <c r="Q915" t="s">
        <v>19</v>
      </c>
      <c r="R915" t="str">
        <f>HYPERLINK("https://cfpub.epa.gov/ecotox/explore.cfm?ncbi=7091","Explore in ECOTOX")</f>
        <v>Explore in ECOTOX</v>
      </c>
    </row>
    <row r="916" spans="1:18" x14ac:dyDescent="0.45">
      <c r="A916" t="s">
        <v>1264</v>
      </c>
      <c r="B916">
        <v>8</v>
      </c>
      <c r="C916" t="str">
        <f>HYPERLINK("http://www.ncbi.nlm.nih.gov/protein/AFK84959.1","AFK84959.1")</f>
        <v>AFK84959.1</v>
      </c>
      <c r="D916">
        <v>18618</v>
      </c>
      <c r="E916" t="str">
        <f>HYPERLINK("http://www.ncbi.nlm.nih.gov/Taxonomy/Browser/wwwtax.cgi?mode=Info&amp;id=195883&amp;lvl=3&amp;lin=f&amp;keep=1&amp;srchmode=1&amp;unlock","195883")</f>
        <v>195883</v>
      </c>
      <c r="F916" t="s">
        <v>760</v>
      </c>
      <c r="G916" t="str">
        <f>HYPERLINK("http://www.ncbi.nlm.nih.gov/Taxonomy/Browser/wwwtax.cgi?mode=Info&amp;id=195883&amp;lvl=3&amp;lin=f&amp;keep=1&amp;srchmode=1&amp;unlock","Laodelphax striatellus")</f>
        <v>Laodelphax striatellus</v>
      </c>
      <c r="H916" t="s">
        <v>881</v>
      </c>
      <c r="I916" t="str">
        <f>HYPERLINK("http://www.ncbi.nlm.nih.gov/protein/AFK84959.1","ryanodine receptor")</f>
        <v>ryanodine receptor</v>
      </c>
      <c r="J916">
        <v>3028.81</v>
      </c>
      <c r="K916" t="s">
        <v>22</v>
      </c>
      <c r="L916">
        <v>276</v>
      </c>
      <c r="M916">
        <v>9.75</v>
      </c>
      <c r="N916">
        <v>28.97</v>
      </c>
      <c r="O916" t="s">
        <v>19</v>
      </c>
      <c r="P916" t="s">
        <v>20</v>
      </c>
      <c r="Q916" t="s">
        <v>19</v>
      </c>
      <c r="R916" t="str">
        <f>HYPERLINK("https://cfpub.epa.gov/ecotox/explore.cfm?ncbi=195883","Explore in ECOTOX")</f>
        <v>Explore in ECOTOX</v>
      </c>
    </row>
    <row r="917" spans="1:18" x14ac:dyDescent="0.45">
      <c r="A917" t="s">
        <v>1264</v>
      </c>
      <c r="B917">
        <v>8</v>
      </c>
      <c r="C917" t="str">
        <f>HYPERLINK("http://www.ncbi.nlm.nih.gov/protein/XP_045485480.1","XP_045485480.1")</f>
        <v>XP_045485480.1</v>
      </c>
      <c r="D917">
        <v>21694</v>
      </c>
      <c r="E917" t="str">
        <f>HYPERLINK("http://www.ncbi.nlm.nih.gov/Taxonomy/Browser/wwwtax.cgi?mode=Info&amp;id=64459&amp;lvl=3&amp;lin=f&amp;keep=1&amp;srchmode=1&amp;unlock","64459")</f>
        <v>64459</v>
      </c>
      <c r="F917" t="s">
        <v>760</v>
      </c>
      <c r="G917" t="str">
        <f>HYPERLINK("http://www.ncbi.nlm.nih.gov/Taxonomy/Browser/wwwtax.cgi?mode=Info&amp;id=64459&amp;lvl=3&amp;lin=f&amp;keep=1&amp;srchmode=1&amp;unlock","Pieris rapae")</f>
        <v>Pieris rapae</v>
      </c>
      <c r="H917" t="s">
        <v>882</v>
      </c>
      <c r="I917" t="str">
        <f>HYPERLINK("http://www.ncbi.nlm.nih.gov/protein/XP_045485480.1","ryanodine receptor isoform X9")</f>
        <v>ryanodine receptor isoform X9</v>
      </c>
      <c r="J917">
        <v>3028.04</v>
      </c>
      <c r="K917" t="s">
        <v>22</v>
      </c>
      <c r="L917">
        <v>276</v>
      </c>
      <c r="M917">
        <v>9.75</v>
      </c>
      <c r="N917">
        <v>28.97</v>
      </c>
      <c r="O917" t="s">
        <v>19</v>
      </c>
      <c r="P917" t="s">
        <v>20</v>
      </c>
      <c r="Q917" t="s">
        <v>19</v>
      </c>
      <c r="R917" t="str">
        <f>HYPERLINK("https://cfpub.epa.gov/ecotox/explore.cfm?ncbi=64459","Explore in ECOTOX")</f>
        <v>Explore in ECOTOX</v>
      </c>
    </row>
    <row r="918" spans="1:18" x14ac:dyDescent="0.45">
      <c r="A918" t="s">
        <v>1264</v>
      </c>
      <c r="B918">
        <v>8</v>
      </c>
      <c r="C918" t="str">
        <f>HYPERLINK("http://www.ncbi.nlm.nih.gov/protein/KAJ8708052.1","KAJ8708052.1")</f>
        <v>KAJ8708052.1</v>
      </c>
      <c r="D918">
        <v>16982</v>
      </c>
      <c r="E918" t="str">
        <f>HYPERLINK("http://www.ncbi.nlm.nih.gov/Taxonomy/Browser/wwwtax.cgi?mode=Info&amp;id=667449&amp;lvl=3&amp;lin=f&amp;keep=1&amp;srchmode=1&amp;unlock","667449")</f>
        <v>667449</v>
      </c>
      <c r="F918" t="s">
        <v>760</v>
      </c>
      <c r="G918" t="str">
        <f>HYPERLINK("http://www.ncbi.nlm.nih.gov/Taxonomy/Browser/wwwtax.cgi?mode=Info&amp;id=667449&amp;lvl=3&amp;lin=f&amp;keep=1&amp;srchmode=1&amp;unlock","Mythimna loreyi")</f>
        <v>Mythimna loreyi</v>
      </c>
      <c r="H918" t="s">
        <v>883</v>
      </c>
      <c r="I918" t="str">
        <f>HYPERLINK("http://www.ncbi.nlm.nih.gov/protein/KAJ8708052.1","hypothetical protein PYW08_010418")</f>
        <v>hypothetical protein PYW08_010418</v>
      </c>
      <c r="J918">
        <v>3027.65</v>
      </c>
      <c r="K918" t="s">
        <v>22</v>
      </c>
      <c r="L918">
        <v>276</v>
      </c>
      <c r="M918">
        <v>9.75</v>
      </c>
      <c r="N918">
        <v>28.96</v>
      </c>
      <c r="O918" t="s">
        <v>19</v>
      </c>
      <c r="P918" t="s">
        <v>20</v>
      </c>
      <c r="Q918" t="s">
        <v>19</v>
      </c>
      <c r="R918" t="str">
        <f>HYPERLINK("https://cfpub.epa.gov/ecotox/explore.cfm?ncbi=667449","Explore in ECOTOX")</f>
        <v>Explore in ECOTOX</v>
      </c>
    </row>
    <row r="919" spans="1:18" x14ac:dyDescent="0.45">
      <c r="A919" t="s">
        <v>1264</v>
      </c>
      <c r="B919">
        <v>8</v>
      </c>
      <c r="C919" t="str">
        <f>HYPERLINK("http://www.ncbi.nlm.nih.gov/protein/NP_001308588.1","NP_001308588.1")</f>
        <v>NP_001308588.1</v>
      </c>
      <c r="D919">
        <v>42420</v>
      </c>
      <c r="E919" t="str">
        <f>HYPERLINK("http://www.ncbi.nlm.nih.gov/Taxonomy/Browser/wwwtax.cgi?mode=Info&amp;id=7070&amp;lvl=3&amp;lin=f&amp;keep=1&amp;srchmode=1&amp;unlock","7070")</f>
        <v>7070</v>
      </c>
      <c r="F919" t="s">
        <v>760</v>
      </c>
      <c r="G919" t="str">
        <f>HYPERLINK("http://www.ncbi.nlm.nih.gov/Taxonomy/Browser/wwwtax.cgi?mode=Info&amp;id=7070&amp;lvl=3&amp;lin=f&amp;keep=1&amp;srchmode=1&amp;unlock","Tribolium castaneum")</f>
        <v>Tribolium castaneum</v>
      </c>
      <c r="H919" t="s">
        <v>884</v>
      </c>
      <c r="I919" t="str">
        <f>HYPERLINK("http://www.ncbi.nlm.nih.gov/protein/NP_001308588.1","ryanodine receptor")</f>
        <v>ryanodine receptor</v>
      </c>
      <c r="J919">
        <v>3027.27</v>
      </c>
      <c r="K919" t="s">
        <v>22</v>
      </c>
      <c r="L919">
        <v>276</v>
      </c>
      <c r="M919">
        <v>9.75</v>
      </c>
      <c r="N919">
        <v>28.96</v>
      </c>
      <c r="O919" t="s">
        <v>19</v>
      </c>
      <c r="P919" t="s">
        <v>20</v>
      </c>
      <c r="Q919" t="s">
        <v>19</v>
      </c>
      <c r="R919" t="str">
        <f>HYPERLINK("https://cfpub.epa.gov/ecotox/explore.cfm?ncbi=7070","Explore in ECOTOX")</f>
        <v>Explore in ECOTOX</v>
      </c>
    </row>
    <row r="920" spans="1:18" x14ac:dyDescent="0.45">
      <c r="A920" t="s">
        <v>1264</v>
      </c>
      <c r="B920">
        <v>8</v>
      </c>
      <c r="C920" t="str">
        <f>HYPERLINK("http://www.ncbi.nlm.nih.gov/protein/KAG6444103.1","KAG6444103.1")</f>
        <v>KAG6444103.1</v>
      </c>
      <c r="D920">
        <v>53080</v>
      </c>
      <c r="E920" t="str">
        <f>HYPERLINK("http://www.ncbi.nlm.nih.gov/Taxonomy/Browser/wwwtax.cgi?mode=Info&amp;id=7130&amp;lvl=3&amp;lin=f&amp;keep=1&amp;srchmode=1&amp;unlock","7130")</f>
        <v>7130</v>
      </c>
      <c r="F920" t="s">
        <v>760</v>
      </c>
      <c r="G920" t="str">
        <f>HYPERLINK("http://www.ncbi.nlm.nih.gov/Taxonomy/Browser/wwwtax.cgi?mode=Info&amp;id=7130&amp;lvl=3&amp;lin=f&amp;keep=1&amp;srchmode=1&amp;unlock","Manduca sexta")</f>
        <v>Manduca sexta</v>
      </c>
      <c r="H920" t="s">
        <v>885</v>
      </c>
      <c r="I920" t="str">
        <f>HYPERLINK("http://www.ncbi.nlm.nih.gov/protein/KAG6444103.1","hypothetical protein O3G_MSEX003225")</f>
        <v>hypothetical protein O3G_MSEX003225</v>
      </c>
      <c r="J920">
        <v>3026.88</v>
      </c>
      <c r="K920" t="s">
        <v>22</v>
      </c>
      <c r="L920">
        <v>276</v>
      </c>
      <c r="M920">
        <v>9.75</v>
      </c>
      <c r="N920">
        <v>28.95</v>
      </c>
      <c r="O920" t="s">
        <v>19</v>
      </c>
      <c r="P920" t="s">
        <v>20</v>
      </c>
      <c r="Q920" t="s">
        <v>19</v>
      </c>
      <c r="R920" t="str">
        <f>HYPERLINK("https://cfpub.epa.gov/ecotox/explore.cfm?ncbi=7130","Explore in ECOTOX")</f>
        <v>Explore in ECOTOX</v>
      </c>
    </row>
    <row r="921" spans="1:18" x14ac:dyDescent="0.45">
      <c r="A921" t="s">
        <v>1264</v>
      </c>
      <c r="B921">
        <v>8</v>
      </c>
      <c r="C921" t="str">
        <f>HYPERLINK("http://www.ncbi.nlm.nih.gov/protein/XP_060808040.1","XP_060808040.1")</f>
        <v>XP_060808040.1</v>
      </c>
      <c r="D921">
        <v>21222</v>
      </c>
      <c r="E921" t="str">
        <f>HYPERLINK("http://www.ncbi.nlm.nih.gov/Taxonomy/Browser/wwwtax.cgi?mode=Info&amp;id=680683&amp;lvl=3&amp;lin=f&amp;keep=1&amp;srchmode=1&amp;unlock","680683")</f>
        <v>680683</v>
      </c>
      <c r="F921" t="s">
        <v>760</v>
      </c>
      <c r="G921" t="str">
        <f>HYPERLINK("http://www.ncbi.nlm.nih.gov/Taxonomy/Browser/wwwtax.cgi?mode=Info&amp;id=680683&amp;lvl=3&amp;lin=f&amp;keep=1&amp;srchmode=1&amp;unlock","Amyelois transitella")</f>
        <v>Amyelois transitella</v>
      </c>
      <c r="H921" t="s">
        <v>879</v>
      </c>
      <c r="I921" t="str">
        <f>HYPERLINK("http://www.ncbi.nlm.nih.gov/protein/XP_060808040.1","ryanodine receptor isoform X3")</f>
        <v>ryanodine receptor isoform X3</v>
      </c>
      <c r="J921">
        <v>3025.73</v>
      </c>
      <c r="K921" t="s">
        <v>22</v>
      </c>
      <c r="L921">
        <v>276</v>
      </c>
      <c r="M921">
        <v>9.75</v>
      </c>
      <c r="N921">
        <v>28.94</v>
      </c>
      <c r="O921" t="s">
        <v>19</v>
      </c>
      <c r="P921" t="s">
        <v>20</v>
      </c>
      <c r="Q921" t="s">
        <v>19</v>
      </c>
      <c r="R921" t="str">
        <f>HYPERLINK("https://cfpub.epa.gov/ecotox/explore.cfm?ncbi=680683","Explore in ECOTOX")</f>
        <v>Explore in ECOTOX</v>
      </c>
    </row>
    <row r="922" spans="1:18" x14ac:dyDescent="0.45">
      <c r="A922" t="s">
        <v>1264</v>
      </c>
      <c r="B922">
        <v>8</v>
      </c>
      <c r="C922" t="str">
        <f>HYPERLINK("http://www.ncbi.nlm.nih.gov/protein/AGH68757.1","AGH68757.1")</f>
        <v>AGH68757.1</v>
      </c>
      <c r="D922">
        <v>24807</v>
      </c>
      <c r="E922" t="str">
        <f>HYPERLINK("http://www.ncbi.nlm.nih.gov/Taxonomy/Browser/wwwtax.cgi?mode=Info&amp;id=93504&amp;lvl=3&amp;lin=f&amp;keep=1&amp;srchmode=1&amp;unlock","93504")</f>
        <v>93504</v>
      </c>
      <c r="F922" t="s">
        <v>760</v>
      </c>
      <c r="G922" t="str">
        <f>HYPERLINK("http://www.ncbi.nlm.nih.gov/Taxonomy/Browser/wwwtax.cgi?mode=Info&amp;id=93504&amp;lvl=3&amp;lin=f&amp;keep=1&amp;srchmode=1&amp;unlock","Ostrinia furnacalis")</f>
        <v>Ostrinia furnacalis</v>
      </c>
      <c r="H922" t="s">
        <v>886</v>
      </c>
      <c r="I922" t="str">
        <f>HYPERLINK("http://www.ncbi.nlm.nih.gov/protein/AGH68757.1","ryanodine receptor")</f>
        <v>ryanodine receptor</v>
      </c>
      <c r="J922">
        <v>3025.34</v>
      </c>
      <c r="K922" t="s">
        <v>22</v>
      </c>
      <c r="L922">
        <v>276</v>
      </c>
      <c r="M922">
        <v>9.75</v>
      </c>
      <c r="N922">
        <v>28.94</v>
      </c>
      <c r="O922" t="s">
        <v>19</v>
      </c>
      <c r="P922" t="s">
        <v>20</v>
      </c>
      <c r="Q922" t="s">
        <v>19</v>
      </c>
      <c r="R922" t="str">
        <f>HYPERLINK("https://cfpub.epa.gov/ecotox/explore.cfm?ncbi=93504","Explore in ECOTOX")</f>
        <v>Explore in ECOTOX</v>
      </c>
    </row>
    <row r="923" spans="1:18" x14ac:dyDescent="0.45">
      <c r="A923" t="s">
        <v>1264</v>
      </c>
      <c r="B923">
        <v>8</v>
      </c>
      <c r="C923" t="str">
        <f>HYPERLINK("http://www.ncbi.nlm.nih.gov/protein/CAH0598680.1","CAH0598680.1")</f>
        <v>CAH0598680.1</v>
      </c>
      <c r="D923">
        <v>14833</v>
      </c>
      <c r="E923" t="str">
        <f>HYPERLINK("http://www.ncbi.nlm.nih.gov/Taxonomy/Browser/wwwtax.cgi?mode=Info&amp;id=689277&amp;lvl=3&amp;lin=f&amp;keep=1&amp;srchmode=1&amp;unlock","689277")</f>
        <v>689277</v>
      </c>
      <c r="F923" t="s">
        <v>760</v>
      </c>
      <c r="G923" t="str">
        <f>HYPERLINK("http://www.ncbi.nlm.nih.gov/Taxonomy/Browser/wwwtax.cgi?mode=Info&amp;id=689277&amp;lvl=3&amp;lin=f&amp;keep=1&amp;srchmode=1&amp;unlock","Chrysodeixis includens")</f>
        <v>Chrysodeixis includens</v>
      </c>
      <c r="H923" t="s">
        <v>887</v>
      </c>
      <c r="I923" t="str">
        <f>HYPERLINK("http://www.ncbi.nlm.nih.gov/protein/CAH0598680.1","unnamed protein product")</f>
        <v>unnamed protein product</v>
      </c>
      <c r="J923">
        <v>3023.8</v>
      </c>
      <c r="K923" t="s">
        <v>22</v>
      </c>
      <c r="L923">
        <v>276</v>
      </c>
      <c r="M923">
        <v>9.75</v>
      </c>
      <c r="N923">
        <v>28.93</v>
      </c>
      <c r="O923" t="s">
        <v>19</v>
      </c>
      <c r="P923" t="s">
        <v>20</v>
      </c>
      <c r="Q923" t="s">
        <v>19</v>
      </c>
      <c r="R923" t="str">
        <f>HYPERLINK("https://cfpub.epa.gov/ecotox/explore.cfm?ncbi=689277","Explore in ECOTOX")</f>
        <v>Explore in ECOTOX</v>
      </c>
    </row>
    <row r="924" spans="1:18" x14ac:dyDescent="0.45">
      <c r="A924" t="s">
        <v>1264</v>
      </c>
      <c r="B924">
        <v>8</v>
      </c>
      <c r="C924" t="str">
        <f>HYPERLINK("http://www.ncbi.nlm.nih.gov/protein/XP_026743410.1","XP_026743410.1")</f>
        <v>XP_026743410.1</v>
      </c>
      <c r="D924">
        <v>24166</v>
      </c>
      <c r="E924" t="str">
        <f>HYPERLINK("http://www.ncbi.nlm.nih.gov/Taxonomy/Browser/wwwtax.cgi?mode=Info&amp;id=7111&amp;lvl=3&amp;lin=f&amp;keep=1&amp;srchmode=1&amp;unlock","7111")</f>
        <v>7111</v>
      </c>
      <c r="F924" t="s">
        <v>760</v>
      </c>
      <c r="G924" t="str">
        <f>HYPERLINK("http://www.ncbi.nlm.nih.gov/Taxonomy/Browser/wwwtax.cgi?mode=Info&amp;id=7111&amp;lvl=3&amp;lin=f&amp;keep=1&amp;srchmode=1&amp;unlock","Trichoplusia ni")</f>
        <v>Trichoplusia ni</v>
      </c>
      <c r="H924" t="s">
        <v>888</v>
      </c>
      <c r="I924" t="str">
        <f>HYPERLINK("http://www.ncbi.nlm.nih.gov/protein/XP_026743410.1","LOW QUALITY PROTEIN: ryanodine receptor")</f>
        <v>LOW QUALITY PROTEIN: ryanodine receptor</v>
      </c>
      <c r="J924">
        <v>3023.03</v>
      </c>
      <c r="K924" t="s">
        <v>22</v>
      </c>
      <c r="L924">
        <v>276</v>
      </c>
      <c r="M924">
        <v>9.75</v>
      </c>
      <c r="N924">
        <v>28.92</v>
      </c>
      <c r="O924" t="s">
        <v>19</v>
      </c>
      <c r="P924" t="s">
        <v>20</v>
      </c>
      <c r="Q924" t="s">
        <v>19</v>
      </c>
      <c r="R924" t="str">
        <f>HYPERLINK("https://cfpub.epa.gov/ecotox/explore.cfm?ncbi=7111","Explore in ECOTOX")</f>
        <v>Explore in ECOTOX</v>
      </c>
    </row>
    <row r="925" spans="1:18" x14ac:dyDescent="0.45">
      <c r="A925" t="s">
        <v>1264</v>
      </c>
      <c r="B925">
        <v>8</v>
      </c>
      <c r="C925" t="str">
        <f>HYPERLINK("http://www.ncbi.nlm.nih.gov/protein/AWV67093.1","AWV67093.1")</f>
        <v>AWV67093.1</v>
      </c>
      <c r="D925">
        <v>18032</v>
      </c>
      <c r="E925" t="str">
        <f>HYPERLINK("http://www.ncbi.nlm.nih.gov/Taxonomy/Browser/wwwtax.cgi?mode=Info&amp;id=271217&amp;lvl=3&amp;lin=f&amp;keep=1&amp;srchmode=1&amp;unlock","271217")</f>
        <v>271217</v>
      </c>
      <c r="F925" t="s">
        <v>760</v>
      </c>
      <c r="G925" t="str">
        <f>HYPERLINK("http://www.ncbi.nlm.nih.gov/Taxonomy/Browser/wwwtax.cgi?mode=Info&amp;id=271217&amp;lvl=3&amp;lin=f&amp;keep=1&amp;srchmode=1&amp;unlock","Mythimna separata")</f>
        <v>Mythimna separata</v>
      </c>
      <c r="H925" t="s">
        <v>889</v>
      </c>
      <c r="I925" t="str">
        <f>HYPERLINK("http://www.ncbi.nlm.nih.gov/protein/AWV67093.1","ryanodine receptor")</f>
        <v>ryanodine receptor</v>
      </c>
      <c r="J925">
        <v>3022.26</v>
      </c>
      <c r="K925" t="s">
        <v>22</v>
      </c>
      <c r="L925">
        <v>276</v>
      </c>
      <c r="M925">
        <v>9.75</v>
      </c>
      <c r="N925">
        <v>28.91</v>
      </c>
      <c r="O925" t="s">
        <v>19</v>
      </c>
      <c r="P925" t="s">
        <v>20</v>
      </c>
      <c r="Q925" t="s">
        <v>19</v>
      </c>
      <c r="R925" t="str">
        <f>HYPERLINK("https://cfpub.epa.gov/ecotox/explore.cfm?ncbi=271217","Explore in ECOTOX")</f>
        <v>Explore in ECOTOX</v>
      </c>
    </row>
    <row r="926" spans="1:18" x14ac:dyDescent="0.45">
      <c r="A926" t="s">
        <v>1264</v>
      </c>
      <c r="B926">
        <v>8</v>
      </c>
      <c r="C926" t="str">
        <f>HYPERLINK("http://www.ncbi.nlm.nih.gov/protein/XP_038217175.1","XP_038217175.1")</f>
        <v>XP_038217175.1</v>
      </c>
      <c r="D926">
        <v>17837</v>
      </c>
      <c r="E926" t="str">
        <f>HYPERLINK("http://www.ncbi.nlm.nih.gov/Taxonomy/Browser/wwwtax.cgi?mode=Info&amp;id=33412&amp;lvl=3&amp;lin=f&amp;keep=1&amp;srchmode=1&amp;unlock","33412")</f>
        <v>33412</v>
      </c>
      <c r="F926" t="s">
        <v>760</v>
      </c>
      <c r="G926" t="str">
        <f>HYPERLINK("http://www.ncbi.nlm.nih.gov/Taxonomy/Browser/wwwtax.cgi?mode=Info&amp;id=33412&amp;lvl=3&amp;lin=f&amp;keep=1&amp;srchmode=1&amp;unlock","Zerene cesonia")</f>
        <v>Zerene cesonia</v>
      </c>
      <c r="H926" t="s">
        <v>890</v>
      </c>
      <c r="I926" t="str">
        <f>HYPERLINK("http://www.ncbi.nlm.nih.gov/protein/XP_038217175.1","ryanodine receptor isoform X38")</f>
        <v>ryanodine receptor isoform X38</v>
      </c>
      <c r="J926">
        <v>3021.88</v>
      </c>
      <c r="K926" t="s">
        <v>22</v>
      </c>
      <c r="L926">
        <v>276</v>
      </c>
      <c r="M926">
        <v>9.75</v>
      </c>
      <c r="N926">
        <v>28.91</v>
      </c>
      <c r="O926" t="s">
        <v>19</v>
      </c>
      <c r="P926" t="s">
        <v>20</v>
      </c>
      <c r="Q926" t="s">
        <v>19</v>
      </c>
      <c r="R926" t="str">
        <f>HYPERLINK("https://cfpub.epa.gov/ecotox/explore.cfm?ncbi=33412","Explore in ECOTOX")</f>
        <v>Explore in ECOTOX</v>
      </c>
    </row>
    <row r="927" spans="1:18" x14ac:dyDescent="0.45">
      <c r="A927" t="s">
        <v>1264</v>
      </c>
      <c r="B927">
        <v>8</v>
      </c>
      <c r="C927" t="str">
        <f>HYPERLINK("http://www.ncbi.nlm.nih.gov/protein/XP_047509557.1","XP_047509557.1")</f>
        <v>XP_047509557.1</v>
      </c>
      <c r="D927">
        <v>23830</v>
      </c>
      <c r="E927" t="str">
        <f>HYPERLINK("http://www.ncbi.nlm.nih.gov/Taxonomy/Browser/wwwtax.cgi?mode=Info&amp;id=78633&amp;lvl=3&amp;lin=f&amp;keep=1&amp;srchmode=1&amp;unlock","78633")</f>
        <v>78633</v>
      </c>
      <c r="F927" t="s">
        <v>760</v>
      </c>
      <c r="G927" t="str">
        <f>HYPERLINK("http://www.ncbi.nlm.nih.gov/Taxonomy/Browser/wwwtax.cgi?mode=Info&amp;id=78633&amp;lvl=3&amp;lin=f&amp;keep=1&amp;srchmode=1&amp;unlock","Pieris napi")</f>
        <v>Pieris napi</v>
      </c>
      <c r="H927" t="s">
        <v>891</v>
      </c>
      <c r="I927" t="str">
        <f>HYPERLINK("http://www.ncbi.nlm.nih.gov/protein/XP_047509557.1","ryanodine receptor isoform X3")</f>
        <v>ryanodine receptor isoform X3</v>
      </c>
      <c r="J927">
        <v>3021.49</v>
      </c>
      <c r="K927" t="s">
        <v>22</v>
      </c>
      <c r="L927">
        <v>276</v>
      </c>
      <c r="M927">
        <v>9.75</v>
      </c>
      <c r="N927">
        <v>28.9</v>
      </c>
      <c r="O927" t="s">
        <v>19</v>
      </c>
      <c r="P927" t="s">
        <v>20</v>
      </c>
      <c r="Q927" t="s">
        <v>19</v>
      </c>
      <c r="R927" t="str">
        <f>HYPERLINK("https://cfpub.epa.gov/ecotox/explore.cfm?ncbi=78633","Explore in ECOTOX")</f>
        <v>Explore in ECOTOX</v>
      </c>
    </row>
    <row r="928" spans="1:18" x14ac:dyDescent="0.45">
      <c r="A928" t="s">
        <v>1264</v>
      </c>
      <c r="B928">
        <v>8</v>
      </c>
      <c r="C928" t="str">
        <f>HYPERLINK("http://www.ncbi.nlm.nih.gov/protein/XP_061381020.1","XP_061381020.1")</f>
        <v>XP_061381020.1</v>
      </c>
      <c r="D928">
        <v>21701</v>
      </c>
      <c r="E928" t="str">
        <f>HYPERLINK("http://www.ncbi.nlm.nih.gov/Taxonomy/Browser/wwwtax.cgi?mode=Info&amp;id=13037&amp;lvl=3&amp;lin=f&amp;keep=1&amp;srchmode=1&amp;unlock","13037")</f>
        <v>13037</v>
      </c>
      <c r="F928" t="s">
        <v>760</v>
      </c>
      <c r="G928" t="str">
        <f>HYPERLINK("http://www.ncbi.nlm.nih.gov/Taxonomy/Browser/wwwtax.cgi?mode=Info&amp;id=13037&amp;lvl=3&amp;lin=f&amp;keep=1&amp;srchmode=1&amp;unlock","Danaus plexippus")</f>
        <v>Danaus plexippus</v>
      </c>
      <c r="H928" t="s">
        <v>892</v>
      </c>
      <c r="I928" t="str">
        <f>HYPERLINK("http://www.ncbi.nlm.nih.gov/protein/XP_061381020.1","ryanodine receptor isoform X7")</f>
        <v>ryanodine receptor isoform X7</v>
      </c>
      <c r="J928">
        <v>3020.34</v>
      </c>
      <c r="K928" t="s">
        <v>22</v>
      </c>
      <c r="L928">
        <v>276</v>
      </c>
      <c r="M928">
        <v>9.75</v>
      </c>
      <c r="N928">
        <v>28.89</v>
      </c>
      <c r="O928" t="s">
        <v>19</v>
      </c>
      <c r="P928" t="s">
        <v>20</v>
      </c>
      <c r="Q928" t="s">
        <v>19</v>
      </c>
      <c r="R928" t="str">
        <f>HYPERLINK("https://cfpub.epa.gov/ecotox/explore.cfm?ncbi=13037","Explore in ECOTOX")</f>
        <v>Explore in ECOTOX</v>
      </c>
    </row>
    <row r="929" spans="1:18" x14ac:dyDescent="0.45">
      <c r="A929" t="s">
        <v>1264</v>
      </c>
      <c r="B929">
        <v>8</v>
      </c>
      <c r="C929" t="str">
        <f>HYPERLINK("http://www.ncbi.nlm.nih.gov/protein/AFI80904.1","AFI80904.1")</f>
        <v>AFI80904.1</v>
      </c>
      <c r="D929">
        <v>423</v>
      </c>
      <c r="E929" t="str">
        <f>HYPERLINK("http://www.ncbi.nlm.nih.gov/Taxonomy/Browser/wwwtax.cgi?mode=Info&amp;id=437488&amp;lvl=3&amp;lin=f&amp;keep=1&amp;srchmode=1&amp;unlock","437488")</f>
        <v>437488</v>
      </c>
      <c r="F929" t="s">
        <v>760</v>
      </c>
      <c r="G929" t="str">
        <f>HYPERLINK("http://www.ncbi.nlm.nih.gov/Taxonomy/Browser/wwwtax.cgi?mode=Info&amp;id=437488&amp;lvl=3&amp;lin=f&amp;keep=1&amp;srchmode=1&amp;unlock","Cnaphalocrocis medinalis")</f>
        <v>Cnaphalocrocis medinalis</v>
      </c>
      <c r="H929" t="s">
        <v>893</v>
      </c>
      <c r="I929" t="str">
        <f>HYPERLINK("http://www.ncbi.nlm.nih.gov/protein/AFI80904.1","ryanodine receptor")</f>
        <v>ryanodine receptor</v>
      </c>
      <c r="J929">
        <v>3017.64</v>
      </c>
      <c r="K929" t="s">
        <v>22</v>
      </c>
      <c r="L929">
        <v>276</v>
      </c>
      <c r="M929">
        <v>9.75</v>
      </c>
      <c r="N929">
        <v>28.87</v>
      </c>
      <c r="O929" t="s">
        <v>19</v>
      </c>
      <c r="P929" t="s">
        <v>20</v>
      </c>
      <c r="Q929" t="s">
        <v>19</v>
      </c>
      <c r="R929" t="str">
        <f>HYPERLINK("https://cfpub.epa.gov/ecotox/explore.cfm?ncbi=437488","Explore in ECOTOX")</f>
        <v>Explore in ECOTOX</v>
      </c>
    </row>
    <row r="930" spans="1:18" x14ac:dyDescent="0.45">
      <c r="A930" t="s">
        <v>1264</v>
      </c>
      <c r="B930">
        <v>8</v>
      </c>
      <c r="C930" t="str">
        <f>HYPERLINK("http://www.ncbi.nlm.nih.gov/protein/XP_039761391.1","XP_039761391.1")</f>
        <v>XP_039761391.1</v>
      </c>
      <c r="D930">
        <v>21135</v>
      </c>
      <c r="E930" t="str">
        <f>HYPERLINK("http://www.ncbi.nlm.nih.gov/Taxonomy/Browser/wwwtax.cgi?mode=Info&amp;id=116150&amp;lvl=3&amp;lin=f&amp;keep=1&amp;srchmode=1&amp;unlock","116150")</f>
        <v>116150</v>
      </c>
      <c r="F930" t="s">
        <v>760</v>
      </c>
      <c r="G930" t="str">
        <f>HYPERLINK("http://www.ncbi.nlm.nih.gov/Taxonomy/Browser/wwwtax.cgi?mode=Info&amp;id=116150&amp;lvl=3&amp;lin=f&amp;keep=1&amp;srchmode=1&amp;unlock","Pararge aegeria")</f>
        <v>Pararge aegeria</v>
      </c>
      <c r="H930" t="s">
        <v>894</v>
      </c>
      <c r="I930" t="str">
        <f>HYPERLINK("http://www.ncbi.nlm.nih.gov/protein/XP_039761391.1","ryanodine receptor isoform X9")</f>
        <v>ryanodine receptor isoform X9</v>
      </c>
      <c r="J930">
        <v>3017.25</v>
      </c>
      <c r="K930" t="s">
        <v>22</v>
      </c>
      <c r="L930">
        <v>276</v>
      </c>
      <c r="M930">
        <v>9.75</v>
      </c>
      <c r="N930">
        <v>28.86</v>
      </c>
      <c r="O930" t="s">
        <v>19</v>
      </c>
      <c r="P930" t="s">
        <v>20</v>
      </c>
      <c r="Q930" t="s">
        <v>19</v>
      </c>
      <c r="R930" t="str">
        <f>HYPERLINK("https://cfpub.epa.gov/ecotox/explore.cfm?ncbi=116150","Explore in ECOTOX")</f>
        <v>Explore in ECOTOX</v>
      </c>
    </row>
    <row r="931" spans="1:18" x14ac:dyDescent="0.45">
      <c r="A931" t="s">
        <v>1264</v>
      </c>
      <c r="B931">
        <v>8</v>
      </c>
      <c r="C931" t="str">
        <f>HYPERLINK("http://www.ncbi.nlm.nih.gov/protein/XP_045540759.1","XP_045540759.1")</f>
        <v>XP_045540759.1</v>
      </c>
      <c r="D931">
        <v>33909</v>
      </c>
      <c r="E931" t="str">
        <f>HYPERLINK("http://www.ncbi.nlm.nih.gov/Taxonomy/Browser/wwwtax.cgi?mode=Info&amp;id=76193&amp;lvl=3&amp;lin=f&amp;keep=1&amp;srchmode=1&amp;unlock","76193")</f>
        <v>76193</v>
      </c>
      <c r="F931" t="s">
        <v>760</v>
      </c>
      <c r="G931" t="str">
        <f>HYPERLINK("http://www.ncbi.nlm.nih.gov/Taxonomy/Browser/wwwtax.cgi?mode=Info&amp;id=76193&amp;lvl=3&amp;lin=f&amp;keep=1&amp;srchmode=1&amp;unlock","Papilio machaon")</f>
        <v>Papilio machaon</v>
      </c>
      <c r="H931" t="s">
        <v>895</v>
      </c>
      <c r="I931" t="str">
        <f>HYPERLINK("http://www.ncbi.nlm.nih.gov/protein/XP_045540759.1","ryanodine receptor isoform X11")</f>
        <v>ryanodine receptor isoform X11</v>
      </c>
      <c r="J931">
        <v>3017.25</v>
      </c>
      <c r="K931" t="s">
        <v>22</v>
      </c>
      <c r="L931">
        <v>276</v>
      </c>
      <c r="M931">
        <v>9.75</v>
      </c>
      <c r="N931">
        <v>28.86</v>
      </c>
      <c r="O931" t="s">
        <v>19</v>
      </c>
      <c r="P931" t="s">
        <v>20</v>
      </c>
      <c r="Q931" t="s">
        <v>19</v>
      </c>
      <c r="R931" t="str">
        <f>HYPERLINK("https://cfpub.epa.gov/ecotox/explore.cfm?ncbi=76193","Explore in ECOTOX")</f>
        <v>Explore in ECOTOX</v>
      </c>
    </row>
    <row r="932" spans="1:18" x14ac:dyDescent="0.45">
      <c r="A932" t="s">
        <v>1264</v>
      </c>
      <c r="B932">
        <v>8</v>
      </c>
      <c r="C932" t="str">
        <f>HYPERLINK("http://www.ncbi.nlm.nih.gov/protein/XP_049819565.1","XP_049819565.1")</f>
        <v>XP_049819565.1</v>
      </c>
      <c r="D932">
        <v>21592</v>
      </c>
      <c r="E932" t="str">
        <f>HYPERLINK("http://www.ncbi.nlm.nih.gov/Taxonomy/Browser/wwwtax.cgi?mode=Info&amp;id=116153&amp;lvl=3&amp;lin=f&amp;keep=1&amp;srchmode=1&amp;unlock","116153")</f>
        <v>116153</v>
      </c>
      <c r="F932" t="s">
        <v>760</v>
      </c>
      <c r="G932" t="str">
        <f>HYPERLINK("http://www.ncbi.nlm.nih.gov/Taxonomy/Browser/wwwtax.cgi?mode=Info&amp;id=116153&amp;lvl=3&amp;lin=f&amp;keep=1&amp;srchmode=1&amp;unlock","Aethina tumida")</f>
        <v>Aethina tumida</v>
      </c>
      <c r="H932" t="s">
        <v>896</v>
      </c>
      <c r="I932" t="str">
        <f>HYPERLINK("http://www.ncbi.nlm.nih.gov/protein/XP_049819565.1","ryanodine receptor")</f>
        <v>ryanodine receptor</v>
      </c>
      <c r="J932">
        <v>3014.94</v>
      </c>
      <c r="K932" t="s">
        <v>22</v>
      </c>
      <c r="L932">
        <v>276</v>
      </c>
      <c r="M932">
        <v>9.75</v>
      </c>
      <c r="N932">
        <v>28.84</v>
      </c>
      <c r="O932" t="s">
        <v>19</v>
      </c>
      <c r="P932" t="s">
        <v>20</v>
      </c>
      <c r="Q932" t="s">
        <v>19</v>
      </c>
      <c r="R932" t="str">
        <f>HYPERLINK("https://cfpub.epa.gov/ecotox/explore.cfm?ncbi=116153","Explore in ECOTOX")</f>
        <v>Explore in ECOTOX</v>
      </c>
    </row>
    <row r="933" spans="1:18" x14ac:dyDescent="0.45">
      <c r="A933" t="s">
        <v>1264</v>
      </c>
      <c r="B933">
        <v>8</v>
      </c>
      <c r="C933" t="str">
        <f>HYPERLINK("http://www.ncbi.nlm.nih.gov/protein/XP_018566922.1","XP_018566922.1")</f>
        <v>XP_018566922.1</v>
      </c>
      <c r="D933">
        <v>21062</v>
      </c>
      <c r="E933" t="str">
        <f>HYPERLINK("http://www.ncbi.nlm.nih.gov/Taxonomy/Browser/wwwtax.cgi?mode=Info&amp;id=217634&amp;lvl=3&amp;lin=f&amp;keep=1&amp;srchmode=1&amp;unlock","217634")</f>
        <v>217634</v>
      </c>
      <c r="F933" t="s">
        <v>760</v>
      </c>
      <c r="G933" t="str">
        <f>HYPERLINK("http://www.ncbi.nlm.nih.gov/Taxonomy/Browser/wwwtax.cgi?mode=Info&amp;id=217634&amp;lvl=3&amp;lin=f&amp;keep=1&amp;srchmode=1&amp;unlock","Anoplophora glabripennis")</f>
        <v>Anoplophora glabripennis</v>
      </c>
      <c r="H933" t="s">
        <v>897</v>
      </c>
      <c r="I933" t="str">
        <f>HYPERLINK("http://www.ncbi.nlm.nih.gov/protein/XP_018566922.1","ryanodine receptor isoform X3")</f>
        <v>ryanodine receptor isoform X3</v>
      </c>
      <c r="J933">
        <v>3013.79</v>
      </c>
      <c r="K933" t="s">
        <v>22</v>
      </c>
      <c r="L933">
        <v>276</v>
      </c>
      <c r="M933">
        <v>9.75</v>
      </c>
      <c r="N933">
        <v>28.83</v>
      </c>
      <c r="O933" t="s">
        <v>19</v>
      </c>
      <c r="P933" t="s">
        <v>20</v>
      </c>
      <c r="Q933" t="s">
        <v>19</v>
      </c>
      <c r="R933" t="str">
        <f>HYPERLINK("https://cfpub.epa.gov/ecotox/explore.cfm?ncbi=217634","Explore in ECOTOX")</f>
        <v>Explore in ECOTOX</v>
      </c>
    </row>
    <row r="934" spans="1:18" x14ac:dyDescent="0.45">
      <c r="A934" t="s">
        <v>1264</v>
      </c>
      <c r="B934">
        <v>8</v>
      </c>
      <c r="C934" t="str">
        <f>HYPERLINK("http://www.ncbi.nlm.nih.gov/protein/CAH0403750.1","CAH0403750.1")</f>
        <v>CAH0403750.1</v>
      </c>
      <c r="D934">
        <v>29557</v>
      </c>
      <c r="E934" t="str">
        <f>HYPERLINK("http://www.ncbi.nlm.nih.gov/Taxonomy/Browser/wwwtax.cgi?mode=Info&amp;id=168631&amp;lvl=3&amp;lin=f&amp;keep=1&amp;srchmode=1&amp;unlock","168631")</f>
        <v>168631</v>
      </c>
      <c r="F934" t="s">
        <v>760</v>
      </c>
      <c r="G934" t="str">
        <f>HYPERLINK("http://www.ncbi.nlm.nih.gov/Taxonomy/Browser/wwwtax.cgi?mode=Info&amp;id=168631&amp;lvl=3&amp;lin=f&amp;keep=1&amp;srchmode=1&amp;unlock","Chilo suppressalis")</f>
        <v>Chilo suppressalis</v>
      </c>
      <c r="H934" t="s">
        <v>898</v>
      </c>
      <c r="I934" t="str">
        <f>HYPERLINK("http://www.ncbi.nlm.nih.gov/protein/CAH0403750.1","unnamed protein product")</f>
        <v>unnamed protein product</v>
      </c>
      <c r="J934">
        <v>3013.4</v>
      </c>
      <c r="K934" t="s">
        <v>22</v>
      </c>
      <c r="L934">
        <v>276</v>
      </c>
      <c r="M934">
        <v>9.75</v>
      </c>
      <c r="N934">
        <v>28.83</v>
      </c>
      <c r="O934" t="s">
        <v>19</v>
      </c>
      <c r="P934" t="s">
        <v>20</v>
      </c>
      <c r="Q934" t="s">
        <v>19</v>
      </c>
      <c r="R934" t="str">
        <f>HYPERLINK("https://cfpub.epa.gov/ecotox/explore.cfm?ncbi=168631","Explore in ECOTOX")</f>
        <v>Explore in ECOTOX</v>
      </c>
    </row>
    <row r="935" spans="1:18" x14ac:dyDescent="0.45">
      <c r="A935" t="s">
        <v>1264</v>
      </c>
      <c r="B935">
        <v>8</v>
      </c>
      <c r="C935" t="str">
        <f>HYPERLINK("http://www.ncbi.nlm.nih.gov/protein/CAG9789968.1","CAG9789968.1")</f>
        <v>CAG9789968.1</v>
      </c>
      <c r="D935">
        <v>16352</v>
      </c>
      <c r="E935" t="str">
        <f>HYPERLINK("http://www.ncbi.nlm.nih.gov/Taxonomy/Browser/wwwtax.cgi?mode=Info&amp;id=40085&amp;lvl=3&amp;lin=f&amp;keep=1&amp;srchmode=1&amp;unlock","40085")</f>
        <v>40085</v>
      </c>
      <c r="F935" t="s">
        <v>760</v>
      </c>
      <c r="G935" t="str">
        <f>HYPERLINK("http://www.ncbi.nlm.nih.gov/Taxonomy/Browser/wwwtax.cgi?mode=Info&amp;id=40085&amp;lvl=3&amp;lin=f&amp;keep=1&amp;srchmode=1&amp;unlock","Diatraea saccharalis")</f>
        <v>Diatraea saccharalis</v>
      </c>
      <c r="H935" t="s">
        <v>899</v>
      </c>
      <c r="I935" t="str">
        <f>HYPERLINK("http://www.ncbi.nlm.nih.gov/protein/CAG9789968.1","unnamed protein product")</f>
        <v>unnamed protein product</v>
      </c>
      <c r="J935">
        <v>3012.63</v>
      </c>
      <c r="K935" t="s">
        <v>22</v>
      </c>
      <c r="L935">
        <v>276</v>
      </c>
      <c r="M935">
        <v>9.75</v>
      </c>
      <c r="N935">
        <v>28.82</v>
      </c>
      <c r="O935" t="s">
        <v>19</v>
      </c>
      <c r="P935" t="s">
        <v>20</v>
      </c>
      <c r="Q935" t="s">
        <v>19</v>
      </c>
      <c r="R935" t="str">
        <f>HYPERLINK("https://cfpub.epa.gov/ecotox/explore.cfm?ncbi=40085","Explore in ECOTOX")</f>
        <v>Explore in ECOTOX</v>
      </c>
    </row>
    <row r="936" spans="1:18" x14ac:dyDescent="0.45">
      <c r="A936" t="s">
        <v>1264</v>
      </c>
      <c r="B936">
        <v>8</v>
      </c>
      <c r="C936" t="str">
        <f>HYPERLINK("http://www.ncbi.nlm.nih.gov/protein/XP_022828487.1","XP_022828487.1")</f>
        <v>XP_022828487.1</v>
      </c>
      <c r="D936">
        <v>24208</v>
      </c>
      <c r="E936" t="str">
        <f>HYPERLINK("http://www.ncbi.nlm.nih.gov/Taxonomy/Browser/wwwtax.cgi?mode=Info&amp;id=69820&amp;lvl=3&amp;lin=f&amp;keep=1&amp;srchmode=1&amp;unlock","69820")</f>
        <v>69820</v>
      </c>
      <c r="F936" t="s">
        <v>760</v>
      </c>
      <c r="G936" t="str">
        <f>HYPERLINK("http://www.ncbi.nlm.nih.gov/Taxonomy/Browser/wwwtax.cgi?mode=Info&amp;id=69820&amp;lvl=3&amp;lin=f&amp;keep=1&amp;srchmode=1&amp;unlock","Spodoptera litura")</f>
        <v>Spodoptera litura</v>
      </c>
      <c r="H936" t="s">
        <v>883</v>
      </c>
      <c r="I936" t="str">
        <f>HYPERLINK("http://www.ncbi.nlm.nih.gov/protein/XP_022828487.1","ryanodine receptor")</f>
        <v>ryanodine receptor</v>
      </c>
      <c r="J936">
        <v>3011.48</v>
      </c>
      <c r="K936" t="s">
        <v>22</v>
      </c>
      <c r="L936">
        <v>276</v>
      </c>
      <c r="M936">
        <v>9.75</v>
      </c>
      <c r="N936">
        <v>28.81</v>
      </c>
      <c r="O936" t="s">
        <v>19</v>
      </c>
      <c r="P936" t="s">
        <v>20</v>
      </c>
      <c r="Q936" t="s">
        <v>19</v>
      </c>
      <c r="R936" t="str">
        <f>HYPERLINK("https://cfpub.epa.gov/ecotox/explore.cfm?ncbi=69820","Explore in ECOTOX")</f>
        <v>Explore in ECOTOX</v>
      </c>
    </row>
    <row r="937" spans="1:18" x14ac:dyDescent="0.45">
      <c r="A937" t="s">
        <v>1264</v>
      </c>
      <c r="B937">
        <v>8</v>
      </c>
      <c r="C937" t="str">
        <f>HYPERLINK("http://www.ncbi.nlm.nih.gov/protein/CAG9853862.1","CAG9853862.1")</f>
        <v>CAG9853862.1</v>
      </c>
      <c r="D937">
        <v>12584</v>
      </c>
      <c r="E937" t="str">
        <f>HYPERLINK("http://www.ncbi.nlm.nih.gov/Taxonomy/Browser/wwwtax.cgi?mode=Info&amp;id=444603&amp;lvl=3&amp;lin=f&amp;keep=1&amp;srchmode=1&amp;unlock","444603")</f>
        <v>444603</v>
      </c>
      <c r="F937" t="s">
        <v>760</v>
      </c>
      <c r="G937" t="str">
        <f>HYPERLINK("http://www.ncbi.nlm.nih.gov/Taxonomy/Browser/wwwtax.cgi?mode=Info&amp;id=444603&amp;lvl=3&amp;lin=f&amp;keep=1&amp;srchmode=1&amp;unlock","Phyllotreta striolata")</f>
        <v>Phyllotreta striolata</v>
      </c>
      <c r="H937" t="s">
        <v>900</v>
      </c>
      <c r="I937" t="str">
        <f>HYPERLINK("http://www.ncbi.nlm.nih.gov/protein/CAG9853862.1","unnamed protein product")</f>
        <v>unnamed protein product</v>
      </c>
      <c r="J937">
        <v>3011.09</v>
      </c>
      <c r="K937" t="s">
        <v>22</v>
      </c>
      <c r="L937">
        <v>276</v>
      </c>
      <c r="M937">
        <v>9.75</v>
      </c>
      <c r="N937">
        <v>28.8</v>
      </c>
      <c r="O937" t="s">
        <v>19</v>
      </c>
      <c r="P937" t="s">
        <v>20</v>
      </c>
      <c r="Q937" t="s">
        <v>19</v>
      </c>
      <c r="R937" t="str">
        <f>HYPERLINK("https://cfpub.epa.gov/ecotox/explore.cfm?ncbi=444603","Explore in ECOTOX")</f>
        <v>Explore in ECOTOX</v>
      </c>
    </row>
    <row r="938" spans="1:18" x14ac:dyDescent="0.45">
      <c r="A938" t="s">
        <v>1264</v>
      </c>
      <c r="B938">
        <v>8</v>
      </c>
      <c r="C938" t="str">
        <f>HYPERLINK("http://www.ncbi.nlm.nih.gov/protein/XP_053620692.1","XP_053620692.1")</f>
        <v>XP_053620692.1</v>
      </c>
      <c r="D938">
        <v>26868</v>
      </c>
      <c r="E938" t="str">
        <f>HYPERLINK("http://www.ncbi.nlm.nih.gov/Taxonomy/Browser/wwwtax.cgi?mode=Info&amp;id=58824&amp;lvl=3&amp;lin=f&amp;keep=1&amp;srchmode=1&amp;unlock","58824")</f>
        <v>58824</v>
      </c>
      <c r="F938" t="s">
        <v>760</v>
      </c>
      <c r="G938" t="str">
        <f>HYPERLINK("http://www.ncbi.nlm.nih.gov/Taxonomy/Browser/wwwtax.cgi?mode=Info&amp;id=58824&amp;lvl=3&amp;lin=f&amp;keep=1&amp;srchmode=1&amp;unlock","Plodia interpunctella")</f>
        <v>Plodia interpunctella</v>
      </c>
      <c r="H938" t="s">
        <v>901</v>
      </c>
      <c r="I938" t="str">
        <f>HYPERLINK("http://www.ncbi.nlm.nih.gov/protein/XP_053620692.1","ryanodine receptor isoform X4")</f>
        <v>ryanodine receptor isoform X4</v>
      </c>
      <c r="J938">
        <v>3008.39</v>
      </c>
      <c r="K938" t="s">
        <v>22</v>
      </c>
      <c r="L938">
        <v>276</v>
      </c>
      <c r="M938">
        <v>9.75</v>
      </c>
      <c r="N938">
        <v>28.78</v>
      </c>
      <c r="O938" t="s">
        <v>19</v>
      </c>
      <c r="P938" t="s">
        <v>20</v>
      </c>
      <c r="Q938" t="s">
        <v>19</v>
      </c>
      <c r="R938" t="str">
        <f>HYPERLINK("https://cfpub.epa.gov/ecotox/explore.cfm?ncbi=58824","Explore in ECOTOX")</f>
        <v>Explore in ECOTOX</v>
      </c>
    </row>
    <row r="939" spans="1:18" x14ac:dyDescent="0.45">
      <c r="A939" t="s">
        <v>1264</v>
      </c>
      <c r="B939">
        <v>8</v>
      </c>
      <c r="C939" t="str">
        <f>HYPERLINK("http://www.ncbi.nlm.nih.gov/protein/XP_018312609.1","XP_018312609.1")</f>
        <v>XP_018312609.1</v>
      </c>
      <c r="D939">
        <v>33331</v>
      </c>
      <c r="E939" t="str">
        <f>HYPERLINK("http://www.ncbi.nlm.nih.gov/Taxonomy/Browser/wwwtax.cgi?mode=Info&amp;id=64791&amp;lvl=3&amp;lin=f&amp;keep=1&amp;srchmode=1&amp;unlock","64791")</f>
        <v>64791</v>
      </c>
      <c r="F939" t="s">
        <v>760</v>
      </c>
      <c r="G939" t="str">
        <f>HYPERLINK("http://www.ncbi.nlm.nih.gov/Taxonomy/Browser/wwwtax.cgi?mode=Info&amp;id=64791&amp;lvl=3&amp;lin=f&amp;keep=1&amp;srchmode=1&amp;unlock","Trachymyrmex zeteki")</f>
        <v>Trachymyrmex zeteki</v>
      </c>
      <c r="H939" t="s">
        <v>769</v>
      </c>
      <c r="I939" t="str">
        <f>HYPERLINK("http://www.ncbi.nlm.nih.gov/protein/XP_018312609.1","PREDICTED: LOW QUALITY PROTEIN: ryanodine receptor")</f>
        <v>PREDICTED: LOW QUALITY PROTEIN: ryanodine receptor</v>
      </c>
      <c r="J939">
        <v>3006.85</v>
      </c>
      <c r="K939" t="s">
        <v>22</v>
      </c>
      <c r="L939">
        <v>276</v>
      </c>
      <c r="M939">
        <v>9.75</v>
      </c>
      <c r="N939">
        <v>28.76</v>
      </c>
      <c r="O939" t="s">
        <v>19</v>
      </c>
      <c r="P939" t="s">
        <v>20</v>
      </c>
      <c r="Q939" t="s">
        <v>19</v>
      </c>
      <c r="R939" t="str">
        <f>HYPERLINK("https://cfpub.epa.gov/ecotox/explore.cfm?ncbi=64791","Explore in ECOTOX")</f>
        <v>Explore in ECOTOX</v>
      </c>
    </row>
    <row r="940" spans="1:18" x14ac:dyDescent="0.45">
      <c r="A940" t="s">
        <v>1264</v>
      </c>
      <c r="B940">
        <v>8</v>
      </c>
      <c r="C940" t="str">
        <f>HYPERLINK("http://www.ncbi.nlm.nih.gov/protein/CAH1366395.1","CAH1366395.1")</f>
        <v>CAH1366395.1</v>
      </c>
      <c r="D940">
        <v>58483</v>
      </c>
      <c r="E940" t="str">
        <f>HYPERLINK("http://www.ncbi.nlm.nih.gov/Taxonomy/Browser/wwwtax.cgi?mode=Info&amp;id=7067&amp;lvl=3&amp;lin=f&amp;keep=1&amp;srchmode=1&amp;unlock","7067")</f>
        <v>7067</v>
      </c>
      <c r="F940" t="s">
        <v>760</v>
      </c>
      <c r="G940" t="str">
        <f>HYPERLINK("http://www.ncbi.nlm.nih.gov/Taxonomy/Browser/wwwtax.cgi?mode=Info&amp;id=7067&amp;lvl=3&amp;lin=f&amp;keep=1&amp;srchmode=1&amp;unlock","Tenebrio molitor")</f>
        <v>Tenebrio molitor</v>
      </c>
      <c r="H940" t="s">
        <v>902</v>
      </c>
      <c r="I940" t="str">
        <f>HYPERLINK("http://www.ncbi.nlm.nih.gov/protein/CAH1366395.1","unnamed protein product")</f>
        <v>unnamed protein product</v>
      </c>
      <c r="J940">
        <v>3006.47</v>
      </c>
      <c r="K940" t="s">
        <v>22</v>
      </c>
      <c r="L940">
        <v>276</v>
      </c>
      <c r="M940">
        <v>9.75</v>
      </c>
      <c r="N940">
        <v>28.76</v>
      </c>
      <c r="O940" t="s">
        <v>19</v>
      </c>
      <c r="P940" t="s">
        <v>20</v>
      </c>
      <c r="Q940" t="s">
        <v>19</v>
      </c>
      <c r="R940" t="str">
        <f>HYPERLINK("https://cfpub.epa.gov/ecotox/explore.cfm?ncbi=7067","Explore in ECOTOX")</f>
        <v>Explore in ECOTOX</v>
      </c>
    </row>
    <row r="941" spans="1:18" x14ac:dyDescent="0.45">
      <c r="A941" t="s">
        <v>1264</v>
      </c>
      <c r="B941">
        <v>8</v>
      </c>
      <c r="C941" t="str">
        <f>HYPERLINK("http://www.ncbi.nlm.nih.gov/protein/APC65631.1","APC65631.1")</f>
        <v>APC65631.1</v>
      </c>
      <c r="D941">
        <v>18279</v>
      </c>
      <c r="E941" t="str">
        <f>HYPERLINK("http://www.ncbi.nlm.nih.gov/Taxonomy/Browser/wwwtax.cgi?mode=Info&amp;id=702717&amp;lvl=3&amp;lin=f&amp;keep=1&amp;srchmode=1&amp;unlock","702717")</f>
        <v>702717</v>
      </c>
      <c r="F941" t="s">
        <v>760</v>
      </c>
      <c r="G941" t="str">
        <f>HYPERLINK("http://www.ncbi.nlm.nih.gov/Taxonomy/Browser/wwwtax.cgi?mode=Info&amp;id=702717&amp;lvl=3&amp;lin=f&amp;keep=1&amp;srchmode=1&amp;unlock","Tuta absoluta")</f>
        <v>Tuta absoluta</v>
      </c>
      <c r="H941" t="s">
        <v>903</v>
      </c>
      <c r="I941" t="str">
        <f>HYPERLINK("http://www.ncbi.nlm.nih.gov/protein/APC65631.1","ryanodine receptor")</f>
        <v>ryanodine receptor</v>
      </c>
      <c r="J941">
        <v>3005.7</v>
      </c>
      <c r="K941" t="s">
        <v>22</v>
      </c>
      <c r="L941">
        <v>276</v>
      </c>
      <c r="M941">
        <v>9.75</v>
      </c>
      <c r="N941">
        <v>28.75</v>
      </c>
      <c r="O941" t="s">
        <v>19</v>
      </c>
      <c r="P941" t="s">
        <v>20</v>
      </c>
      <c r="Q941" t="s">
        <v>19</v>
      </c>
      <c r="R941" t="str">
        <f>HYPERLINK("https://cfpub.epa.gov/ecotox/explore.cfm?ncbi=702717","Explore in ECOTOX")</f>
        <v>Explore in ECOTOX</v>
      </c>
    </row>
    <row r="942" spans="1:18" x14ac:dyDescent="0.45">
      <c r="A942" t="s">
        <v>1264</v>
      </c>
      <c r="B942">
        <v>8</v>
      </c>
      <c r="C942" t="str">
        <f>HYPERLINK("http://www.ncbi.nlm.nih.gov/protein/XP_035212318.1","XP_035212318.1")</f>
        <v>XP_035212318.1</v>
      </c>
      <c r="D942">
        <v>29860</v>
      </c>
      <c r="E942" t="str">
        <f>HYPERLINK("http://www.ncbi.nlm.nih.gov/Taxonomy/Browser/wwwtax.cgi?mode=Info&amp;id=202533&amp;lvl=3&amp;lin=f&amp;keep=1&amp;srchmode=1&amp;unlock","202533")</f>
        <v>202533</v>
      </c>
      <c r="F942" t="s">
        <v>904</v>
      </c>
      <c r="G942" t="str">
        <f>HYPERLINK("http://www.ncbi.nlm.nih.gov/Taxonomy/Browser/wwwtax.cgi?mode=Info&amp;id=202533&amp;lvl=3&amp;lin=f&amp;keep=1&amp;srchmode=1&amp;unlock","Stegodyphus dumicola")</f>
        <v>Stegodyphus dumicola</v>
      </c>
      <c r="H942" t="s">
        <v>905</v>
      </c>
      <c r="I942" t="str">
        <f>HYPERLINK("http://www.ncbi.nlm.nih.gov/protein/XP_035212318.1","ryanodine receptor-like isoform X2")</f>
        <v>ryanodine receptor-like isoform X2</v>
      </c>
      <c r="J942">
        <v>3005.31</v>
      </c>
      <c r="K942" t="s">
        <v>22</v>
      </c>
      <c r="L942">
        <v>276</v>
      </c>
      <c r="M942">
        <v>9.75</v>
      </c>
      <c r="N942">
        <v>28.75</v>
      </c>
      <c r="O942" t="s">
        <v>19</v>
      </c>
      <c r="P942" t="s">
        <v>20</v>
      </c>
      <c r="Q942" t="s">
        <v>19</v>
      </c>
      <c r="R942" t="str">
        <f>HYPERLINK("https://cfpub.epa.gov/ecotox/explore.cfm?ncbi=202533","Explore in ECOTOX")</f>
        <v>Explore in ECOTOX</v>
      </c>
    </row>
    <row r="943" spans="1:18" x14ac:dyDescent="0.45">
      <c r="A943" t="s">
        <v>1264</v>
      </c>
      <c r="B943">
        <v>8</v>
      </c>
      <c r="C943" t="str">
        <f>HYPERLINK("http://www.ncbi.nlm.nih.gov/protein/KAI4471407.1","KAI4471407.1")</f>
        <v>KAI4471407.1</v>
      </c>
      <c r="D943">
        <v>19443</v>
      </c>
      <c r="E943" t="str">
        <f>HYPERLINK("http://www.ncbi.nlm.nih.gov/Taxonomy/Browser/wwwtax.cgi?mode=Info&amp;id=644536&amp;lvl=3&amp;lin=f&amp;keep=1&amp;srchmode=1&amp;unlock","644536")</f>
        <v>644536</v>
      </c>
      <c r="F943" t="s">
        <v>760</v>
      </c>
      <c r="G943" t="str">
        <f>HYPERLINK("http://www.ncbi.nlm.nih.gov/Taxonomy/Browser/wwwtax.cgi?mode=Info&amp;id=644536&amp;lvl=3&amp;lin=f&amp;keep=1&amp;srchmode=1&amp;unlock","Holotrichia oblita")</f>
        <v>Holotrichia oblita</v>
      </c>
      <c r="H943" t="s">
        <v>906</v>
      </c>
      <c r="I943" t="str">
        <f>HYPERLINK("http://www.ncbi.nlm.nih.gov/protein/KAI4471407.1","ran binding protein 9-related")</f>
        <v>ran binding protein 9-related</v>
      </c>
      <c r="J943">
        <v>3004.16</v>
      </c>
      <c r="K943" t="s">
        <v>22</v>
      </c>
      <c r="L943">
        <v>276</v>
      </c>
      <c r="M943">
        <v>9.75</v>
      </c>
      <c r="N943">
        <v>28.74</v>
      </c>
      <c r="O943" t="s">
        <v>19</v>
      </c>
      <c r="P943" t="s">
        <v>20</v>
      </c>
      <c r="Q943" t="s">
        <v>19</v>
      </c>
      <c r="R943" t="str">
        <f>HYPERLINK("https://cfpub.epa.gov/ecotox/explore.cfm?ncbi=644536","Explore in ECOTOX")</f>
        <v>Explore in ECOTOX</v>
      </c>
    </row>
    <row r="944" spans="1:18" x14ac:dyDescent="0.45">
      <c r="A944" t="s">
        <v>1264</v>
      </c>
      <c r="B944">
        <v>8</v>
      </c>
      <c r="C944" t="str">
        <f>HYPERLINK("http://www.ncbi.nlm.nih.gov/protein/XP_013178494.1","XP_013178494.1")</f>
        <v>XP_013178494.1</v>
      </c>
      <c r="D944">
        <v>37671</v>
      </c>
      <c r="E944" t="str">
        <f>HYPERLINK("http://www.ncbi.nlm.nih.gov/Taxonomy/Browser/wwwtax.cgi?mode=Info&amp;id=66420&amp;lvl=3&amp;lin=f&amp;keep=1&amp;srchmode=1&amp;unlock","66420")</f>
        <v>66420</v>
      </c>
      <c r="F944" t="s">
        <v>760</v>
      </c>
      <c r="G944" t="str">
        <f>HYPERLINK("http://www.ncbi.nlm.nih.gov/Taxonomy/Browser/wwwtax.cgi?mode=Info&amp;id=66420&amp;lvl=3&amp;lin=f&amp;keep=1&amp;srchmode=1&amp;unlock","Papilio xuthus")</f>
        <v>Papilio xuthus</v>
      </c>
      <c r="H944" t="s">
        <v>907</v>
      </c>
      <c r="I944" t="str">
        <f>HYPERLINK("http://www.ncbi.nlm.nih.gov/protein/XP_013178494.1","PREDICTED: ryanodine receptor 44F isoform X2")</f>
        <v>PREDICTED: ryanodine receptor 44F isoform X2</v>
      </c>
      <c r="J944">
        <v>3003.39</v>
      </c>
      <c r="K944" t="s">
        <v>22</v>
      </c>
      <c r="L944">
        <v>276</v>
      </c>
      <c r="M944">
        <v>9.75</v>
      </c>
      <c r="N944">
        <v>28.73</v>
      </c>
      <c r="O944" t="s">
        <v>19</v>
      </c>
      <c r="P944" t="s">
        <v>20</v>
      </c>
      <c r="Q944" t="s">
        <v>19</v>
      </c>
      <c r="R944" t="str">
        <f>HYPERLINK("https://cfpub.epa.gov/ecotox/explore.cfm?ncbi=66420","Explore in ECOTOX")</f>
        <v>Explore in ECOTOX</v>
      </c>
    </row>
    <row r="945" spans="1:18" x14ac:dyDescent="0.45">
      <c r="A945" t="s">
        <v>1264</v>
      </c>
      <c r="B945">
        <v>8</v>
      </c>
      <c r="C945" t="str">
        <f>HYPERLINK("http://www.ncbi.nlm.nih.gov/protein/XP_056631712.1","XP_056631712.1")</f>
        <v>XP_056631712.1</v>
      </c>
      <c r="D945">
        <v>19716</v>
      </c>
      <c r="E945" t="str">
        <f>HYPERLINK("http://www.ncbi.nlm.nih.gov/Taxonomy/Browser/wwwtax.cgi?mode=Info&amp;id=1163346&amp;lvl=3&amp;lin=f&amp;keep=1&amp;srchmode=1&amp;unlock","1163346")</f>
        <v>1163346</v>
      </c>
      <c r="F945" t="s">
        <v>760</v>
      </c>
      <c r="G945" t="str">
        <f>HYPERLINK("http://www.ncbi.nlm.nih.gov/Taxonomy/Browser/wwwtax.cgi?mode=Info&amp;id=1163346&amp;lvl=3&amp;lin=f&amp;keep=1&amp;srchmode=1&amp;unlock","Diorhabda sublineata")</f>
        <v>Diorhabda sublineata</v>
      </c>
      <c r="H945" t="s">
        <v>876</v>
      </c>
      <c r="I945" t="str">
        <f>HYPERLINK("http://www.ncbi.nlm.nih.gov/protein/XP_056631712.1","ryanodine receptor isoform X10")</f>
        <v>ryanodine receptor isoform X10</v>
      </c>
      <c r="J945">
        <v>3003</v>
      </c>
      <c r="K945" t="s">
        <v>22</v>
      </c>
      <c r="L945">
        <v>276</v>
      </c>
      <c r="M945">
        <v>9.75</v>
      </c>
      <c r="N945">
        <v>28.73</v>
      </c>
      <c r="O945" t="s">
        <v>19</v>
      </c>
      <c r="P945" t="s">
        <v>20</v>
      </c>
      <c r="Q945" t="s">
        <v>19</v>
      </c>
      <c r="R945" t="str">
        <f>HYPERLINK("https://cfpub.epa.gov/ecotox/explore.cfm?ncbi=1163346","Explore in ECOTOX")</f>
        <v>Explore in ECOTOX</v>
      </c>
    </row>
    <row r="946" spans="1:18" x14ac:dyDescent="0.45">
      <c r="A946" t="s">
        <v>1264</v>
      </c>
      <c r="B946">
        <v>8</v>
      </c>
      <c r="C946" t="str">
        <f>HYPERLINK("http://www.ncbi.nlm.nih.gov/protein/AXA98483.1","AXA98483.1")</f>
        <v>AXA98483.1</v>
      </c>
      <c r="D946">
        <v>350</v>
      </c>
      <c r="E946" t="str">
        <f>HYPERLINK("http://www.ncbi.nlm.nih.gov/Taxonomy/Browser/wwwtax.cgi?mode=Info&amp;id=492764&amp;lvl=3&amp;lin=f&amp;keep=1&amp;srchmode=1&amp;unlock","492764")</f>
        <v>492764</v>
      </c>
      <c r="F946" t="s">
        <v>760</v>
      </c>
      <c r="G946" t="str">
        <f>HYPERLINK("http://www.ncbi.nlm.nih.gov/Taxonomy/Browser/wwwtax.cgi?mode=Info&amp;id=492764&amp;lvl=3&amp;lin=f&amp;keep=1&amp;srchmode=1&amp;unlock","Sesamia inferens")</f>
        <v>Sesamia inferens</v>
      </c>
      <c r="H946" t="s">
        <v>908</v>
      </c>
      <c r="I946" t="str">
        <f>HYPERLINK("http://www.ncbi.nlm.nih.gov/protein/AXA98483.1","Ryanodine receptor")</f>
        <v>Ryanodine receptor</v>
      </c>
      <c r="J946">
        <v>3002.62</v>
      </c>
      <c r="K946" t="s">
        <v>22</v>
      </c>
      <c r="L946">
        <v>276</v>
      </c>
      <c r="M946">
        <v>9.75</v>
      </c>
      <c r="N946">
        <v>28.72</v>
      </c>
      <c r="O946" t="s">
        <v>19</v>
      </c>
      <c r="P946" t="s">
        <v>20</v>
      </c>
      <c r="Q946" t="s">
        <v>19</v>
      </c>
      <c r="R946" t="str">
        <f>HYPERLINK("https://cfpub.epa.gov/ecotox/explore.cfm?ncbi=492764","Explore in ECOTOX")</f>
        <v>Explore in ECOTOX</v>
      </c>
    </row>
    <row r="947" spans="1:18" x14ac:dyDescent="0.45">
      <c r="A947" t="s">
        <v>1264</v>
      </c>
      <c r="B947">
        <v>8</v>
      </c>
      <c r="C947" t="str">
        <f>HYPERLINK("http://www.ncbi.nlm.nih.gov/protein/XP_057661317.1","XP_057661317.1")</f>
        <v>XP_057661317.1</v>
      </c>
      <c r="D947">
        <v>22127</v>
      </c>
      <c r="E947" t="str">
        <f>HYPERLINK("http://www.ncbi.nlm.nih.gov/Taxonomy/Browser/wwwtax.cgi?mode=Info&amp;id=1163345&amp;lvl=3&amp;lin=f&amp;keep=1&amp;srchmode=1&amp;unlock","1163345")</f>
        <v>1163345</v>
      </c>
      <c r="F947" t="s">
        <v>760</v>
      </c>
      <c r="G947" t="str">
        <f>HYPERLINK("http://www.ncbi.nlm.nih.gov/Taxonomy/Browser/wwwtax.cgi?mode=Info&amp;id=1163345&amp;lvl=3&amp;lin=f&amp;keep=1&amp;srchmode=1&amp;unlock","Diorhabda carinulata")</f>
        <v>Diorhabda carinulata</v>
      </c>
      <c r="H947" t="s">
        <v>876</v>
      </c>
      <c r="I947" t="str">
        <f>HYPERLINK("http://www.ncbi.nlm.nih.gov/protein/XP_057661317.1","ryanodine receptor isoform X12")</f>
        <v>ryanodine receptor isoform X12</v>
      </c>
      <c r="J947">
        <v>3002.23</v>
      </c>
      <c r="K947" t="s">
        <v>22</v>
      </c>
      <c r="L947">
        <v>276</v>
      </c>
      <c r="M947">
        <v>9.75</v>
      </c>
      <c r="N947">
        <v>28.72</v>
      </c>
      <c r="O947" t="s">
        <v>19</v>
      </c>
      <c r="P947" t="s">
        <v>20</v>
      </c>
      <c r="Q947" t="s">
        <v>19</v>
      </c>
      <c r="R947" t="str">
        <f>HYPERLINK("https://cfpub.epa.gov/ecotox/explore.cfm?ncbi=1163345","Explore in ECOTOX")</f>
        <v>Explore in ECOTOX</v>
      </c>
    </row>
    <row r="948" spans="1:18" x14ac:dyDescent="0.45">
      <c r="A948" t="s">
        <v>1264</v>
      </c>
      <c r="B948">
        <v>8</v>
      </c>
      <c r="C948" t="str">
        <f>HYPERLINK("http://www.ncbi.nlm.nih.gov/protein/XP_044760792.1","XP_044760792.1")</f>
        <v>XP_044760792.1</v>
      </c>
      <c r="D948">
        <v>23389</v>
      </c>
      <c r="E948" t="str">
        <f>HYPERLINK("http://www.ncbi.nlm.nih.gov/Taxonomy/Browser/wwwtax.cgi?mode=Info&amp;id=41139&amp;lvl=3&amp;lin=f&amp;keep=1&amp;srchmode=1&amp;unlock","41139")</f>
        <v>41139</v>
      </c>
      <c r="F948" t="s">
        <v>760</v>
      </c>
      <c r="G948" t="str">
        <f>HYPERLINK("http://www.ncbi.nlm.nih.gov/Taxonomy/Browser/wwwtax.cgi?mode=Info&amp;id=41139&amp;lvl=3&amp;lin=f&amp;keep=1&amp;srchmode=1&amp;unlock","Coccinella septempunctata")</f>
        <v>Coccinella septempunctata</v>
      </c>
      <c r="H948" t="s">
        <v>909</v>
      </c>
      <c r="I948" t="str">
        <f>HYPERLINK("http://www.ncbi.nlm.nih.gov/protein/XP_044760792.1","ryanodine receptor")</f>
        <v>ryanodine receptor</v>
      </c>
      <c r="J948">
        <v>3001.85</v>
      </c>
      <c r="K948" t="s">
        <v>22</v>
      </c>
      <c r="L948">
        <v>276</v>
      </c>
      <c r="M948">
        <v>9.75</v>
      </c>
      <c r="N948">
        <v>28.72</v>
      </c>
      <c r="O948" t="s">
        <v>19</v>
      </c>
      <c r="P948" t="s">
        <v>20</v>
      </c>
      <c r="Q948" t="s">
        <v>19</v>
      </c>
      <c r="R948" t="str">
        <f>HYPERLINK("https://cfpub.epa.gov/ecotox/explore.cfm?ncbi=41139","Explore in ECOTOX")</f>
        <v>Explore in ECOTOX</v>
      </c>
    </row>
    <row r="949" spans="1:18" x14ac:dyDescent="0.45">
      <c r="A949" t="s">
        <v>1264</v>
      </c>
      <c r="B949">
        <v>8</v>
      </c>
      <c r="C949" t="str">
        <f>HYPERLINK("http://www.ncbi.nlm.nih.gov/protein/CAH2015684.1","CAH2015684.1")</f>
        <v>CAH2015684.1</v>
      </c>
      <c r="D949">
        <v>115963</v>
      </c>
      <c r="E949" t="str">
        <f>HYPERLINK("http://www.ncbi.nlm.nih.gov/Taxonomy/Browser/wwwtax.cgi?mode=Info&amp;id=200917&amp;lvl=3&amp;lin=f&amp;keep=1&amp;srchmode=1&amp;unlock","200917")</f>
        <v>200917</v>
      </c>
      <c r="F949" t="s">
        <v>760</v>
      </c>
      <c r="G949" t="str">
        <f>HYPERLINK("http://www.ncbi.nlm.nih.gov/Taxonomy/Browser/wwwtax.cgi?mode=Info&amp;id=200917&amp;lvl=3&amp;lin=f&amp;keep=1&amp;srchmode=1&amp;unlock","Acanthoscelides obtectus")</f>
        <v>Acanthoscelides obtectus</v>
      </c>
      <c r="H949" t="s">
        <v>910</v>
      </c>
      <c r="I949" t="str">
        <f>HYPERLINK("http://www.ncbi.nlm.nih.gov/protein/CAH2015684.1","unnamed protein product")</f>
        <v>unnamed protein product</v>
      </c>
      <c r="J949">
        <v>3001.46</v>
      </c>
      <c r="K949" t="s">
        <v>22</v>
      </c>
      <c r="L949">
        <v>276</v>
      </c>
      <c r="M949">
        <v>9.75</v>
      </c>
      <c r="N949">
        <v>28.71</v>
      </c>
      <c r="O949" t="s">
        <v>19</v>
      </c>
      <c r="P949" t="s">
        <v>20</v>
      </c>
      <c r="Q949" t="s">
        <v>19</v>
      </c>
      <c r="R949" t="str">
        <f>HYPERLINK("https://cfpub.epa.gov/ecotox/explore.cfm?ncbi=200917","Explore in ECOTOX")</f>
        <v>Explore in ECOTOX</v>
      </c>
    </row>
    <row r="950" spans="1:18" x14ac:dyDescent="0.45">
      <c r="A950" t="s">
        <v>1264</v>
      </c>
      <c r="B950">
        <v>8</v>
      </c>
      <c r="C950" t="str">
        <f>HYPERLINK("http://www.ncbi.nlm.nih.gov/protein/XP_049881999.1","XP_049881999.1")</f>
        <v>XP_049881999.1</v>
      </c>
      <c r="D950">
        <v>23810</v>
      </c>
      <c r="E950" t="str">
        <f>HYPERLINK("http://www.ncbi.nlm.nih.gov/Taxonomy/Browser/wwwtax.cgi?mode=Info&amp;id=13191&amp;lvl=3&amp;lin=f&amp;keep=1&amp;srchmode=1&amp;unlock","13191")</f>
        <v>13191</v>
      </c>
      <c r="F950" t="s">
        <v>760</v>
      </c>
      <c r="G950" t="str">
        <f>HYPERLINK("http://www.ncbi.nlm.nih.gov/Taxonomy/Browser/wwwtax.cgi?mode=Info&amp;id=13191&amp;lvl=3&amp;lin=f&amp;keep=1&amp;srchmode=1&amp;unlock","Pectinophora gossypiella")</f>
        <v>Pectinophora gossypiella</v>
      </c>
      <c r="H950" t="s">
        <v>911</v>
      </c>
      <c r="I950" t="str">
        <f>HYPERLINK("http://www.ncbi.nlm.nih.gov/protein/XP_049881999.1","ryanodine receptor isoform X7")</f>
        <v>ryanodine receptor isoform X7</v>
      </c>
      <c r="J950">
        <v>3000.31</v>
      </c>
      <c r="K950" t="s">
        <v>22</v>
      </c>
      <c r="L950">
        <v>276</v>
      </c>
      <c r="M950">
        <v>9.75</v>
      </c>
      <c r="N950">
        <v>28.7</v>
      </c>
      <c r="O950" t="s">
        <v>19</v>
      </c>
      <c r="P950" t="s">
        <v>20</v>
      </c>
      <c r="Q950" t="s">
        <v>19</v>
      </c>
      <c r="R950" t="str">
        <f>HYPERLINK("https://cfpub.epa.gov/ecotox/explore.cfm?ncbi=13191","Explore in ECOTOX")</f>
        <v>Explore in ECOTOX</v>
      </c>
    </row>
    <row r="951" spans="1:18" x14ac:dyDescent="0.45">
      <c r="A951" t="s">
        <v>1264</v>
      </c>
      <c r="B951">
        <v>8</v>
      </c>
      <c r="C951" t="str">
        <f>HYPERLINK("http://www.ncbi.nlm.nih.gov/protein/CAH7756755.1","CAH7756755.1")</f>
        <v>CAH7756755.1</v>
      </c>
      <c r="D951">
        <v>56145</v>
      </c>
      <c r="E951" t="str">
        <f>HYPERLINK("http://www.ncbi.nlm.nih.gov/Taxonomy/Browser/wwwtax.cgi?mode=Info&amp;id=146774&amp;lvl=3&amp;lin=f&amp;keep=1&amp;srchmode=1&amp;unlock","146774")</f>
        <v>146774</v>
      </c>
      <c r="F951" t="s">
        <v>760</v>
      </c>
      <c r="G951" t="str">
        <f>HYPERLINK("http://www.ncbi.nlm.nih.gov/Taxonomy/Browser/wwwtax.cgi?mode=Info&amp;id=146774&amp;lvl=3&amp;lin=f&amp;keep=1&amp;srchmode=1&amp;unlock","Callosobruchus chinensis")</f>
        <v>Callosobruchus chinensis</v>
      </c>
      <c r="H951" t="s">
        <v>912</v>
      </c>
      <c r="I951" t="str">
        <f>HYPERLINK("http://www.ncbi.nlm.nih.gov/protein/CAH7756755.1","unnamed protein product")</f>
        <v>unnamed protein product</v>
      </c>
      <c r="J951">
        <v>2998.38</v>
      </c>
      <c r="K951" t="s">
        <v>22</v>
      </c>
      <c r="L951">
        <v>276</v>
      </c>
      <c r="M951">
        <v>9.75</v>
      </c>
      <c r="N951">
        <v>28.68</v>
      </c>
      <c r="O951" t="s">
        <v>19</v>
      </c>
      <c r="P951" t="s">
        <v>20</v>
      </c>
      <c r="Q951" t="s">
        <v>19</v>
      </c>
      <c r="R951" t="str">
        <f>HYPERLINK("https://cfpub.epa.gov/ecotox/explore.cfm?ncbi=146774","Explore in ECOTOX")</f>
        <v>Explore in ECOTOX</v>
      </c>
    </row>
    <row r="952" spans="1:18" x14ac:dyDescent="0.45">
      <c r="A952" t="s">
        <v>1264</v>
      </c>
      <c r="B952">
        <v>8</v>
      </c>
      <c r="C952" t="str">
        <f>HYPERLINK("http://www.ncbi.nlm.nih.gov/protein/XP_015367530.1","XP_015367530.1")</f>
        <v>XP_015367530.1</v>
      </c>
      <c r="D952">
        <v>17638</v>
      </c>
      <c r="E952" t="str">
        <f>HYPERLINK("http://www.ncbi.nlm.nih.gov/Taxonomy/Browser/wwwtax.cgi?mode=Info&amp;id=143948&amp;lvl=3&amp;lin=f&amp;keep=1&amp;srchmode=1&amp;unlock","143948")</f>
        <v>143948</v>
      </c>
      <c r="F952" t="s">
        <v>760</v>
      </c>
      <c r="G952" t="str">
        <f>HYPERLINK("http://www.ncbi.nlm.nih.gov/Taxonomy/Browser/wwwtax.cgi?mode=Info&amp;id=143948&amp;lvl=3&amp;lin=f&amp;keep=1&amp;srchmode=1&amp;unlock","Diuraphis noxia")</f>
        <v>Diuraphis noxia</v>
      </c>
      <c r="H952" t="s">
        <v>913</v>
      </c>
      <c r="I952" t="str">
        <f>HYPERLINK("http://www.ncbi.nlm.nih.gov/protein/XP_015367530.1","PREDICTED: ryanodine receptor")</f>
        <v>PREDICTED: ryanodine receptor</v>
      </c>
      <c r="J952">
        <v>2997.99</v>
      </c>
      <c r="K952" t="s">
        <v>22</v>
      </c>
      <c r="L952">
        <v>276</v>
      </c>
      <c r="M952">
        <v>9.75</v>
      </c>
      <c r="N952">
        <v>28.68</v>
      </c>
      <c r="O952" t="s">
        <v>19</v>
      </c>
      <c r="P952" t="s">
        <v>20</v>
      </c>
      <c r="Q952" t="s">
        <v>19</v>
      </c>
      <c r="R952" t="str">
        <f>HYPERLINK("https://cfpub.epa.gov/ecotox/explore.cfm?ncbi=143948","Explore in ECOTOX")</f>
        <v>Explore in ECOTOX</v>
      </c>
    </row>
    <row r="953" spans="1:18" x14ac:dyDescent="0.45">
      <c r="A953" t="s">
        <v>1264</v>
      </c>
      <c r="B953">
        <v>8</v>
      </c>
      <c r="C953" t="str">
        <f>HYPERLINK("http://www.ncbi.nlm.nih.gov/protein/XP_010199537.1","XP_010199537.1")</f>
        <v>XP_010199537.1</v>
      </c>
      <c r="D953">
        <v>26934</v>
      </c>
      <c r="E953" t="str">
        <f>HYPERLINK("http://www.ncbi.nlm.nih.gov/Taxonomy/Browser/wwwtax.cgi?mode=Info&amp;id=57412&amp;lvl=3&amp;lin=f&amp;keep=1&amp;srchmode=1&amp;unlock","57412")</f>
        <v>57412</v>
      </c>
      <c r="F953" t="s">
        <v>241</v>
      </c>
      <c r="G953" t="str">
        <f>HYPERLINK("http://www.ncbi.nlm.nih.gov/Taxonomy/Browser/wwwtax.cgi?mode=Info&amp;id=57412&amp;lvl=3&amp;lin=f&amp;keep=1&amp;srchmode=1&amp;unlock","Colius striatus")</f>
        <v>Colius striatus</v>
      </c>
      <c r="H953" t="s">
        <v>914</v>
      </c>
      <c r="I953" t="str">
        <f>HYPERLINK("http://www.ncbi.nlm.nih.gov/protein/XP_010199537.1","PREDICTED: ryanodine receptor 2, partial")</f>
        <v>PREDICTED: ryanodine receptor 2, partial</v>
      </c>
      <c r="J953">
        <v>2997.22</v>
      </c>
      <c r="K953" t="s">
        <v>22</v>
      </c>
      <c r="L953">
        <v>276</v>
      </c>
      <c r="M953">
        <v>9.75</v>
      </c>
      <c r="N953">
        <v>28.67</v>
      </c>
      <c r="O953" t="s">
        <v>19</v>
      </c>
      <c r="P953" t="s">
        <v>20</v>
      </c>
      <c r="Q953" t="s">
        <v>19</v>
      </c>
      <c r="R953" t="str">
        <f>HYPERLINK("https://cfpub.epa.gov/ecotox/explore.cfm?ncbi=57412","Explore in ECOTOX")</f>
        <v>Explore in ECOTOX</v>
      </c>
    </row>
    <row r="954" spans="1:18" x14ac:dyDescent="0.45">
      <c r="A954" t="s">
        <v>1264</v>
      </c>
      <c r="B954">
        <v>8</v>
      </c>
      <c r="C954" t="str">
        <f>HYPERLINK("http://www.ncbi.nlm.nih.gov/protein/KAI5742922.1","KAI5742922.1")</f>
        <v>KAI5742922.1</v>
      </c>
      <c r="D954">
        <v>89962</v>
      </c>
      <c r="E954" t="str">
        <f>HYPERLINK("http://www.ncbi.nlm.nih.gov/Taxonomy/Browser/wwwtax.cgi?mode=Info&amp;id=121845&amp;lvl=3&amp;lin=f&amp;keep=1&amp;srchmode=1&amp;unlock","121845")</f>
        <v>121845</v>
      </c>
      <c r="F954" t="s">
        <v>760</v>
      </c>
      <c r="G954" t="str">
        <f>HYPERLINK("http://www.ncbi.nlm.nih.gov/Taxonomy/Browser/wwwtax.cgi?mode=Info&amp;id=121845&amp;lvl=3&amp;lin=f&amp;keep=1&amp;srchmode=1&amp;unlock","Diaphorina citri")</f>
        <v>Diaphorina citri</v>
      </c>
      <c r="H954" t="s">
        <v>915</v>
      </c>
      <c r="I954" t="str">
        <f>HYPERLINK("http://www.ncbi.nlm.nih.gov/protein/KAI5742922.1","hypothetical protein M8J77_012710")</f>
        <v>hypothetical protein M8J77_012710</v>
      </c>
      <c r="J954">
        <v>2996.45</v>
      </c>
      <c r="K954" t="s">
        <v>22</v>
      </c>
      <c r="L954">
        <v>276</v>
      </c>
      <c r="M954">
        <v>9.75</v>
      </c>
      <c r="N954">
        <v>28.66</v>
      </c>
      <c r="O954" t="s">
        <v>19</v>
      </c>
      <c r="P954" t="s">
        <v>20</v>
      </c>
      <c r="Q954" t="s">
        <v>19</v>
      </c>
      <c r="R954" t="str">
        <f>HYPERLINK("https://cfpub.epa.gov/ecotox/explore.cfm?ncbi=121845","Explore in ECOTOX")</f>
        <v>Explore in ECOTOX</v>
      </c>
    </row>
    <row r="955" spans="1:18" x14ac:dyDescent="0.45">
      <c r="A955" t="s">
        <v>1264</v>
      </c>
      <c r="B955">
        <v>8</v>
      </c>
      <c r="C955" t="str">
        <f>HYPERLINK("http://www.ncbi.nlm.nih.gov/protein/KAG5899239.1","KAG5899239.1")</f>
        <v>KAG5899239.1</v>
      </c>
      <c r="D955">
        <v>40594</v>
      </c>
      <c r="E955" t="str">
        <f>HYPERLINK("http://www.ncbi.nlm.nih.gov/Taxonomy/Browser/wwwtax.cgi?mode=Info&amp;id=63699&amp;lvl=3&amp;lin=f&amp;keep=1&amp;srchmode=1&amp;unlock","63699")</f>
        <v>63699</v>
      </c>
      <c r="F955" t="s">
        <v>760</v>
      </c>
      <c r="G955" t="str">
        <f>HYPERLINK("http://www.ncbi.nlm.nih.gov/Taxonomy/Browser/wwwtax.cgi?mode=Info&amp;id=63699&amp;lvl=3&amp;lin=f&amp;keep=1&amp;srchmode=1&amp;unlock","Gonioctena quinquepunctata")</f>
        <v>Gonioctena quinquepunctata</v>
      </c>
      <c r="H955" t="s">
        <v>876</v>
      </c>
      <c r="I955" t="str">
        <f>HYPERLINK("http://www.ncbi.nlm.nih.gov/protein/KAG5899239.1","hypothetical protein JTB14_035422")</f>
        <v>hypothetical protein JTB14_035422</v>
      </c>
      <c r="J955">
        <v>2994.14</v>
      </c>
      <c r="K955" t="s">
        <v>22</v>
      </c>
      <c r="L955">
        <v>276</v>
      </c>
      <c r="M955">
        <v>9.75</v>
      </c>
      <c r="N955">
        <v>28.64</v>
      </c>
      <c r="O955" t="s">
        <v>19</v>
      </c>
      <c r="P955" t="s">
        <v>20</v>
      </c>
      <c r="Q955" t="s">
        <v>19</v>
      </c>
      <c r="R955" t="str">
        <f>HYPERLINK("https://cfpub.epa.gov/ecotox/explore.cfm?ncbi=63699","Explore in ECOTOX")</f>
        <v>Explore in ECOTOX</v>
      </c>
    </row>
    <row r="956" spans="1:18" x14ac:dyDescent="0.45">
      <c r="A956" t="s">
        <v>1264</v>
      </c>
      <c r="B956">
        <v>8</v>
      </c>
      <c r="C956" t="str">
        <f>HYPERLINK("http://www.ncbi.nlm.nih.gov/protein/XP_022160123.1","XP_022160123.1")</f>
        <v>XP_022160123.1</v>
      </c>
      <c r="D956">
        <v>24620</v>
      </c>
      <c r="E956" t="str">
        <f>HYPERLINK("http://www.ncbi.nlm.nih.gov/Taxonomy/Browser/wwwtax.cgi?mode=Info&amp;id=13164&amp;lvl=3&amp;lin=f&amp;keep=1&amp;srchmode=1&amp;unlock","13164")</f>
        <v>13164</v>
      </c>
      <c r="F956" t="s">
        <v>760</v>
      </c>
      <c r="G956" t="str">
        <f>HYPERLINK("http://www.ncbi.nlm.nih.gov/Taxonomy/Browser/wwwtax.cgi?mode=Info&amp;id=13164&amp;lvl=3&amp;lin=f&amp;keep=1&amp;srchmode=1&amp;unlock","Myzus persicae")</f>
        <v>Myzus persicae</v>
      </c>
      <c r="H956" t="s">
        <v>916</v>
      </c>
      <c r="I956" t="str">
        <f>HYPERLINK("http://www.ncbi.nlm.nih.gov/protein/XP_022160123.1","ryanodine receptor")</f>
        <v>ryanodine receptor</v>
      </c>
      <c r="J956">
        <v>2992.99</v>
      </c>
      <c r="K956" t="s">
        <v>22</v>
      </c>
      <c r="L956">
        <v>276</v>
      </c>
      <c r="M956">
        <v>9.75</v>
      </c>
      <c r="N956">
        <v>28.63</v>
      </c>
      <c r="O956" t="s">
        <v>19</v>
      </c>
      <c r="P956" t="s">
        <v>20</v>
      </c>
      <c r="Q956" t="s">
        <v>19</v>
      </c>
      <c r="R956" t="str">
        <f>HYPERLINK("https://cfpub.epa.gov/ecotox/explore.cfm?ncbi=13164","Explore in ECOTOX")</f>
        <v>Explore in ECOTOX</v>
      </c>
    </row>
    <row r="957" spans="1:18" x14ac:dyDescent="0.45">
      <c r="A957" t="s">
        <v>1264</v>
      </c>
      <c r="B957">
        <v>8</v>
      </c>
      <c r="C957" t="str">
        <f>HYPERLINK("http://www.ncbi.nlm.nih.gov/protein/XP_058129519.1","XP_058129519.1")</f>
        <v>XP_058129519.1</v>
      </c>
      <c r="D957">
        <v>15116</v>
      </c>
      <c r="E957" t="str">
        <f>HYPERLINK("http://www.ncbi.nlm.nih.gov/Taxonomy/Browser/wwwtax.cgi?mode=Info&amp;id=139045&amp;lvl=3&amp;lin=f&amp;keep=1&amp;srchmode=1&amp;unlock","139045")</f>
        <v>139045</v>
      </c>
      <c r="F957" t="s">
        <v>760</v>
      </c>
      <c r="G957" t="str">
        <f>HYPERLINK("http://www.ncbi.nlm.nih.gov/Taxonomy/Browser/wwwtax.cgi?mode=Info&amp;id=139045&amp;lvl=3&amp;lin=f&amp;keep=1&amp;srchmode=1&amp;unlock","Anopheles coustani")</f>
        <v>Anopheles coustani</v>
      </c>
      <c r="H957" t="s">
        <v>917</v>
      </c>
      <c r="I957" t="str">
        <f>HYPERLINK("http://www.ncbi.nlm.nih.gov/protein/XP_058129519.1","ryanodine receptor isoform X3")</f>
        <v>ryanodine receptor isoform X3</v>
      </c>
      <c r="J957">
        <v>2992.6</v>
      </c>
      <c r="K957" t="s">
        <v>22</v>
      </c>
      <c r="L957">
        <v>276</v>
      </c>
      <c r="M957">
        <v>9.75</v>
      </c>
      <c r="N957">
        <v>28.63</v>
      </c>
      <c r="O957" t="s">
        <v>19</v>
      </c>
      <c r="P957" t="s">
        <v>20</v>
      </c>
      <c r="Q957" t="s">
        <v>19</v>
      </c>
      <c r="R957" t="str">
        <f>HYPERLINK("https://cfpub.epa.gov/ecotox/explore.cfm?ncbi=139045","Explore in ECOTOX")</f>
        <v>Explore in ECOTOX</v>
      </c>
    </row>
    <row r="958" spans="1:18" x14ac:dyDescent="0.45">
      <c r="A958" t="s">
        <v>1264</v>
      </c>
      <c r="B958">
        <v>8</v>
      </c>
      <c r="C958" t="str">
        <f>HYPERLINK("http://www.ncbi.nlm.nih.gov/protein/XP_060521134.1","XP_060521134.1")</f>
        <v>XP_060521134.1</v>
      </c>
      <c r="D958">
        <v>22096</v>
      </c>
      <c r="E958" t="str">
        <f>HYPERLINK("http://www.ncbi.nlm.nih.gov/Taxonomy/Browser/wwwtax.cgi?mode=Info&amp;id=197179&amp;lvl=3&amp;lin=f&amp;keep=1&amp;srchmode=1&amp;unlock","197179")</f>
        <v>197179</v>
      </c>
      <c r="F958" t="s">
        <v>760</v>
      </c>
      <c r="G958" t="str">
        <f>HYPERLINK("http://www.ncbi.nlm.nih.gov/Taxonomy/Browser/wwwtax.cgi?mode=Info&amp;id=197179&amp;lvl=3&amp;lin=f&amp;keep=1&amp;srchmode=1&amp;unlock","Cylas formicarius")</f>
        <v>Cylas formicarius</v>
      </c>
      <c r="H958" t="s">
        <v>918</v>
      </c>
      <c r="I958" t="str">
        <f>HYPERLINK("http://www.ncbi.nlm.nih.gov/protein/XP_060521134.1","ryanodine receptor isoform X1")</f>
        <v>ryanodine receptor isoform X1</v>
      </c>
      <c r="J958">
        <v>2991.06</v>
      </c>
      <c r="K958" t="s">
        <v>22</v>
      </c>
      <c r="L958">
        <v>276</v>
      </c>
      <c r="M958">
        <v>9.75</v>
      </c>
      <c r="N958">
        <v>28.61</v>
      </c>
      <c r="O958" t="s">
        <v>19</v>
      </c>
      <c r="P958" t="s">
        <v>20</v>
      </c>
      <c r="Q958" t="s">
        <v>19</v>
      </c>
      <c r="R958" t="str">
        <f>HYPERLINK("https://cfpub.epa.gov/ecotox/explore.cfm?ncbi=197179","Explore in ECOTOX")</f>
        <v>Explore in ECOTOX</v>
      </c>
    </row>
    <row r="959" spans="1:18" x14ac:dyDescent="0.45">
      <c r="A959" t="s">
        <v>1264</v>
      </c>
      <c r="B959">
        <v>8</v>
      </c>
      <c r="C959" t="str">
        <f>HYPERLINK("http://www.ncbi.nlm.nih.gov/protein/CAI6353502.1","CAI6353502.1")</f>
        <v>CAI6353502.1</v>
      </c>
      <c r="D959">
        <v>35054</v>
      </c>
      <c r="E959" t="str">
        <f>HYPERLINK("http://www.ncbi.nlm.nih.gov/Taxonomy/Browser/wwwtax.cgi?mode=Info&amp;id=13131&amp;lvl=3&amp;lin=f&amp;keep=1&amp;srchmode=1&amp;unlock","13131")</f>
        <v>13131</v>
      </c>
      <c r="F959" t="s">
        <v>760</v>
      </c>
      <c r="G959" t="str">
        <f>HYPERLINK("http://www.ncbi.nlm.nih.gov/Taxonomy/Browser/wwwtax.cgi?mode=Info&amp;id=13131&amp;lvl=3&amp;lin=f&amp;keep=1&amp;srchmode=1&amp;unlock","Macrosiphum euphorbiae")</f>
        <v>Macrosiphum euphorbiae</v>
      </c>
      <c r="H959" t="s">
        <v>919</v>
      </c>
      <c r="I959" t="str">
        <f>HYPERLINK("http://www.ncbi.nlm.nih.gov/protein/CAI6353502.1","unnamed protein product")</f>
        <v>unnamed protein product</v>
      </c>
      <c r="J959">
        <v>2991.06</v>
      </c>
      <c r="K959" t="s">
        <v>22</v>
      </c>
      <c r="L959">
        <v>276</v>
      </c>
      <c r="M959">
        <v>9.75</v>
      </c>
      <c r="N959">
        <v>28.61</v>
      </c>
      <c r="O959" t="s">
        <v>19</v>
      </c>
      <c r="P959" t="s">
        <v>20</v>
      </c>
      <c r="Q959" t="s">
        <v>19</v>
      </c>
      <c r="R959" t="str">
        <f>HYPERLINK("https://cfpub.epa.gov/ecotox/explore.cfm?ncbi=13131","Explore in ECOTOX")</f>
        <v>Explore in ECOTOX</v>
      </c>
    </row>
    <row r="960" spans="1:18" x14ac:dyDescent="0.45">
      <c r="A960" t="s">
        <v>1264</v>
      </c>
      <c r="B960">
        <v>8</v>
      </c>
      <c r="C960" t="str">
        <f>HYPERLINK("http://www.ncbi.nlm.nih.gov/protein/XP_021707525.1","XP_021707525.1")</f>
        <v>XP_021707525.1</v>
      </c>
      <c r="D960">
        <v>50994</v>
      </c>
      <c r="E960" t="str">
        <f>HYPERLINK("http://www.ncbi.nlm.nih.gov/Taxonomy/Browser/wwwtax.cgi?mode=Info&amp;id=7159&amp;lvl=3&amp;lin=f&amp;keep=1&amp;srchmode=1&amp;unlock","7159")</f>
        <v>7159</v>
      </c>
      <c r="F960" t="s">
        <v>760</v>
      </c>
      <c r="G960" t="str">
        <f>HYPERLINK("http://www.ncbi.nlm.nih.gov/Taxonomy/Browser/wwwtax.cgi?mode=Info&amp;id=7159&amp;lvl=3&amp;lin=f&amp;keep=1&amp;srchmode=1&amp;unlock","Aedes aegypti")</f>
        <v>Aedes aegypti</v>
      </c>
      <c r="H960" t="s">
        <v>920</v>
      </c>
      <c r="I960" t="str">
        <f>HYPERLINK("http://www.ncbi.nlm.nih.gov/protein/XP_021707525.1","ryanodine receptor isoform X13")</f>
        <v>ryanodine receptor isoform X13</v>
      </c>
      <c r="J960">
        <v>2990.68</v>
      </c>
      <c r="K960" t="s">
        <v>22</v>
      </c>
      <c r="L960">
        <v>276</v>
      </c>
      <c r="M960">
        <v>9.75</v>
      </c>
      <c r="N960">
        <v>28.61</v>
      </c>
      <c r="O960" t="s">
        <v>19</v>
      </c>
      <c r="P960" t="s">
        <v>20</v>
      </c>
      <c r="Q960" t="s">
        <v>19</v>
      </c>
      <c r="R960" t="str">
        <f>HYPERLINK("https://cfpub.epa.gov/ecotox/explore.cfm?ncbi=7159","Explore in ECOTOX")</f>
        <v>Explore in ECOTOX</v>
      </c>
    </row>
    <row r="961" spans="1:18" x14ac:dyDescent="0.45">
      <c r="A961" t="s">
        <v>1264</v>
      </c>
      <c r="B961">
        <v>8</v>
      </c>
      <c r="C961" t="str">
        <f>HYPERLINK("http://www.ncbi.nlm.nih.gov/protein/XP_037955138.1","XP_037955138.1")</f>
        <v>XP_037955138.1</v>
      </c>
      <c r="D961">
        <v>34229</v>
      </c>
      <c r="E961" t="str">
        <f>HYPERLINK("http://www.ncbi.nlm.nih.gov/Taxonomy/Browser/wwwtax.cgi?mode=Info&amp;id=139649&amp;lvl=3&amp;lin=f&amp;keep=1&amp;srchmode=1&amp;unlock","139649")</f>
        <v>139649</v>
      </c>
      <c r="F961" t="s">
        <v>760</v>
      </c>
      <c r="G961" t="str">
        <f>HYPERLINK("http://www.ncbi.nlm.nih.gov/Taxonomy/Browser/wwwtax.cgi?mode=Info&amp;id=139649&amp;lvl=3&amp;lin=f&amp;keep=1&amp;srchmode=1&amp;unlock","Teleopsis dalmanni")</f>
        <v>Teleopsis dalmanni</v>
      </c>
      <c r="H961" t="s">
        <v>921</v>
      </c>
      <c r="I961" t="str">
        <f>HYPERLINK("http://www.ncbi.nlm.nih.gov/protein/XP_037955138.1","ryanodine receptor isoform X12")</f>
        <v>ryanodine receptor isoform X12</v>
      </c>
      <c r="J961">
        <v>2990.29</v>
      </c>
      <c r="K961" t="s">
        <v>22</v>
      </c>
      <c r="L961">
        <v>276</v>
      </c>
      <c r="M961">
        <v>9.75</v>
      </c>
      <c r="N961">
        <v>28.6</v>
      </c>
      <c r="O961" t="s">
        <v>19</v>
      </c>
      <c r="P961" t="s">
        <v>20</v>
      </c>
      <c r="Q961" t="s">
        <v>19</v>
      </c>
      <c r="R961" t="str">
        <f>HYPERLINK("https://cfpub.epa.gov/ecotox/explore.cfm?ncbi=139649","Explore in ECOTOX")</f>
        <v>Explore in ECOTOX</v>
      </c>
    </row>
    <row r="962" spans="1:18" x14ac:dyDescent="0.45">
      <c r="A962" t="s">
        <v>1264</v>
      </c>
      <c r="B962">
        <v>8</v>
      </c>
      <c r="C962" t="str">
        <f>HYPERLINK("http://www.ncbi.nlm.nih.gov/protein/XP_058462429.1","XP_058462429.1")</f>
        <v>XP_058462429.1</v>
      </c>
      <c r="D962">
        <v>25649</v>
      </c>
      <c r="E962" t="str">
        <f>HYPERLINK("http://www.ncbi.nlm.nih.gov/Taxonomy/Browser/wwwtax.cgi?mode=Info&amp;id=325434&amp;lvl=3&amp;lin=f&amp;keep=1&amp;srchmode=1&amp;unlock","325434")</f>
        <v>325434</v>
      </c>
      <c r="F962" t="s">
        <v>760</v>
      </c>
      <c r="G962" t="str">
        <f>HYPERLINK("http://www.ncbi.nlm.nih.gov/Taxonomy/Browser/wwwtax.cgi?mode=Info&amp;id=325434&amp;lvl=3&amp;lin=f&amp;keep=1&amp;srchmode=1&amp;unlock","Malaya genurostris")</f>
        <v>Malaya genurostris</v>
      </c>
      <c r="H962" t="s">
        <v>917</v>
      </c>
      <c r="I962" t="str">
        <f>HYPERLINK("http://www.ncbi.nlm.nih.gov/protein/XP_058462429.1","ryanodine receptor isoform X22")</f>
        <v>ryanodine receptor isoform X22</v>
      </c>
      <c r="J962">
        <v>2989.52</v>
      </c>
      <c r="K962" t="s">
        <v>22</v>
      </c>
      <c r="L962">
        <v>276</v>
      </c>
      <c r="M962">
        <v>9.75</v>
      </c>
      <c r="N962">
        <v>28.6</v>
      </c>
      <c r="O962" t="s">
        <v>19</v>
      </c>
      <c r="P962" t="s">
        <v>20</v>
      </c>
      <c r="Q962" t="s">
        <v>19</v>
      </c>
      <c r="R962" t="str">
        <f>HYPERLINK("https://cfpub.epa.gov/ecotox/explore.cfm?ncbi=325434","Explore in ECOTOX")</f>
        <v>Explore in ECOTOX</v>
      </c>
    </row>
    <row r="963" spans="1:18" x14ac:dyDescent="0.45">
      <c r="A963" t="s">
        <v>1264</v>
      </c>
      <c r="B963">
        <v>8</v>
      </c>
      <c r="C963" t="str">
        <f>HYPERLINK("http://www.ncbi.nlm.nih.gov/protein/XP_032524301.1","XP_032524301.1")</f>
        <v>XP_032524301.1</v>
      </c>
      <c r="D963">
        <v>22764</v>
      </c>
      <c r="E963" t="str">
        <f>HYPERLINK("http://www.ncbi.nlm.nih.gov/Taxonomy/Browser/wwwtax.cgi?mode=Info&amp;id=278856&amp;lvl=3&amp;lin=f&amp;keep=1&amp;srchmode=1&amp;unlock","278856")</f>
        <v>278856</v>
      </c>
      <c r="F963" t="s">
        <v>760</v>
      </c>
      <c r="G963" t="str">
        <f>HYPERLINK("http://www.ncbi.nlm.nih.gov/Taxonomy/Browser/wwwtax.cgi?mode=Info&amp;id=278856&amp;lvl=3&amp;lin=f&amp;keep=1&amp;srchmode=1&amp;unlock","Danaus plexippus plexippus")</f>
        <v>Danaus plexippus plexippus</v>
      </c>
      <c r="H963" t="s">
        <v>892</v>
      </c>
      <c r="I963" t="str">
        <f>HYPERLINK("http://www.ncbi.nlm.nih.gov/protein/XP_032524301.1","ryanodine receptor")</f>
        <v>ryanodine receptor</v>
      </c>
      <c r="J963">
        <v>2988.36</v>
      </c>
      <c r="K963" t="s">
        <v>22</v>
      </c>
      <c r="L963">
        <v>276</v>
      </c>
      <c r="M963">
        <v>9.75</v>
      </c>
      <c r="N963">
        <v>28.59</v>
      </c>
      <c r="O963" t="s">
        <v>19</v>
      </c>
      <c r="P963" t="s">
        <v>20</v>
      </c>
      <c r="Q963" t="s">
        <v>19</v>
      </c>
      <c r="R963" t="str">
        <f>HYPERLINK("https://cfpub.epa.gov/ecotox/explore.cfm?ncbi=278856","Explore in ECOTOX")</f>
        <v>Explore in ECOTOX</v>
      </c>
    </row>
    <row r="964" spans="1:18" x14ac:dyDescent="0.45">
      <c r="A964" t="s">
        <v>1264</v>
      </c>
      <c r="B964">
        <v>8</v>
      </c>
      <c r="C964" t="str">
        <f>HYPERLINK("http://www.ncbi.nlm.nih.gov/protein/XP_055934796.1","XP_055934796.1")</f>
        <v>XP_055934796.1</v>
      </c>
      <c r="D964">
        <v>56584</v>
      </c>
      <c r="E964" t="str">
        <f>HYPERLINK("http://www.ncbi.nlm.nih.gov/Taxonomy/Browser/wwwtax.cgi?mode=Info&amp;id=94029&amp;lvl=3&amp;lin=f&amp;keep=1&amp;srchmode=1&amp;unlock","94029")</f>
        <v>94029</v>
      </c>
      <c r="F964" t="s">
        <v>904</v>
      </c>
      <c r="G964" t="str">
        <f>HYPERLINK("http://www.ncbi.nlm.nih.gov/Taxonomy/Browser/wwwtax.cgi?mode=Info&amp;id=94029&amp;lvl=3&amp;lin=f&amp;keep=1&amp;srchmode=1&amp;unlock","Argiope bruennichi")</f>
        <v>Argiope bruennichi</v>
      </c>
      <c r="H964" t="s">
        <v>922</v>
      </c>
      <c r="I964" t="str">
        <f>HYPERLINK("http://www.ncbi.nlm.nih.gov/protein/XP_055934796.1","ryanodine receptor-like isoform X2")</f>
        <v>ryanodine receptor-like isoform X2</v>
      </c>
      <c r="J964">
        <v>2987.98</v>
      </c>
      <c r="K964" t="s">
        <v>22</v>
      </c>
      <c r="L964">
        <v>276</v>
      </c>
      <c r="M964">
        <v>9.75</v>
      </c>
      <c r="N964">
        <v>28.58</v>
      </c>
      <c r="O964" t="s">
        <v>19</v>
      </c>
      <c r="P964" t="s">
        <v>20</v>
      </c>
      <c r="Q964" t="s">
        <v>19</v>
      </c>
      <c r="R964" t="str">
        <f>HYPERLINK("https://cfpub.epa.gov/ecotox/explore.cfm?ncbi=94029","Explore in ECOTOX")</f>
        <v>Explore in ECOTOX</v>
      </c>
    </row>
    <row r="965" spans="1:18" x14ac:dyDescent="0.45">
      <c r="A965" t="s">
        <v>1264</v>
      </c>
      <c r="B965">
        <v>8</v>
      </c>
      <c r="C965" t="str">
        <f>HYPERLINK("http://www.ncbi.nlm.nih.gov/protein/XP_060856408.1","XP_060856408.1")</f>
        <v>XP_060856408.1</v>
      </c>
      <c r="D965">
        <v>27366</v>
      </c>
      <c r="E965" t="str">
        <f>HYPERLINK("http://www.ncbi.nlm.nih.gov/Taxonomy/Browser/wwwtax.cgi?mode=Info&amp;id=44670&amp;lvl=3&amp;lin=f&amp;keep=1&amp;srchmode=1&amp;unlock","44670")</f>
        <v>44670</v>
      </c>
      <c r="F965" t="s">
        <v>760</v>
      </c>
      <c r="G965" t="str">
        <f>HYPERLINK("http://www.ncbi.nlm.nih.gov/Taxonomy/Browser/wwwtax.cgi?mode=Info&amp;id=44670&amp;lvl=3&amp;lin=f&amp;keep=1&amp;srchmode=1&amp;unlock","Metopolophium dirhodum")</f>
        <v>Metopolophium dirhodum</v>
      </c>
      <c r="H965" t="s">
        <v>923</v>
      </c>
      <c r="I965" t="str">
        <f>HYPERLINK("http://www.ncbi.nlm.nih.gov/protein/XP_060856408.1","ryanodine receptor")</f>
        <v>ryanodine receptor</v>
      </c>
      <c r="J965">
        <v>2987.98</v>
      </c>
      <c r="K965" t="s">
        <v>22</v>
      </c>
      <c r="L965">
        <v>276</v>
      </c>
      <c r="M965">
        <v>9.75</v>
      </c>
      <c r="N965">
        <v>28.58</v>
      </c>
      <c r="O965" t="s">
        <v>19</v>
      </c>
      <c r="P965" t="s">
        <v>20</v>
      </c>
      <c r="Q965" t="s">
        <v>19</v>
      </c>
      <c r="R965" t="str">
        <f>HYPERLINK("https://cfpub.epa.gov/ecotox/explore.cfm?ncbi=44670","Explore in ECOTOX")</f>
        <v>Explore in ECOTOX</v>
      </c>
    </row>
    <row r="966" spans="1:18" x14ac:dyDescent="0.45">
      <c r="A966" t="s">
        <v>1264</v>
      </c>
      <c r="B966">
        <v>8</v>
      </c>
      <c r="C966" t="str">
        <f>HYPERLINK("http://www.ncbi.nlm.nih.gov/protein/XP_016661950.1","XP_016661950.1")</f>
        <v>XP_016661950.1</v>
      </c>
      <c r="D966">
        <v>30843</v>
      </c>
      <c r="E966" t="str">
        <f>HYPERLINK("http://www.ncbi.nlm.nih.gov/Taxonomy/Browser/wwwtax.cgi?mode=Info&amp;id=7029&amp;lvl=3&amp;lin=f&amp;keep=1&amp;srchmode=1&amp;unlock","7029")</f>
        <v>7029</v>
      </c>
      <c r="F966" t="s">
        <v>760</v>
      </c>
      <c r="G966" t="str">
        <f>HYPERLINK("http://www.ncbi.nlm.nih.gov/Taxonomy/Browser/wwwtax.cgi?mode=Info&amp;id=7029&amp;lvl=3&amp;lin=f&amp;keep=1&amp;srchmode=1&amp;unlock","Acyrthosiphon pisum")</f>
        <v>Acyrthosiphon pisum</v>
      </c>
      <c r="H966" t="s">
        <v>924</v>
      </c>
      <c r="I966" t="str">
        <f>HYPERLINK("http://www.ncbi.nlm.nih.gov/protein/XP_016661950.1","ryanodine receptor")</f>
        <v>ryanodine receptor</v>
      </c>
      <c r="J966">
        <v>2987.59</v>
      </c>
      <c r="K966" t="s">
        <v>22</v>
      </c>
      <c r="L966">
        <v>276</v>
      </c>
      <c r="M966">
        <v>9.75</v>
      </c>
      <c r="N966">
        <v>28.58</v>
      </c>
      <c r="O966" t="s">
        <v>19</v>
      </c>
      <c r="P966" t="s">
        <v>20</v>
      </c>
      <c r="Q966" t="s">
        <v>19</v>
      </c>
      <c r="R966" t="str">
        <f>HYPERLINK("https://cfpub.epa.gov/ecotox/explore.cfm?ncbi=7029","Explore in ECOTOX")</f>
        <v>Explore in ECOTOX</v>
      </c>
    </row>
    <row r="967" spans="1:18" x14ac:dyDescent="0.45">
      <c r="A967" t="s">
        <v>1264</v>
      </c>
      <c r="B967">
        <v>8</v>
      </c>
      <c r="C967" t="str">
        <f>HYPERLINK("http://www.ncbi.nlm.nih.gov/protein/XP_055629099.1","XP_055629099.1")</f>
        <v>XP_055629099.1</v>
      </c>
      <c r="D967">
        <v>30898</v>
      </c>
      <c r="E967" t="str">
        <f>HYPERLINK("http://www.ncbi.nlm.nih.gov/Taxonomy/Browser/wwwtax.cgi?mode=Info&amp;id=329112&amp;lvl=3&amp;lin=f&amp;keep=1&amp;srchmode=1&amp;unlock","329112")</f>
        <v>329112</v>
      </c>
      <c r="F967" t="s">
        <v>760</v>
      </c>
      <c r="G967" t="str">
        <f>HYPERLINK("http://www.ncbi.nlm.nih.gov/Taxonomy/Browser/wwwtax.cgi?mode=Info&amp;id=329112&amp;lvl=3&amp;lin=f&amp;keep=1&amp;srchmode=1&amp;unlock","Toxorhynchites rutilus septentrionalis")</f>
        <v>Toxorhynchites rutilus septentrionalis</v>
      </c>
      <c r="H967" t="s">
        <v>917</v>
      </c>
      <c r="I967" t="str">
        <f>HYPERLINK("http://www.ncbi.nlm.nih.gov/protein/XP_055629099.1","ryanodine receptor isoform X24")</f>
        <v>ryanodine receptor isoform X24</v>
      </c>
      <c r="J967">
        <v>2987.59</v>
      </c>
      <c r="K967" t="s">
        <v>22</v>
      </c>
      <c r="L967">
        <v>276</v>
      </c>
      <c r="M967">
        <v>9.75</v>
      </c>
      <c r="N967">
        <v>28.58</v>
      </c>
      <c r="O967" t="s">
        <v>19</v>
      </c>
      <c r="P967" t="s">
        <v>20</v>
      </c>
      <c r="Q967" t="s">
        <v>19</v>
      </c>
      <c r="R967" t="str">
        <f>HYPERLINK("https://cfpub.epa.gov/ecotox/explore.cfm?ncbi=329112","Explore in ECOTOX")</f>
        <v>Explore in ECOTOX</v>
      </c>
    </row>
    <row r="968" spans="1:18" x14ac:dyDescent="0.45">
      <c r="A968" t="s">
        <v>1264</v>
      </c>
      <c r="B968">
        <v>8</v>
      </c>
      <c r="C968" t="str">
        <f>HYPERLINK("http://www.ncbi.nlm.nih.gov/protein/XP_029731118.1","XP_029731118.1")</f>
        <v>XP_029731118.1</v>
      </c>
      <c r="D968">
        <v>60125</v>
      </c>
      <c r="E968" t="str">
        <f>HYPERLINK("http://www.ncbi.nlm.nih.gov/Taxonomy/Browser/wwwtax.cgi?mode=Info&amp;id=7160&amp;lvl=3&amp;lin=f&amp;keep=1&amp;srchmode=1&amp;unlock","7160")</f>
        <v>7160</v>
      </c>
      <c r="F968" t="s">
        <v>760</v>
      </c>
      <c r="G968" t="str">
        <f>HYPERLINK("http://www.ncbi.nlm.nih.gov/Taxonomy/Browser/wwwtax.cgi?mode=Info&amp;id=7160&amp;lvl=3&amp;lin=f&amp;keep=1&amp;srchmode=1&amp;unlock","Aedes albopictus")</f>
        <v>Aedes albopictus</v>
      </c>
      <c r="H968" t="s">
        <v>925</v>
      </c>
      <c r="I968" t="str">
        <f>HYPERLINK("http://www.ncbi.nlm.nih.gov/protein/XP_029731118.1","ryanodine receptor isoform X23")</f>
        <v>ryanodine receptor isoform X23</v>
      </c>
      <c r="J968">
        <v>2987.21</v>
      </c>
      <c r="K968" t="s">
        <v>22</v>
      </c>
      <c r="L968">
        <v>276</v>
      </c>
      <c r="M968">
        <v>9.75</v>
      </c>
      <c r="N968">
        <v>28.58</v>
      </c>
      <c r="O968" t="s">
        <v>19</v>
      </c>
      <c r="P968" t="s">
        <v>20</v>
      </c>
      <c r="Q968" t="s">
        <v>19</v>
      </c>
      <c r="R968" t="str">
        <f>HYPERLINK("https://cfpub.epa.gov/ecotox/explore.cfm?ncbi=7160","Explore in ECOTOX")</f>
        <v>Explore in ECOTOX</v>
      </c>
    </row>
    <row r="969" spans="1:18" x14ac:dyDescent="0.45">
      <c r="A969" t="s">
        <v>1264</v>
      </c>
      <c r="B969">
        <v>8</v>
      </c>
      <c r="C969" t="str">
        <f>HYPERLINK("http://www.ncbi.nlm.nih.gov/protein/XP_045507768.1","XP_045507768.1")</f>
        <v>XP_045507768.1</v>
      </c>
      <c r="D969">
        <v>21412</v>
      </c>
      <c r="E969" t="str">
        <f>HYPERLINK("http://www.ncbi.nlm.nih.gov/Taxonomy/Browser/wwwtax.cgi?mode=Info&amp;id=72248&amp;lvl=3&amp;lin=f&amp;keep=1&amp;srchmode=1&amp;unlock","72248")</f>
        <v>72248</v>
      </c>
      <c r="F969" t="s">
        <v>760</v>
      </c>
      <c r="G969" t="str">
        <f>HYPERLINK("http://www.ncbi.nlm.nih.gov/Taxonomy/Browser/wwwtax.cgi?mode=Info&amp;id=72248&amp;lvl=3&amp;lin=f&amp;keep=1&amp;srchmode=1&amp;unlock","Colias croceus")</f>
        <v>Colias croceus</v>
      </c>
      <c r="H969" t="s">
        <v>926</v>
      </c>
      <c r="I969" t="str">
        <f>HYPERLINK("http://www.ncbi.nlm.nih.gov/protein/XP_045507768.1","LOW QUALITY PROTEIN: ryanodine receptor")</f>
        <v>LOW QUALITY PROTEIN: ryanodine receptor</v>
      </c>
      <c r="J969">
        <v>2986.82</v>
      </c>
      <c r="K969" t="s">
        <v>22</v>
      </c>
      <c r="L969">
        <v>276</v>
      </c>
      <c r="M969">
        <v>9.75</v>
      </c>
      <c r="N969">
        <v>28.57</v>
      </c>
      <c r="O969" t="s">
        <v>19</v>
      </c>
      <c r="P969" t="s">
        <v>20</v>
      </c>
      <c r="Q969" t="s">
        <v>19</v>
      </c>
      <c r="R969" t="str">
        <f>HYPERLINK("https://cfpub.epa.gov/ecotox/explore.cfm?ncbi=72248","Explore in ECOTOX")</f>
        <v>Explore in ECOTOX</v>
      </c>
    </row>
    <row r="970" spans="1:18" x14ac:dyDescent="0.45">
      <c r="A970" t="s">
        <v>1264</v>
      </c>
      <c r="B970">
        <v>8</v>
      </c>
      <c r="C970" t="str">
        <f>HYPERLINK("http://www.ncbi.nlm.nih.gov/protein/CAI5848298.1","CAI5848298.1")</f>
        <v>CAI5848298.1</v>
      </c>
      <c r="D970">
        <v>51282</v>
      </c>
      <c r="E970" t="str">
        <f>HYPERLINK("http://www.ncbi.nlm.nih.gov/Taxonomy/Browser/wwwtax.cgi?mode=Info&amp;id=380381&amp;lvl=3&amp;lin=f&amp;keep=1&amp;srchmode=1&amp;unlock","380381")</f>
        <v>380381</v>
      </c>
      <c r="F970" t="s">
        <v>760</v>
      </c>
      <c r="G970" t="str">
        <f>HYPERLINK("http://www.ncbi.nlm.nih.gov/Taxonomy/Browser/wwwtax.cgi?mode=Info&amp;id=380381&amp;lvl=3&amp;lin=f&amp;keep=1&amp;srchmode=1&amp;unlock","Callosobruchus analis")</f>
        <v>Callosobruchus analis</v>
      </c>
      <c r="H970" t="s">
        <v>910</v>
      </c>
      <c r="I970" t="str">
        <f>HYPERLINK("http://www.ncbi.nlm.nih.gov/protein/CAI5848298.1","unnamed protein product")</f>
        <v>unnamed protein product</v>
      </c>
      <c r="J970">
        <v>2985.67</v>
      </c>
      <c r="K970" t="s">
        <v>22</v>
      </c>
      <c r="L970">
        <v>276</v>
      </c>
      <c r="M970">
        <v>9.75</v>
      </c>
      <c r="N970">
        <v>28.56</v>
      </c>
      <c r="O970" t="s">
        <v>19</v>
      </c>
      <c r="P970" t="s">
        <v>20</v>
      </c>
      <c r="Q970" t="s">
        <v>19</v>
      </c>
      <c r="R970" t="str">
        <f>HYPERLINK("https://cfpub.epa.gov/ecotox/explore.cfm?ncbi=380381","Explore in ECOTOX")</f>
        <v>Explore in ECOTOX</v>
      </c>
    </row>
    <row r="971" spans="1:18" x14ac:dyDescent="0.45">
      <c r="A971" t="s">
        <v>1264</v>
      </c>
      <c r="B971">
        <v>8</v>
      </c>
      <c r="C971" t="str">
        <f>HYPERLINK("http://www.ncbi.nlm.nih.gov/protein/XP_058173847.1","XP_058173847.1")</f>
        <v>XP_058173847.1</v>
      </c>
      <c r="D971">
        <v>12920</v>
      </c>
      <c r="E971" t="str">
        <f>HYPERLINK("http://www.ncbi.nlm.nih.gov/Taxonomy/Browser/wwwtax.cgi?mode=Info&amp;id=345580&amp;lvl=3&amp;lin=f&amp;keep=1&amp;srchmode=1&amp;unlock","345580")</f>
        <v>345580</v>
      </c>
      <c r="F971" t="s">
        <v>760</v>
      </c>
      <c r="G971" t="str">
        <f>HYPERLINK("http://www.ncbi.nlm.nih.gov/Taxonomy/Browser/wwwtax.cgi?mode=Info&amp;id=345580&amp;lvl=3&amp;lin=f&amp;keep=1&amp;srchmode=1&amp;unlock","Anopheles ziemanni")</f>
        <v>Anopheles ziemanni</v>
      </c>
      <c r="H971" t="s">
        <v>917</v>
      </c>
      <c r="I971" t="str">
        <f>HYPERLINK("http://www.ncbi.nlm.nih.gov/protein/XP_058173847.1","ryanodine receptor")</f>
        <v>ryanodine receptor</v>
      </c>
      <c r="J971">
        <v>2985.67</v>
      </c>
      <c r="K971" t="s">
        <v>22</v>
      </c>
      <c r="L971">
        <v>276</v>
      </c>
      <c r="M971">
        <v>9.75</v>
      </c>
      <c r="N971">
        <v>28.56</v>
      </c>
      <c r="O971" t="s">
        <v>19</v>
      </c>
      <c r="P971" t="s">
        <v>20</v>
      </c>
      <c r="Q971" t="s">
        <v>19</v>
      </c>
      <c r="R971" t="str">
        <f>HYPERLINK("https://cfpub.epa.gov/ecotox/explore.cfm?ncbi=345580","Explore in ECOTOX")</f>
        <v>Explore in ECOTOX</v>
      </c>
    </row>
    <row r="972" spans="1:18" x14ac:dyDescent="0.45">
      <c r="A972" t="s">
        <v>1264</v>
      </c>
      <c r="B972">
        <v>8</v>
      </c>
      <c r="C972" t="str">
        <f>HYPERLINK("http://www.ncbi.nlm.nih.gov/protein/XP_053687055.1","XP_053687055.1")</f>
        <v>XP_053687055.1</v>
      </c>
      <c r="D972">
        <v>17981</v>
      </c>
      <c r="E972" t="str">
        <f>HYPERLINK("http://www.ncbi.nlm.nih.gov/Taxonomy/Browser/wwwtax.cgi?mode=Info&amp;id=53552&amp;lvl=3&amp;lin=f&amp;keep=1&amp;srchmode=1&amp;unlock","53552")</f>
        <v>53552</v>
      </c>
      <c r="F972" t="s">
        <v>760</v>
      </c>
      <c r="G972" t="str">
        <f>HYPERLINK("http://www.ncbi.nlm.nih.gov/Taxonomy/Browser/wwwtax.cgi?mode=Info&amp;id=53552&amp;lvl=3&amp;lin=f&amp;keep=1&amp;srchmode=1&amp;unlock","Sabethes cyaneus")</f>
        <v>Sabethes cyaneus</v>
      </c>
      <c r="H972" t="s">
        <v>917</v>
      </c>
      <c r="I972" t="str">
        <f>HYPERLINK("http://www.ncbi.nlm.nih.gov/protein/XP_053687055.1","ryanodine receptor")</f>
        <v>ryanodine receptor</v>
      </c>
      <c r="J972">
        <v>2985.28</v>
      </c>
      <c r="K972" t="s">
        <v>22</v>
      </c>
      <c r="L972">
        <v>276</v>
      </c>
      <c r="M972">
        <v>9.75</v>
      </c>
      <c r="N972">
        <v>28.56</v>
      </c>
      <c r="O972" t="s">
        <v>19</v>
      </c>
      <c r="P972" t="s">
        <v>20</v>
      </c>
      <c r="Q972" t="s">
        <v>19</v>
      </c>
      <c r="R972" t="str">
        <f>HYPERLINK("https://cfpub.epa.gov/ecotox/explore.cfm?ncbi=53552","Explore in ECOTOX")</f>
        <v>Explore in ECOTOX</v>
      </c>
    </row>
    <row r="973" spans="1:18" x14ac:dyDescent="0.45">
      <c r="A973" t="s">
        <v>1264</v>
      </c>
      <c r="B973">
        <v>8</v>
      </c>
      <c r="C973" t="str">
        <f>HYPERLINK("http://www.ncbi.nlm.nih.gov/protein/XP_048270122.1","XP_048270122.1")</f>
        <v>XP_048270122.1</v>
      </c>
      <c r="D973">
        <v>26461</v>
      </c>
      <c r="E973" t="str">
        <f>HYPERLINK("http://www.ncbi.nlm.nih.gov/Taxonomy/Browser/wwwtax.cgi?mode=Info&amp;id=30195&amp;lvl=3&amp;lin=f&amp;keep=1&amp;srchmode=1&amp;unlock","30195")</f>
        <v>30195</v>
      </c>
      <c r="F973" t="s">
        <v>760</v>
      </c>
      <c r="G973" t="str">
        <f>HYPERLINK("http://www.ncbi.nlm.nih.gov/Taxonomy/Browser/wwwtax.cgi?mode=Info&amp;id=30195&amp;lvl=3&amp;lin=f&amp;keep=1&amp;srchmode=1&amp;unlock","Bombus terrestris")</f>
        <v>Bombus terrestris</v>
      </c>
      <c r="H973" t="s">
        <v>927</v>
      </c>
      <c r="I973" t="str">
        <f>HYPERLINK("http://www.ncbi.nlm.nih.gov/protein/XP_048270122.1","ryanodine receptor isoform X8")</f>
        <v>ryanodine receptor isoform X8</v>
      </c>
      <c r="J973">
        <v>2984.51</v>
      </c>
      <c r="K973" t="s">
        <v>22</v>
      </c>
      <c r="L973">
        <v>276</v>
      </c>
      <c r="M973">
        <v>9.75</v>
      </c>
      <c r="N973">
        <v>28.55</v>
      </c>
      <c r="O973" t="s">
        <v>19</v>
      </c>
      <c r="P973" t="s">
        <v>20</v>
      </c>
      <c r="Q973" t="s">
        <v>19</v>
      </c>
      <c r="R973" t="str">
        <f>HYPERLINK("https://cfpub.epa.gov/ecotox/explore.cfm?ncbi=30195","Explore in ECOTOX")</f>
        <v>Explore in ECOTOX</v>
      </c>
    </row>
    <row r="974" spans="1:18" x14ac:dyDescent="0.45">
      <c r="A974" t="s">
        <v>1264</v>
      </c>
      <c r="B974">
        <v>8</v>
      </c>
      <c r="C974" t="str">
        <f>HYPERLINK("http://www.ncbi.nlm.nih.gov/protein/XP_050582859.1","XP_050582859.1")</f>
        <v>XP_050582859.1</v>
      </c>
      <c r="D974">
        <v>28033</v>
      </c>
      <c r="E974" t="str">
        <f>HYPERLINK("http://www.ncbi.nlm.nih.gov/Taxonomy/Browser/wwwtax.cgi?mode=Info&amp;id=309941&amp;lvl=3&amp;lin=f&amp;keep=1&amp;srchmode=1&amp;unlock","309941")</f>
        <v>309941</v>
      </c>
      <c r="F974" t="s">
        <v>760</v>
      </c>
      <c r="G974" t="str">
        <f>HYPERLINK("http://www.ncbi.nlm.nih.gov/Taxonomy/Browser/wwwtax.cgi?mode=Info&amp;id=309941&amp;lvl=3&amp;lin=f&amp;keep=1&amp;srchmode=1&amp;unlock","Bombus affinis")</f>
        <v>Bombus affinis</v>
      </c>
      <c r="H974" t="s">
        <v>928</v>
      </c>
      <c r="I974" t="str">
        <f>HYPERLINK("http://www.ncbi.nlm.nih.gov/protein/XP_050582859.1","ryanodine receptor isoform X7")</f>
        <v>ryanodine receptor isoform X7</v>
      </c>
      <c r="J974">
        <v>2984.51</v>
      </c>
      <c r="K974" t="s">
        <v>22</v>
      </c>
      <c r="L974">
        <v>276</v>
      </c>
      <c r="M974">
        <v>9.75</v>
      </c>
      <c r="N974">
        <v>28.55</v>
      </c>
      <c r="O974" t="s">
        <v>19</v>
      </c>
      <c r="P974" t="s">
        <v>20</v>
      </c>
      <c r="Q974" t="s">
        <v>19</v>
      </c>
      <c r="R974" t="str">
        <f>HYPERLINK("https://cfpub.epa.gov/ecotox/explore.cfm?ncbi=309941","Explore in ECOTOX")</f>
        <v>Explore in ECOTOX</v>
      </c>
    </row>
    <row r="975" spans="1:18" x14ac:dyDescent="0.45">
      <c r="A975" t="s">
        <v>1264</v>
      </c>
      <c r="B975">
        <v>8</v>
      </c>
      <c r="C975" t="str">
        <f>HYPERLINK("http://www.ncbi.nlm.nih.gov/protein/XP_038108333.1","XP_038108333.1")</f>
        <v>XP_038108333.1</v>
      </c>
      <c r="D975">
        <v>44526</v>
      </c>
      <c r="E975" t="str">
        <f>HYPERLINK("http://www.ncbi.nlm.nih.gov/Taxonomy/Browser/wwwtax.cgi?mode=Info&amp;id=7176&amp;lvl=3&amp;lin=f&amp;keep=1&amp;srchmode=1&amp;unlock","7176")</f>
        <v>7176</v>
      </c>
      <c r="F975" t="s">
        <v>760</v>
      </c>
      <c r="G975" t="str">
        <f>HYPERLINK("http://www.ncbi.nlm.nih.gov/Taxonomy/Browser/wwwtax.cgi?mode=Info&amp;id=7176&amp;lvl=3&amp;lin=f&amp;keep=1&amp;srchmode=1&amp;unlock","Culex quinquefasciatus")</f>
        <v>Culex quinquefasciatus</v>
      </c>
      <c r="H975" t="s">
        <v>929</v>
      </c>
      <c r="I975" t="str">
        <f>HYPERLINK("http://www.ncbi.nlm.nih.gov/protein/XP_038108333.1","ryanodine receptor isoform X21")</f>
        <v>ryanodine receptor isoform X21</v>
      </c>
      <c r="J975">
        <v>2983.74</v>
      </c>
      <c r="K975" t="s">
        <v>22</v>
      </c>
      <c r="L975">
        <v>276</v>
      </c>
      <c r="M975">
        <v>9.75</v>
      </c>
      <c r="N975">
        <v>28.54</v>
      </c>
      <c r="O975" t="s">
        <v>19</v>
      </c>
      <c r="P975" t="s">
        <v>20</v>
      </c>
      <c r="Q975" t="s">
        <v>19</v>
      </c>
      <c r="R975" t="str">
        <f>HYPERLINK("https://cfpub.epa.gov/ecotox/explore.cfm?ncbi=7176","Explore in ECOTOX")</f>
        <v>Explore in ECOTOX</v>
      </c>
    </row>
    <row r="976" spans="1:18" x14ac:dyDescent="0.45">
      <c r="A976" t="s">
        <v>1264</v>
      </c>
      <c r="B976">
        <v>8</v>
      </c>
      <c r="C976" t="str">
        <f>HYPERLINK("http://www.ncbi.nlm.nih.gov/protein/XP_039428689.1","XP_039428689.1")</f>
        <v>XP_039428689.1</v>
      </c>
      <c r="D976">
        <v>26172</v>
      </c>
      <c r="E976" t="str">
        <f>HYPERLINK("http://www.ncbi.nlm.nih.gov/Taxonomy/Browser/wwwtax.cgi?mode=Info&amp;id=42434&amp;lvl=3&amp;lin=f&amp;keep=1&amp;srchmode=1&amp;unlock","42434")</f>
        <v>42434</v>
      </c>
      <c r="F976" t="s">
        <v>760</v>
      </c>
      <c r="G976" t="str">
        <f>HYPERLINK("http://www.ncbi.nlm.nih.gov/Taxonomy/Browser/wwwtax.cgi?mode=Info&amp;id=42434&amp;lvl=3&amp;lin=f&amp;keep=1&amp;srchmode=1&amp;unlock","Culex pipiens pallens")</f>
        <v>Culex pipiens pallens</v>
      </c>
      <c r="H976" t="s">
        <v>930</v>
      </c>
      <c r="I976" t="str">
        <f>HYPERLINK("http://www.ncbi.nlm.nih.gov/protein/XP_039428689.1","ryanodine receptor isoform X11")</f>
        <v>ryanodine receptor isoform X11</v>
      </c>
      <c r="J976">
        <v>2982.59</v>
      </c>
      <c r="K976" t="s">
        <v>22</v>
      </c>
      <c r="L976">
        <v>276</v>
      </c>
      <c r="M976">
        <v>9.75</v>
      </c>
      <c r="N976">
        <v>28.53</v>
      </c>
      <c r="O976" t="s">
        <v>19</v>
      </c>
      <c r="P976" t="s">
        <v>20</v>
      </c>
      <c r="Q976" t="s">
        <v>19</v>
      </c>
      <c r="R976" t="str">
        <f>HYPERLINK("https://cfpub.epa.gov/ecotox/explore.cfm?ncbi=42434","Explore in ECOTOX")</f>
        <v>Explore in ECOTOX</v>
      </c>
    </row>
    <row r="977" spans="1:18" x14ac:dyDescent="0.45">
      <c r="A977" t="s">
        <v>1264</v>
      </c>
      <c r="B977">
        <v>8</v>
      </c>
      <c r="C977" t="str">
        <f>HYPERLINK("http://www.ncbi.nlm.nih.gov/protein/XP_025202171.1","XP_025202171.1")</f>
        <v>XP_025202171.1</v>
      </c>
      <c r="D977">
        <v>19254</v>
      </c>
      <c r="E977" t="str">
        <f>HYPERLINK("http://www.ncbi.nlm.nih.gov/Taxonomy/Browser/wwwtax.cgi?mode=Info&amp;id=742174&amp;lvl=3&amp;lin=f&amp;keep=1&amp;srchmode=1&amp;unlock","742174")</f>
        <v>742174</v>
      </c>
      <c r="F977" t="s">
        <v>760</v>
      </c>
      <c r="G977" t="str">
        <f>HYPERLINK("http://www.ncbi.nlm.nih.gov/Taxonomy/Browser/wwwtax.cgi?mode=Info&amp;id=742174&amp;lvl=3&amp;lin=f&amp;keep=1&amp;srchmode=1&amp;unlock","Melanaphis sacchari")</f>
        <v>Melanaphis sacchari</v>
      </c>
      <c r="H977" t="s">
        <v>854</v>
      </c>
      <c r="I977" t="str">
        <f>HYPERLINK("http://www.ncbi.nlm.nih.gov/protein/XP_025202171.1","ryanodine receptor")</f>
        <v>ryanodine receptor</v>
      </c>
      <c r="J977">
        <v>2981.82</v>
      </c>
      <c r="K977" t="s">
        <v>22</v>
      </c>
      <c r="L977">
        <v>276</v>
      </c>
      <c r="M977">
        <v>9.75</v>
      </c>
      <c r="N977">
        <v>28.52</v>
      </c>
      <c r="O977" t="s">
        <v>19</v>
      </c>
      <c r="P977" t="s">
        <v>20</v>
      </c>
      <c r="Q977" t="s">
        <v>19</v>
      </c>
      <c r="R977" t="str">
        <f>HYPERLINK("https://cfpub.epa.gov/ecotox/explore.cfm?ncbi=742174","Explore in ECOTOX")</f>
        <v>Explore in ECOTOX</v>
      </c>
    </row>
    <row r="978" spans="1:18" x14ac:dyDescent="0.45">
      <c r="A978" t="s">
        <v>1264</v>
      </c>
      <c r="B978">
        <v>8</v>
      </c>
      <c r="C978" t="str">
        <f>HYPERLINK("http://www.ncbi.nlm.nih.gov/protein/XP_050081222.1","XP_050081222.1")</f>
        <v>XP_050081222.1</v>
      </c>
      <c r="D978">
        <v>14441</v>
      </c>
      <c r="E978" t="str">
        <f>HYPERLINK("http://www.ncbi.nlm.nih.gov/Taxonomy/Browser/wwwtax.cgi?mode=Info&amp;id=1496333&amp;lvl=3&amp;lin=f&amp;keep=1&amp;srchmode=1&amp;unlock","1496333")</f>
        <v>1496333</v>
      </c>
      <c r="F978" t="s">
        <v>760</v>
      </c>
      <c r="G978" t="str">
        <f>HYPERLINK("http://www.ncbi.nlm.nih.gov/Taxonomy/Browser/wwwtax.cgi?mode=Info&amp;id=1496333&amp;lvl=3&amp;lin=f&amp;keep=1&amp;srchmode=1&amp;unlock","Anopheles maculipalpis")</f>
        <v>Anopheles maculipalpis</v>
      </c>
      <c r="H978" t="s">
        <v>917</v>
      </c>
      <c r="I978" t="str">
        <f>HYPERLINK("http://www.ncbi.nlm.nih.gov/protein/XP_050081222.1","ryanodine receptor isoform X13")</f>
        <v>ryanodine receptor isoform X13</v>
      </c>
      <c r="J978">
        <v>2981.82</v>
      </c>
      <c r="K978" t="s">
        <v>22</v>
      </c>
      <c r="L978">
        <v>276</v>
      </c>
      <c r="M978">
        <v>9.75</v>
      </c>
      <c r="N978">
        <v>28.52</v>
      </c>
      <c r="O978" t="s">
        <v>19</v>
      </c>
      <c r="P978" t="s">
        <v>20</v>
      </c>
      <c r="Q978" t="s">
        <v>19</v>
      </c>
      <c r="R978" t="str">
        <f>HYPERLINK("https://cfpub.epa.gov/ecotox/explore.cfm?ncbi=1496333","Explore in ECOTOX")</f>
        <v>Explore in ECOTOX</v>
      </c>
    </row>
    <row r="979" spans="1:18" x14ac:dyDescent="0.45">
      <c r="A979" t="s">
        <v>1264</v>
      </c>
      <c r="B979">
        <v>8</v>
      </c>
      <c r="C979" t="str">
        <f>HYPERLINK("http://www.ncbi.nlm.nih.gov/protein/XP_035793569.1","XP_035793569.1")</f>
        <v>XP_035793569.1</v>
      </c>
      <c r="D979">
        <v>24185</v>
      </c>
      <c r="E979" t="str">
        <f>HYPERLINK("http://www.ncbi.nlm.nih.gov/Taxonomy/Browser/wwwtax.cgi?mode=Info&amp;id=7167&amp;lvl=3&amp;lin=f&amp;keep=1&amp;srchmode=1&amp;unlock","7167")</f>
        <v>7167</v>
      </c>
      <c r="F979" t="s">
        <v>760</v>
      </c>
      <c r="G979" t="str">
        <f>HYPERLINK("http://www.ncbi.nlm.nih.gov/Taxonomy/Browser/wwwtax.cgi?mode=Info&amp;id=7167&amp;lvl=3&amp;lin=f&amp;keep=1&amp;srchmode=1&amp;unlock","Anopheles albimanus")</f>
        <v>Anopheles albimanus</v>
      </c>
      <c r="H979" t="s">
        <v>917</v>
      </c>
      <c r="I979" t="str">
        <f>HYPERLINK("http://www.ncbi.nlm.nih.gov/protein/XP_035793569.1","ryanodine receptor-like isoform X9")</f>
        <v>ryanodine receptor-like isoform X9</v>
      </c>
      <c r="J979">
        <v>2981.05</v>
      </c>
      <c r="K979" t="s">
        <v>22</v>
      </c>
      <c r="L979">
        <v>276</v>
      </c>
      <c r="M979">
        <v>9.75</v>
      </c>
      <c r="N979">
        <v>28.52</v>
      </c>
      <c r="O979" t="s">
        <v>19</v>
      </c>
      <c r="P979" t="s">
        <v>20</v>
      </c>
      <c r="Q979" t="s">
        <v>19</v>
      </c>
      <c r="R979" t="str">
        <f>HYPERLINK("https://cfpub.epa.gov/ecotox/explore.cfm?ncbi=7167","Explore in ECOTOX")</f>
        <v>Explore in ECOTOX</v>
      </c>
    </row>
    <row r="980" spans="1:18" x14ac:dyDescent="0.45">
      <c r="A980" t="s">
        <v>1264</v>
      </c>
      <c r="B980">
        <v>8</v>
      </c>
      <c r="C980" t="str">
        <f>HYPERLINK("http://www.ncbi.nlm.nih.gov/protein/XP_030749977.1","XP_030749977.1")</f>
        <v>XP_030749977.1</v>
      </c>
      <c r="D980">
        <v>23907</v>
      </c>
      <c r="E980" t="str">
        <f>HYPERLINK("http://www.ncbi.nlm.nih.gov/Taxonomy/Browser/wwwtax.cgi?mode=Info&amp;id=7048&amp;lvl=3&amp;lin=f&amp;keep=1&amp;srchmode=1&amp;unlock","7048")</f>
        <v>7048</v>
      </c>
      <c r="F980" t="s">
        <v>760</v>
      </c>
      <c r="G980" t="str">
        <f>HYPERLINK("http://www.ncbi.nlm.nih.gov/Taxonomy/Browser/wwwtax.cgi?mode=Info&amp;id=7048&amp;lvl=3&amp;lin=f&amp;keep=1&amp;srchmode=1&amp;unlock","Sitophilus oryzae")</f>
        <v>Sitophilus oryzae</v>
      </c>
      <c r="H980" t="s">
        <v>931</v>
      </c>
      <c r="I980" t="str">
        <f>HYPERLINK("http://www.ncbi.nlm.nih.gov/protein/XP_030749977.1","ryanodine receptor isoform X3")</f>
        <v>ryanodine receptor isoform X3</v>
      </c>
      <c r="J980">
        <v>2981.05</v>
      </c>
      <c r="K980" t="s">
        <v>22</v>
      </c>
      <c r="L980">
        <v>276</v>
      </c>
      <c r="M980">
        <v>9.75</v>
      </c>
      <c r="N980">
        <v>28.52</v>
      </c>
      <c r="O980" t="s">
        <v>19</v>
      </c>
      <c r="P980" t="s">
        <v>20</v>
      </c>
      <c r="Q980" t="s">
        <v>19</v>
      </c>
      <c r="R980" t="str">
        <f>HYPERLINK("https://cfpub.epa.gov/ecotox/explore.cfm?ncbi=7048","Explore in ECOTOX")</f>
        <v>Explore in ECOTOX</v>
      </c>
    </row>
    <row r="981" spans="1:18" x14ac:dyDescent="0.45">
      <c r="A981" t="s">
        <v>1264</v>
      </c>
      <c r="B981">
        <v>8</v>
      </c>
      <c r="C981" t="str">
        <f>HYPERLINK("http://www.ncbi.nlm.nih.gov/protein/CAH1113250.1","CAH1113250.1")</f>
        <v>CAH1113250.1</v>
      </c>
      <c r="D981">
        <v>17559</v>
      </c>
      <c r="E981" t="str">
        <f>HYPERLINK("http://www.ncbi.nlm.nih.gov/Taxonomy/Browser/wwwtax.cgi?mode=Info&amp;id=2598218&amp;lvl=3&amp;lin=f&amp;keep=1&amp;srchmode=1&amp;unlock","2598218")</f>
        <v>2598218</v>
      </c>
      <c r="F981" t="s">
        <v>760</v>
      </c>
      <c r="G981" t="str">
        <f>HYPERLINK("http://www.ncbi.nlm.nih.gov/Taxonomy/Browser/wwwtax.cgi?mode=Info&amp;id=2598218&amp;lvl=3&amp;lin=f&amp;keep=1&amp;srchmode=1&amp;unlock","Psylliodes chrysocephala")</f>
        <v>Psylliodes chrysocephala</v>
      </c>
      <c r="H981" t="s">
        <v>900</v>
      </c>
      <c r="I981" t="str">
        <f>HYPERLINK("http://www.ncbi.nlm.nih.gov/protein/CAH1113250.1","unnamed protein product")</f>
        <v>unnamed protein product</v>
      </c>
      <c r="J981">
        <v>2981.05</v>
      </c>
      <c r="K981" t="s">
        <v>22</v>
      </c>
      <c r="L981">
        <v>276</v>
      </c>
      <c r="M981">
        <v>9.75</v>
      </c>
      <c r="N981">
        <v>28.52</v>
      </c>
      <c r="O981" t="s">
        <v>19</v>
      </c>
      <c r="P981" t="s">
        <v>20</v>
      </c>
      <c r="Q981" t="s">
        <v>19</v>
      </c>
      <c r="R981" t="str">
        <f>HYPERLINK("https://cfpub.epa.gov/ecotox/explore.cfm?ncbi=2598218","Explore in ECOTOX")</f>
        <v>Explore in ECOTOX</v>
      </c>
    </row>
    <row r="982" spans="1:18" x14ac:dyDescent="0.45">
      <c r="A982" t="s">
        <v>1264</v>
      </c>
      <c r="B982">
        <v>8</v>
      </c>
      <c r="C982" t="str">
        <f>HYPERLINK("http://www.ncbi.nlm.nih.gov/protein/XP_025265369.1","XP_025265369.1")</f>
        <v>XP_025265369.1</v>
      </c>
      <c r="D982">
        <v>38835</v>
      </c>
      <c r="E982" t="str">
        <f>HYPERLINK("http://www.ncbi.nlm.nih.gov/Taxonomy/Browser/wwwtax.cgi?mode=Info&amp;id=104421&amp;lvl=3&amp;lin=f&amp;keep=1&amp;srchmode=1&amp;unlock","104421")</f>
        <v>104421</v>
      </c>
      <c r="F982" t="s">
        <v>760</v>
      </c>
      <c r="G982" t="str">
        <f>HYPERLINK("http://www.ncbi.nlm.nih.gov/Taxonomy/Browser/wwwtax.cgi?mode=Info&amp;id=104421&amp;lvl=3&amp;lin=f&amp;keep=1&amp;srchmode=1&amp;unlock","Camponotus floridanus")</f>
        <v>Camponotus floridanus</v>
      </c>
      <c r="H982" t="s">
        <v>932</v>
      </c>
      <c r="I982" t="str">
        <f>HYPERLINK("http://www.ncbi.nlm.nih.gov/protein/XP_025265369.1","ryanodine receptor isoform X10")</f>
        <v>ryanodine receptor isoform X10</v>
      </c>
      <c r="J982">
        <v>2980.66</v>
      </c>
      <c r="K982" t="s">
        <v>22</v>
      </c>
      <c r="L982">
        <v>276</v>
      </c>
      <c r="M982">
        <v>9.75</v>
      </c>
      <c r="N982">
        <v>28.51</v>
      </c>
      <c r="O982" t="s">
        <v>19</v>
      </c>
      <c r="P982" t="s">
        <v>20</v>
      </c>
      <c r="Q982" t="s">
        <v>19</v>
      </c>
      <c r="R982" t="str">
        <f>HYPERLINK("https://cfpub.epa.gov/ecotox/explore.cfm?ncbi=104421","Explore in ECOTOX")</f>
        <v>Explore in ECOTOX</v>
      </c>
    </row>
    <row r="983" spans="1:18" x14ac:dyDescent="0.45">
      <c r="A983" t="s">
        <v>1264</v>
      </c>
      <c r="B983">
        <v>8</v>
      </c>
      <c r="C983" t="str">
        <f>HYPERLINK("http://www.ncbi.nlm.nih.gov/protein/GIX85759.1","GIX85759.1")</f>
        <v>GIX85759.1</v>
      </c>
      <c r="D983">
        <v>56099</v>
      </c>
      <c r="E983" t="str">
        <f>HYPERLINK("http://www.ncbi.nlm.nih.gov/Taxonomy/Browser/wwwtax.cgi?mode=Info&amp;id=1538125&amp;lvl=3&amp;lin=f&amp;keep=1&amp;srchmode=1&amp;unlock","1538125")</f>
        <v>1538125</v>
      </c>
      <c r="F983" t="s">
        <v>904</v>
      </c>
      <c r="G983" t="str">
        <f>HYPERLINK("http://www.ncbi.nlm.nih.gov/Taxonomy/Browser/wwwtax.cgi?mode=Info&amp;id=1538125&amp;lvl=3&amp;lin=f&amp;keep=1&amp;srchmode=1&amp;unlock","Caerostris darwini")</f>
        <v>Caerostris darwini</v>
      </c>
      <c r="H983" t="s">
        <v>922</v>
      </c>
      <c r="I983" t="str">
        <f>HYPERLINK("http://www.ncbi.nlm.nih.gov/protein/GIX85759.1","ryanodine receptor")</f>
        <v>ryanodine receptor</v>
      </c>
      <c r="J983">
        <v>2979.89</v>
      </c>
      <c r="K983" t="s">
        <v>22</v>
      </c>
      <c r="L983">
        <v>276</v>
      </c>
      <c r="M983">
        <v>9.75</v>
      </c>
      <c r="N983">
        <v>28.51</v>
      </c>
      <c r="O983" t="s">
        <v>19</v>
      </c>
      <c r="P983" t="s">
        <v>20</v>
      </c>
      <c r="Q983" t="s">
        <v>19</v>
      </c>
      <c r="R983" t="str">
        <f>HYPERLINK("https://cfpub.epa.gov/ecotox/explore.cfm?ncbi=1538125","Explore in ECOTOX")</f>
        <v>Explore in ECOTOX</v>
      </c>
    </row>
    <row r="984" spans="1:18" x14ac:dyDescent="0.45">
      <c r="A984" t="s">
        <v>1264</v>
      </c>
      <c r="B984">
        <v>8</v>
      </c>
      <c r="C984" t="str">
        <f>HYPERLINK("http://www.ncbi.nlm.nih.gov/protein/XP_029160909.1","XP_029160909.1")</f>
        <v>XP_029160909.1</v>
      </c>
      <c r="D984">
        <v>24332</v>
      </c>
      <c r="E984" t="str">
        <f>HYPERLINK("http://www.ncbi.nlm.nih.gov/Taxonomy/Browser/wwwtax.cgi?mode=Info&amp;id=613905&amp;lvl=3&amp;lin=f&amp;keep=1&amp;srchmode=1&amp;unlock","613905")</f>
        <v>613905</v>
      </c>
      <c r="F984" t="s">
        <v>760</v>
      </c>
      <c r="G984" t="str">
        <f>HYPERLINK("http://www.ncbi.nlm.nih.gov/Taxonomy/Browser/wwwtax.cgi?mode=Info&amp;id=613905&amp;lvl=3&amp;lin=f&amp;keep=1&amp;srchmode=1&amp;unlock","Nylanderia fulva")</f>
        <v>Nylanderia fulva</v>
      </c>
      <c r="H984" t="s">
        <v>769</v>
      </c>
      <c r="I984" t="str">
        <f>HYPERLINK("http://www.ncbi.nlm.nih.gov/protein/XP_029160909.1","LOW QUALITY PROTEIN: ryanodine receptor")</f>
        <v>LOW QUALITY PROTEIN: ryanodine receptor</v>
      </c>
      <c r="J984">
        <v>2979.5</v>
      </c>
      <c r="K984" t="s">
        <v>22</v>
      </c>
      <c r="L984">
        <v>276</v>
      </c>
      <c r="M984">
        <v>9.75</v>
      </c>
      <c r="N984">
        <v>28.5</v>
      </c>
      <c r="O984" t="s">
        <v>19</v>
      </c>
      <c r="P984" t="s">
        <v>20</v>
      </c>
      <c r="Q984" t="s">
        <v>19</v>
      </c>
      <c r="R984" t="str">
        <f>HYPERLINK("https://cfpub.epa.gov/ecotox/explore.cfm?ncbi=613905","Explore in ECOTOX")</f>
        <v>Explore in ECOTOX</v>
      </c>
    </row>
    <row r="985" spans="1:18" x14ac:dyDescent="0.45">
      <c r="A985" t="s">
        <v>1264</v>
      </c>
      <c r="B985">
        <v>8</v>
      </c>
      <c r="C985" t="str">
        <f>HYPERLINK("http://www.ncbi.nlm.nih.gov/protein/KAE9543520.1","KAE9543520.1")</f>
        <v>KAE9543520.1</v>
      </c>
      <c r="D985">
        <v>18846</v>
      </c>
      <c r="E985" t="str">
        <f>HYPERLINK("http://www.ncbi.nlm.nih.gov/Taxonomy/Browser/wwwtax.cgi?mode=Info&amp;id=307491&amp;lvl=3&amp;lin=f&amp;keep=1&amp;srchmode=1&amp;unlock","307491")</f>
        <v>307491</v>
      </c>
      <c r="F985" t="s">
        <v>760</v>
      </c>
      <c r="G985" t="str">
        <f>HYPERLINK("http://www.ncbi.nlm.nih.gov/Taxonomy/Browser/wwwtax.cgi?mode=Info&amp;id=307491&amp;lvl=3&amp;lin=f&amp;keep=1&amp;srchmode=1&amp;unlock","Aphis glycines")</f>
        <v>Aphis glycines</v>
      </c>
      <c r="H985" t="s">
        <v>933</v>
      </c>
      <c r="I985" t="str">
        <f>HYPERLINK("http://www.ncbi.nlm.nih.gov/protein/KAE9543520.1","hypothetical protein AGLY_002320")</f>
        <v>hypothetical protein AGLY_002320</v>
      </c>
      <c r="J985">
        <v>2979.5</v>
      </c>
      <c r="K985" t="s">
        <v>22</v>
      </c>
      <c r="L985">
        <v>276</v>
      </c>
      <c r="M985">
        <v>9.75</v>
      </c>
      <c r="N985">
        <v>28.5</v>
      </c>
      <c r="O985" t="s">
        <v>19</v>
      </c>
      <c r="P985" t="s">
        <v>20</v>
      </c>
      <c r="Q985" t="s">
        <v>19</v>
      </c>
      <c r="R985" t="str">
        <f>HYPERLINK("https://cfpub.epa.gov/ecotox/explore.cfm?ncbi=307491","Explore in ECOTOX")</f>
        <v>Explore in ECOTOX</v>
      </c>
    </row>
    <row r="986" spans="1:18" x14ac:dyDescent="0.45">
      <c r="A986" t="s">
        <v>1264</v>
      </c>
      <c r="B986">
        <v>8</v>
      </c>
      <c r="C986" t="str">
        <f>HYPERLINK("http://www.ncbi.nlm.nih.gov/protein/CAH0546152.1","CAH0546152.1")</f>
        <v>CAH0546152.1</v>
      </c>
      <c r="D986">
        <v>16100</v>
      </c>
      <c r="E986" t="str">
        <f>HYPERLINK("http://www.ncbi.nlm.nih.gov/Taxonomy/Browser/wwwtax.cgi?mode=Info&amp;id=1431903&amp;lvl=3&amp;lin=f&amp;keep=1&amp;srchmode=1&amp;unlock","1431903")</f>
        <v>1431903</v>
      </c>
      <c r="F986" t="s">
        <v>760</v>
      </c>
      <c r="G986" t="str">
        <f>HYPERLINK("http://www.ncbi.nlm.nih.gov/Taxonomy/Browser/wwwtax.cgi?mode=Info&amp;id=1431903&amp;lvl=3&amp;lin=f&amp;keep=1&amp;srchmode=1&amp;unlock","Brassicogethes aeneus")</f>
        <v>Brassicogethes aeneus</v>
      </c>
      <c r="H986" t="s">
        <v>934</v>
      </c>
      <c r="I986" t="str">
        <f>HYPERLINK("http://www.ncbi.nlm.nih.gov/protein/CAH0546152.1","unnamed protein product")</f>
        <v>unnamed protein product</v>
      </c>
      <c r="J986">
        <v>2979.5</v>
      </c>
      <c r="K986" t="s">
        <v>22</v>
      </c>
      <c r="L986">
        <v>276</v>
      </c>
      <c r="M986">
        <v>9.75</v>
      </c>
      <c r="N986">
        <v>28.5</v>
      </c>
      <c r="O986" t="s">
        <v>19</v>
      </c>
      <c r="P986" t="s">
        <v>20</v>
      </c>
      <c r="Q986" t="s">
        <v>19</v>
      </c>
      <c r="R986" t="str">
        <f>HYPERLINK("https://cfpub.epa.gov/ecotox/explore.cfm?ncbi=1431903","Explore in ECOTOX")</f>
        <v>Explore in ECOTOX</v>
      </c>
    </row>
    <row r="987" spans="1:18" x14ac:dyDescent="0.45">
      <c r="A987" t="s">
        <v>1264</v>
      </c>
      <c r="B987">
        <v>8</v>
      </c>
      <c r="C987" t="str">
        <f>HYPERLINK("http://www.ncbi.nlm.nih.gov/protein/XP_060844126.1","XP_060844126.1")</f>
        <v>XP_060844126.1</v>
      </c>
      <c r="D987">
        <v>22271</v>
      </c>
      <c r="E987" t="str">
        <f>HYPERLINK("http://www.ncbi.nlm.nih.gov/Taxonomy/Browser/wwwtax.cgi?mode=Info&amp;id=40932&amp;lvl=3&amp;lin=f&amp;keep=1&amp;srchmode=1&amp;unlock","40932")</f>
        <v>40932</v>
      </c>
      <c r="F987" t="s">
        <v>760</v>
      </c>
      <c r="G987" t="str">
        <f>HYPERLINK("http://www.ncbi.nlm.nih.gov/Taxonomy/Browser/wwwtax.cgi?mode=Info&amp;id=40932&amp;lvl=3&amp;lin=f&amp;keep=1&amp;srchmode=1&amp;unlock","Rhopalosiphum padi")</f>
        <v>Rhopalosiphum padi</v>
      </c>
      <c r="H987" t="s">
        <v>935</v>
      </c>
      <c r="I987" t="str">
        <f>HYPERLINK("http://www.ncbi.nlm.nih.gov/protein/XP_060844126.1","LOW QUALITY PROTEIN: ryanodine receptor")</f>
        <v>LOW QUALITY PROTEIN: ryanodine receptor</v>
      </c>
      <c r="J987">
        <v>2979.12</v>
      </c>
      <c r="K987" t="s">
        <v>22</v>
      </c>
      <c r="L987">
        <v>276</v>
      </c>
      <c r="M987">
        <v>9.75</v>
      </c>
      <c r="N987">
        <v>28.5</v>
      </c>
      <c r="O987" t="s">
        <v>19</v>
      </c>
      <c r="P987" t="s">
        <v>20</v>
      </c>
      <c r="Q987" t="s">
        <v>19</v>
      </c>
      <c r="R987" t="str">
        <f>HYPERLINK("https://cfpub.epa.gov/ecotox/explore.cfm?ncbi=40932","Explore in ECOTOX")</f>
        <v>Explore in ECOTOX</v>
      </c>
    </row>
    <row r="988" spans="1:18" x14ac:dyDescent="0.45">
      <c r="A988" t="s">
        <v>1264</v>
      </c>
      <c r="B988">
        <v>8</v>
      </c>
      <c r="C988" t="str">
        <f>HYPERLINK("http://www.ncbi.nlm.nih.gov/protein/CAH1731530.1","CAH1731530.1")</f>
        <v>CAH1731530.1</v>
      </c>
      <c r="D988">
        <v>42423</v>
      </c>
      <c r="E988" t="str">
        <f>HYPERLINK("http://www.ncbi.nlm.nih.gov/Taxonomy/Browser/wwwtax.cgi?mode=Info&amp;id=80765&amp;lvl=3&amp;lin=f&amp;keep=1&amp;srchmode=1&amp;unlock","80765")</f>
        <v>80765</v>
      </c>
      <c r="F988" t="s">
        <v>760</v>
      </c>
      <c r="G988" t="str">
        <f>HYPERLINK("http://www.ncbi.nlm.nih.gov/Taxonomy/Browser/wwwtax.cgi?mode=Info&amp;id=80765&amp;lvl=3&amp;lin=f&amp;keep=1&amp;srchmode=1&amp;unlock","Aphis gossypii")</f>
        <v>Aphis gossypii</v>
      </c>
      <c r="H988" t="s">
        <v>936</v>
      </c>
      <c r="I988" t="str">
        <f>HYPERLINK("http://www.ncbi.nlm.nih.gov/protein/CAH1731530.1","unnamed protein product")</f>
        <v>unnamed protein product</v>
      </c>
      <c r="J988">
        <v>2979.12</v>
      </c>
      <c r="K988" t="s">
        <v>22</v>
      </c>
      <c r="L988">
        <v>276</v>
      </c>
      <c r="M988">
        <v>9.75</v>
      </c>
      <c r="N988">
        <v>28.5</v>
      </c>
      <c r="O988" t="s">
        <v>19</v>
      </c>
      <c r="P988" t="s">
        <v>20</v>
      </c>
      <c r="Q988" t="s">
        <v>19</v>
      </c>
      <c r="R988" t="str">
        <f>HYPERLINK("https://cfpub.epa.gov/ecotox/explore.cfm?ncbi=80765","Explore in ECOTOX")</f>
        <v>Explore in ECOTOX</v>
      </c>
    </row>
    <row r="989" spans="1:18" x14ac:dyDescent="0.45">
      <c r="A989" t="s">
        <v>1264</v>
      </c>
      <c r="B989">
        <v>8</v>
      </c>
      <c r="C989" t="str">
        <f>HYPERLINK("http://www.ncbi.nlm.nih.gov/protein/XP_050517097.1","XP_050517097.1")</f>
        <v>XP_050517097.1</v>
      </c>
      <c r="D989">
        <v>32503</v>
      </c>
      <c r="E989" t="str">
        <f>HYPERLINK("http://www.ncbi.nlm.nih.gov/Taxonomy/Browser/wwwtax.cgi?mode=Info&amp;id=50390&amp;lvl=3&amp;lin=f&amp;keep=1&amp;srchmode=1&amp;unlock","50390")</f>
        <v>50390</v>
      </c>
      <c r="F989" t="s">
        <v>760</v>
      </c>
      <c r="G989" t="str">
        <f>HYPERLINK("http://www.ncbi.nlm.nih.gov/Taxonomy/Browser/wwwtax.cgi?mode=Info&amp;id=50390&amp;lvl=3&amp;lin=f&amp;keep=1&amp;srchmode=1&amp;unlock","Diabrotica virgifera virgifera")</f>
        <v>Diabrotica virgifera virgifera</v>
      </c>
      <c r="H989" t="s">
        <v>937</v>
      </c>
      <c r="I989" t="str">
        <f>HYPERLINK("http://www.ncbi.nlm.nih.gov/protein/XP_050517097.1","ryanodine receptor isoform X4")</f>
        <v>ryanodine receptor isoform X4</v>
      </c>
      <c r="J989">
        <v>2977.96</v>
      </c>
      <c r="K989" t="s">
        <v>22</v>
      </c>
      <c r="L989">
        <v>276</v>
      </c>
      <c r="M989">
        <v>9.75</v>
      </c>
      <c r="N989">
        <v>28.49</v>
      </c>
      <c r="O989" t="s">
        <v>19</v>
      </c>
      <c r="P989" t="s">
        <v>20</v>
      </c>
      <c r="Q989" t="s">
        <v>19</v>
      </c>
      <c r="R989" t="str">
        <f>HYPERLINK("https://cfpub.epa.gov/ecotox/explore.cfm?ncbi=50390","Explore in ECOTOX")</f>
        <v>Explore in ECOTOX</v>
      </c>
    </row>
    <row r="990" spans="1:18" x14ac:dyDescent="0.45">
      <c r="A990" t="s">
        <v>1264</v>
      </c>
      <c r="B990">
        <v>8</v>
      </c>
      <c r="C990" t="str">
        <f>HYPERLINK("http://www.ncbi.nlm.nih.gov/protein/XP_055596497.1","XP_055596497.1")</f>
        <v>XP_055596497.1</v>
      </c>
      <c r="D990">
        <v>30080</v>
      </c>
      <c r="E990" t="str">
        <f>HYPERLINK("http://www.ncbi.nlm.nih.gov/Taxonomy/Browser/wwwtax.cgi?mode=Info&amp;id=190385&amp;lvl=3&amp;lin=f&amp;keep=1&amp;srchmode=1&amp;unlock","190385")</f>
        <v>190385</v>
      </c>
      <c r="F990" t="s">
        <v>760</v>
      </c>
      <c r="G990" t="str">
        <f>HYPERLINK("http://www.ncbi.nlm.nih.gov/Taxonomy/Browser/wwwtax.cgi?mode=Info&amp;id=190385&amp;lvl=3&amp;lin=f&amp;keep=1&amp;srchmode=1&amp;unlock","Uranotaenia lowii")</f>
        <v>Uranotaenia lowii</v>
      </c>
      <c r="H990" t="s">
        <v>917</v>
      </c>
      <c r="I990" t="str">
        <f>HYPERLINK("http://www.ncbi.nlm.nih.gov/protein/XP_055596497.1","ryanodine receptor isoform X23")</f>
        <v>ryanodine receptor isoform X23</v>
      </c>
      <c r="J990">
        <v>2977.19</v>
      </c>
      <c r="K990" t="s">
        <v>22</v>
      </c>
      <c r="L990">
        <v>276</v>
      </c>
      <c r="M990">
        <v>9.75</v>
      </c>
      <c r="N990">
        <v>28.48</v>
      </c>
      <c r="O990" t="s">
        <v>19</v>
      </c>
      <c r="P990" t="s">
        <v>20</v>
      </c>
      <c r="Q990" t="s">
        <v>19</v>
      </c>
      <c r="R990" t="str">
        <f>HYPERLINK("https://cfpub.epa.gov/ecotox/explore.cfm?ncbi=190385","Explore in ECOTOX")</f>
        <v>Explore in ECOTOX</v>
      </c>
    </row>
    <row r="991" spans="1:18" x14ac:dyDescent="0.45">
      <c r="A991" t="s">
        <v>1264</v>
      </c>
      <c r="B991">
        <v>8</v>
      </c>
      <c r="C991" t="str">
        <f>HYPERLINK("http://www.ncbi.nlm.nih.gov/protein/XP_048525323.1","XP_048525323.1")</f>
        <v>XP_048525323.1</v>
      </c>
      <c r="D991">
        <v>82933</v>
      </c>
      <c r="E991" t="str">
        <f>HYPERLINK("http://www.ncbi.nlm.nih.gov/Taxonomy/Browser/wwwtax.cgi?mode=Info&amp;id=77166&amp;lvl=3&amp;lin=f&amp;keep=1&amp;srchmode=1&amp;unlock","77166")</f>
        <v>77166</v>
      </c>
      <c r="F991" t="s">
        <v>760</v>
      </c>
      <c r="G991" t="str">
        <f>HYPERLINK("http://www.ncbi.nlm.nih.gov/Taxonomy/Browser/wwwtax.cgi?mode=Info&amp;id=77166&amp;lvl=3&amp;lin=f&amp;keep=1&amp;srchmode=1&amp;unlock","Dendroctonus ponderosae")</f>
        <v>Dendroctonus ponderosae</v>
      </c>
      <c r="H991" t="s">
        <v>938</v>
      </c>
      <c r="I991" t="str">
        <f>HYPERLINK("http://www.ncbi.nlm.nih.gov/protein/XP_048525323.1","ryanodine receptor isoform X3")</f>
        <v>ryanodine receptor isoform X3</v>
      </c>
      <c r="J991">
        <v>2976.04</v>
      </c>
      <c r="K991" t="s">
        <v>22</v>
      </c>
      <c r="L991">
        <v>276</v>
      </c>
      <c r="M991">
        <v>9.75</v>
      </c>
      <c r="N991">
        <v>28.47</v>
      </c>
      <c r="O991" t="s">
        <v>19</v>
      </c>
      <c r="P991" t="s">
        <v>20</v>
      </c>
      <c r="Q991" t="s">
        <v>19</v>
      </c>
      <c r="R991" t="str">
        <f>HYPERLINK("https://cfpub.epa.gov/ecotox/explore.cfm?ncbi=77166","Explore in ECOTOX")</f>
        <v>Explore in ECOTOX</v>
      </c>
    </row>
    <row r="992" spans="1:18" x14ac:dyDescent="0.45">
      <c r="A992" t="s">
        <v>1264</v>
      </c>
      <c r="B992">
        <v>8</v>
      </c>
      <c r="C992" t="str">
        <f>HYPERLINK("http://www.ncbi.nlm.nih.gov/protein/XP_019521798.1","XP_019521798.1")</f>
        <v>XP_019521798.1</v>
      </c>
      <c r="D992">
        <v>46105</v>
      </c>
      <c r="E992" t="str">
        <f>HYPERLINK("http://www.ncbi.nlm.nih.gov/Taxonomy/Browser/wwwtax.cgi?mode=Info&amp;id=186990&amp;lvl=3&amp;lin=f&amp;keep=1&amp;srchmode=1&amp;unlock","186990")</f>
        <v>186990</v>
      </c>
      <c r="F992" t="s">
        <v>96</v>
      </c>
      <c r="G992" t="str">
        <f>HYPERLINK("http://www.ncbi.nlm.nih.gov/Taxonomy/Browser/wwwtax.cgi?mode=Info&amp;id=186990&amp;lvl=3&amp;lin=f&amp;keep=1&amp;srchmode=1&amp;unlock","Hipposideros armiger")</f>
        <v>Hipposideros armiger</v>
      </c>
      <c r="H992" t="s">
        <v>939</v>
      </c>
      <c r="I992" t="str">
        <f>HYPERLINK("http://www.ncbi.nlm.nih.gov/protein/XP_019521798.1","PREDICTED: ryanodine receptor 1")</f>
        <v>PREDICTED: ryanodine receptor 1</v>
      </c>
      <c r="J992">
        <v>2976.04</v>
      </c>
      <c r="K992" t="s">
        <v>19</v>
      </c>
      <c r="L992">
        <v>276</v>
      </c>
      <c r="M992">
        <v>9.75</v>
      </c>
      <c r="N992">
        <v>28.47</v>
      </c>
      <c r="O992" t="s">
        <v>19</v>
      </c>
      <c r="P992" t="s">
        <v>20</v>
      </c>
      <c r="Q992" t="s">
        <v>19</v>
      </c>
      <c r="R992" t="str">
        <f>HYPERLINK("https://cfpub.epa.gov/ecotox/explore.cfm?ncbi=186990","Explore in ECOTOX")</f>
        <v>Explore in ECOTOX</v>
      </c>
    </row>
    <row r="993" spans="1:18" x14ac:dyDescent="0.45">
      <c r="A993" t="s">
        <v>1264</v>
      </c>
      <c r="B993">
        <v>8</v>
      </c>
      <c r="C993" t="str">
        <f>HYPERLINK("http://www.ncbi.nlm.nih.gov/protein/XP_061515393.1","XP_061515393.1")</f>
        <v>XP_061515393.1</v>
      </c>
      <c r="D993">
        <v>40523</v>
      </c>
      <c r="E993" t="str">
        <f>HYPERLINK("http://www.ncbi.nlm.nih.gov/Taxonomy/Browser/wwwtax.cgi?mode=Info&amp;id=7165&amp;lvl=3&amp;lin=f&amp;keep=1&amp;srchmode=1&amp;unlock","7165")</f>
        <v>7165</v>
      </c>
      <c r="F993" t="s">
        <v>760</v>
      </c>
      <c r="G993" t="str">
        <f>HYPERLINK("http://www.ncbi.nlm.nih.gov/Taxonomy/Browser/wwwtax.cgi?mode=Info&amp;id=7165&amp;lvl=3&amp;lin=f&amp;keep=1&amp;srchmode=1&amp;unlock","Anopheles gambiae")</f>
        <v>Anopheles gambiae</v>
      </c>
      <c r="H993" t="s">
        <v>940</v>
      </c>
      <c r="I993" t="str">
        <f>HYPERLINK("http://www.ncbi.nlm.nih.gov/protein/XP_061515393.1","ryanodine receptor isoform X13")</f>
        <v>ryanodine receptor isoform X13</v>
      </c>
      <c r="J993">
        <v>2976.04</v>
      </c>
      <c r="K993" t="s">
        <v>22</v>
      </c>
      <c r="L993">
        <v>276</v>
      </c>
      <c r="M993">
        <v>9.75</v>
      </c>
      <c r="N993">
        <v>28.47</v>
      </c>
      <c r="O993" t="s">
        <v>19</v>
      </c>
      <c r="P993" t="s">
        <v>20</v>
      </c>
      <c r="Q993" t="s">
        <v>19</v>
      </c>
      <c r="R993" t="str">
        <f>HYPERLINK("https://cfpub.epa.gov/ecotox/explore.cfm?ncbi=7165","Explore in ECOTOX")</f>
        <v>Explore in ECOTOX</v>
      </c>
    </row>
    <row r="994" spans="1:18" x14ac:dyDescent="0.45">
      <c r="A994" t="s">
        <v>1264</v>
      </c>
      <c r="B994">
        <v>8</v>
      </c>
      <c r="C994" t="str">
        <f>HYPERLINK("http://www.ncbi.nlm.nih.gov/protein/XP_040236886.2","XP_040236886.2")</f>
        <v>XP_040236886.2</v>
      </c>
      <c r="D994">
        <v>25690</v>
      </c>
      <c r="E994" t="str">
        <f>HYPERLINK("http://www.ncbi.nlm.nih.gov/Taxonomy/Browser/wwwtax.cgi?mode=Info&amp;id=1518534&amp;lvl=3&amp;lin=f&amp;keep=1&amp;srchmode=1&amp;unlock","1518534")</f>
        <v>1518534</v>
      </c>
      <c r="F994" t="s">
        <v>760</v>
      </c>
      <c r="G994" t="str">
        <f>HYPERLINK("http://www.ncbi.nlm.nih.gov/Taxonomy/Browser/wwwtax.cgi?mode=Info&amp;id=1518534&amp;lvl=3&amp;lin=f&amp;keep=1&amp;srchmode=1&amp;unlock","Anopheles coluzzii")</f>
        <v>Anopheles coluzzii</v>
      </c>
      <c r="H994" t="s">
        <v>917</v>
      </c>
      <c r="I994" t="str">
        <f>HYPERLINK("http://www.ncbi.nlm.nih.gov/protein/XP_040236886.2","ryanodine receptor isoform X12")</f>
        <v>ryanodine receptor isoform X12</v>
      </c>
      <c r="J994">
        <v>2974.88</v>
      </c>
      <c r="K994" t="s">
        <v>22</v>
      </c>
      <c r="L994">
        <v>276</v>
      </c>
      <c r="M994">
        <v>9.75</v>
      </c>
      <c r="N994">
        <v>28.46</v>
      </c>
      <c r="O994" t="s">
        <v>19</v>
      </c>
      <c r="P994" t="s">
        <v>20</v>
      </c>
      <c r="Q994" t="s">
        <v>19</v>
      </c>
      <c r="R994" t="str">
        <f>HYPERLINK("https://cfpub.epa.gov/ecotox/explore.cfm?ncbi=1518534","Explore in ECOTOX")</f>
        <v>Explore in ECOTOX</v>
      </c>
    </row>
    <row r="995" spans="1:18" x14ac:dyDescent="0.45">
      <c r="A995" t="s">
        <v>1264</v>
      </c>
      <c r="B995">
        <v>8</v>
      </c>
      <c r="C995" t="str">
        <f>HYPERLINK("http://www.ncbi.nlm.nih.gov/protein/XP_037915521.1","XP_037915521.1")</f>
        <v>XP_037915521.1</v>
      </c>
      <c r="D995">
        <v>42680</v>
      </c>
      <c r="E995" t="str">
        <f>HYPERLINK("http://www.ncbi.nlm.nih.gov/Taxonomy/Browser/wwwtax.cgi?mode=Info&amp;id=343691&amp;lvl=3&amp;lin=f&amp;keep=1&amp;srchmode=1&amp;unlock","343691")</f>
        <v>343691</v>
      </c>
      <c r="F995" t="s">
        <v>760</v>
      </c>
      <c r="G995" t="str">
        <f>HYPERLINK("http://www.ncbi.nlm.nih.gov/Taxonomy/Browser/wwwtax.cgi?mode=Info&amp;id=343691&amp;lvl=3&amp;lin=f&amp;keep=1&amp;srchmode=1&amp;unlock","Hermetia illucens")</f>
        <v>Hermetia illucens</v>
      </c>
      <c r="H995" t="s">
        <v>941</v>
      </c>
      <c r="I995" t="str">
        <f>HYPERLINK("http://www.ncbi.nlm.nih.gov/protein/XP_037915521.1","ryanodine receptor isoform X13")</f>
        <v>ryanodine receptor isoform X13</v>
      </c>
      <c r="J995">
        <v>2974.88</v>
      </c>
      <c r="K995" t="s">
        <v>22</v>
      </c>
      <c r="L995">
        <v>276</v>
      </c>
      <c r="M995">
        <v>9.75</v>
      </c>
      <c r="N995">
        <v>28.46</v>
      </c>
      <c r="O995" t="s">
        <v>19</v>
      </c>
      <c r="P995" t="s">
        <v>20</v>
      </c>
      <c r="Q995" t="s">
        <v>19</v>
      </c>
      <c r="R995" t="str">
        <f>HYPERLINK("https://cfpub.epa.gov/ecotox/explore.cfm?ncbi=343691","Explore in ECOTOX")</f>
        <v>Explore in ECOTOX</v>
      </c>
    </row>
    <row r="996" spans="1:18" x14ac:dyDescent="0.45">
      <c r="A996" t="s">
        <v>1264</v>
      </c>
      <c r="B996">
        <v>8</v>
      </c>
      <c r="C996" t="str">
        <f>HYPERLINK("http://www.ncbi.nlm.nih.gov/protein/KFB47317.1","KFB47317.1")</f>
        <v>KFB47317.1</v>
      </c>
      <c r="D996">
        <v>20026</v>
      </c>
      <c r="E996" t="str">
        <f>HYPERLINK("http://www.ncbi.nlm.nih.gov/Taxonomy/Browser/wwwtax.cgi?mode=Info&amp;id=74873&amp;lvl=3&amp;lin=f&amp;keep=1&amp;srchmode=1&amp;unlock","74873")</f>
        <v>74873</v>
      </c>
      <c r="F996" t="s">
        <v>760</v>
      </c>
      <c r="G996" t="str">
        <f>HYPERLINK("http://www.ncbi.nlm.nih.gov/Taxonomy/Browser/wwwtax.cgi?mode=Info&amp;id=74873&amp;lvl=3&amp;lin=f&amp;keep=1&amp;srchmode=1&amp;unlock","Anopheles sinensis")</f>
        <v>Anopheles sinensis</v>
      </c>
      <c r="H996" t="s">
        <v>917</v>
      </c>
      <c r="I996" t="str">
        <f>HYPERLINK("http://www.ncbi.nlm.nih.gov/protein/KFB47317.1","AGAP010750-PA-like protein")</f>
        <v>AGAP010750-PA-like protein</v>
      </c>
      <c r="J996">
        <v>2973.34</v>
      </c>
      <c r="K996" t="s">
        <v>22</v>
      </c>
      <c r="L996">
        <v>276</v>
      </c>
      <c r="M996">
        <v>9.75</v>
      </c>
      <c r="N996">
        <v>28.44</v>
      </c>
      <c r="O996" t="s">
        <v>19</v>
      </c>
      <c r="P996" t="s">
        <v>20</v>
      </c>
      <c r="Q996" t="s">
        <v>19</v>
      </c>
      <c r="R996" t="str">
        <f>HYPERLINK("https://cfpub.epa.gov/ecotox/explore.cfm?ncbi=74873","Explore in ECOTOX")</f>
        <v>Explore in ECOTOX</v>
      </c>
    </row>
    <row r="997" spans="1:18" x14ac:dyDescent="0.45">
      <c r="A997" t="s">
        <v>1264</v>
      </c>
      <c r="B997">
        <v>8</v>
      </c>
      <c r="C997" t="str">
        <f>HYPERLINK("http://www.ncbi.nlm.nih.gov/protein/KAG5681995.1","KAG5681995.1")</f>
        <v>KAG5681995.1</v>
      </c>
      <c r="D997">
        <v>19380</v>
      </c>
      <c r="E997" t="str">
        <f>HYPERLINK("http://www.ncbi.nlm.nih.gov/Taxonomy/Browser/wwwtax.cgi?mode=Info&amp;id=319348&amp;lvl=3&amp;lin=f&amp;keep=1&amp;srchmode=1&amp;unlock","319348")</f>
        <v>319348</v>
      </c>
      <c r="F997" t="s">
        <v>760</v>
      </c>
      <c r="G997" t="str">
        <f>HYPERLINK("http://www.ncbi.nlm.nih.gov/Taxonomy/Browser/wwwtax.cgi?mode=Info&amp;id=319348&amp;lvl=3&amp;lin=f&amp;keep=1&amp;srchmode=1&amp;unlock","Polypedilum vanderplanki")</f>
        <v>Polypedilum vanderplanki</v>
      </c>
      <c r="H997" t="s">
        <v>942</v>
      </c>
      <c r="I997" t="str">
        <f>HYPERLINK("http://www.ncbi.nlm.nih.gov/protein/KAG5681995.1","hypothetical protein PVAND_011393")</f>
        <v>hypothetical protein PVAND_011393</v>
      </c>
      <c r="J997">
        <v>2972.57</v>
      </c>
      <c r="K997" t="s">
        <v>22</v>
      </c>
      <c r="L997">
        <v>276</v>
      </c>
      <c r="M997">
        <v>9.75</v>
      </c>
      <c r="N997">
        <v>28.44</v>
      </c>
      <c r="O997" t="s">
        <v>19</v>
      </c>
      <c r="P997" t="s">
        <v>20</v>
      </c>
      <c r="Q997" t="s">
        <v>19</v>
      </c>
      <c r="R997" t="str">
        <f>HYPERLINK("https://cfpub.epa.gov/ecotox/explore.cfm?ncbi=319348","Explore in ECOTOX")</f>
        <v>Explore in ECOTOX</v>
      </c>
    </row>
    <row r="998" spans="1:18" x14ac:dyDescent="0.45">
      <c r="A998" t="s">
        <v>1264</v>
      </c>
      <c r="B998">
        <v>8</v>
      </c>
      <c r="C998" t="str">
        <f>HYPERLINK("http://www.ncbi.nlm.nih.gov/protein/XP_055693636.1","XP_055693636.1")</f>
        <v>XP_055693636.1</v>
      </c>
      <c r="D998">
        <v>20862</v>
      </c>
      <c r="E998" t="str">
        <f>HYPERLINK("http://www.ncbi.nlm.nih.gov/Taxonomy/Browser/wwwtax.cgi?mode=Info&amp;id=7200&amp;lvl=3&amp;lin=f&amp;keep=1&amp;srchmode=1&amp;unlock","7200")</f>
        <v>7200</v>
      </c>
      <c r="F998" t="s">
        <v>760</v>
      </c>
      <c r="G998" t="str">
        <f>HYPERLINK("http://www.ncbi.nlm.nih.gov/Taxonomy/Browser/wwwtax.cgi?mode=Info&amp;id=7200&amp;lvl=3&amp;lin=f&amp;keep=1&amp;srchmode=1&amp;unlock","Lutzomyia longipalpis")</f>
        <v>Lutzomyia longipalpis</v>
      </c>
      <c r="H998" t="s">
        <v>943</v>
      </c>
      <c r="I998" t="str">
        <f>HYPERLINK("http://www.ncbi.nlm.nih.gov/protein/XP_055693636.1","ryanodine receptor")</f>
        <v>ryanodine receptor</v>
      </c>
      <c r="J998">
        <v>2972.57</v>
      </c>
      <c r="K998" t="s">
        <v>22</v>
      </c>
      <c r="L998">
        <v>276</v>
      </c>
      <c r="M998">
        <v>9.75</v>
      </c>
      <c r="N998">
        <v>28.44</v>
      </c>
      <c r="O998" t="s">
        <v>19</v>
      </c>
      <c r="P998" t="s">
        <v>20</v>
      </c>
      <c r="Q998" t="s">
        <v>19</v>
      </c>
      <c r="R998" t="str">
        <f>HYPERLINK("https://cfpub.epa.gov/ecotox/explore.cfm?ncbi=7200","Explore in ECOTOX")</f>
        <v>Explore in ECOTOX</v>
      </c>
    </row>
    <row r="999" spans="1:18" x14ac:dyDescent="0.45">
      <c r="A999" t="s">
        <v>1264</v>
      </c>
      <c r="B999">
        <v>8</v>
      </c>
      <c r="C999" t="str">
        <f>HYPERLINK("http://www.ncbi.nlm.nih.gov/protein/AKM95170.1","AKM95170.1")</f>
        <v>AKM95170.1</v>
      </c>
      <c r="D999">
        <v>11</v>
      </c>
      <c r="E999" t="str">
        <f>HYPERLINK("http://www.ncbi.nlm.nih.gov/Taxonomy/Browser/wwwtax.cgi?mode=Info&amp;id=298404&amp;lvl=3&amp;lin=f&amp;keep=1&amp;srchmode=1&amp;unlock","298404")</f>
        <v>298404</v>
      </c>
      <c r="F999" t="s">
        <v>760</v>
      </c>
      <c r="G999" t="str">
        <f>HYPERLINK("http://www.ncbi.nlm.nih.gov/Taxonomy/Browser/wwwtax.cgi?mode=Info&amp;id=298404&amp;lvl=3&amp;lin=f&amp;keep=1&amp;srchmode=1&amp;unlock","Dialeurodes citri")</f>
        <v>Dialeurodes citri</v>
      </c>
      <c r="H999" t="s">
        <v>944</v>
      </c>
      <c r="I999" t="str">
        <f>HYPERLINK("http://www.ncbi.nlm.nih.gov/protein/AKM95170.1","ryanodine receptor")</f>
        <v>ryanodine receptor</v>
      </c>
      <c r="J999">
        <v>2972.19</v>
      </c>
      <c r="K999" t="s">
        <v>22</v>
      </c>
      <c r="L999">
        <v>276</v>
      </c>
      <c r="M999">
        <v>9.75</v>
      </c>
      <c r="N999">
        <v>28.43</v>
      </c>
      <c r="O999" t="s">
        <v>19</v>
      </c>
      <c r="P999" t="s">
        <v>20</v>
      </c>
      <c r="Q999" t="s">
        <v>19</v>
      </c>
      <c r="R999" t="str">
        <f>HYPERLINK("https://cfpub.epa.gov/ecotox/explore.cfm?ncbi=298404","Explore in ECOTOX")</f>
        <v>Explore in ECOTOX</v>
      </c>
    </row>
    <row r="1000" spans="1:18" x14ac:dyDescent="0.45">
      <c r="A1000" t="s">
        <v>1264</v>
      </c>
      <c r="B1000">
        <v>8</v>
      </c>
      <c r="C1000" t="str">
        <f>HYPERLINK("http://www.ncbi.nlm.nih.gov/protein/XP_028942056.1","XP_028942056.1")</f>
        <v>XP_028942056.1</v>
      </c>
      <c r="D1000">
        <v>29269</v>
      </c>
      <c r="E1000" t="str">
        <f>HYPERLINK("http://www.ncbi.nlm.nih.gov/Taxonomy/Browser/wwwtax.cgi?mode=Info&amp;id=279965&amp;lvl=3&amp;lin=f&amp;keep=1&amp;srchmode=1&amp;unlock","279965")</f>
        <v>279965</v>
      </c>
      <c r="F1000" t="s">
        <v>241</v>
      </c>
      <c r="G1000" t="str">
        <f>HYPERLINK("http://www.ncbi.nlm.nih.gov/Taxonomy/Browser/wwwtax.cgi?mode=Info&amp;id=279965&amp;lvl=3&amp;lin=f&amp;keep=1&amp;srchmode=1&amp;unlock","Antrostomus carolinensis")</f>
        <v>Antrostomus carolinensis</v>
      </c>
      <c r="H1000" t="s">
        <v>945</v>
      </c>
      <c r="I1000" t="str">
        <f>HYPERLINK("http://www.ncbi.nlm.nih.gov/protein/XP_028942056.1","ryanodine receptor 2, partial")</f>
        <v>ryanodine receptor 2, partial</v>
      </c>
      <c r="J1000">
        <v>2971.8</v>
      </c>
      <c r="K1000" t="s">
        <v>22</v>
      </c>
      <c r="L1000">
        <v>276</v>
      </c>
      <c r="M1000">
        <v>9.75</v>
      </c>
      <c r="N1000">
        <v>28.43</v>
      </c>
      <c r="O1000" t="s">
        <v>19</v>
      </c>
      <c r="P1000" t="s">
        <v>20</v>
      </c>
      <c r="Q1000" t="s">
        <v>19</v>
      </c>
      <c r="R1000" t="str">
        <f>HYPERLINK("https://cfpub.epa.gov/ecotox/explore.cfm?ncbi=279965","Explore in ECOTOX")</f>
        <v>Explore in ECOTOX</v>
      </c>
    </row>
    <row r="1001" spans="1:18" x14ac:dyDescent="0.45">
      <c r="A1001" t="s">
        <v>1264</v>
      </c>
      <c r="B1001">
        <v>8</v>
      </c>
      <c r="C1001" t="str">
        <f>HYPERLINK("http://www.ncbi.nlm.nih.gov/protein/EAA13701.4","EAA13701.4")</f>
        <v>EAA13701.4</v>
      </c>
      <c r="D1001">
        <v>21058</v>
      </c>
      <c r="E1001" t="str">
        <f>HYPERLINK("http://www.ncbi.nlm.nih.gov/Taxonomy/Browser/wwwtax.cgi?mode=Info&amp;id=180454&amp;lvl=3&amp;lin=f&amp;keep=1&amp;srchmode=1&amp;unlock","180454")</f>
        <v>180454</v>
      </c>
      <c r="F1001" t="s">
        <v>760</v>
      </c>
      <c r="G1001" t="str">
        <f>HYPERLINK("http://www.ncbi.nlm.nih.gov/Taxonomy/Browser/wwwtax.cgi?mode=Info&amp;id=180454&amp;lvl=3&amp;lin=f&amp;keep=1&amp;srchmode=1&amp;unlock","Anopheles gambiae str. PEST")</f>
        <v>Anopheles gambiae str. PEST</v>
      </c>
      <c r="H1001" t="s">
        <v>940</v>
      </c>
      <c r="I1001" t="str">
        <f>HYPERLINK("http://www.ncbi.nlm.nih.gov/protein/EAA13701.4","AGAP010750-PA")</f>
        <v>AGAP010750-PA</v>
      </c>
      <c r="J1001">
        <v>2971.42</v>
      </c>
      <c r="K1001" t="s">
        <v>22</v>
      </c>
      <c r="L1001">
        <v>276</v>
      </c>
      <c r="M1001">
        <v>9.75</v>
      </c>
      <c r="N1001">
        <v>28.42</v>
      </c>
      <c r="O1001" t="s">
        <v>19</v>
      </c>
      <c r="P1001" t="s">
        <v>20</v>
      </c>
      <c r="Q1001" t="s">
        <v>19</v>
      </c>
      <c r="R1001" t="str">
        <f>HYPERLINK("https://cfpub.epa.gov/ecotox/explore.cfm?ncbi=180454","Explore in ECOTOX")</f>
        <v>Explore in ECOTOX</v>
      </c>
    </row>
    <row r="1002" spans="1:18" x14ac:dyDescent="0.45">
      <c r="A1002" t="s">
        <v>1264</v>
      </c>
      <c r="B1002">
        <v>8</v>
      </c>
      <c r="C1002" t="str">
        <f>HYPERLINK("http://www.ncbi.nlm.nih.gov/protein/XP_054709391.1","XP_054709391.1")</f>
        <v>XP_054709391.1</v>
      </c>
      <c r="D1002">
        <v>19009</v>
      </c>
      <c r="E1002" t="str">
        <f>HYPERLINK("http://www.ncbi.nlm.nih.gov/Taxonomy/Browser/wwwtax.cgi?mode=Info&amp;id=327109&amp;lvl=3&amp;lin=f&amp;keep=1&amp;srchmode=1&amp;unlock","327109")</f>
        <v>327109</v>
      </c>
      <c r="F1002" t="s">
        <v>904</v>
      </c>
      <c r="G1002" t="str">
        <f>HYPERLINK("http://www.ncbi.nlm.nih.gov/Taxonomy/Browser/wwwtax.cgi?mode=Info&amp;id=327109&amp;lvl=3&amp;lin=f&amp;keep=1&amp;srchmode=1&amp;unlock","Uloborus diversus")</f>
        <v>Uloborus diversus</v>
      </c>
      <c r="H1002" t="s">
        <v>946</v>
      </c>
      <c r="I1002" t="str">
        <f>HYPERLINK("http://www.ncbi.nlm.nih.gov/protein/XP_054709391.1","LOW QUALITY PROTEIN: ryanodine receptor-like")</f>
        <v>LOW QUALITY PROTEIN: ryanodine receptor-like</v>
      </c>
      <c r="J1002">
        <v>2971.42</v>
      </c>
      <c r="K1002" t="s">
        <v>22</v>
      </c>
      <c r="L1002">
        <v>276</v>
      </c>
      <c r="M1002">
        <v>9.75</v>
      </c>
      <c r="N1002">
        <v>28.42</v>
      </c>
      <c r="O1002" t="s">
        <v>19</v>
      </c>
      <c r="P1002" t="s">
        <v>20</v>
      </c>
      <c r="Q1002" t="s">
        <v>19</v>
      </c>
      <c r="R1002" t="str">
        <f>HYPERLINK("https://cfpub.epa.gov/ecotox/explore.cfm?ncbi=327109","Explore in ECOTOX")</f>
        <v>Explore in ECOTOX</v>
      </c>
    </row>
    <row r="1003" spans="1:18" x14ac:dyDescent="0.45">
      <c r="A1003" t="s">
        <v>1264</v>
      </c>
      <c r="B1003">
        <v>8</v>
      </c>
      <c r="C1003" t="str">
        <f>HYPERLINK("http://www.ncbi.nlm.nih.gov/protein/XP_023317854.1","XP_023317854.1")</f>
        <v>XP_023317854.1</v>
      </c>
      <c r="D1003">
        <v>21217</v>
      </c>
      <c r="E1003" t="str">
        <f>HYPERLINK("http://www.ncbi.nlm.nih.gov/Taxonomy/Browser/wwwtax.cgi?mode=Info&amp;id=7493&amp;lvl=3&amp;lin=f&amp;keep=1&amp;srchmode=1&amp;unlock","7493")</f>
        <v>7493</v>
      </c>
      <c r="F1003" t="s">
        <v>760</v>
      </c>
      <c r="G1003" t="str">
        <f>HYPERLINK("http://www.ncbi.nlm.nih.gov/Taxonomy/Browser/wwwtax.cgi?mode=Info&amp;id=7493&amp;lvl=3&amp;lin=f&amp;keep=1&amp;srchmode=1&amp;unlock","Trichogramma pretiosum")</f>
        <v>Trichogramma pretiosum</v>
      </c>
      <c r="H1003" t="s">
        <v>947</v>
      </c>
      <c r="I1003" t="str">
        <f>HYPERLINK("http://www.ncbi.nlm.nih.gov/protein/XP_023317854.1","ryanodine receptor isoform X7")</f>
        <v>ryanodine receptor isoform X7</v>
      </c>
      <c r="J1003">
        <v>2970.64</v>
      </c>
      <c r="K1003" t="s">
        <v>22</v>
      </c>
      <c r="L1003">
        <v>276</v>
      </c>
      <c r="M1003">
        <v>9.75</v>
      </c>
      <c r="N1003">
        <v>28.42</v>
      </c>
      <c r="O1003" t="s">
        <v>19</v>
      </c>
      <c r="P1003" t="s">
        <v>20</v>
      </c>
      <c r="Q1003" t="s">
        <v>19</v>
      </c>
      <c r="R1003" t="str">
        <f>HYPERLINK("https://cfpub.epa.gov/ecotox/explore.cfm?ncbi=7493","Explore in ECOTOX")</f>
        <v>Explore in ECOTOX</v>
      </c>
    </row>
    <row r="1004" spans="1:18" x14ac:dyDescent="0.45">
      <c r="A1004" t="s">
        <v>1264</v>
      </c>
      <c r="B1004">
        <v>8</v>
      </c>
      <c r="C1004" t="str">
        <f>HYPERLINK("http://www.ncbi.nlm.nih.gov/protein/CAG9841016.1","CAG9841016.1")</f>
        <v>CAG9841016.1</v>
      </c>
      <c r="D1004">
        <v>15931</v>
      </c>
      <c r="E1004" t="str">
        <f>HYPERLINK("http://www.ncbi.nlm.nih.gov/Taxonomy/Browser/wwwtax.cgi?mode=Info&amp;id=107213&amp;lvl=3&amp;lin=f&amp;keep=1&amp;srchmode=1&amp;unlock","107213")</f>
        <v>107213</v>
      </c>
      <c r="F1004" t="s">
        <v>760</v>
      </c>
      <c r="G1004" t="str">
        <f>HYPERLINK("http://www.ncbi.nlm.nih.gov/Taxonomy/Browser/wwwtax.cgi?mode=Info&amp;id=107213&amp;lvl=3&amp;lin=f&amp;keep=1&amp;srchmode=1&amp;unlock","Diabrotica balteata")</f>
        <v>Diabrotica balteata</v>
      </c>
      <c r="H1004" t="s">
        <v>876</v>
      </c>
      <c r="I1004" t="str">
        <f>HYPERLINK("http://www.ncbi.nlm.nih.gov/protein/CAG9841016.1","unnamed protein product")</f>
        <v>unnamed protein product</v>
      </c>
      <c r="J1004">
        <v>2969.87</v>
      </c>
      <c r="K1004" t="s">
        <v>22</v>
      </c>
      <c r="L1004">
        <v>276</v>
      </c>
      <c r="M1004">
        <v>9.75</v>
      </c>
      <c r="N1004">
        <v>28.41</v>
      </c>
      <c r="O1004" t="s">
        <v>19</v>
      </c>
      <c r="P1004" t="s">
        <v>20</v>
      </c>
      <c r="Q1004" t="s">
        <v>19</v>
      </c>
      <c r="R1004" t="str">
        <f>HYPERLINK("https://cfpub.epa.gov/ecotox/explore.cfm?ncbi=107213","Explore in ECOTOX")</f>
        <v>Explore in ECOTOX</v>
      </c>
    </row>
    <row r="1005" spans="1:18" x14ac:dyDescent="0.45">
      <c r="A1005" t="s">
        <v>1264</v>
      </c>
      <c r="B1005">
        <v>8</v>
      </c>
      <c r="C1005" t="str">
        <f>HYPERLINK("http://www.ncbi.nlm.nih.gov/protein/XP_055530467.1","XP_055530467.1")</f>
        <v>XP_055530467.1</v>
      </c>
      <c r="D1005">
        <v>29504</v>
      </c>
      <c r="E1005" t="str">
        <f>HYPERLINK("http://www.ncbi.nlm.nih.gov/Taxonomy/Browser/wwwtax.cgi?mode=Info&amp;id=174621&amp;lvl=3&amp;lin=f&amp;keep=1&amp;srchmode=1&amp;unlock","174621")</f>
        <v>174621</v>
      </c>
      <c r="F1005" t="s">
        <v>760</v>
      </c>
      <c r="G1005" t="str">
        <f>HYPERLINK("http://www.ncbi.nlm.nih.gov/Taxonomy/Browser/wwwtax.cgi?mode=Info&amp;id=174621&amp;lvl=3&amp;lin=f&amp;keep=1&amp;srchmode=1&amp;unlock","Wyeomyia smithii")</f>
        <v>Wyeomyia smithii</v>
      </c>
      <c r="H1005" t="s">
        <v>948</v>
      </c>
      <c r="I1005" t="str">
        <f>HYPERLINK("http://www.ncbi.nlm.nih.gov/protein/XP_055530467.1","ryanodine receptor isoform X24")</f>
        <v>ryanodine receptor isoform X24</v>
      </c>
      <c r="J1005">
        <v>2969.49</v>
      </c>
      <c r="K1005" t="s">
        <v>22</v>
      </c>
      <c r="L1005">
        <v>276</v>
      </c>
      <c r="M1005">
        <v>9.75</v>
      </c>
      <c r="N1005">
        <v>28.41</v>
      </c>
      <c r="O1005" t="s">
        <v>19</v>
      </c>
      <c r="P1005" t="s">
        <v>20</v>
      </c>
      <c r="Q1005" t="s">
        <v>19</v>
      </c>
      <c r="R1005" t="str">
        <f>HYPERLINK("https://cfpub.epa.gov/ecotox/explore.cfm?ncbi=174621","Explore in ECOTOX")</f>
        <v>Explore in ECOTOX</v>
      </c>
    </row>
    <row r="1006" spans="1:18" x14ac:dyDescent="0.45">
      <c r="A1006" t="s">
        <v>1264</v>
      </c>
      <c r="B1006">
        <v>8</v>
      </c>
      <c r="C1006" t="str">
        <f>HYPERLINK("http://www.ncbi.nlm.nih.gov/protein/XP_050093124.1","XP_050093124.1")</f>
        <v>XP_050093124.1</v>
      </c>
      <c r="D1006">
        <v>20334</v>
      </c>
      <c r="E1006" t="str">
        <f>HYPERLINK("http://www.ncbi.nlm.nih.gov/Taxonomy/Browser/wwwtax.cgi?mode=Info&amp;id=42839&amp;lvl=3&amp;lin=f&amp;keep=1&amp;srchmode=1&amp;unlock","42839")</f>
        <v>42839</v>
      </c>
      <c r="F1006" t="s">
        <v>760</v>
      </c>
      <c r="G1006" t="str">
        <f>HYPERLINK("http://www.ncbi.nlm.nih.gov/Taxonomy/Browser/wwwtax.cgi?mode=Info&amp;id=42839&amp;lvl=3&amp;lin=f&amp;keep=1&amp;srchmode=1&amp;unlock","Anopheles aquasalis")</f>
        <v>Anopheles aquasalis</v>
      </c>
      <c r="H1006" t="s">
        <v>917</v>
      </c>
      <c r="I1006" t="str">
        <f>HYPERLINK("http://www.ncbi.nlm.nih.gov/protein/XP_050093124.1","ryanodine receptor isoform X9")</f>
        <v>ryanodine receptor isoform X9</v>
      </c>
      <c r="J1006">
        <v>2969.1</v>
      </c>
      <c r="K1006" t="s">
        <v>22</v>
      </c>
      <c r="L1006">
        <v>276</v>
      </c>
      <c r="M1006">
        <v>9.75</v>
      </c>
      <c r="N1006">
        <v>28.4</v>
      </c>
      <c r="O1006" t="s">
        <v>19</v>
      </c>
      <c r="P1006" t="s">
        <v>20</v>
      </c>
      <c r="Q1006" t="s">
        <v>19</v>
      </c>
      <c r="R1006" t="str">
        <f>HYPERLINK("https://cfpub.epa.gov/ecotox/explore.cfm?ncbi=42839","Explore in ECOTOX")</f>
        <v>Explore in ECOTOX</v>
      </c>
    </row>
    <row r="1007" spans="1:18" x14ac:dyDescent="0.45">
      <c r="A1007" t="s">
        <v>1264</v>
      </c>
      <c r="B1007">
        <v>8</v>
      </c>
      <c r="C1007" t="str">
        <f>HYPERLINK("http://www.ncbi.nlm.nih.gov/protein/XP_035897935.1","XP_035897935.1")</f>
        <v>XP_035897935.1</v>
      </c>
      <c r="D1007">
        <v>30268</v>
      </c>
      <c r="E1007" t="str">
        <f>HYPERLINK("http://www.ncbi.nlm.nih.gov/Taxonomy/Browser/wwwtax.cgi?mode=Info&amp;id=30069&amp;lvl=3&amp;lin=f&amp;keep=1&amp;srchmode=1&amp;unlock","30069")</f>
        <v>30069</v>
      </c>
      <c r="F1007" t="s">
        <v>760</v>
      </c>
      <c r="G1007" t="str">
        <f>HYPERLINK("http://www.ncbi.nlm.nih.gov/Taxonomy/Browser/wwwtax.cgi?mode=Info&amp;id=30069&amp;lvl=3&amp;lin=f&amp;keep=1&amp;srchmode=1&amp;unlock","Anopheles stephensi")</f>
        <v>Anopheles stephensi</v>
      </c>
      <c r="H1007" t="s">
        <v>949</v>
      </c>
      <c r="I1007" t="str">
        <f>HYPERLINK("http://www.ncbi.nlm.nih.gov/protein/XP_035897935.1","ryanodine receptor isoform X15")</f>
        <v>ryanodine receptor isoform X15</v>
      </c>
      <c r="J1007">
        <v>2967.95</v>
      </c>
      <c r="K1007" t="s">
        <v>22</v>
      </c>
      <c r="L1007">
        <v>276</v>
      </c>
      <c r="M1007">
        <v>9.75</v>
      </c>
      <c r="N1007">
        <v>28.39</v>
      </c>
      <c r="O1007" t="s">
        <v>19</v>
      </c>
      <c r="P1007" t="s">
        <v>20</v>
      </c>
      <c r="Q1007" t="s">
        <v>19</v>
      </c>
      <c r="R1007" t="str">
        <f>HYPERLINK("https://cfpub.epa.gov/ecotox/explore.cfm?ncbi=30069","Explore in ECOTOX")</f>
        <v>Explore in ECOTOX</v>
      </c>
    </row>
    <row r="1008" spans="1:18" x14ac:dyDescent="0.45">
      <c r="A1008" t="s">
        <v>1264</v>
      </c>
      <c r="B1008">
        <v>8</v>
      </c>
      <c r="C1008" t="str">
        <f>HYPERLINK("http://www.ncbi.nlm.nih.gov/protein/XP_049543474.1","XP_049543474.1")</f>
        <v>XP_049543474.1</v>
      </c>
      <c r="D1008">
        <v>31177</v>
      </c>
      <c r="E1008" t="str">
        <f>HYPERLINK("http://www.ncbi.nlm.nih.gov/Taxonomy/Browser/wwwtax.cgi?mode=Info&amp;id=43151&amp;lvl=3&amp;lin=f&amp;keep=1&amp;srchmode=1&amp;unlock","43151")</f>
        <v>43151</v>
      </c>
      <c r="F1008" t="s">
        <v>760</v>
      </c>
      <c r="G1008" t="str">
        <f>HYPERLINK("http://www.ncbi.nlm.nih.gov/Taxonomy/Browser/wwwtax.cgi?mode=Info&amp;id=43151&amp;lvl=3&amp;lin=f&amp;keep=1&amp;srchmode=1&amp;unlock","Anopheles darlingi")</f>
        <v>Anopheles darlingi</v>
      </c>
      <c r="H1008" t="s">
        <v>950</v>
      </c>
      <c r="I1008" t="str">
        <f>HYPERLINK("http://www.ncbi.nlm.nih.gov/protein/XP_049543474.1","ryanodine receptor isoform X10")</f>
        <v>ryanodine receptor isoform X10</v>
      </c>
      <c r="J1008">
        <v>2966.79</v>
      </c>
      <c r="K1008" t="s">
        <v>22</v>
      </c>
      <c r="L1008">
        <v>276</v>
      </c>
      <c r="M1008">
        <v>9.75</v>
      </c>
      <c r="N1008">
        <v>28.38</v>
      </c>
      <c r="O1008" t="s">
        <v>19</v>
      </c>
      <c r="P1008" t="s">
        <v>20</v>
      </c>
      <c r="Q1008" t="s">
        <v>19</v>
      </c>
      <c r="R1008" t="str">
        <f>HYPERLINK("https://cfpub.epa.gov/ecotox/explore.cfm?ncbi=43151","Explore in ECOTOX")</f>
        <v>Explore in ECOTOX</v>
      </c>
    </row>
    <row r="1009" spans="1:18" x14ac:dyDescent="0.45">
      <c r="A1009" t="s">
        <v>1264</v>
      </c>
      <c r="B1009">
        <v>8</v>
      </c>
      <c r="C1009" t="str">
        <f>HYPERLINK("http://www.ncbi.nlm.nih.gov/protein/XP_054918300.1","XP_054918300.1")</f>
        <v>XP_054918300.1</v>
      </c>
      <c r="D1009">
        <v>36273</v>
      </c>
      <c r="E1009" t="str">
        <f>HYPERLINK("http://www.ncbi.nlm.nih.gov/Taxonomy/Browser/wwwtax.cgi?mode=Info&amp;id=34620&amp;lvl=3&amp;lin=f&amp;keep=1&amp;srchmode=1&amp;unlock","34620")</f>
        <v>34620</v>
      </c>
      <c r="F1009" t="s">
        <v>904</v>
      </c>
      <c r="G1009" t="str">
        <f>HYPERLINK("http://www.ncbi.nlm.nih.gov/Taxonomy/Browser/wwwtax.cgi?mode=Info&amp;id=34620&amp;lvl=3&amp;lin=f&amp;keep=1&amp;srchmode=1&amp;unlock","Dermacentor andersoni")</f>
        <v>Dermacentor andersoni</v>
      </c>
      <c r="H1009" t="s">
        <v>951</v>
      </c>
      <c r="I1009" t="str">
        <f>HYPERLINK("http://www.ncbi.nlm.nih.gov/protein/XP_054918300.1","ryanodine receptor-like isoform X5")</f>
        <v>ryanodine receptor-like isoform X5</v>
      </c>
      <c r="J1009">
        <v>2965.64</v>
      </c>
      <c r="K1009" t="s">
        <v>22</v>
      </c>
      <c r="L1009">
        <v>276</v>
      </c>
      <c r="M1009">
        <v>9.75</v>
      </c>
      <c r="N1009">
        <v>28.37</v>
      </c>
      <c r="O1009" t="s">
        <v>19</v>
      </c>
      <c r="P1009" t="s">
        <v>20</v>
      </c>
      <c r="Q1009" t="s">
        <v>19</v>
      </c>
      <c r="R1009" t="str">
        <f>HYPERLINK("https://cfpub.epa.gov/ecotox/explore.cfm?ncbi=34620","Explore in ECOTOX")</f>
        <v>Explore in ECOTOX</v>
      </c>
    </row>
    <row r="1010" spans="1:18" x14ac:dyDescent="0.45">
      <c r="A1010" t="s">
        <v>1264</v>
      </c>
      <c r="B1010">
        <v>8</v>
      </c>
      <c r="C1010" t="str">
        <f>HYPERLINK("http://www.ncbi.nlm.nih.gov/protein/XP_059226132.1","XP_059226132.1")</f>
        <v>XP_059226132.1</v>
      </c>
      <c r="D1010">
        <v>26999</v>
      </c>
      <c r="E1010" t="str">
        <f>HYPERLINK("http://www.ncbi.nlm.nih.gov/Taxonomy/Browser/wwwtax.cgi?mode=Info&amp;id=35570&amp;lvl=3&amp;lin=f&amp;keep=1&amp;srchmode=1&amp;unlock","35570")</f>
        <v>35570</v>
      </c>
      <c r="F1010" t="s">
        <v>760</v>
      </c>
      <c r="G1010" t="str">
        <f>HYPERLINK("http://www.ncbi.nlm.nih.gov/Taxonomy/Browser/wwwtax.cgi?mode=Info&amp;id=35570&amp;lvl=3&amp;lin=f&amp;keep=1&amp;srchmode=1&amp;unlock","Stomoxys calcitrans")</f>
        <v>Stomoxys calcitrans</v>
      </c>
      <c r="H1010" t="s">
        <v>952</v>
      </c>
      <c r="I1010" t="str">
        <f>HYPERLINK("http://www.ncbi.nlm.nih.gov/protein/XP_059226132.1","ryanodine receptor isoform X5")</f>
        <v>ryanodine receptor isoform X5</v>
      </c>
      <c r="J1010">
        <v>2961.79</v>
      </c>
      <c r="K1010" t="s">
        <v>22</v>
      </c>
      <c r="L1010">
        <v>276</v>
      </c>
      <c r="M1010">
        <v>9.75</v>
      </c>
      <c r="N1010">
        <v>28.33</v>
      </c>
      <c r="O1010" t="s">
        <v>19</v>
      </c>
      <c r="P1010" t="s">
        <v>20</v>
      </c>
      <c r="Q1010" t="s">
        <v>19</v>
      </c>
      <c r="R1010" t="str">
        <f>HYPERLINK("https://cfpub.epa.gov/ecotox/explore.cfm?ncbi=35570","Explore in ECOTOX")</f>
        <v>Explore in ECOTOX</v>
      </c>
    </row>
    <row r="1011" spans="1:18" x14ac:dyDescent="0.45">
      <c r="A1011" t="s">
        <v>1264</v>
      </c>
      <c r="B1011">
        <v>8</v>
      </c>
      <c r="C1011" t="str">
        <f>HYPERLINK("http://www.ncbi.nlm.nih.gov/protein/XP_054737074.1","XP_054737074.1")</f>
        <v>XP_054737074.1</v>
      </c>
      <c r="D1011">
        <v>23399</v>
      </c>
      <c r="E1011" t="str">
        <f>HYPERLINK("http://www.ncbi.nlm.nih.gov/Taxonomy/Browser/wwwtax.cgi?mode=Info&amp;id=95512&amp;lvl=3&amp;lin=f&amp;keep=1&amp;srchmode=1&amp;unlock","95512")</f>
        <v>95512</v>
      </c>
      <c r="F1011" t="s">
        <v>760</v>
      </c>
      <c r="G1011" t="str">
        <f>HYPERLINK("http://www.ncbi.nlm.nih.gov/Taxonomy/Browser/wwwtax.cgi?mode=Info&amp;id=95512&amp;lvl=3&amp;lin=f&amp;keep=1&amp;srchmode=1&amp;unlock","Anastrepha obliqua")</f>
        <v>Anastrepha obliqua</v>
      </c>
      <c r="H1011" t="s">
        <v>953</v>
      </c>
      <c r="I1011" t="str">
        <f>HYPERLINK("http://www.ncbi.nlm.nih.gov/protein/XP_054737074.1","ryanodine receptor isoform X8")</f>
        <v>ryanodine receptor isoform X8</v>
      </c>
      <c r="J1011">
        <v>2960.63</v>
      </c>
      <c r="K1011" t="s">
        <v>22</v>
      </c>
      <c r="L1011">
        <v>276</v>
      </c>
      <c r="M1011">
        <v>9.75</v>
      </c>
      <c r="N1011">
        <v>28.32</v>
      </c>
      <c r="O1011" t="s">
        <v>19</v>
      </c>
      <c r="P1011" t="s">
        <v>20</v>
      </c>
      <c r="Q1011" t="s">
        <v>19</v>
      </c>
      <c r="R1011" t="str">
        <f>HYPERLINK("https://cfpub.epa.gov/ecotox/explore.cfm?ncbi=95512","Explore in ECOTOX")</f>
        <v>Explore in ECOTOX</v>
      </c>
    </row>
    <row r="1012" spans="1:18" x14ac:dyDescent="0.45">
      <c r="A1012" t="s">
        <v>1264</v>
      </c>
      <c r="B1012">
        <v>8</v>
      </c>
      <c r="C1012" t="str">
        <f>HYPERLINK("http://www.ncbi.nlm.nih.gov/protein/XP_013392084.1","XP_013392084.1")</f>
        <v>XP_013392084.1</v>
      </c>
      <c r="D1012">
        <v>41534</v>
      </c>
      <c r="E1012" t="str">
        <f>HYPERLINK("http://www.ncbi.nlm.nih.gov/Taxonomy/Browser/wwwtax.cgi?mode=Info&amp;id=7574&amp;lvl=3&amp;lin=f&amp;keep=1&amp;srchmode=1&amp;unlock","7574")</f>
        <v>7574</v>
      </c>
      <c r="F1012" t="s">
        <v>954</v>
      </c>
      <c r="G1012" t="str">
        <f>HYPERLINK("http://www.ncbi.nlm.nih.gov/Taxonomy/Browser/wwwtax.cgi?mode=Info&amp;id=7574&amp;lvl=3&amp;lin=f&amp;keep=1&amp;srchmode=1&amp;unlock","Lingula anatina")</f>
        <v>Lingula anatina</v>
      </c>
      <c r="H1012" t="s">
        <v>955</v>
      </c>
      <c r="I1012" t="str">
        <f>HYPERLINK("http://www.ncbi.nlm.nih.gov/protein/XP_013392084.1","ryanodine receptor")</f>
        <v>ryanodine receptor</v>
      </c>
      <c r="J1012">
        <v>2960.63</v>
      </c>
      <c r="K1012" t="s">
        <v>22</v>
      </c>
      <c r="L1012">
        <v>276</v>
      </c>
      <c r="M1012">
        <v>9.75</v>
      </c>
      <c r="N1012">
        <v>28.32</v>
      </c>
      <c r="O1012" t="s">
        <v>19</v>
      </c>
      <c r="P1012" t="s">
        <v>20</v>
      </c>
      <c r="Q1012" t="s">
        <v>19</v>
      </c>
      <c r="R1012" t="str">
        <f>HYPERLINK("https://cfpub.epa.gov/ecotox/explore.cfm?ncbi=7574","Explore in ECOTOX")</f>
        <v>Explore in ECOTOX</v>
      </c>
    </row>
    <row r="1013" spans="1:18" x14ac:dyDescent="0.45">
      <c r="A1013" t="s">
        <v>1264</v>
      </c>
      <c r="B1013">
        <v>8</v>
      </c>
      <c r="C1013" t="str">
        <f>HYPERLINK("http://www.ncbi.nlm.nih.gov/protein/XP_022912324.1","XP_022912324.1")</f>
        <v>XP_022912324.1</v>
      </c>
      <c r="D1013">
        <v>21696</v>
      </c>
      <c r="E1013" t="str">
        <f>HYPERLINK("http://www.ncbi.nlm.nih.gov/Taxonomy/Browser/wwwtax.cgi?mode=Info&amp;id=166361&amp;lvl=3&amp;lin=f&amp;keep=1&amp;srchmode=1&amp;unlock","166361")</f>
        <v>166361</v>
      </c>
      <c r="F1013" t="s">
        <v>760</v>
      </c>
      <c r="G1013" t="str">
        <f>HYPERLINK("http://www.ncbi.nlm.nih.gov/Taxonomy/Browser/wwwtax.cgi?mode=Info&amp;id=166361&amp;lvl=3&amp;lin=f&amp;keep=1&amp;srchmode=1&amp;unlock","Onthophagus taurus")</f>
        <v>Onthophagus taurus</v>
      </c>
      <c r="H1013" t="s">
        <v>956</v>
      </c>
      <c r="I1013" t="str">
        <f>HYPERLINK("http://www.ncbi.nlm.nih.gov/protein/XP_022912324.1","ryanodine receptor isoform X6")</f>
        <v>ryanodine receptor isoform X6</v>
      </c>
      <c r="J1013">
        <v>2959.47</v>
      </c>
      <c r="K1013" t="s">
        <v>22</v>
      </c>
      <c r="L1013">
        <v>276</v>
      </c>
      <c r="M1013">
        <v>9.75</v>
      </c>
      <c r="N1013">
        <v>28.31</v>
      </c>
      <c r="O1013" t="s">
        <v>19</v>
      </c>
      <c r="P1013" t="s">
        <v>20</v>
      </c>
      <c r="Q1013" t="s">
        <v>19</v>
      </c>
      <c r="R1013" t="str">
        <f>HYPERLINK("https://cfpub.epa.gov/ecotox/explore.cfm?ncbi=166361","Explore in ECOTOX")</f>
        <v>Explore in ECOTOX</v>
      </c>
    </row>
    <row r="1014" spans="1:18" x14ac:dyDescent="0.45">
      <c r="A1014" t="s">
        <v>1264</v>
      </c>
      <c r="B1014">
        <v>8</v>
      </c>
      <c r="C1014" t="str">
        <f>HYPERLINK("http://www.ncbi.nlm.nih.gov/protein/XP_053671897.1","XP_053671897.1")</f>
        <v>XP_053671897.1</v>
      </c>
      <c r="D1014">
        <v>11914</v>
      </c>
      <c r="E1014" t="str">
        <f>HYPERLINK("http://www.ncbi.nlm.nih.gov/Taxonomy/Browser/wwwtax.cgi?mode=Info&amp;id=185578&amp;lvl=3&amp;lin=f&amp;keep=1&amp;srchmode=1&amp;unlock","185578")</f>
        <v>185578</v>
      </c>
      <c r="F1014" t="s">
        <v>760</v>
      </c>
      <c r="G1014" t="str">
        <f>HYPERLINK("http://www.ncbi.nlm.nih.gov/Taxonomy/Browser/wwwtax.cgi?mode=Info&amp;id=185578&amp;lvl=3&amp;lin=f&amp;keep=1&amp;srchmode=1&amp;unlock","Anopheles nili")</f>
        <v>Anopheles nili</v>
      </c>
      <c r="H1014" t="s">
        <v>917</v>
      </c>
      <c r="I1014" t="str">
        <f>HYPERLINK("http://www.ncbi.nlm.nih.gov/protein/XP_053671897.1","ryanodine receptor isoform X7")</f>
        <v>ryanodine receptor isoform X7</v>
      </c>
      <c r="J1014">
        <v>2959.09</v>
      </c>
      <c r="K1014" t="s">
        <v>22</v>
      </c>
      <c r="L1014">
        <v>276</v>
      </c>
      <c r="M1014">
        <v>9.75</v>
      </c>
      <c r="N1014">
        <v>28.31</v>
      </c>
      <c r="O1014" t="s">
        <v>19</v>
      </c>
      <c r="P1014" t="s">
        <v>20</v>
      </c>
      <c r="Q1014" t="s">
        <v>19</v>
      </c>
      <c r="R1014" t="str">
        <f>HYPERLINK("https://cfpub.epa.gov/ecotox/explore.cfm?ncbi=185578","Explore in ECOTOX")</f>
        <v>Explore in ECOTOX</v>
      </c>
    </row>
    <row r="1015" spans="1:18" x14ac:dyDescent="0.45">
      <c r="A1015" t="s">
        <v>1264</v>
      </c>
      <c r="B1015">
        <v>8</v>
      </c>
      <c r="C1015" t="str">
        <f>HYPERLINK("http://www.ncbi.nlm.nih.gov/protein/XP_053964460.1","XP_053964460.1")</f>
        <v>XP_053964460.1</v>
      </c>
      <c r="D1015">
        <v>25510</v>
      </c>
      <c r="E1015" t="str">
        <f>HYPERLINK("http://www.ncbi.nlm.nih.gov/Taxonomy/Browser/wwwtax.cgi?mode=Info&amp;id=28586&amp;lvl=3&amp;lin=f&amp;keep=1&amp;srchmode=1&amp;unlock","28586")</f>
        <v>28586</v>
      </c>
      <c r="F1015" t="s">
        <v>760</v>
      </c>
      <c r="G1015" t="str">
        <f>HYPERLINK("http://www.ncbi.nlm.nih.gov/Taxonomy/Browser/wwwtax.cgi?mode=Info&amp;id=28586&amp;lvl=3&amp;lin=f&amp;keep=1&amp;srchmode=1&amp;unlock","Anastrepha ludens")</f>
        <v>Anastrepha ludens</v>
      </c>
      <c r="H1015" t="s">
        <v>957</v>
      </c>
      <c r="I1015" t="str">
        <f>HYPERLINK("http://www.ncbi.nlm.nih.gov/protein/XP_053964460.1","ryanodine receptor isoform X10")</f>
        <v>ryanodine receptor isoform X10</v>
      </c>
      <c r="J1015">
        <v>2958.7</v>
      </c>
      <c r="K1015" t="s">
        <v>22</v>
      </c>
      <c r="L1015">
        <v>276</v>
      </c>
      <c r="M1015">
        <v>9.75</v>
      </c>
      <c r="N1015">
        <v>28.3</v>
      </c>
      <c r="O1015" t="s">
        <v>19</v>
      </c>
      <c r="P1015" t="s">
        <v>20</v>
      </c>
      <c r="Q1015" t="s">
        <v>19</v>
      </c>
      <c r="R1015" t="str">
        <f>HYPERLINK("https://cfpub.epa.gov/ecotox/explore.cfm?ncbi=28586","Explore in ECOTOX")</f>
        <v>Explore in ECOTOX</v>
      </c>
    </row>
    <row r="1016" spans="1:18" x14ac:dyDescent="0.45">
      <c r="A1016" t="s">
        <v>1264</v>
      </c>
      <c r="B1016">
        <v>8</v>
      </c>
      <c r="C1016" t="str">
        <f>HYPERLINK("http://www.ncbi.nlm.nih.gov/protein/AKM95171.1","AKM95171.1")</f>
        <v>AKM95171.1</v>
      </c>
      <c r="D1016">
        <v>139</v>
      </c>
      <c r="E1016" t="str">
        <f>HYPERLINK("http://www.ncbi.nlm.nih.gov/Taxonomy/Browser/wwwtax.cgi?mode=Info&amp;id=223852&amp;lvl=3&amp;lin=f&amp;keep=1&amp;srchmode=1&amp;unlock","223852")</f>
        <v>223852</v>
      </c>
      <c r="F1016" t="s">
        <v>760</v>
      </c>
      <c r="G1016" t="str">
        <f>HYPERLINK("http://www.ncbi.nlm.nih.gov/Taxonomy/Browser/wwwtax.cgi?mode=Info&amp;id=223852&amp;lvl=3&amp;lin=f&amp;keep=1&amp;srchmode=1&amp;unlock","Aphis citricidus")</f>
        <v>Aphis citricidus</v>
      </c>
      <c r="H1016" t="s">
        <v>958</v>
      </c>
      <c r="I1016" t="str">
        <f>HYPERLINK("http://www.ncbi.nlm.nih.gov/protein/AKM95171.1","ryanodine receptor")</f>
        <v>ryanodine receptor</v>
      </c>
      <c r="J1016">
        <v>2958.7</v>
      </c>
      <c r="K1016" t="s">
        <v>22</v>
      </c>
      <c r="L1016">
        <v>276</v>
      </c>
      <c r="M1016">
        <v>9.75</v>
      </c>
      <c r="N1016">
        <v>28.3</v>
      </c>
      <c r="O1016" t="s">
        <v>19</v>
      </c>
      <c r="P1016" t="s">
        <v>20</v>
      </c>
      <c r="Q1016" t="s">
        <v>19</v>
      </c>
      <c r="R1016" t="str">
        <f>HYPERLINK("https://cfpub.epa.gov/ecotox/explore.cfm?ncbi=223852","Explore in ECOTOX")</f>
        <v>Explore in ECOTOX</v>
      </c>
    </row>
    <row r="1017" spans="1:18" x14ac:dyDescent="0.45">
      <c r="A1017" t="s">
        <v>1264</v>
      </c>
      <c r="B1017">
        <v>8</v>
      </c>
      <c r="C1017" t="str">
        <f>HYPERLINK("http://www.ncbi.nlm.nih.gov/protein/ATX64237.1","ATX64237.1")</f>
        <v>ATX64237.1</v>
      </c>
      <c r="D1017">
        <v>72</v>
      </c>
      <c r="E1017" t="str">
        <f>HYPERLINK("http://www.ncbi.nlm.nih.gov/Taxonomy/Browser/wwwtax.cgi?mode=Info&amp;id=480707&amp;lvl=3&amp;lin=f&amp;keep=1&amp;srchmode=1&amp;unlock","480707")</f>
        <v>480707</v>
      </c>
      <c r="F1017" t="s">
        <v>760</v>
      </c>
      <c r="G1017" t="str">
        <f>HYPERLINK("http://www.ncbi.nlm.nih.gov/Taxonomy/Browser/wwwtax.cgi?mode=Info&amp;id=480707&amp;lvl=3&amp;lin=f&amp;keep=1&amp;srchmode=1&amp;unlock","Adoxophyes orana")</f>
        <v>Adoxophyes orana</v>
      </c>
      <c r="H1017" t="s">
        <v>959</v>
      </c>
      <c r="I1017" t="str">
        <f>HYPERLINK("http://www.ncbi.nlm.nih.gov/protein/ATX64237.1","ryanodine receptor 1")</f>
        <v>ryanodine receptor 1</v>
      </c>
      <c r="J1017">
        <v>2957.93</v>
      </c>
      <c r="K1017" t="s">
        <v>22</v>
      </c>
      <c r="L1017">
        <v>276</v>
      </c>
      <c r="M1017">
        <v>9.75</v>
      </c>
      <c r="N1017">
        <v>28.29</v>
      </c>
      <c r="O1017" t="s">
        <v>19</v>
      </c>
      <c r="P1017" t="s">
        <v>20</v>
      </c>
      <c r="Q1017" t="s">
        <v>19</v>
      </c>
      <c r="R1017" t="str">
        <f>HYPERLINK("https://cfpub.epa.gov/ecotox/explore.cfm?ncbi=480707","Explore in ECOTOX")</f>
        <v>Explore in ECOTOX</v>
      </c>
    </row>
    <row r="1018" spans="1:18" x14ac:dyDescent="0.45">
      <c r="A1018" t="s">
        <v>1264</v>
      </c>
      <c r="B1018">
        <v>8</v>
      </c>
      <c r="C1018" t="str">
        <f>HYPERLINK("http://www.ncbi.nlm.nih.gov/protein/XP_021370589.1","XP_021370589.1")</f>
        <v>XP_021370589.1</v>
      </c>
      <c r="D1018">
        <v>64389</v>
      </c>
      <c r="E1018" t="str">
        <f>HYPERLINK("http://www.ncbi.nlm.nih.gov/Taxonomy/Browser/wwwtax.cgi?mode=Info&amp;id=6573&amp;lvl=3&amp;lin=f&amp;keep=1&amp;srchmode=1&amp;unlock","6573")</f>
        <v>6573</v>
      </c>
      <c r="F1018" t="s">
        <v>833</v>
      </c>
      <c r="G1018" t="str">
        <f>HYPERLINK("http://www.ncbi.nlm.nih.gov/Taxonomy/Browser/wwwtax.cgi?mode=Info&amp;id=6573&amp;lvl=3&amp;lin=f&amp;keep=1&amp;srchmode=1&amp;unlock","Mizuhopecten yessoensis")</f>
        <v>Mizuhopecten yessoensis</v>
      </c>
      <c r="H1018" t="s">
        <v>960</v>
      </c>
      <c r="I1018" t="str">
        <f>HYPERLINK("http://www.ncbi.nlm.nih.gov/protein/XP_021370589.1","ryanodine receptor 2-like")</f>
        <v>ryanodine receptor 2-like</v>
      </c>
      <c r="J1018">
        <v>2957.55</v>
      </c>
      <c r="K1018" t="s">
        <v>22</v>
      </c>
      <c r="L1018">
        <v>276</v>
      </c>
      <c r="M1018">
        <v>9.75</v>
      </c>
      <c r="N1018">
        <v>28.29</v>
      </c>
      <c r="O1018" t="s">
        <v>19</v>
      </c>
      <c r="P1018" t="s">
        <v>20</v>
      </c>
      <c r="Q1018" t="s">
        <v>19</v>
      </c>
      <c r="R1018" t="str">
        <f>HYPERLINK("https://cfpub.epa.gov/ecotox/explore.cfm?ncbi=6573","Explore in ECOTOX")</f>
        <v>Explore in ECOTOX</v>
      </c>
    </row>
    <row r="1019" spans="1:18" x14ac:dyDescent="0.45">
      <c r="A1019" t="s">
        <v>1264</v>
      </c>
      <c r="B1019">
        <v>8</v>
      </c>
      <c r="C1019" t="str">
        <f>HYPERLINK("http://www.ncbi.nlm.nih.gov/protein/KAG5319259.1","KAG5319259.1")</f>
        <v>KAG5319259.1</v>
      </c>
      <c r="D1019">
        <v>9299</v>
      </c>
      <c r="E1019" t="str">
        <f>HYPERLINK("http://www.ncbi.nlm.nih.gov/Taxonomy/Browser/wwwtax.cgi?mode=Info&amp;id=621737&amp;lvl=3&amp;lin=f&amp;keep=1&amp;srchmode=1&amp;unlock","621737")</f>
        <v>621737</v>
      </c>
      <c r="F1019" t="s">
        <v>760</v>
      </c>
      <c r="G1019" t="str">
        <f>HYPERLINK("http://www.ncbi.nlm.nih.gov/Taxonomy/Browser/wwwtax.cgi?mode=Info&amp;id=621737&amp;lvl=3&amp;lin=f&amp;keep=1&amp;srchmode=1&amp;unlock","Pseudoatta argentina")</f>
        <v>Pseudoatta argentina</v>
      </c>
      <c r="H1019" t="s">
        <v>769</v>
      </c>
      <c r="I1019" t="str">
        <f>HYPERLINK("http://www.ncbi.nlm.nih.gov/protein/KAG5319259.1","RYR protein, partial")</f>
        <v>RYR protein, partial</v>
      </c>
      <c r="J1019">
        <v>2957.55</v>
      </c>
      <c r="K1019" t="s">
        <v>22</v>
      </c>
      <c r="L1019">
        <v>276</v>
      </c>
      <c r="M1019">
        <v>9.75</v>
      </c>
      <c r="N1019">
        <v>28.29</v>
      </c>
      <c r="O1019" t="s">
        <v>19</v>
      </c>
      <c r="P1019" t="s">
        <v>20</v>
      </c>
      <c r="Q1019" t="s">
        <v>19</v>
      </c>
      <c r="R1019" t="str">
        <f>HYPERLINK("https://cfpub.epa.gov/ecotox/explore.cfm?ncbi=621737","Explore in ECOTOX")</f>
        <v>Explore in ECOTOX</v>
      </c>
    </row>
    <row r="1020" spans="1:18" x14ac:dyDescent="0.45">
      <c r="A1020" t="s">
        <v>1264</v>
      </c>
      <c r="B1020">
        <v>8</v>
      </c>
      <c r="C1020" t="str">
        <f>HYPERLINK("http://www.ncbi.nlm.nih.gov/protein/AIP90097.1","AIP90097.1")</f>
        <v>AIP90097.1</v>
      </c>
      <c r="D1020">
        <v>40</v>
      </c>
      <c r="E1020" t="str">
        <f>HYPERLINK("http://www.ncbi.nlm.nih.gov/Taxonomy/Browser/wwwtax.cgi?mode=Info&amp;id=499550&amp;lvl=3&amp;lin=f&amp;keep=1&amp;srchmode=1&amp;unlock","499550")</f>
        <v>499550</v>
      </c>
      <c r="F1020" t="s">
        <v>760</v>
      </c>
      <c r="G1020" t="str">
        <f>HYPERLINK("http://www.ncbi.nlm.nih.gov/Taxonomy/Browser/wwwtax.cgi?mode=Info&amp;id=499550&amp;lvl=3&amp;lin=f&amp;keep=1&amp;srchmode=1&amp;unlock","Grapholitha molesta")</f>
        <v>Grapholitha molesta</v>
      </c>
      <c r="H1020" t="s">
        <v>961</v>
      </c>
      <c r="I1020" t="str">
        <f>HYPERLINK("http://www.ncbi.nlm.nih.gov/protein/AIP90097.1","ryanodine receptor")</f>
        <v>ryanodine receptor</v>
      </c>
      <c r="J1020">
        <v>2957.16</v>
      </c>
      <c r="K1020" t="s">
        <v>22</v>
      </c>
      <c r="L1020">
        <v>276</v>
      </c>
      <c r="M1020">
        <v>9.75</v>
      </c>
      <c r="N1020">
        <v>28.29</v>
      </c>
      <c r="O1020" t="s">
        <v>19</v>
      </c>
      <c r="P1020" t="s">
        <v>20</v>
      </c>
      <c r="Q1020" t="s">
        <v>19</v>
      </c>
      <c r="R1020" t="str">
        <f>HYPERLINK("https://cfpub.epa.gov/ecotox/explore.cfm?ncbi=499550","Explore in ECOTOX")</f>
        <v>Explore in ECOTOX</v>
      </c>
    </row>
    <row r="1021" spans="1:18" x14ac:dyDescent="0.45">
      <c r="A1021" t="s">
        <v>1264</v>
      </c>
      <c r="B1021">
        <v>8</v>
      </c>
      <c r="C1021" t="str">
        <f>HYPERLINK("http://www.ncbi.nlm.nih.gov/protein/XP_061391680.1","XP_061391680.1")</f>
        <v>XP_061391680.1</v>
      </c>
      <c r="D1021">
        <v>17077</v>
      </c>
      <c r="E1021" t="str">
        <f>HYPERLINK("http://www.ncbi.nlm.nih.gov/Taxonomy/Browser/wwwtax.cgi?mode=Info&amp;id=27455&amp;lvl=3&amp;lin=f&amp;keep=1&amp;srchmode=1&amp;unlock","27455")</f>
        <v>27455</v>
      </c>
      <c r="F1021" t="s">
        <v>760</v>
      </c>
      <c r="G1021" t="str">
        <f>HYPERLINK("http://www.ncbi.nlm.nih.gov/Taxonomy/Browser/wwwtax.cgi?mode=Info&amp;id=27455&amp;lvl=3&amp;lin=f&amp;keep=1&amp;srchmode=1&amp;unlock","Musca vetustissima")</f>
        <v>Musca vetustissima</v>
      </c>
      <c r="H1021" t="s">
        <v>962</v>
      </c>
      <c r="I1021" t="str">
        <f>HYPERLINK("http://www.ncbi.nlm.nih.gov/protein/XP_061391680.1","ryanodine receptor isoform X4")</f>
        <v>ryanodine receptor isoform X4</v>
      </c>
      <c r="J1021">
        <v>2957.16</v>
      </c>
      <c r="K1021" t="s">
        <v>22</v>
      </c>
      <c r="L1021">
        <v>276</v>
      </c>
      <c r="M1021">
        <v>9.75</v>
      </c>
      <c r="N1021">
        <v>28.29</v>
      </c>
      <c r="O1021" t="s">
        <v>19</v>
      </c>
      <c r="P1021" t="s">
        <v>20</v>
      </c>
      <c r="Q1021" t="s">
        <v>19</v>
      </c>
      <c r="R1021" t="str">
        <f>HYPERLINK("https://cfpub.epa.gov/ecotox/explore.cfm?ncbi=27455","Explore in ECOTOX")</f>
        <v>Explore in ECOTOX</v>
      </c>
    </row>
    <row r="1022" spans="1:18" x14ac:dyDescent="0.45">
      <c r="A1022" t="s">
        <v>1264</v>
      </c>
      <c r="B1022">
        <v>8</v>
      </c>
      <c r="C1022" t="str">
        <f>HYPERLINK("http://www.ncbi.nlm.nih.gov/protein/XP_055703610.1","XP_055703610.1")</f>
        <v>XP_055703610.1</v>
      </c>
      <c r="D1022">
        <v>21442</v>
      </c>
      <c r="E1022" t="str">
        <f>HYPERLINK("http://www.ncbi.nlm.nih.gov/Taxonomy/Browser/wwwtax.cgi?mode=Info&amp;id=29031&amp;lvl=3&amp;lin=f&amp;keep=1&amp;srchmode=1&amp;unlock","29031")</f>
        <v>29031</v>
      </c>
      <c r="F1022" t="s">
        <v>760</v>
      </c>
      <c r="G1022" t="str">
        <f>HYPERLINK("http://www.ncbi.nlm.nih.gov/Taxonomy/Browser/wwwtax.cgi?mode=Info&amp;id=29031&amp;lvl=3&amp;lin=f&amp;keep=1&amp;srchmode=1&amp;unlock","Phlebotomus papatasi")</f>
        <v>Phlebotomus papatasi</v>
      </c>
      <c r="H1022" t="s">
        <v>943</v>
      </c>
      <c r="I1022" t="str">
        <f>HYPERLINK("http://www.ncbi.nlm.nih.gov/protein/XP_055703610.1","ryanodine receptor")</f>
        <v>ryanodine receptor</v>
      </c>
      <c r="J1022">
        <v>2956.39</v>
      </c>
      <c r="K1022" t="s">
        <v>22</v>
      </c>
      <c r="L1022">
        <v>276</v>
      </c>
      <c r="M1022">
        <v>9.75</v>
      </c>
      <c r="N1022">
        <v>28.28</v>
      </c>
      <c r="O1022" t="s">
        <v>19</v>
      </c>
      <c r="P1022" t="s">
        <v>20</v>
      </c>
      <c r="Q1022" t="s">
        <v>19</v>
      </c>
      <c r="R1022" t="str">
        <f>HYPERLINK("https://cfpub.epa.gov/ecotox/explore.cfm?ncbi=29031","Explore in ECOTOX")</f>
        <v>Explore in ECOTOX</v>
      </c>
    </row>
    <row r="1023" spans="1:18" x14ac:dyDescent="0.45">
      <c r="A1023" t="s">
        <v>1264</v>
      </c>
      <c r="B1023">
        <v>8</v>
      </c>
      <c r="C1023" t="str">
        <f>HYPERLINK("http://www.ncbi.nlm.nih.gov/protein/XP_058833958.1","XP_058833958.1")</f>
        <v>XP_058833958.1</v>
      </c>
      <c r="D1023">
        <v>30052</v>
      </c>
      <c r="E1023" t="str">
        <f>HYPERLINK("http://www.ncbi.nlm.nih.gov/Taxonomy/Browser/wwwtax.cgi?mode=Info&amp;id=2498891&amp;lvl=3&amp;lin=f&amp;keep=1&amp;srchmode=1&amp;unlock","2498891")</f>
        <v>2498891</v>
      </c>
      <c r="F1023" t="s">
        <v>760</v>
      </c>
      <c r="G1023" t="str">
        <f>HYPERLINK("http://www.ncbi.nlm.nih.gov/Taxonomy/Browser/wwwtax.cgi?mode=Info&amp;id=2498891&amp;lvl=3&amp;lin=f&amp;keep=1&amp;srchmode=1&amp;unlock","Topomyia yanbarensis")</f>
        <v>Topomyia yanbarensis</v>
      </c>
      <c r="H1023" t="s">
        <v>917</v>
      </c>
      <c r="I1023" t="str">
        <f>HYPERLINK("http://www.ncbi.nlm.nih.gov/protein/XP_058833958.1","ryanodine receptor isoform X19")</f>
        <v>ryanodine receptor isoform X19</v>
      </c>
      <c r="J1023">
        <v>2955.62</v>
      </c>
      <c r="K1023" t="s">
        <v>22</v>
      </c>
      <c r="L1023">
        <v>276</v>
      </c>
      <c r="M1023">
        <v>9.75</v>
      </c>
      <c r="N1023">
        <v>28.27</v>
      </c>
      <c r="O1023" t="s">
        <v>19</v>
      </c>
      <c r="P1023" t="s">
        <v>20</v>
      </c>
      <c r="Q1023" t="s">
        <v>19</v>
      </c>
      <c r="R1023" t="str">
        <f>HYPERLINK("https://cfpub.epa.gov/ecotox/explore.cfm?ncbi=2498891","Explore in ECOTOX")</f>
        <v>Explore in ECOTOX</v>
      </c>
    </row>
    <row r="1024" spans="1:18" x14ac:dyDescent="0.45">
      <c r="A1024" t="s">
        <v>1264</v>
      </c>
      <c r="B1024">
        <v>8</v>
      </c>
      <c r="C1024" t="str">
        <f>HYPERLINK("http://www.ncbi.nlm.nih.gov/protein/XP_047999774.1","XP_047999774.1")</f>
        <v>XP_047999774.1</v>
      </c>
      <c r="D1024">
        <v>24114</v>
      </c>
      <c r="E1024" t="str">
        <f>HYPERLINK("http://www.ncbi.nlm.nih.gov/Taxonomy/Browser/wwwtax.cgi?mode=Info&amp;id=1035111&amp;lvl=3&amp;lin=f&amp;keep=1&amp;srchmode=1&amp;unlock","1035111")</f>
        <v>1035111</v>
      </c>
      <c r="F1024" t="s">
        <v>760</v>
      </c>
      <c r="G1024" t="str">
        <f>HYPERLINK("http://www.ncbi.nlm.nih.gov/Taxonomy/Browser/wwwtax.cgi?mode=Info&amp;id=1035111&amp;lvl=3&amp;lin=f&amp;keep=1&amp;srchmode=1&amp;unlock","Leguminivora glycinivorella")</f>
        <v>Leguminivora glycinivorella</v>
      </c>
      <c r="H1024" t="s">
        <v>961</v>
      </c>
      <c r="I1024" t="str">
        <f>HYPERLINK("http://www.ncbi.nlm.nih.gov/protein/XP_047999774.1","ryanodine receptor")</f>
        <v>ryanodine receptor</v>
      </c>
      <c r="J1024">
        <v>2955.24</v>
      </c>
      <c r="K1024" t="s">
        <v>22</v>
      </c>
      <c r="L1024">
        <v>276</v>
      </c>
      <c r="M1024">
        <v>9.75</v>
      </c>
      <c r="N1024">
        <v>28.27</v>
      </c>
      <c r="O1024" t="s">
        <v>19</v>
      </c>
      <c r="P1024" t="s">
        <v>20</v>
      </c>
      <c r="Q1024" t="s">
        <v>19</v>
      </c>
      <c r="R1024" t="str">
        <f>HYPERLINK("https://cfpub.epa.gov/ecotox/explore.cfm?ncbi=1035111","Explore in ECOTOX")</f>
        <v>Explore in ECOTOX</v>
      </c>
    </row>
    <row r="1025" spans="1:18" x14ac:dyDescent="0.45">
      <c r="A1025" t="s">
        <v>1264</v>
      </c>
      <c r="B1025">
        <v>8</v>
      </c>
      <c r="C1025" t="str">
        <f>HYPERLINK("http://www.ncbi.nlm.nih.gov/protein/XP_017105956.2","XP_017105956.2")</f>
        <v>XP_017105956.2</v>
      </c>
      <c r="D1025">
        <v>33858</v>
      </c>
      <c r="E1025" t="str">
        <f>HYPERLINK("http://www.ncbi.nlm.nih.gov/Taxonomy/Browser/wwwtax.cgi?mode=Info&amp;id=42026&amp;lvl=3&amp;lin=f&amp;keep=1&amp;srchmode=1&amp;unlock","42026")</f>
        <v>42026</v>
      </c>
      <c r="F1025" t="s">
        <v>760</v>
      </c>
      <c r="G1025" t="str">
        <f>HYPERLINK("http://www.ncbi.nlm.nih.gov/Taxonomy/Browser/wwwtax.cgi?mode=Info&amp;id=42026&amp;lvl=3&amp;lin=f&amp;keep=1&amp;srchmode=1&amp;unlock","Drosophila bipectinata")</f>
        <v>Drosophila bipectinata</v>
      </c>
      <c r="H1025" t="s">
        <v>953</v>
      </c>
      <c r="I1025" t="str">
        <f>HYPERLINK("http://www.ncbi.nlm.nih.gov/protein/XP_017105956.2","ryanodine receptor isoform X3")</f>
        <v>ryanodine receptor isoform X3</v>
      </c>
      <c r="J1025">
        <v>2954.85</v>
      </c>
      <c r="K1025" t="s">
        <v>22</v>
      </c>
      <c r="L1025">
        <v>276</v>
      </c>
      <c r="M1025">
        <v>9.75</v>
      </c>
      <c r="N1025">
        <v>28.27</v>
      </c>
      <c r="O1025" t="s">
        <v>19</v>
      </c>
      <c r="P1025" t="s">
        <v>20</v>
      </c>
      <c r="Q1025" t="s">
        <v>19</v>
      </c>
      <c r="R1025" t="str">
        <f>HYPERLINK("https://cfpub.epa.gov/ecotox/explore.cfm?ncbi=42026","Explore in ECOTOX")</f>
        <v>Explore in ECOTOX</v>
      </c>
    </row>
    <row r="1026" spans="1:18" x14ac:dyDescent="0.45">
      <c r="A1026" t="s">
        <v>1264</v>
      </c>
      <c r="B1026">
        <v>8</v>
      </c>
      <c r="C1026" t="str">
        <f>HYPERLINK("http://www.ncbi.nlm.nih.gov/protein/XP_028900849.2","XP_028900849.2")</f>
        <v>XP_028900849.2</v>
      </c>
      <c r="D1026">
        <v>27944</v>
      </c>
      <c r="E1026" t="str">
        <f>HYPERLINK("http://www.ncbi.nlm.nih.gov/Taxonomy/Browser/wwwtax.cgi?mode=Info&amp;id=28588&amp;lvl=3&amp;lin=f&amp;keep=1&amp;srchmode=1&amp;unlock","28588")</f>
        <v>28588</v>
      </c>
      <c r="F1026" t="s">
        <v>760</v>
      </c>
      <c r="G1026" t="str">
        <f>HYPERLINK("http://www.ncbi.nlm.nih.gov/Taxonomy/Browser/wwwtax.cgi?mode=Info&amp;id=28588&amp;lvl=3&amp;lin=f&amp;keep=1&amp;srchmode=1&amp;unlock","Zeugodacus cucurbitae")</f>
        <v>Zeugodacus cucurbitae</v>
      </c>
      <c r="H1026" t="s">
        <v>963</v>
      </c>
      <c r="I1026" t="str">
        <f>HYPERLINK("http://www.ncbi.nlm.nih.gov/protein/XP_028900849.2","ryanodine receptor isoform X16")</f>
        <v>ryanodine receptor isoform X16</v>
      </c>
      <c r="J1026">
        <v>2954.47</v>
      </c>
      <c r="K1026" t="s">
        <v>22</v>
      </c>
      <c r="L1026">
        <v>276</v>
      </c>
      <c r="M1026">
        <v>9.75</v>
      </c>
      <c r="N1026">
        <v>28.26</v>
      </c>
      <c r="O1026" t="s">
        <v>19</v>
      </c>
      <c r="P1026" t="s">
        <v>20</v>
      </c>
      <c r="Q1026" t="s">
        <v>19</v>
      </c>
      <c r="R1026" t="str">
        <f>HYPERLINK("https://cfpub.epa.gov/ecotox/explore.cfm?ncbi=28588","Explore in ECOTOX")</f>
        <v>Explore in ECOTOX</v>
      </c>
    </row>
    <row r="1027" spans="1:18" x14ac:dyDescent="0.45">
      <c r="A1027" t="s">
        <v>1264</v>
      </c>
      <c r="B1027">
        <v>8</v>
      </c>
      <c r="C1027" t="str">
        <f>HYPERLINK("http://www.ncbi.nlm.nih.gov/protein/KQK77981.1","KQK77981.1")</f>
        <v>KQK77981.1</v>
      </c>
      <c r="D1027">
        <v>16224</v>
      </c>
      <c r="E1027" t="str">
        <f>HYPERLINK("http://www.ncbi.nlm.nih.gov/Taxonomy/Browser/wwwtax.cgi?mode=Info&amp;id=12930&amp;lvl=3&amp;lin=f&amp;keep=1&amp;srchmode=1&amp;unlock","12930")</f>
        <v>12930</v>
      </c>
      <c r="F1027" t="s">
        <v>241</v>
      </c>
      <c r="G1027" t="str">
        <f>HYPERLINK("http://www.ncbi.nlm.nih.gov/Taxonomy/Browser/wwwtax.cgi?mode=Info&amp;id=12930&amp;lvl=3&amp;lin=f&amp;keep=1&amp;srchmode=1&amp;unlock","Amazona aestiva")</f>
        <v>Amazona aestiva</v>
      </c>
      <c r="H1027" t="s">
        <v>964</v>
      </c>
      <c r="I1027" t="str">
        <f>HYPERLINK("http://www.ncbi.nlm.nih.gov/protein/KQK77981.1","hypothetical protein AAES_119655")</f>
        <v>hypothetical protein AAES_119655</v>
      </c>
      <c r="J1027">
        <v>2954.08</v>
      </c>
      <c r="K1027" t="s">
        <v>22</v>
      </c>
      <c r="L1027">
        <v>276</v>
      </c>
      <c r="M1027">
        <v>9.75</v>
      </c>
      <c r="N1027">
        <v>28.26</v>
      </c>
      <c r="O1027" t="s">
        <v>19</v>
      </c>
      <c r="P1027" t="s">
        <v>20</v>
      </c>
      <c r="Q1027" t="s">
        <v>19</v>
      </c>
      <c r="R1027" t="str">
        <f>HYPERLINK("https://cfpub.epa.gov/ecotox/explore.cfm?ncbi=12930","Explore in ECOTOX")</f>
        <v>Explore in ECOTOX</v>
      </c>
    </row>
    <row r="1028" spans="1:18" x14ac:dyDescent="0.45">
      <c r="A1028" t="s">
        <v>1264</v>
      </c>
      <c r="B1028">
        <v>8</v>
      </c>
      <c r="C1028" t="str">
        <f>HYPERLINK("http://www.ncbi.nlm.nih.gov/protein/XP_011296556.1","XP_011296556.1")</f>
        <v>XP_011296556.1</v>
      </c>
      <c r="D1028">
        <v>29210</v>
      </c>
      <c r="E1028" t="str">
        <f>HYPERLINK("http://www.ncbi.nlm.nih.gov/Taxonomy/Browser/wwwtax.cgi?mode=Info&amp;id=7370&amp;lvl=3&amp;lin=f&amp;keep=1&amp;srchmode=1&amp;unlock","7370")</f>
        <v>7370</v>
      </c>
      <c r="F1028" t="s">
        <v>760</v>
      </c>
      <c r="G1028" t="str">
        <f>HYPERLINK("http://www.ncbi.nlm.nih.gov/Taxonomy/Browser/wwwtax.cgi?mode=Info&amp;id=7370&amp;lvl=3&amp;lin=f&amp;keep=1&amp;srchmode=1&amp;unlock","Musca domestica")</f>
        <v>Musca domestica</v>
      </c>
      <c r="H1028" t="s">
        <v>965</v>
      </c>
      <c r="I1028" t="str">
        <f>HYPERLINK("http://www.ncbi.nlm.nih.gov/protein/XP_011296556.1","ryanodine receptor isoform X12")</f>
        <v>ryanodine receptor isoform X12</v>
      </c>
      <c r="J1028">
        <v>2953.31</v>
      </c>
      <c r="K1028" t="s">
        <v>22</v>
      </c>
      <c r="L1028">
        <v>276</v>
      </c>
      <c r="M1028">
        <v>9.75</v>
      </c>
      <c r="N1028">
        <v>28.25</v>
      </c>
      <c r="O1028" t="s">
        <v>19</v>
      </c>
      <c r="P1028" t="s">
        <v>20</v>
      </c>
      <c r="Q1028" t="s">
        <v>19</v>
      </c>
      <c r="R1028" t="str">
        <f>HYPERLINK("https://cfpub.epa.gov/ecotox/explore.cfm?ncbi=7370","Explore in ECOTOX")</f>
        <v>Explore in ECOTOX</v>
      </c>
    </row>
    <row r="1029" spans="1:18" x14ac:dyDescent="0.45">
      <c r="A1029" t="s">
        <v>1264</v>
      </c>
      <c r="B1029">
        <v>8</v>
      </c>
      <c r="C1029" t="str">
        <f>HYPERLINK("http://www.ncbi.nlm.nih.gov/protein/XP_049307122.1","XP_049307122.1")</f>
        <v>XP_049307122.1</v>
      </c>
      <c r="D1029">
        <v>33506</v>
      </c>
      <c r="E1029" t="str">
        <f>HYPERLINK("http://www.ncbi.nlm.nih.gov/Taxonomy/Browser/wwwtax.cgi?mode=Info&amp;id=27457&amp;lvl=3&amp;lin=f&amp;keep=1&amp;srchmode=1&amp;unlock","27457")</f>
        <v>27457</v>
      </c>
      <c r="F1029" t="s">
        <v>760</v>
      </c>
      <c r="G1029" t="str">
        <f>HYPERLINK("http://www.ncbi.nlm.nih.gov/Taxonomy/Browser/wwwtax.cgi?mode=Info&amp;id=27457&amp;lvl=3&amp;lin=f&amp;keep=1&amp;srchmode=1&amp;unlock","Bactrocera dorsalis")</f>
        <v>Bactrocera dorsalis</v>
      </c>
      <c r="H1029" t="s">
        <v>966</v>
      </c>
      <c r="I1029" t="str">
        <f>HYPERLINK("http://www.ncbi.nlm.nih.gov/protein/XP_049307122.1","ryanodine receptor isoform X16")</f>
        <v>ryanodine receptor isoform X16</v>
      </c>
      <c r="J1029">
        <v>2952.16</v>
      </c>
      <c r="K1029" t="s">
        <v>22</v>
      </c>
      <c r="L1029">
        <v>276</v>
      </c>
      <c r="M1029">
        <v>9.75</v>
      </c>
      <c r="N1029">
        <v>28.24</v>
      </c>
      <c r="O1029" t="s">
        <v>19</v>
      </c>
      <c r="P1029" t="s">
        <v>20</v>
      </c>
      <c r="Q1029" t="s">
        <v>19</v>
      </c>
      <c r="R1029" t="str">
        <f>HYPERLINK("https://cfpub.epa.gov/ecotox/explore.cfm?ncbi=27457","Explore in ECOTOX")</f>
        <v>Explore in ECOTOX</v>
      </c>
    </row>
    <row r="1030" spans="1:18" x14ac:dyDescent="0.45">
      <c r="A1030" t="s">
        <v>1264</v>
      </c>
      <c r="B1030">
        <v>8</v>
      </c>
      <c r="C1030" t="str">
        <f>HYPERLINK("http://www.ncbi.nlm.nih.gov/protein/XP_020814900.1","XP_020814900.1")</f>
        <v>XP_020814900.1</v>
      </c>
      <c r="D1030">
        <v>32742</v>
      </c>
      <c r="E1030" t="str">
        <f>HYPERLINK("http://www.ncbi.nlm.nih.gov/Taxonomy/Browser/wwwtax.cgi?mode=Info&amp;id=7274&amp;lvl=3&amp;lin=f&amp;keep=1&amp;srchmode=1&amp;unlock","7274")</f>
        <v>7274</v>
      </c>
      <c r="F1030" t="s">
        <v>760</v>
      </c>
      <c r="G1030" t="str">
        <f>HYPERLINK("http://www.ncbi.nlm.nih.gov/Taxonomy/Browser/wwwtax.cgi?mode=Info&amp;id=7274&amp;lvl=3&amp;lin=f&amp;keep=1&amp;srchmode=1&amp;unlock","Drosophila serrata")</f>
        <v>Drosophila serrata</v>
      </c>
      <c r="H1030" t="s">
        <v>953</v>
      </c>
      <c r="I1030" t="str">
        <f>HYPERLINK("http://www.ncbi.nlm.nih.gov/protein/XP_020814900.1","ryanodine receptor isoform X16")</f>
        <v>ryanodine receptor isoform X16</v>
      </c>
      <c r="J1030">
        <v>2951.77</v>
      </c>
      <c r="K1030" t="s">
        <v>22</v>
      </c>
      <c r="L1030">
        <v>276</v>
      </c>
      <c r="M1030">
        <v>9.75</v>
      </c>
      <c r="N1030">
        <v>28.24</v>
      </c>
      <c r="O1030" t="s">
        <v>19</v>
      </c>
      <c r="P1030" t="s">
        <v>20</v>
      </c>
      <c r="Q1030" t="s">
        <v>19</v>
      </c>
      <c r="R1030" t="str">
        <f>HYPERLINK("https://cfpub.epa.gov/ecotox/explore.cfm?ncbi=7274","Explore in ECOTOX")</f>
        <v>Explore in ECOTOX</v>
      </c>
    </row>
    <row r="1031" spans="1:18" x14ac:dyDescent="0.45">
      <c r="A1031" t="s">
        <v>1264</v>
      </c>
      <c r="B1031">
        <v>8</v>
      </c>
      <c r="C1031" t="str">
        <f>HYPERLINK("http://www.ncbi.nlm.nih.gov/protein/XP_017866969.1","XP_017866969.1")</f>
        <v>XP_017866969.1</v>
      </c>
      <c r="D1031">
        <v>20064</v>
      </c>
      <c r="E1031" t="str">
        <f>HYPERLINK("http://www.ncbi.nlm.nih.gov/Taxonomy/Browser/wwwtax.cgi?mode=Info&amp;id=7263&amp;lvl=3&amp;lin=f&amp;keep=1&amp;srchmode=1&amp;unlock","7263")</f>
        <v>7263</v>
      </c>
      <c r="F1031" t="s">
        <v>760</v>
      </c>
      <c r="G1031" t="str">
        <f>HYPERLINK("http://www.ncbi.nlm.nih.gov/Taxonomy/Browser/wwwtax.cgi?mode=Info&amp;id=7263&amp;lvl=3&amp;lin=f&amp;keep=1&amp;srchmode=1&amp;unlock","Drosophila arizonae")</f>
        <v>Drosophila arizonae</v>
      </c>
      <c r="H1031" t="s">
        <v>953</v>
      </c>
      <c r="I1031" t="str">
        <f>HYPERLINK("http://www.ncbi.nlm.nih.gov/protein/XP_017866969.1","PREDICTED: ryanodine receptor isoform X14")</f>
        <v>PREDICTED: ryanodine receptor isoform X14</v>
      </c>
      <c r="J1031">
        <v>2951.38</v>
      </c>
      <c r="K1031" t="s">
        <v>22</v>
      </c>
      <c r="L1031">
        <v>276</v>
      </c>
      <c r="M1031">
        <v>9.75</v>
      </c>
      <c r="N1031">
        <v>28.23</v>
      </c>
      <c r="O1031" t="s">
        <v>19</v>
      </c>
      <c r="P1031" t="s">
        <v>20</v>
      </c>
      <c r="Q1031" t="s">
        <v>19</v>
      </c>
      <c r="R1031" t="str">
        <f>HYPERLINK("https://cfpub.epa.gov/ecotox/explore.cfm?ncbi=7263","Explore in ECOTOX")</f>
        <v>Explore in ECOTOX</v>
      </c>
    </row>
    <row r="1032" spans="1:18" x14ac:dyDescent="0.45">
      <c r="A1032" t="s">
        <v>1264</v>
      </c>
      <c r="B1032">
        <v>8</v>
      </c>
      <c r="C1032" t="str">
        <f>HYPERLINK("http://www.ncbi.nlm.nih.gov/protein/XP_032585759.1","XP_032585759.1")</f>
        <v>XP_032585759.1</v>
      </c>
      <c r="D1032">
        <v>44327</v>
      </c>
      <c r="E1032" t="str">
        <f>HYPERLINK("http://www.ncbi.nlm.nih.gov/Taxonomy/Browser/wwwtax.cgi?mode=Info&amp;id=7230&amp;lvl=3&amp;lin=f&amp;keep=1&amp;srchmode=1&amp;unlock","7230")</f>
        <v>7230</v>
      </c>
      <c r="F1032" t="s">
        <v>760</v>
      </c>
      <c r="G1032" t="str">
        <f>HYPERLINK("http://www.ncbi.nlm.nih.gov/Taxonomy/Browser/wwwtax.cgi?mode=Info&amp;id=7230&amp;lvl=3&amp;lin=f&amp;keep=1&amp;srchmode=1&amp;unlock","Drosophila mojavensis")</f>
        <v>Drosophila mojavensis</v>
      </c>
      <c r="H1032" t="s">
        <v>953</v>
      </c>
      <c r="I1032" t="str">
        <f>HYPERLINK("http://www.ncbi.nlm.nih.gov/protein/XP_032585759.1","ryanodine receptor isoform X13")</f>
        <v>ryanodine receptor isoform X13</v>
      </c>
      <c r="J1032">
        <v>2951</v>
      </c>
      <c r="K1032" t="s">
        <v>22</v>
      </c>
      <c r="L1032">
        <v>276</v>
      </c>
      <c r="M1032">
        <v>9.75</v>
      </c>
      <c r="N1032">
        <v>28.23</v>
      </c>
      <c r="O1032" t="s">
        <v>19</v>
      </c>
      <c r="P1032" t="s">
        <v>20</v>
      </c>
      <c r="Q1032" t="s">
        <v>19</v>
      </c>
      <c r="R1032" t="str">
        <f>HYPERLINK("https://cfpub.epa.gov/ecotox/explore.cfm?ncbi=7230","Explore in ECOTOX")</f>
        <v>Explore in ECOTOX</v>
      </c>
    </row>
    <row r="1033" spans="1:18" x14ac:dyDescent="0.45">
      <c r="A1033" t="s">
        <v>1264</v>
      </c>
      <c r="B1033">
        <v>8</v>
      </c>
      <c r="C1033" t="str">
        <f>HYPERLINK("http://www.ncbi.nlm.nih.gov/protein/XP_034105537.1","XP_034105537.1")</f>
        <v>XP_034105537.1</v>
      </c>
      <c r="D1033">
        <v>25048</v>
      </c>
      <c r="E1033" t="str">
        <f>HYPERLINK("http://www.ncbi.nlm.nih.gov/Taxonomy/Browser/wwwtax.cgi?mode=Info&amp;id=7291&amp;lvl=3&amp;lin=f&amp;keep=1&amp;srchmode=1&amp;unlock","7291")</f>
        <v>7291</v>
      </c>
      <c r="F1033" t="s">
        <v>760</v>
      </c>
      <c r="G1033" t="str">
        <f>HYPERLINK("http://www.ncbi.nlm.nih.gov/Taxonomy/Browser/wwwtax.cgi?mode=Info&amp;id=7291&amp;lvl=3&amp;lin=f&amp;keep=1&amp;srchmode=1&amp;unlock","Drosophila albomicans")</f>
        <v>Drosophila albomicans</v>
      </c>
      <c r="H1033" t="s">
        <v>953</v>
      </c>
      <c r="I1033" t="str">
        <f>HYPERLINK("http://www.ncbi.nlm.nih.gov/protein/XP_034105537.1","ryanodine receptor isoform X12")</f>
        <v>ryanodine receptor isoform X12</v>
      </c>
      <c r="J1033">
        <v>2951</v>
      </c>
      <c r="K1033" t="s">
        <v>22</v>
      </c>
      <c r="L1033">
        <v>276</v>
      </c>
      <c r="M1033">
        <v>9.75</v>
      </c>
      <c r="N1033">
        <v>28.23</v>
      </c>
      <c r="O1033" t="s">
        <v>19</v>
      </c>
      <c r="P1033" t="s">
        <v>20</v>
      </c>
      <c r="Q1033" t="s">
        <v>19</v>
      </c>
      <c r="R1033" t="str">
        <f>HYPERLINK("https://cfpub.epa.gov/ecotox/explore.cfm?ncbi=7291","Explore in ECOTOX")</f>
        <v>Explore in ECOTOX</v>
      </c>
    </row>
    <row r="1034" spans="1:18" x14ac:dyDescent="0.45">
      <c r="A1034" t="s">
        <v>1264</v>
      </c>
      <c r="B1034">
        <v>8</v>
      </c>
      <c r="C1034" t="str">
        <f>HYPERLINK("http://www.ncbi.nlm.nih.gov/protein/XP_026840889.1","XP_026840889.1")</f>
        <v>XP_026840889.1</v>
      </c>
      <c r="D1034">
        <v>37446</v>
      </c>
      <c r="E1034" t="str">
        <f>HYPERLINK("http://www.ncbi.nlm.nih.gov/Taxonomy/Browser/wwwtax.cgi?mode=Info&amp;id=7234&amp;lvl=3&amp;lin=f&amp;keep=1&amp;srchmode=1&amp;unlock","7234")</f>
        <v>7234</v>
      </c>
      <c r="F1034" t="s">
        <v>760</v>
      </c>
      <c r="G1034" t="str">
        <f>HYPERLINK("http://www.ncbi.nlm.nih.gov/Taxonomy/Browser/wwwtax.cgi?mode=Info&amp;id=7234&amp;lvl=3&amp;lin=f&amp;keep=1&amp;srchmode=1&amp;unlock","Drosophila persimilis")</f>
        <v>Drosophila persimilis</v>
      </c>
      <c r="H1034" t="s">
        <v>953</v>
      </c>
      <c r="I1034" t="str">
        <f>HYPERLINK("http://www.ncbi.nlm.nih.gov/protein/XP_026840889.1","ryanodine receptor isoform X9")</f>
        <v>ryanodine receptor isoform X9</v>
      </c>
      <c r="J1034">
        <v>2950.23</v>
      </c>
      <c r="K1034" t="s">
        <v>22</v>
      </c>
      <c r="L1034">
        <v>276</v>
      </c>
      <c r="M1034">
        <v>9.75</v>
      </c>
      <c r="N1034">
        <v>28.22</v>
      </c>
      <c r="O1034" t="s">
        <v>19</v>
      </c>
      <c r="P1034" t="s">
        <v>20</v>
      </c>
      <c r="Q1034" t="s">
        <v>19</v>
      </c>
      <c r="R1034" t="str">
        <f>HYPERLINK("https://cfpub.epa.gov/ecotox/explore.cfm?ncbi=7234","Explore in ECOTOX")</f>
        <v>Explore in ECOTOX</v>
      </c>
    </row>
    <row r="1035" spans="1:18" x14ac:dyDescent="0.45">
      <c r="A1035" t="s">
        <v>1264</v>
      </c>
      <c r="B1035">
        <v>8</v>
      </c>
      <c r="C1035" t="str">
        <f>HYPERLINK("http://www.ncbi.nlm.nih.gov/protein/XP_023168840.1","XP_023168840.1")</f>
        <v>XP_023168840.1</v>
      </c>
      <c r="D1035">
        <v>21617</v>
      </c>
      <c r="E1035" t="str">
        <f>HYPERLINK("http://www.ncbi.nlm.nih.gov/Taxonomy/Browser/wwwtax.cgi?mode=Info&amp;id=7224&amp;lvl=3&amp;lin=f&amp;keep=1&amp;srchmode=1&amp;unlock","7224")</f>
        <v>7224</v>
      </c>
      <c r="F1035" t="s">
        <v>760</v>
      </c>
      <c r="G1035" t="str">
        <f>HYPERLINK("http://www.ncbi.nlm.nih.gov/Taxonomy/Browser/wwwtax.cgi?mode=Info&amp;id=7224&amp;lvl=3&amp;lin=f&amp;keep=1&amp;srchmode=1&amp;unlock","Drosophila hydei")</f>
        <v>Drosophila hydei</v>
      </c>
      <c r="H1035" t="s">
        <v>953</v>
      </c>
      <c r="I1035" t="str">
        <f>HYPERLINK("http://www.ncbi.nlm.nih.gov/protein/XP_023168840.1","ryanodine receptor isoform X4")</f>
        <v>ryanodine receptor isoform X4</v>
      </c>
      <c r="J1035">
        <v>2949.84</v>
      </c>
      <c r="K1035" t="s">
        <v>22</v>
      </c>
      <c r="L1035">
        <v>276</v>
      </c>
      <c r="M1035">
        <v>9.75</v>
      </c>
      <c r="N1035">
        <v>28.22</v>
      </c>
      <c r="O1035" t="s">
        <v>19</v>
      </c>
      <c r="P1035" t="s">
        <v>20</v>
      </c>
      <c r="Q1035" t="s">
        <v>19</v>
      </c>
      <c r="R1035" t="str">
        <f>HYPERLINK("https://cfpub.epa.gov/ecotox/explore.cfm?ncbi=7224","Explore in ECOTOX")</f>
        <v>Explore in ECOTOX</v>
      </c>
    </row>
    <row r="1036" spans="1:18" x14ac:dyDescent="0.45">
      <c r="A1036" t="s">
        <v>1264</v>
      </c>
      <c r="B1036">
        <v>8</v>
      </c>
      <c r="C1036" t="str">
        <f>HYPERLINK("http://www.ncbi.nlm.nih.gov/protein/XP_026667723.1","XP_026667723.1")</f>
        <v>XP_026667723.1</v>
      </c>
      <c r="D1036">
        <v>23295</v>
      </c>
      <c r="E1036" t="str">
        <f>HYPERLINK("http://www.ncbi.nlm.nih.gov/Taxonomy/Browser/wwwtax.cgi?mode=Info&amp;id=156304&amp;lvl=3&amp;lin=f&amp;keep=1&amp;srchmode=1&amp;unlock","156304")</f>
        <v>156304</v>
      </c>
      <c r="F1036" t="s">
        <v>760</v>
      </c>
      <c r="G1036" t="str">
        <f>HYPERLINK("http://www.ncbi.nlm.nih.gov/Taxonomy/Browser/wwwtax.cgi?mode=Info&amp;id=156304&amp;lvl=3&amp;lin=f&amp;keep=1&amp;srchmode=1&amp;unlock","Ceratina calcarata")</f>
        <v>Ceratina calcarata</v>
      </c>
      <c r="H1036" t="s">
        <v>967</v>
      </c>
      <c r="I1036" t="str">
        <f>HYPERLINK("http://www.ncbi.nlm.nih.gov/protein/XP_026667723.1","ryanodine receptor isoform X7")</f>
        <v>ryanodine receptor isoform X7</v>
      </c>
      <c r="J1036">
        <v>2949.46</v>
      </c>
      <c r="K1036" t="s">
        <v>22</v>
      </c>
      <c r="L1036">
        <v>276</v>
      </c>
      <c r="M1036">
        <v>9.75</v>
      </c>
      <c r="N1036">
        <v>28.21</v>
      </c>
      <c r="O1036" t="s">
        <v>19</v>
      </c>
      <c r="P1036" t="s">
        <v>20</v>
      </c>
      <c r="Q1036" t="s">
        <v>19</v>
      </c>
      <c r="R1036" t="str">
        <f>HYPERLINK("https://cfpub.epa.gov/ecotox/explore.cfm?ncbi=156304","Explore in ECOTOX")</f>
        <v>Explore in ECOTOX</v>
      </c>
    </row>
    <row r="1037" spans="1:18" x14ac:dyDescent="0.45">
      <c r="A1037" t="s">
        <v>1264</v>
      </c>
      <c r="B1037">
        <v>8</v>
      </c>
      <c r="C1037" t="str">
        <f>HYPERLINK("http://www.ncbi.nlm.nih.gov/protein/XP_017148745.1","XP_017148745.1")</f>
        <v>XP_017148745.1</v>
      </c>
      <c r="D1037">
        <v>33751</v>
      </c>
      <c r="E1037" t="str">
        <f>HYPERLINK("http://www.ncbi.nlm.nih.gov/Taxonomy/Browser/wwwtax.cgi?mode=Info&amp;id=7229&amp;lvl=3&amp;lin=f&amp;keep=1&amp;srchmode=1&amp;unlock","7229")</f>
        <v>7229</v>
      </c>
      <c r="F1037" t="s">
        <v>760</v>
      </c>
      <c r="G1037" t="str">
        <f>HYPERLINK("http://www.ncbi.nlm.nih.gov/Taxonomy/Browser/wwwtax.cgi?mode=Info&amp;id=7229&amp;lvl=3&amp;lin=f&amp;keep=1&amp;srchmode=1&amp;unlock","Drosophila miranda")</f>
        <v>Drosophila miranda</v>
      </c>
      <c r="H1037" t="s">
        <v>953</v>
      </c>
      <c r="I1037" t="str">
        <f>HYPERLINK("http://www.ncbi.nlm.nih.gov/protein/XP_017148745.1","ryanodine receptor isoform X12")</f>
        <v>ryanodine receptor isoform X12</v>
      </c>
      <c r="J1037">
        <v>2949.46</v>
      </c>
      <c r="K1037" t="s">
        <v>22</v>
      </c>
      <c r="L1037">
        <v>276</v>
      </c>
      <c r="M1037">
        <v>9.75</v>
      </c>
      <c r="N1037">
        <v>28.21</v>
      </c>
      <c r="O1037" t="s">
        <v>19</v>
      </c>
      <c r="P1037" t="s">
        <v>20</v>
      </c>
      <c r="Q1037" t="s">
        <v>19</v>
      </c>
      <c r="R1037" t="str">
        <f>HYPERLINK("https://cfpub.epa.gov/ecotox/explore.cfm?ncbi=7229","Explore in ECOTOX")</f>
        <v>Explore in ECOTOX</v>
      </c>
    </row>
    <row r="1038" spans="1:18" x14ac:dyDescent="0.45">
      <c r="A1038" t="s">
        <v>1264</v>
      </c>
      <c r="B1038">
        <v>8</v>
      </c>
      <c r="C1038" t="str">
        <f>HYPERLINK("http://www.ncbi.nlm.nih.gov/protein/XP_015040423.2","XP_015040423.2")</f>
        <v>XP_015040423.2</v>
      </c>
      <c r="D1038">
        <v>29507</v>
      </c>
      <c r="E1038" t="str">
        <f>HYPERLINK("http://www.ncbi.nlm.nih.gov/Taxonomy/Browser/wwwtax.cgi?mode=Info&amp;id=7237&amp;lvl=3&amp;lin=f&amp;keep=1&amp;srchmode=1&amp;unlock","7237")</f>
        <v>7237</v>
      </c>
      <c r="F1038" t="s">
        <v>760</v>
      </c>
      <c r="G1038" t="str">
        <f>HYPERLINK("http://www.ncbi.nlm.nih.gov/Taxonomy/Browser/wwwtax.cgi?mode=Info&amp;id=7237&amp;lvl=3&amp;lin=f&amp;keep=1&amp;srchmode=1&amp;unlock","Drosophila pseudoobscura")</f>
        <v>Drosophila pseudoobscura</v>
      </c>
      <c r="H1038" t="s">
        <v>953</v>
      </c>
      <c r="I1038" t="str">
        <f>HYPERLINK("http://www.ncbi.nlm.nih.gov/protein/XP_015040423.2","ryanodine receptor isoform X11")</f>
        <v>ryanodine receptor isoform X11</v>
      </c>
      <c r="J1038">
        <v>2948.69</v>
      </c>
      <c r="K1038" t="s">
        <v>22</v>
      </c>
      <c r="L1038">
        <v>276</v>
      </c>
      <c r="M1038">
        <v>9.75</v>
      </c>
      <c r="N1038">
        <v>28.21</v>
      </c>
      <c r="O1038" t="s">
        <v>19</v>
      </c>
      <c r="P1038" t="s">
        <v>20</v>
      </c>
      <c r="Q1038" t="s">
        <v>19</v>
      </c>
      <c r="R1038" t="str">
        <f>HYPERLINK("https://cfpub.epa.gov/ecotox/explore.cfm?ncbi=7237","Explore in ECOTOX")</f>
        <v>Explore in ECOTOX</v>
      </c>
    </row>
    <row r="1039" spans="1:18" x14ac:dyDescent="0.45">
      <c r="A1039" t="s">
        <v>1264</v>
      </c>
      <c r="B1039">
        <v>8</v>
      </c>
      <c r="C1039" t="str">
        <f>HYPERLINK("http://www.ncbi.nlm.nih.gov/protein/XP_014295402.1","XP_014295402.1")</f>
        <v>XP_014295402.1</v>
      </c>
      <c r="D1039">
        <v>20440</v>
      </c>
      <c r="E1039" t="str">
        <f>HYPERLINK("http://www.ncbi.nlm.nih.gov/Taxonomy/Browser/wwwtax.cgi?mode=Info&amp;id=69319&amp;lvl=3&amp;lin=f&amp;keep=1&amp;srchmode=1&amp;unlock","69319")</f>
        <v>69319</v>
      </c>
      <c r="F1039" t="s">
        <v>760</v>
      </c>
      <c r="G1039" t="str">
        <f>HYPERLINK("http://www.ncbi.nlm.nih.gov/Taxonomy/Browser/wwwtax.cgi?mode=Info&amp;id=69319&amp;lvl=3&amp;lin=f&amp;keep=1&amp;srchmode=1&amp;unlock","Microplitis demolitor")</f>
        <v>Microplitis demolitor</v>
      </c>
      <c r="H1039" t="s">
        <v>769</v>
      </c>
      <c r="I1039" t="str">
        <f>HYPERLINK("http://www.ncbi.nlm.nih.gov/protein/XP_014295402.1","ryanodine receptor isoform X2")</f>
        <v>ryanodine receptor isoform X2</v>
      </c>
      <c r="J1039">
        <v>2948.3</v>
      </c>
      <c r="K1039" t="s">
        <v>22</v>
      </c>
      <c r="L1039">
        <v>276</v>
      </c>
      <c r="M1039">
        <v>9.75</v>
      </c>
      <c r="N1039">
        <v>28.2</v>
      </c>
      <c r="O1039" t="s">
        <v>19</v>
      </c>
      <c r="P1039" t="s">
        <v>20</v>
      </c>
      <c r="Q1039" t="s">
        <v>19</v>
      </c>
      <c r="R1039" t="str">
        <f>HYPERLINK("https://cfpub.epa.gov/ecotox/explore.cfm?ncbi=69319","Explore in ECOTOX")</f>
        <v>Explore in ECOTOX</v>
      </c>
    </row>
    <row r="1040" spans="1:18" x14ac:dyDescent="0.45">
      <c r="A1040" t="s">
        <v>1264</v>
      </c>
      <c r="B1040">
        <v>8</v>
      </c>
      <c r="C1040" t="str">
        <f>HYPERLINK("http://www.ncbi.nlm.nih.gov/protein/XP_018801103.1","XP_018801103.1")</f>
        <v>XP_018801103.1</v>
      </c>
      <c r="D1040">
        <v>22792</v>
      </c>
      <c r="E1040" t="str">
        <f>HYPERLINK("http://www.ncbi.nlm.nih.gov/Taxonomy/Browser/wwwtax.cgi?mode=Info&amp;id=174628&amp;lvl=3&amp;lin=f&amp;keep=1&amp;srchmode=1&amp;unlock","174628")</f>
        <v>174628</v>
      </c>
      <c r="F1040" t="s">
        <v>760</v>
      </c>
      <c r="G1040" t="str">
        <f>HYPERLINK("http://www.ncbi.nlm.nih.gov/Taxonomy/Browser/wwwtax.cgi?mode=Info&amp;id=174628&amp;lvl=3&amp;lin=f&amp;keep=1&amp;srchmode=1&amp;unlock","Bactrocera latifrons")</f>
        <v>Bactrocera latifrons</v>
      </c>
      <c r="H1040" t="s">
        <v>953</v>
      </c>
      <c r="I1040" t="str">
        <f>HYPERLINK("http://www.ncbi.nlm.nih.gov/protein/XP_018801103.1","PREDICTED: ryanodine receptor isoform X9")</f>
        <v>PREDICTED: ryanodine receptor isoform X9</v>
      </c>
      <c r="J1040">
        <v>2948.3</v>
      </c>
      <c r="K1040" t="s">
        <v>22</v>
      </c>
      <c r="L1040">
        <v>276</v>
      </c>
      <c r="M1040">
        <v>9.75</v>
      </c>
      <c r="N1040">
        <v>28.2</v>
      </c>
      <c r="O1040" t="s">
        <v>19</v>
      </c>
      <c r="P1040" t="s">
        <v>20</v>
      </c>
      <c r="Q1040" t="s">
        <v>19</v>
      </c>
      <c r="R1040" t="str">
        <f>HYPERLINK("https://cfpub.epa.gov/ecotox/explore.cfm?ncbi=174628","Explore in ECOTOX")</f>
        <v>Explore in ECOTOX</v>
      </c>
    </row>
    <row r="1041" spans="1:18" x14ac:dyDescent="0.45">
      <c r="A1041" t="s">
        <v>1264</v>
      </c>
      <c r="B1041">
        <v>8</v>
      </c>
      <c r="C1041" t="str">
        <f>HYPERLINK("http://www.ncbi.nlm.nih.gov/protein/XP_039954482.1","XP_039954482.1")</f>
        <v>XP_039954482.1</v>
      </c>
      <c r="D1041">
        <v>24274</v>
      </c>
      <c r="E1041" t="str">
        <f>HYPERLINK("http://www.ncbi.nlm.nih.gov/Taxonomy/Browser/wwwtax.cgi?mode=Info&amp;id=59916&amp;lvl=3&amp;lin=f&amp;keep=1&amp;srchmode=1&amp;unlock","59916")</f>
        <v>59916</v>
      </c>
      <c r="F1041" t="s">
        <v>760</v>
      </c>
      <c r="G1041" t="str">
        <f>HYPERLINK("http://www.ncbi.nlm.nih.gov/Taxonomy/Browser/wwwtax.cgi?mode=Info&amp;id=59916&amp;lvl=3&amp;lin=f&amp;keep=1&amp;srchmode=1&amp;unlock","Bactrocera tryoni")</f>
        <v>Bactrocera tryoni</v>
      </c>
      <c r="H1041" t="s">
        <v>968</v>
      </c>
      <c r="I1041" t="str">
        <f>HYPERLINK("http://www.ncbi.nlm.nih.gov/protein/XP_039954482.1","ryanodine receptor isoform X16")</f>
        <v>ryanodine receptor isoform X16</v>
      </c>
      <c r="J1041">
        <v>2947.53</v>
      </c>
      <c r="K1041" t="s">
        <v>22</v>
      </c>
      <c r="L1041">
        <v>276</v>
      </c>
      <c r="M1041">
        <v>9.75</v>
      </c>
      <c r="N1041">
        <v>28.2</v>
      </c>
      <c r="O1041" t="s">
        <v>19</v>
      </c>
      <c r="P1041" t="s">
        <v>20</v>
      </c>
      <c r="Q1041" t="s">
        <v>19</v>
      </c>
      <c r="R1041" t="str">
        <f>HYPERLINK("https://cfpub.epa.gov/ecotox/explore.cfm?ncbi=59916","Explore in ECOTOX")</f>
        <v>Explore in ECOTOX</v>
      </c>
    </row>
    <row r="1042" spans="1:18" x14ac:dyDescent="0.45">
      <c r="A1042" t="s">
        <v>1264</v>
      </c>
      <c r="B1042">
        <v>8</v>
      </c>
      <c r="C1042" t="str">
        <f>HYPERLINK("http://www.ncbi.nlm.nih.gov/protein/XP_040073761.2","XP_040073761.2")</f>
        <v>XP_040073761.2</v>
      </c>
      <c r="D1042">
        <v>55881</v>
      </c>
      <c r="E1042" t="str">
        <f>HYPERLINK("http://www.ncbi.nlm.nih.gov/Taxonomy/Browser/wwwtax.cgi?mode=Info&amp;id=6945&amp;lvl=3&amp;lin=f&amp;keep=1&amp;srchmode=1&amp;unlock","6945")</f>
        <v>6945</v>
      </c>
      <c r="F1042" t="s">
        <v>904</v>
      </c>
      <c r="G1042" t="str">
        <f>HYPERLINK("http://www.ncbi.nlm.nih.gov/Taxonomy/Browser/wwwtax.cgi?mode=Info&amp;id=6945&amp;lvl=3&amp;lin=f&amp;keep=1&amp;srchmode=1&amp;unlock","Ixodes scapularis")</f>
        <v>Ixodes scapularis</v>
      </c>
      <c r="H1042" t="s">
        <v>969</v>
      </c>
      <c r="I1042" t="str">
        <f>HYPERLINK("http://www.ncbi.nlm.nih.gov/protein/XP_040073761.2","ryanodine receptor")</f>
        <v>ryanodine receptor</v>
      </c>
      <c r="J1042">
        <v>2947.53</v>
      </c>
      <c r="K1042" t="s">
        <v>22</v>
      </c>
      <c r="L1042">
        <v>276</v>
      </c>
      <c r="M1042">
        <v>9.75</v>
      </c>
      <c r="N1042">
        <v>28.2</v>
      </c>
      <c r="O1042" t="s">
        <v>19</v>
      </c>
      <c r="P1042" t="s">
        <v>20</v>
      </c>
      <c r="Q1042" t="s">
        <v>19</v>
      </c>
      <c r="R1042" t="str">
        <f>HYPERLINK("https://cfpub.epa.gov/ecotox/explore.cfm?ncbi=6945","Explore in ECOTOX")</f>
        <v>Explore in ECOTOX</v>
      </c>
    </row>
    <row r="1043" spans="1:18" x14ac:dyDescent="0.45">
      <c r="A1043" t="s">
        <v>1264</v>
      </c>
      <c r="B1043">
        <v>8</v>
      </c>
      <c r="C1043" t="str">
        <f>HYPERLINK("http://www.ncbi.nlm.nih.gov/protein/XP_032596737.1","XP_032596737.1")</f>
        <v>XP_032596737.1</v>
      </c>
      <c r="D1043">
        <v>34468</v>
      </c>
      <c r="E1043" t="str">
        <f>HYPERLINK("http://www.ncbi.nlm.nih.gov/Taxonomy/Browser/wwwtax.cgi?mode=Info&amp;id=7222&amp;lvl=3&amp;lin=f&amp;keep=1&amp;srchmode=1&amp;unlock","7222")</f>
        <v>7222</v>
      </c>
      <c r="F1043" t="s">
        <v>760</v>
      </c>
      <c r="G1043" t="str">
        <f>HYPERLINK("http://www.ncbi.nlm.nih.gov/Taxonomy/Browser/wwwtax.cgi?mode=Info&amp;id=7222&amp;lvl=3&amp;lin=f&amp;keep=1&amp;srchmode=1&amp;unlock","Drosophila grimshawi")</f>
        <v>Drosophila grimshawi</v>
      </c>
      <c r="H1043" t="s">
        <v>953</v>
      </c>
      <c r="I1043" t="str">
        <f>HYPERLINK("http://www.ncbi.nlm.nih.gov/protein/XP_032596737.1","ryanodine receptor isoform X12")</f>
        <v>ryanodine receptor isoform X12</v>
      </c>
      <c r="J1043">
        <v>2947.15</v>
      </c>
      <c r="K1043" t="s">
        <v>22</v>
      </c>
      <c r="L1043">
        <v>276</v>
      </c>
      <c r="M1043">
        <v>9.75</v>
      </c>
      <c r="N1043">
        <v>28.19</v>
      </c>
      <c r="O1043" t="s">
        <v>19</v>
      </c>
      <c r="P1043" t="s">
        <v>20</v>
      </c>
      <c r="Q1043" t="s">
        <v>19</v>
      </c>
      <c r="R1043" t="str">
        <f>HYPERLINK("https://cfpub.epa.gov/ecotox/explore.cfm?ncbi=7222","Explore in ECOTOX")</f>
        <v>Explore in ECOTOX</v>
      </c>
    </row>
    <row r="1044" spans="1:18" x14ac:dyDescent="0.45">
      <c r="A1044" t="s">
        <v>1264</v>
      </c>
      <c r="B1044">
        <v>8</v>
      </c>
      <c r="C1044" t="str">
        <f>HYPERLINK("http://www.ncbi.nlm.nih.gov/protein/XP_034126459.1","XP_034126459.1")</f>
        <v>XP_034126459.1</v>
      </c>
      <c r="D1044">
        <v>40509</v>
      </c>
      <c r="E1044" t="str">
        <f>HYPERLINK("http://www.ncbi.nlm.nih.gov/Taxonomy/Browser/wwwtax.cgi?mode=Info&amp;id=7266&amp;lvl=3&amp;lin=f&amp;keep=1&amp;srchmode=1&amp;unlock","7266")</f>
        <v>7266</v>
      </c>
      <c r="F1044" t="s">
        <v>760</v>
      </c>
      <c r="G1044" t="str">
        <f>HYPERLINK("http://www.ncbi.nlm.nih.gov/Taxonomy/Browser/wwwtax.cgi?mode=Info&amp;id=7266&amp;lvl=3&amp;lin=f&amp;keep=1&amp;srchmode=1&amp;unlock","Drosophila guanche")</f>
        <v>Drosophila guanche</v>
      </c>
      <c r="H1044" t="s">
        <v>953</v>
      </c>
      <c r="I1044" t="str">
        <f>HYPERLINK("http://www.ncbi.nlm.nih.gov/protein/XP_034126459.1","ryanodine receptor isoform X9")</f>
        <v>ryanodine receptor isoform X9</v>
      </c>
      <c r="J1044">
        <v>2946.76</v>
      </c>
      <c r="K1044" t="s">
        <v>22</v>
      </c>
      <c r="L1044">
        <v>276</v>
      </c>
      <c r="M1044">
        <v>9.75</v>
      </c>
      <c r="N1044">
        <v>28.19</v>
      </c>
      <c r="O1044" t="s">
        <v>19</v>
      </c>
      <c r="P1044" t="s">
        <v>20</v>
      </c>
      <c r="Q1044" t="s">
        <v>19</v>
      </c>
      <c r="R1044" t="str">
        <f>HYPERLINK("https://cfpub.epa.gov/ecotox/explore.cfm?ncbi=7266","Explore in ECOTOX")</f>
        <v>Explore in ECOTOX</v>
      </c>
    </row>
    <row r="1045" spans="1:18" x14ac:dyDescent="0.45">
      <c r="A1045" t="s">
        <v>1264</v>
      </c>
      <c r="B1045">
        <v>8</v>
      </c>
      <c r="C1045" t="str">
        <f>HYPERLINK("http://www.ncbi.nlm.nih.gov/protein/CAH1119784.1","CAH1119784.1")</f>
        <v>CAH1119784.1</v>
      </c>
      <c r="D1045">
        <v>13594</v>
      </c>
      <c r="E1045" t="str">
        <f>HYPERLINK("http://www.ncbi.nlm.nih.gov/Taxonomy/Browser/wwwtax.cgi?mode=Info&amp;id=80249&amp;lvl=3&amp;lin=f&amp;keep=1&amp;srchmode=1&amp;unlock","80249")</f>
        <v>80249</v>
      </c>
      <c r="F1045" t="s">
        <v>760</v>
      </c>
      <c r="G1045" t="str">
        <f>HYPERLINK("http://www.ncbi.nlm.nih.gov/Taxonomy/Browser/wwwtax.cgi?mode=Info&amp;id=80249&amp;lvl=3&amp;lin=f&amp;keep=1&amp;srchmode=1&amp;unlock","Phaedon cochleariae")</f>
        <v>Phaedon cochleariae</v>
      </c>
      <c r="H1045" t="s">
        <v>970</v>
      </c>
      <c r="I1045" t="str">
        <f>HYPERLINK("http://www.ncbi.nlm.nih.gov/protein/CAH1119784.1","unnamed protein product")</f>
        <v>unnamed protein product</v>
      </c>
      <c r="J1045">
        <v>2945.99</v>
      </c>
      <c r="K1045" t="s">
        <v>22</v>
      </c>
      <c r="L1045">
        <v>276</v>
      </c>
      <c r="M1045">
        <v>9.75</v>
      </c>
      <c r="N1045">
        <v>28.18</v>
      </c>
      <c r="O1045" t="s">
        <v>19</v>
      </c>
      <c r="P1045" t="s">
        <v>20</v>
      </c>
      <c r="Q1045" t="s">
        <v>19</v>
      </c>
      <c r="R1045" t="str">
        <f>HYPERLINK("https://cfpub.epa.gov/ecotox/explore.cfm?ncbi=80249","Explore in ECOTOX")</f>
        <v>Explore in ECOTOX</v>
      </c>
    </row>
    <row r="1046" spans="1:18" x14ac:dyDescent="0.45">
      <c r="A1046" t="s">
        <v>1264</v>
      </c>
      <c r="B1046">
        <v>8</v>
      </c>
      <c r="C1046" t="str">
        <f>HYPERLINK("http://www.ncbi.nlm.nih.gov/protein/XP_016957231.1","XP_016957231.1")</f>
        <v>XP_016957231.1</v>
      </c>
      <c r="D1046">
        <v>26224</v>
      </c>
      <c r="E1046" t="str">
        <f>HYPERLINK("http://www.ncbi.nlm.nih.gov/Taxonomy/Browser/wwwtax.cgi?mode=Info&amp;id=125945&amp;lvl=3&amp;lin=f&amp;keep=1&amp;srchmode=1&amp;unlock","125945")</f>
        <v>125945</v>
      </c>
      <c r="F1046" t="s">
        <v>760</v>
      </c>
      <c r="G1046" t="str">
        <f>HYPERLINK("http://www.ncbi.nlm.nih.gov/Taxonomy/Browser/wwwtax.cgi?mode=Info&amp;id=125945&amp;lvl=3&amp;lin=f&amp;keep=1&amp;srchmode=1&amp;unlock","Drosophila biarmipes")</f>
        <v>Drosophila biarmipes</v>
      </c>
      <c r="H1046" t="s">
        <v>953</v>
      </c>
      <c r="I1046" t="str">
        <f>HYPERLINK("http://www.ncbi.nlm.nih.gov/protein/XP_016957231.1","ryanodine receptor isoform X14")</f>
        <v>ryanodine receptor isoform X14</v>
      </c>
      <c r="J1046">
        <v>2945.99</v>
      </c>
      <c r="K1046" t="s">
        <v>22</v>
      </c>
      <c r="L1046">
        <v>276</v>
      </c>
      <c r="M1046">
        <v>9.75</v>
      </c>
      <c r="N1046">
        <v>28.18</v>
      </c>
      <c r="O1046" t="s">
        <v>19</v>
      </c>
      <c r="P1046" t="s">
        <v>20</v>
      </c>
      <c r="Q1046" t="s">
        <v>19</v>
      </c>
      <c r="R1046" t="str">
        <f>HYPERLINK("https://cfpub.epa.gov/ecotox/explore.cfm?ncbi=125945","Explore in ECOTOX")</f>
        <v>Explore in ECOTOX</v>
      </c>
    </row>
    <row r="1047" spans="1:18" x14ac:dyDescent="0.45">
      <c r="A1047" t="s">
        <v>1264</v>
      </c>
      <c r="B1047">
        <v>8</v>
      </c>
      <c r="C1047" t="str">
        <f>HYPERLINK("http://www.ncbi.nlm.nih.gov/protein/KAH8384857.1","KAH8384857.1")</f>
        <v>KAH8384857.1</v>
      </c>
      <c r="D1047">
        <v>11872</v>
      </c>
      <c r="E1047" t="str">
        <f>HYPERLINK("http://www.ncbi.nlm.nih.gov/Taxonomy/Browser/wwwtax.cgi?mode=Info&amp;id=30044&amp;lvl=3&amp;lin=f&amp;keep=1&amp;srchmode=1&amp;unlock","30044")</f>
        <v>30044</v>
      </c>
      <c r="F1047" t="s">
        <v>760</v>
      </c>
      <c r="G1047" t="str">
        <f>HYPERLINK("http://www.ncbi.nlm.nih.gov/Taxonomy/Browser/wwwtax.cgi?mode=Info&amp;id=30044&amp;lvl=3&amp;lin=f&amp;keep=1&amp;srchmode=1&amp;unlock","Drosophila rubida")</f>
        <v>Drosophila rubida</v>
      </c>
      <c r="H1047" t="s">
        <v>953</v>
      </c>
      <c r="I1047" t="str">
        <f>HYPERLINK("http://www.ncbi.nlm.nih.gov/protein/KAH8384857.1","hypothetical protein KR093_010363")</f>
        <v>hypothetical protein KR093_010363</v>
      </c>
      <c r="J1047">
        <v>2944.84</v>
      </c>
      <c r="K1047" t="s">
        <v>22</v>
      </c>
      <c r="L1047">
        <v>276</v>
      </c>
      <c r="M1047">
        <v>9.75</v>
      </c>
      <c r="N1047">
        <v>28.17</v>
      </c>
      <c r="O1047" t="s">
        <v>19</v>
      </c>
      <c r="P1047" t="s">
        <v>20</v>
      </c>
      <c r="Q1047" t="s">
        <v>19</v>
      </c>
      <c r="R1047" t="str">
        <f>HYPERLINK("https://cfpub.epa.gov/ecotox/explore.cfm?ncbi=30044","Explore in ECOTOX")</f>
        <v>Explore in ECOTOX</v>
      </c>
    </row>
    <row r="1048" spans="1:18" x14ac:dyDescent="0.45">
      <c r="A1048" t="s">
        <v>1264</v>
      </c>
      <c r="B1048">
        <v>8</v>
      </c>
      <c r="C1048" t="str">
        <f>HYPERLINK("http://www.ncbi.nlm.nih.gov/protein/XP_017464405.1","XP_017464405.1")</f>
        <v>XP_017464405.1</v>
      </c>
      <c r="D1048">
        <v>33834</v>
      </c>
      <c r="E1048" t="str">
        <f>HYPERLINK("http://www.ncbi.nlm.nih.gov/Taxonomy/Browser/wwwtax.cgi?mode=Info&amp;id=28612&amp;lvl=3&amp;lin=f&amp;keep=1&amp;srchmode=1&amp;unlock","28612")</f>
        <v>28612</v>
      </c>
      <c r="F1048" t="s">
        <v>760</v>
      </c>
      <c r="G1048" t="str">
        <f>HYPERLINK("http://www.ncbi.nlm.nih.gov/Taxonomy/Browser/wwwtax.cgi?mode=Info&amp;id=28612&amp;lvl=3&amp;lin=f&amp;keep=1&amp;srchmode=1&amp;unlock","Rhagoletis zephyria")</f>
        <v>Rhagoletis zephyria</v>
      </c>
      <c r="H1048" t="s">
        <v>971</v>
      </c>
      <c r="I1048" t="str">
        <f>HYPERLINK("http://www.ncbi.nlm.nih.gov/protein/XP_017464405.1","PREDICTED: ryanodine receptor")</f>
        <v>PREDICTED: ryanodine receptor</v>
      </c>
      <c r="J1048">
        <v>2944.45</v>
      </c>
      <c r="K1048" t="s">
        <v>22</v>
      </c>
      <c r="L1048">
        <v>276</v>
      </c>
      <c r="M1048">
        <v>9.75</v>
      </c>
      <c r="N1048">
        <v>28.17</v>
      </c>
      <c r="O1048" t="s">
        <v>19</v>
      </c>
      <c r="P1048" t="s">
        <v>20</v>
      </c>
      <c r="Q1048" t="s">
        <v>19</v>
      </c>
      <c r="R1048" t="str">
        <f>HYPERLINK("https://cfpub.epa.gov/ecotox/explore.cfm?ncbi=28612","Explore in ECOTOX")</f>
        <v>Explore in ECOTOX</v>
      </c>
    </row>
    <row r="1049" spans="1:18" x14ac:dyDescent="0.45">
      <c r="A1049" t="s">
        <v>1264</v>
      </c>
      <c r="B1049">
        <v>8</v>
      </c>
      <c r="C1049" t="str">
        <f>HYPERLINK("http://www.ncbi.nlm.nih.gov/protein/XP_017027872.1","XP_017027872.1")</f>
        <v>XP_017027872.1</v>
      </c>
      <c r="D1049">
        <v>35880</v>
      </c>
      <c r="E1049" t="str">
        <f>HYPERLINK("http://www.ncbi.nlm.nih.gov/Taxonomy/Browser/wwwtax.cgi?mode=Info&amp;id=30033&amp;lvl=3&amp;lin=f&amp;keep=1&amp;srchmode=1&amp;unlock","30033")</f>
        <v>30033</v>
      </c>
      <c r="F1049" t="s">
        <v>760</v>
      </c>
      <c r="G1049" t="str">
        <f>HYPERLINK("http://www.ncbi.nlm.nih.gov/Taxonomy/Browser/wwwtax.cgi?mode=Info&amp;id=30033&amp;lvl=3&amp;lin=f&amp;keep=1&amp;srchmode=1&amp;unlock","Drosophila kikkawai")</f>
        <v>Drosophila kikkawai</v>
      </c>
      <c r="H1049" t="s">
        <v>953</v>
      </c>
      <c r="I1049" t="str">
        <f>HYPERLINK("http://www.ncbi.nlm.nih.gov/protein/XP_017027872.1","ryanodine receptor isoform X7")</f>
        <v>ryanodine receptor isoform X7</v>
      </c>
      <c r="J1049">
        <v>2944.07</v>
      </c>
      <c r="K1049" t="s">
        <v>22</v>
      </c>
      <c r="L1049">
        <v>276</v>
      </c>
      <c r="M1049">
        <v>9.75</v>
      </c>
      <c r="N1049">
        <v>28.16</v>
      </c>
      <c r="O1049" t="s">
        <v>19</v>
      </c>
      <c r="P1049" t="s">
        <v>20</v>
      </c>
      <c r="Q1049" t="s">
        <v>19</v>
      </c>
      <c r="R1049" t="str">
        <f>HYPERLINK("https://cfpub.epa.gov/ecotox/explore.cfm?ncbi=30033","Explore in ECOTOX")</f>
        <v>Explore in ECOTOX</v>
      </c>
    </row>
    <row r="1050" spans="1:18" x14ac:dyDescent="0.45">
      <c r="A1050" t="s">
        <v>1264</v>
      </c>
      <c r="B1050">
        <v>8</v>
      </c>
      <c r="C1050" t="str">
        <f>HYPERLINK("http://www.ncbi.nlm.nih.gov/protein/XP_017001769.2","XP_017001769.2")</f>
        <v>XP_017001769.2</v>
      </c>
      <c r="D1050">
        <v>20155</v>
      </c>
      <c r="E1050" t="str">
        <f>HYPERLINK("http://www.ncbi.nlm.nih.gov/Taxonomy/Browser/wwwtax.cgi?mode=Info&amp;id=29030&amp;lvl=3&amp;lin=f&amp;keep=1&amp;srchmode=1&amp;unlock","29030")</f>
        <v>29030</v>
      </c>
      <c r="F1050" t="s">
        <v>760</v>
      </c>
      <c r="G1050" t="str">
        <f>HYPERLINK("http://www.ncbi.nlm.nih.gov/Taxonomy/Browser/wwwtax.cgi?mode=Info&amp;id=29030&amp;lvl=3&amp;lin=f&amp;keep=1&amp;srchmode=1&amp;unlock","Drosophila takahashii")</f>
        <v>Drosophila takahashii</v>
      </c>
      <c r="H1050" t="s">
        <v>953</v>
      </c>
      <c r="I1050" t="str">
        <f>HYPERLINK("http://www.ncbi.nlm.nih.gov/protein/XP_017001769.2","LOW QUALITY PROTEIN: ryanodine receptor")</f>
        <v>LOW QUALITY PROTEIN: ryanodine receptor</v>
      </c>
      <c r="J1050">
        <v>2943.3</v>
      </c>
      <c r="K1050" t="s">
        <v>22</v>
      </c>
      <c r="L1050">
        <v>276</v>
      </c>
      <c r="M1050">
        <v>9.75</v>
      </c>
      <c r="N1050">
        <v>28.16</v>
      </c>
      <c r="O1050" t="s">
        <v>19</v>
      </c>
      <c r="P1050" t="s">
        <v>20</v>
      </c>
      <c r="Q1050" t="s">
        <v>19</v>
      </c>
      <c r="R1050" t="str">
        <f>HYPERLINK("https://cfpub.epa.gov/ecotox/explore.cfm?ncbi=29030","Explore in ECOTOX")</f>
        <v>Explore in ECOTOX</v>
      </c>
    </row>
    <row r="1051" spans="1:18" x14ac:dyDescent="0.45">
      <c r="A1051" t="s">
        <v>1264</v>
      </c>
      <c r="B1051">
        <v>8</v>
      </c>
      <c r="C1051" t="str">
        <f>HYPERLINK("http://www.ncbi.nlm.nih.gov/protein/XP_044571097.1","XP_044571097.1")</f>
        <v>XP_044571097.1</v>
      </c>
      <c r="D1051">
        <v>47857</v>
      </c>
      <c r="E1051" t="str">
        <f>HYPERLINK("http://www.ncbi.nlm.nih.gov/Taxonomy/Browser/wwwtax.cgi?mode=Info&amp;id=7217&amp;lvl=3&amp;lin=f&amp;keep=1&amp;srchmode=1&amp;unlock","7217")</f>
        <v>7217</v>
      </c>
      <c r="F1051" t="s">
        <v>760</v>
      </c>
      <c r="G1051" t="str">
        <f>HYPERLINK("http://www.ncbi.nlm.nih.gov/Taxonomy/Browser/wwwtax.cgi?mode=Info&amp;id=7217&amp;lvl=3&amp;lin=f&amp;keep=1&amp;srchmode=1&amp;unlock","Drosophila ananassae")</f>
        <v>Drosophila ananassae</v>
      </c>
      <c r="H1051" t="s">
        <v>953</v>
      </c>
      <c r="I1051" t="str">
        <f>HYPERLINK("http://www.ncbi.nlm.nih.gov/protein/XP_044571097.1","ryanodine receptor isoform X14")</f>
        <v>ryanodine receptor isoform X14</v>
      </c>
      <c r="J1051">
        <v>2942.91</v>
      </c>
      <c r="K1051" t="s">
        <v>22</v>
      </c>
      <c r="L1051">
        <v>276</v>
      </c>
      <c r="M1051">
        <v>9.75</v>
      </c>
      <c r="N1051">
        <v>28.15</v>
      </c>
      <c r="O1051" t="s">
        <v>19</v>
      </c>
      <c r="P1051" t="s">
        <v>20</v>
      </c>
      <c r="Q1051" t="s">
        <v>19</v>
      </c>
      <c r="R1051" t="str">
        <f>HYPERLINK("https://cfpub.epa.gov/ecotox/explore.cfm?ncbi=7217","Explore in ECOTOX")</f>
        <v>Explore in ECOTOX</v>
      </c>
    </row>
    <row r="1052" spans="1:18" x14ac:dyDescent="0.45">
      <c r="A1052" t="s">
        <v>1264</v>
      </c>
      <c r="B1052">
        <v>8</v>
      </c>
      <c r="C1052" t="str">
        <f>HYPERLINK("http://www.ncbi.nlm.nih.gov/protein/CAB0033167.1","CAB0033167.1")</f>
        <v>CAB0033167.1</v>
      </c>
      <c r="D1052">
        <v>16955</v>
      </c>
      <c r="E1052" t="str">
        <f>HYPERLINK("http://www.ncbi.nlm.nih.gov/Taxonomy/Browser/wwwtax.cgi?mode=Info&amp;id=86971&amp;lvl=3&amp;lin=f&amp;keep=1&amp;srchmode=1&amp;unlock","86971")</f>
        <v>86971</v>
      </c>
      <c r="F1052" t="s">
        <v>760</v>
      </c>
      <c r="G1052" t="str">
        <f>HYPERLINK("http://www.ncbi.nlm.nih.gov/Taxonomy/Browser/wwwtax.cgi?mode=Info&amp;id=86971&amp;lvl=3&amp;lin=f&amp;keep=1&amp;srchmode=1&amp;unlock","Trichogramma brassicae")</f>
        <v>Trichogramma brassicae</v>
      </c>
      <c r="H1052" t="s">
        <v>947</v>
      </c>
      <c r="I1052" t="str">
        <f>HYPERLINK("http://www.ncbi.nlm.nih.gov/protein/CAB0033167.1","unnamed protein product")</f>
        <v>unnamed protein product</v>
      </c>
      <c r="J1052">
        <v>2942.53</v>
      </c>
      <c r="K1052" t="s">
        <v>22</v>
      </c>
      <c r="L1052">
        <v>276</v>
      </c>
      <c r="M1052">
        <v>9.75</v>
      </c>
      <c r="N1052">
        <v>28.15</v>
      </c>
      <c r="O1052" t="s">
        <v>19</v>
      </c>
      <c r="P1052" t="s">
        <v>20</v>
      </c>
      <c r="Q1052" t="s">
        <v>19</v>
      </c>
      <c r="R1052" t="str">
        <f>HYPERLINK("https://cfpub.epa.gov/ecotox/explore.cfm?ncbi=86971","Explore in ECOTOX")</f>
        <v>Explore in ECOTOX</v>
      </c>
    </row>
    <row r="1053" spans="1:18" x14ac:dyDescent="0.45">
      <c r="A1053" t="s">
        <v>1264</v>
      </c>
      <c r="B1053">
        <v>8</v>
      </c>
      <c r="C1053" t="str">
        <f>HYPERLINK("http://www.ncbi.nlm.nih.gov/protein/XP_037827173.1","XP_037827173.1")</f>
        <v>XP_037827173.1</v>
      </c>
      <c r="D1053">
        <v>24230</v>
      </c>
      <c r="E1053" t="str">
        <f>HYPERLINK("http://www.ncbi.nlm.nih.gov/Taxonomy/Browser/wwwtax.cgi?mode=Info&amp;id=13632&amp;lvl=3&amp;lin=f&amp;keep=1&amp;srchmode=1&amp;unlock","13632")</f>
        <v>13632</v>
      </c>
      <c r="F1053" t="s">
        <v>760</v>
      </c>
      <c r="G1053" t="str">
        <f>HYPERLINK("http://www.ncbi.nlm.nih.gov/Taxonomy/Browser/wwwtax.cgi?mode=Info&amp;id=13632&amp;lvl=3&amp;lin=f&amp;keep=1&amp;srchmode=1&amp;unlock","Lucilia sericata")</f>
        <v>Lucilia sericata</v>
      </c>
      <c r="H1053" t="s">
        <v>972</v>
      </c>
      <c r="I1053" t="str">
        <f>HYPERLINK("http://www.ncbi.nlm.nih.gov/protein/XP_037827173.1","ryanodine receptor isoform X13")</f>
        <v>ryanodine receptor isoform X13</v>
      </c>
      <c r="J1053">
        <v>2942.14</v>
      </c>
      <c r="K1053" t="s">
        <v>22</v>
      </c>
      <c r="L1053">
        <v>276</v>
      </c>
      <c r="M1053">
        <v>9.75</v>
      </c>
      <c r="N1053">
        <v>28.14</v>
      </c>
      <c r="O1053" t="s">
        <v>19</v>
      </c>
      <c r="P1053" t="s">
        <v>20</v>
      </c>
      <c r="Q1053" t="s">
        <v>19</v>
      </c>
      <c r="R1053" t="str">
        <f>HYPERLINK("https://cfpub.epa.gov/ecotox/explore.cfm?ncbi=13632","Explore in ECOTOX")</f>
        <v>Explore in ECOTOX</v>
      </c>
    </row>
    <row r="1054" spans="1:18" x14ac:dyDescent="0.45">
      <c r="A1054" t="s">
        <v>1264</v>
      </c>
      <c r="B1054">
        <v>8</v>
      </c>
      <c r="C1054" t="str">
        <f>HYPERLINK("http://www.ncbi.nlm.nih.gov/protein/XP_041448915.1","XP_041448915.1")</f>
        <v>XP_041448915.1</v>
      </c>
      <c r="D1054">
        <v>23440</v>
      </c>
      <c r="E1054" t="str">
        <f>HYPERLINK("http://www.ncbi.nlm.nih.gov/Taxonomy/Browser/wwwtax.cgi?mode=Info&amp;id=7282&amp;lvl=3&amp;lin=f&amp;keep=1&amp;srchmode=1&amp;unlock","7282")</f>
        <v>7282</v>
      </c>
      <c r="F1054" t="s">
        <v>760</v>
      </c>
      <c r="G1054" t="str">
        <f>HYPERLINK("http://www.ncbi.nlm.nih.gov/Taxonomy/Browser/wwwtax.cgi?mode=Info&amp;id=7282&amp;lvl=3&amp;lin=f&amp;keep=1&amp;srchmode=1&amp;unlock","Drosophila obscura")</f>
        <v>Drosophila obscura</v>
      </c>
      <c r="H1054" t="s">
        <v>953</v>
      </c>
      <c r="I1054" t="str">
        <f>HYPERLINK("http://www.ncbi.nlm.nih.gov/protein/XP_041448915.1","ryanodine receptor isoform X8")</f>
        <v>ryanodine receptor isoform X8</v>
      </c>
      <c r="J1054">
        <v>2941.37</v>
      </c>
      <c r="K1054" t="s">
        <v>22</v>
      </c>
      <c r="L1054">
        <v>276</v>
      </c>
      <c r="M1054">
        <v>9.75</v>
      </c>
      <c r="N1054">
        <v>28.14</v>
      </c>
      <c r="O1054" t="s">
        <v>19</v>
      </c>
      <c r="P1054" t="s">
        <v>20</v>
      </c>
      <c r="Q1054" t="s">
        <v>19</v>
      </c>
      <c r="R1054" t="str">
        <f>HYPERLINK("https://cfpub.epa.gov/ecotox/explore.cfm?ncbi=7282","Explore in ECOTOX")</f>
        <v>Explore in ECOTOX</v>
      </c>
    </row>
    <row r="1055" spans="1:18" x14ac:dyDescent="0.45">
      <c r="A1055" t="s">
        <v>1264</v>
      </c>
      <c r="B1055">
        <v>8</v>
      </c>
      <c r="C1055" t="str">
        <f>HYPERLINK("http://www.ncbi.nlm.nih.gov/protein/XP_037717379.1","XP_037717379.1")</f>
        <v>XP_037717379.1</v>
      </c>
      <c r="D1055">
        <v>25724</v>
      </c>
      <c r="E1055" t="str">
        <f>HYPERLINK("http://www.ncbi.nlm.nih.gov/Taxonomy/Browser/wwwtax.cgi?mode=Info&amp;id=1486046&amp;lvl=3&amp;lin=f&amp;keep=1&amp;srchmode=1&amp;unlock","1486046")</f>
        <v>1486046</v>
      </c>
      <c r="F1055" t="s">
        <v>760</v>
      </c>
      <c r="G1055" t="str">
        <f>HYPERLINK("http://www.ncbi.nlm.nih.gov/Taxonomy/Browser/wwwtax.cgi?mode=Info&amp;id=1486046&amp;lvl=3&amp;lin=f&amp;keep=1&amp;srchmode=1&amp;unlock","Drosophila subpulchrella")</f>
        <v>Drosophila subpulchrella</v>
      </c>
      <c r="H1055" t="s">
        <v>953</v>
      </c>
      <c r="I1055" t="str">
        <f>HYPERLINK("http://www.ncbi.nlm.nih.gov/protein/XP_037717379.1","ryanodine receptor isoform X12")</f>
        <v>ryanodine receptor isoform X12</v>
      </c>
      <c r="J1055">
        <v>2941.37</v>
      </c>
      <c r="K1055" t="s">
        <v>22</v>
      </c>
      <c r="L1055">
        <v>276</v>
      </c>
      <c r="M1055">
        <v>9.75</v>
      </c>
      <c r="N1055">
        <v>28.14</v>
      </c>
      <c r="O1055" t="s">
        <v>19</v>
      </c>
      <c r="P1055" t="s">
        <v>20</v>
      </c>
      <c r="Q1055" t="s">
        <v>19</v>
      </c>
      <c r="R1055" t="str">
        <f>HYPERLINK("https://cfpub.epa.gov/ecotox/explore.cfm?ncbi=1486046","Explore in ECOTOX")</f>
        <v>Explore in ECOTOX</v>
      </c>
    </row>
    <row r="1056" spans="1:18" x14ac:dyDescent="0.45">
      <c r="A1056" t="s">
        <v>1264</v>
      </c>
      <c r="B1056">
        <v>8</v>
      </c>
      <c r="C1056" t="str">
        <f>HYPERLINK("http://www.ncbi.nlm.nih.gov/protein/XP_060660502.1","XP_060660502.1")</f>
        <v>XP_060660502.1</v>
      </c>
      <c r="D1056">
        <v>22989</v>
      </c>
      <c r="E1056" t="str">
        <f>HYPERLINK("http://www.ncbi.nlm.nih.gov/Taxonomy/Browser/wwwtax.cgi?mode=Info&amp;id=42062&amp;lvl=3&amp;lin=f&amp;keep=1&amp;srchmode=1&amp;unlock","42062")</f>
        <v>42062</v>
      </c>
      <c r="F1056" t="s">
        <v>760</v>
      </c>
      <c r="G1056" t="str">
        <f>HYPERLINK("http://www.ncbi.nlm.nih.gov/Taxonomy/Browser/wwwtax.cgi?mode=Info&amp;id=42062&amp;lvl=3&amp;lin=f&amp;keep=1&amp;srchmode=1&amp;unlock","Drosophila nasuta")</f>
        <v>Drosophila nasuta</v>
      </c>
      <c r="H1056" t="s">
        <v>953</v>
      </c>
      <c r="I1056" t="str">
        <f>HYPERLINK("http://www.ncbi.nlm.nih.gov/protein/XP_060660502.1","LOW QUALITY PROTEIN: ryanodine receptor")</f>
        <v>LOW QUALITY PROTEIN: ryanodine receptor</v>
      </c>
      <c r="J1056">
        <v>2940.98</v>
      </c>
      <c r="K1056" t="s">
        <v>22</v>
      </c>
      <c r="L1056">
        <v>276</v>
      </c>
      <c r="M1056">
        <v>9.75</v>
      </c>
      <c r="N1056">
        <v>28.13</v>
      </c>
      <c r="O1056" t="s">
        <v>19</v>
      </c>
      <c r="P1056" t="s">
        <v>20</v>
      </c>
      <c r="Q1056" t="s">
        <v>19</v>
      </c>
      <c r="R1056" t="str">
        <f>HYPERLINK("https://cfpub.epa.gov/ecotox/explore.cfm?ncbi=42062","Explore in ECOTOX")</f>
        <v>Explore in ECOTOX</v>
      </c>
    </row>
    <row r="1057" spans="1:18" x14ac:dyDescent="0.45">
      <c r="A1057" t="s">
        <v>1264</v>
      </c>
      <c r="B1057">
        <v>8</v>
      </c>
      <c r="C1057" t="str">
        <f>HYPERLINK("http://www.ncbi.nlm.nih.gov/protein/XP_023294397.2","XP_023294397.2")</f>
        <v>XP_023294397.2</v>
      </c>
      <c r="D1057">
        <v>53449</v>
      </c>
      <c r="E1057" t="str">
        <f>HYPERLINK("http://www.ncbi.nlm.nih.gov/Taxonomy/Browser/wwwtax.cgi?mode=Info&amp;id=7375&amp;lvl=3&amp;lin=f&amp;keep=1&amp;srchmode=1&amp;unlock","7375")</f>
        <v>7375</v>
      </c>
      <c r="F1057" t="s">
        <v>760</v>
      </c>
      <c r="G1057" t="str">
        <f>HYPERLINK("http://www.ncbi.nlm.nih.gov/Taxonomy/Browser/wwwtax.cgi?mode=Info&amp;id=7375&amp;lvl=3&amp;lin=f&amp;keep=1&amp;srchmode=1&amp;unlock","Lucilia cuprina")</f>
        <v>Lucilia cuprina</v>
      </c>
      <c r="H1057" t="s">
        <v>973</v>
      </c>
      <c r="I1057" t="str">
        <f>HYPERLINK("http://www.ncbi.nlm.nih.gov/protein/XP_023294397.2","ryanodine receptor isoform X16")</f>
        <v>ryanodine receptor isoform X16</v>
      </c>
      <c r="J1057">
        <v>2940.6</v>
      </c>
      <c r="K1057" t="s">
        <v>22</v>
      </c>
      <c r="L1057">
        <v>276</v>
      </c>
      <c r="M1057">
        <v>9.75</v>
      </c>
      <c r="N1057">
        <v>28.13</v>
      </c>
      <c r="O1057" t="s">
        <v>19</v>
      </c>
      <c r="P1057" t="s">
        <v>20</v>
      </c>
      <c r="Q1057" t="s">
        <v>19</v>
      </c>
      <c r="R1057" t="str">
        <f>HYPERLINK("https://cfpub.epa.gov/ecotox/explore.cfm?ncbi=7375","Explore in ECOTOX")</f>
        <v>Explore in ECOTOX</v>
      </c>
    </row>
    <row r="1058" spans="1:18" x14ac:dyDescent="0.45">
      <c r="A1058" t="s">
        <v>1264</v>
      </c>
      <c r="B1058">
        <v>8</v>
      </c>
      <c r="C1058" t="str">
        <f>HYPERLINK("http://www.ncbi.nlm.nih.gov/protein/XP_030563335.1","XP_030563335.1")</f>
        <v>XP_030563335.1</v>
      </c>
      <c r="D1058">
        <v>20260</v>
      </c>
      <c r="E1058" t="str">
        <f>HYPERLINK("http://www.ncbi.nlm.nih.gov/Taxonomy/Browser/wwwtax.cgi?mode=Info&amp;id=47314&amp;lvl=3&amp;lin=f&amp;keep=1&amp;srchmode=1&amp;unlock","47314")</f>
        <v>47314</v>
      </c>
      <c r="F1058" t="s">
        <v>760</v>
      </c>
      <c r="G1058" t="str">
        <f>HYPERLINK("http://www.ncbi.nlm.nih.gov/Taxonomy/Browser/wwwtax.cgi?mode=Info&amp;id=47314&amp;lvl=3&amp;lin=f&amp;keep=1&amp;srchmode=1&amp;unlock","Drosophila novamexicana")</f>
        <v>Drosophila novamexicana</v>
      </c>
      <c r="H1058" t="s">
        <v>953</v>
      </c>
      <c r="I1058" t="str">
        <f>HYPERLINK("http://www.ncbi.nlm.nih.gov/protein/XP_030563335.1","ryanodine receptor isoform X8")</f>
        <v>ryanodine receptor isoform X8</v>
      </c>
      <c r="J1058">
        <v>2940.21</v>
      </c>
      <c r="K1058" t="s">
        <v>22</v>
      </c>
      <c r="L1058">
        <v>276</v>
      </c>
      <c r="M1058">
        <v>9.75</v>
      </c>
      <c r="N1058">
        <v>28.13</v>
      </c>
      <c r="O1058" t="s">
        <v>19</v>
      </c>
      <c r="P1058" t="s">
        <v>20</v>
      </c>
      <c r="Q1058" t="s">
        <v>19</v>
      </c>
      <c r="R1058" t="str">
        <f>HYPERLINK("https://cfpub.epa.gov/ecotox/explore.cfm?ncbi=47314","Explore in ECOTOX")</f>
        <v>Explore in ECOTOX</v>
      </c>
    </row>
    <row r="1059" spans="1:18" x14ac:dyDescent="0.45">
      <c r="A1059" t="s">
        <v>1264</v>
      </c>
      <c r="B1059">
        <v>8</v>
      </c>
      <c r="C1059" t="str">
        <f>HYPERLINK("http://www.ncbi.nlm.nih.gov/protein/XP_017836907.1","XP_017836907.1")</f>
        <v>XP_017836907.1</v>
      </c>
      <c r="D1059">
        <v>31296</v>
      </c>
      <c r="E1059" t="str">
        <f>HYPERLINK("http://www.ncbi.nlm.nih.gov/Taxonomy/Browser/wwwtax.cgi?mode=Info&amp;id=30019&amp;lvl=3&amp;lin=f&amp;keep=1&amp;srchmode=1&amp;unlock","30019")</f>
        <v>30019</v>
      </c>
      <c r="F1059" t="s">
        <v>760</v>
      </c>
      <c r="G1059" t="str">
        <f>HYPERLINK("http://www.ncbi.nlm.nih.gov/Taxonomy/Browser/wwwtax.cgi?mode=Info&amp;id=30019&amp;lvl=3&amp;lin=f&amp;keep=1&amp;srchmode=1&amp;unlock","Drosophila busckii")</f>
        <v>Drosophila busckii</v>
      </c>
      <c r="H1059" t="s">
        <v>953</v>
      </c>
      <c r="I1059" t="str">
        <f>HYPERLINK("http://www.ncbi.nlm.nih.gov/protein/XP_017836907.1","ryanodine receptor isoform X14")</f>
        <v>ryanodine receptor isoform X14</v>
      </c>
      <c r="J1059">
        <v>2939.83</v>
      </c>
      <c r="K1059" t="s">
        <v>22</v>
      </c>
      <c r="L1059">
        <v>276</v>
      </c>
      <c r="M1059">
        <v>9.75</v>
      </c>
      <c r="N1059">
        <v>28.12</v>
      </c>
      <c r="O1059" t="s">
        <v>19</v>
      </c>
      <c r="P1059" t="s">
        <v>20</v>
      </c>
      <c r="Q1059" t="s">
        <v>19</v>
      </c>
      <c r="R1059" t="str">
        <f>HYPERLINK("https://cfpub.epa.gov/ecotox/explore.cfm?ncbi=30019","Explore in ECOTOX")</f>
        <v>Explore in ECOTOX</v>
      </c>
    </row>
    <row r="1060" spans="1:18" x14ac:dyDescent="0.45">
      <c r="A1060" t="s">
        <v>1264</v>
      </c>
      <c r="B1060">
        <v>8</v>
      </c>
      <c r="C1060" t="str">
        <f>HYPERLINK("http://www.ncbi.nlm.nih.gov/protein/CAG9803774.1","CAG9803774.1")</f>
        <v>CAG9803774.1</v>
      </c>
      <c r="D1060">
        <v>16779</v>
      </c>
      <c r="E1060" t="str">
        <f>HYPERLINK("http://www.ncbi.nlm.nih.gov/Taxonomy/Browser/wwwtax.cgi?mode=Info&amp;id=315576&amp;lvl=3&amp;lin=f&amp;keep=1&amp;srchmode=1&amp;unlock","315576")</f>
        <v>315576</v>
      </c>
      <c r="F1060" t="s">
        <v>760</v>
      </c>
      <c r="G1060" t="str">
        <f>HYPERLINK("http://www.ncbi.nlm.nih.gov/Taxonomy/Browser/wwwtax.cgi?mode=Info&amp;id=315576&amp;lvl=3&amp;lin=f&amp;keep=1&amp;srchmode=1&amp;unlock","Chironomus riparius")</f>
        <v>Chironomus riparius</v>
      </c>
      <c r="H1060" t="s">
        <v>974</v>
      </c>
      <c r="I1060" t="str">
        <f>HYPERLINK("http://www.ncbi.nlm.nih.gov/protein/CAG9803774.1","unnamed protein product")</f>
        <v>unnamed protein product</v>
      </c>
      <c r="J1060">
        <v>2939.83</v>
      </c>
      <c r="K1060" t="s">
        <v>22</v>
      </c>
      <c r="L1060">
        <v>276</v>
      </c>
      <c r="M1060">
        <v>9.75</v>
      </c>
      <c r="N1060">
        <v>28.12</v>
      </c>
      <c r="O1060" t="s">
        <v>19</v>
      </c>
      <c r="P1060" t="s">
        <v>20</v>
      </c>
      <c r="Q1060" t="s">
        <v>19</v>
      </c>
      <c r="R1060" t="str">
        <f>HYPERLINK("https://cfpub.epa.gov/ecotox/explore.cfm?ncbi=315576","Explore in ECOTOX")</f>
        <v>Explore in ECOTOX</v>
      </c>
    </row>
    <row r="1061" spans="1:18" x14ac:dyDescent="0.45">
      <c r="A1061" t="s">
        <v>1264</v>
      </c>
      <c r="B1061">
        <v>8</v>
      </c>
      <c r="C1061" t="str">
        <f>HYPERLINK("http://www.ncbi.nlm.nih.gov/protein/XP_026820068.1","XP_026820068.1")</f>
        <v>XP_026820068.1</v>
      </c>
      <c r="D1061">
        <v>19618</v>
      </c>
      <c r="E1061" t="str">
        <f>HYPERLINK("http://www.ncbi.nlm.nih.gov/Taxonomy/Browser/wwwtax.cgi?mode=Info&amp;id=43146&amp;lvl=3&amp;lin=f&amp;keep=1&amp;srchmode=1&amp;unlock","43146")</f>
        <v>43146</v>
      </c>
      <c r="F1061" t="s">
        <v>760</v>
      </c>
      <c r="G1061" t="str">
        <f>HYPERLINK("http://www.ncbi.nlm.nih.gov/Taxonomy/Browser/wwwtax.cgi?mode=Info&amp;id=43146&amp;lvl=3&amp;lin=f&amp;keep=1&amp;srchmode=1&amp;unlock","Rhopalosiphum maidis")</f>
        <v>Rhopalosiphum maidis</v>
      </c>
      <c r="H1061" t="s">
        <v>975</v>
      </c>
      <c r="I1061" t="str">
        <f>HYPERLINK("http://www.ncbi.nlm.nih.gov/protein/XP_026820068.1","LOW QUALITY PROTEIN: ryanodine receptor")</f>
        <v>LOW QUALITY PROTEIN: ryanodine receptor</v>
      </c>
      <c r="J1061">
        <v>2939.44</v>
      </c>
      <c r="K1061" t="s">
        <v>22</v>
      </c>
      <c r="L1061">
        <v>276</v>
      </c>
      <c r="M1061">
        <v>9.75</v>
      </c>
      <c r="N1061">
        <v>28.12</v>
      </c>
      <c r="O1061" t="s">
        <v>19</v>
      </c>
      <c r="P1061" t="s">
        <v>20</v>
      </c>
      <c r="Q1061" t="s">
        <v>19</v>
      </c>
      <c r="R1061" t="str">
        <f>HYPERLINK("https://cfpub.epa.gov/ecotox/explore.cfm?ncbi=43146","Explore in ECOTOX")</f>
        <v>Explore in ECOTOX</v>
      </c>
    </row>
    <row r="1062" spans="1:18" x14ac:dyDescent="0.45">
      <c r="A1062" t="s">
        <v>1264</v>
      </c>
      <c r="B1062">
        <v>8</v>
      </c>
      <c r="C1062" t="str">
        <f>HYPERLINK("http://www.ncbi.nlm.nih.gov/protein/KAH8237323.1","KAH8237323.1")</f>
        <v>KAH8237323.1</v>
      </c>
      <c r="D1062">
        <v>12188</v>
      </c>
      <c r="E1062" t="str">
        <f>HYPERLINK("http://www.ncbi.nlm.nih.gov/Taxonomy/Browser/wwwtax.cgi?mode=Info&amp;id=244254&amp;lvl=3&amp;lin=f&amp;keep=1&amp;srchmode=1&amp;unlock","244254")</f>
        <v>244254</v>
      </c>
      <c r="F1062" t="s">
        <v>760</v>
      </c>
      <c r="G1062" t="str">
        <f>HYPERLINK("http://www.ncbi.nlm.nih.gov/Taxonomy/Browser/wwwtax.cgi?mode=Info&amp;id=244254&amp;lvl=3&amp;lin=f&amp;keep=1&amp;srchmode=1&amp;unlock","Drosophila bunnanda")</f>
        <v>Drosophila bunnanda</v>
      </c>
      <c r="H1062" t="s">
        <v>953</v>
      </c>
      <c r="I1062" t="str">
        <f>HYPERLINK("http://www.ncbi.nlm.nih.gov/protein/KAH8237323.1","hypothetical protein KR038_009777")</f>
        <v>hypothetical protein KR038_009777</v>
      </c>
      <c r="J1062">
        <v>2939.44</v>
      </c>
      <c r="K1062" t="s">
        <v>22</v>
      </c>
      <c r="L1062">
        <v>276</v>
      </c>
      <c r="M1062">
        <v>9.75</v>
      </c>
      <c r="N1062">
        <v>28.12</v>
      </c>
      <c r="O1062" t="s">
        <v>19</v>
      </c>
      <c r="P1062" t="s">
        <v>20</v>
      </c>
      <c r="Q1062" t="s">
        <v>19</v>
      </c>
      <c r="R1062" t="str">
        <f>HYPERLINK("https://cfpub.epa.gov/ecotox/explore.cfm?ncbi=244254","Explore in ECOTOX")</f>
        <v>Explore in ECOTOX</v>
      </c>
    </row>
    <row r="1063" spans="1:18" x14ac:dyDescent="0.45">
      <c r="A1063" t="s">
        <v>1264</v>
      </c>
      <c r="B1063">
        <v>8</v>
      </c>
      <c r="C1063" t="str">
        <f>HYPERLINK("http://www.ncbi.nlm.nih.gov/protein/XP_041565746.1","XP_041565746.1")</f>
        <v>XP_041565746.1</v>
      </c>
      <c r="D1063">
        <v>23515</v>
      </c>
      <c r="E1063" t="str">
        <f>HYPERLINK("http://www.ncbi.nlm.nih.gov/Taxonomy/Browser/wwwtax.cgi?mode=Info&amp;id=30023&amp;lvl=3&amp;lin=f&amp;keep=1&amp;srchmode=1&amp;unlock","30023")</f>
        <v>30023</v>
      </c>
      <c r="F1063" t="s">
        <v>760</v>
      </c>
      <c r="G1063" t="str">
        <f>HYPERLINK("http://www.ncbi.nlm.nih.gov/Taxonomy/Browser/wwwtax.cgi?mode=Info&amp;id=30023&amp;lvl=3&amp;lin=f&amp;keep=1&amp;srchmode=1&amp;unlock","Drosophila elegans")</f>
        <v>Drosophila elegans</v>
      </c>
      <c r="H1063" t="s">
        <v>953</v>
      </c>
      <c r="I1063" t="str">
        <f>HYPERLINK("http://www.ncbi.nlm.nih.gov/protein/XP_041565746.1","ryanodine receptor isoform X10")</f>
        <v>ryanodine receptor isoform X10</v>
      </c>
      <c r="J1063">
        <v>2939.44</v>
      </c>
      <c r="K1063" t="s">
        <v>22</v>
      </c>
      <c r="L1063">
        <v>276</v>
      </c>
      <c r="M1063">
        <v>9.75</v>
      </c>
      <c r="N1063">
        <v>28.12</v>
      </c>
      <c r="O1063" t="s">
        <v>19</v>
      </c>
      <c r="P1063" t="s">
        <v>20</v>
      </c>
      <c r="Q1063" t="s">
        <v>19</v>
      </c>
      <c r="R1063" t="str">
        <f>HYPERLINK("https://cfpub.epa.gov/ecotox/explore.cfm?ncbi=30023","Explore in ECOTOX")</f>
        <v>Explore in ECOTOX</v>
      </c>
    </row>
    <row r="1064" spans="1:18" x14ac:dyDescent="0.45">
      <c r="A1064" t="s">
        <v>1264</v>
      </c>
      <c r="B1064">
        <v>8</v>
      </c>
      <c r="C1064" t="str">
        <f>HYPERLINK("http://www.ncbi.nlm.nih.gov/protein/XP_052843598.1","XP_052843598.1")</f>
        <v>XP_052843598.1</v>
      </c>
      <c r="D1064">
        <v>38898</v>
      </c>
      <c r="E1064" t="str">
        <f>HYPERLINK("http://www.ncbi.nlm.nih.gov/Taxonomy/Browser/wwwtax.cgi?mode=Info&amp;id=103775&amp;lvl=3&amp;lin=f&amp;keep=1&amp;srchmode=1&amp;unlock","103775")</f>
        <v>103775</v>
      </c>
      <c r="F1064" t="s">
        <v>760</v>
      </c>
      <c r="G1064" t="str">
        <f>HYPERLINK("http://www.ncbi.nlm.nih.gov/Taxonomy/Browser/wwwtax.cgi?mode=Info&amp;id=103775&amp;lvl=3&amp;lin=f&amp;keep=1&amp;srchmode=1&amp;unlock","Drosophila gunungcola")</f>
        <v>Drosophila gunungcola</v>
      </c>
      <c r="H1064" t="s">
        <v>976</v>
      </c>
      <c r="I1064" t="str">
        <f>HYPERLINK("http://www.ncbi.nlm.nih.gov/protein/XP_052843598.1","ryanodine receptor isoform X16")</f>
        <v>ryanodine receptor isoform X16</v>
      </c>
      <c r="J1064">
        <v>2939.06</v>
      </c>
      <c r="K1064" t="s">
        <v>22</v>
      </c>
      <c r="L1064">
        <v>276</v>
      </c>
      <c r="M1064">
        <v>9.75</v>
      </c>
      <c r="N1064">
        <v>28.11</v>
      </c>
      <c r="O1064" t="s">
        <v>19</v>
      </c>
      <c r="P1064" t="s">
        <v>20</v>
      </c>
      <c r="Q1064" t="s">
        <v>19</v>
      </c>
      <c r="R1064" t="str">
        <f>HYPERLINK("https://cfpub.epa.gov/ecotox/explore.cfm?ncbi=103775","Explore in ECOTOX")</f>
        <v>Explore in ECOTOX</v>
      </c>
    </row>
    <row r="1065" spans="1:18" x14ac:dyDescent="0.45">
      <c r="A1065" t="s">
        <v>1264</v>
      </c>
      <c r="B1065">
        <v>8</v>
      </c>
      <c r="C1065" t="str">
        <f>HYPERLINK("http://www.ncbi.nlm.nih.gov/protein/KAH8405535.1","KAH8405535.1")</f>
        <v>KAH8405535.1</v>
      </c>
      <c r="D1065">
        <v>12310</v>
      </c>
      <c r="E1065" t="str">
        <f>HYPERLINK("http://www.ncbi.nlm.nih.gov/Taxonomy/Browser/wwwtax.cgi?mode=Info&amp;id=88886&amp;lvl=3&amp;lin=f&amp;keep=1&amp;srchmode=1&amp;unlock","88886")</f>
        <v>88886</v>
      </c>
      <c r="F1065" t="s">
        <v>760</v>
      </c>
      <c r="G1065" t="str">
        <f>HYPERLINK("http://www.ncbi.nlm.nih.gov/Taxonomy/Browser/wwwtax.cgi?mode=Info&amp;id=88886&amp;lvl=3&amp;lin=f&amp;keep=1&amp;srchmode=1&amp;unlock","Drosophila sulfurigaster")</f>
        <v>Drosophila sulfurigaster</v>
      </c>
      <c r="H1065" t="s">
        <v>953</v>
      </c>
      <c r="I1065" t="str">
        <f>HYPERLINK("http://www.ncbi.nlm.nih.gov/protein/KAH8405535.1","hypothetical protein KR215_002056")</f>
        <v>hypothetical protein KR215_002056</v>
      </c>
      <c r="J1065">
        <v>2939.06</v>
      </c>
      <c r="K1065" t="s">
        <v>22</v>
      </c>
      <c r="L1065">
        <v>276</v>
      </c>
      <c r="M1065">
        <v>9.75</v>
      </c>
      <c r="N1065">
        <v>28.11</v>
      </c>
      <c r="O1065" t="s">
        <v>19</v>
      </c>
      <c r="P1065" t="s">
        <v>20</v>
      </c>
      <c r="Q1065" t="s">
        <v>19</v>
      </c>
      <c r="R1065" t="str">
        <f>HYPERLINK("https://cfpub.epa.gov/ecotox/explore.cfm?ncbi=88886","Explore in ECOTOX")</f>
        <v>Explore in ECOTOX</v>
      </c>
    </row>
    <row r="1066" spans="1:18" x14ac:dyDescent="0.45">
      <c r="A1066" t="s">
        <v>1264</v>
      </c>
      <c r="B1066">
        <v>8</v>
      </c>
      <c r="C1066" t="str">
        <f>HYPERLINK("http://www.ncbi.nlm.nih.gov/protein/XP_055318056.1","XP_055318056.1")</f>
        <v>XP_055318056.1</v>
      </c>
      <c r="D1066">
        <v>32634</v>
      </c>
      <c r="E1066" t="str">
        <f>HYPERLINK("http://www.ncbi.nlm.nih.gov/Taxonomy/Browser/wwwtax.cgi?mode=Info&amp;id=263140&amp;lvl=3&amp;lin=f&amp;keep=1&amp;srchmode=1&amp;unlock","263140")</f>
        <v>263140</v>
      </c>
      <c r="F1066" t="s">
        <v>760</v>
      </c>
      <c r="G1066" t="str">
        <f>HYPERLINK("http://www.ncbi.nlm.nih.gov/Taxonomy/Browser/wwwtax.cgi?mode=Info&amp;id=263140&amp;lvl=3&amp;lin=f&amp;keep=1&amp;srchmode=1&amp;unlock","Sitodiplosis mosellana")</f>
        <v>Sitodiplosis mosellana</v>
      </c>
      <c r="H1066" t="s">
        <v>977</v>
      </c>
      <c r="I1066" t="str">
        <f>HYPERLINK("http://www.ncbi.nlm.nih.gov/protein/XP_055318056.1","ryanodine receptor isoform X12")</f>
        <v>ryanodine receptor isoform X12</v>
      </c>
      <c r="J1066">
        <v>2938.29</v>
      </c>
      <c r="K1066" t="s">
        <v>22</v>
      </c>
      <c r="L1066">
        <v>276</v>
      </c>
      <c r="M1066">
        <v>9.75</v>
      </c>
      <c r="N1066">
        <v>28.11</v>
      </c>
      <c r="O1066" t="s">
        <v>19</v>
      </c>
      <c r="P1066" t="s">
        <v>20</v>
      </c>
      <c r="Q1066" t="s">
        <v>19</v>
      </c>
      <c r="R1066" t="str">
        <f>HYPERLINK("https://cfpub.epa.gov/ecotox/explore.cfm?ncbi=263140","Explore in ECOTOX")</f>
        <v>Explore in ECOTOX</v>
      </c>
    </row>
    <row r="1067" spans="1:18" x14ac:dyDescent="0.45">
      <c r="A1067" t="s">
        <v>1264</v>
      </c>
      <c r="B1067">
        <v>8</v>
      </c>
      <c r="C1067" t="str">
        <f>HYPERLINK("http://www.ncbi.nlm.nih.gov/protein/XP_043641243.1","XP_043641243.1")</f>
        <v>XP_043641243.1</v>
      </c>
      <c r="D1067">
        <v>23651</v>
      </c>
      <c r="E1067" t="str">
        <f>HYPERLINK("http://www.ncbi.nlm.nih.gov/Taxonomy/Browser/wwwtax.cgi?mode=Info&amp;id=7243&amp;lvl=3&amp;lin=f&amp;keep=1&amp;srchmode=1&amp;unlock","7243")</f>
        <v>7243</v>
      </c>
      <c r="F1067" t="s">
        <v>760</v>
      </c>
      <c r="G1067" t="str">
        <f>HYPERLINK("http://www.ncbi.nlm.nih.gov/Taxonomy/Browser/wwwtax.cgi?mode=Info&amp;id=7243&amp;lvl=3&amp;lin=f&amp;keep=1&amp;srchmode=1&amp;unlock","Drosophila teissieri")</f>
        <v>Drosophila teissieri</v>
      </c>
      <c r="H1067" t="s">
        <v>953</v>
      </c>
      <c r="I1067" t="str">
        <f>HYPERLINK("http://www.ncbi.nlm.nih.gov/protein/XP_043641243.1","ryanodine receptor isoform X18")</f>
        <v>ryanodine receptor isoform X18</v>
      </c>
      <c r="J1067">
        <v>2938.29</v>
      </c>
      <c r="K1067" t="s">
        <v>22</v>
      </c>
      <c r="L1067">
        <v>276</v>
      </c>
      <c r="M1067">
        <v>9.75</v>
      </c>
      <c r="N1067">
        <v>28.11</v>
      </c>
      <c r="O1067" t="s">
        <v>19</v>
      </c>
      <c r="P1067" t="s">
        <v>20</v>
      </c>
      <c r="Q1067" t="s">
        <v>19</v>
      </c>
      <c r="R1067" t="str">
        <f>HYPERLINK("https://cfpub.epa.gov/ecotox/explore.cfm?ncbi=7243","Explore in ECOTOX")</f>
        <v>Explore in ECOTOX</v>
      </c>
    </row>
    <row r="1068" spans="1:18" x14ac:dyDescent="0.45">
      <c r="A1068" t="s">
        <v>1264</v>
      </c>
      <c r="B1068">
        <v>8</v>
      </c>
      <c r="C1068" t="str">
        <f>HYPERLINK("http://www.ncbi.nlm.nih.gov/protein/XP_034653206.1","XP_034653206.1")</f>
        <v>XP_034653206.1</v>
      </c>
      <c r="D1068">
        <v>23554</v>
      </c>
      <c r="E1068" t="str">
        <f>HYPERLINK("http://www.ncbi.nlm.nih.gov/Taxonomy/Browser/wwwtax.cgi?mode=Info&amp;id=7241&amp;lvl=3&amp;lin=f&amp;keep=1&amp;srchmode=1&amp;unlock","7241")</f>
        <v>7241</v>
      </c>
      <c r="F1068" t="s">
        <v>760</v>
      </c>
      <c r="G1068" t="str">
        <f>HYPERLINK("http://www.ncbi.nlm.nih.gov/Taxonomy/Browser/wwwtax.cgi?mode=Info&amp;id=7241&amp;lvl=3&amp;lin=f&amp;keep=1&amp;srchmode=1&amp;unlock","Drosophila subobscura")</f>
        <v>Drosophila subobscura</v>
      </c>
      <c r="H1068" t="s">
        <v>953</v>
      </c>
      <c r="I1068" t="str">
        <f>HYPERLINK("http://www.ncbi.nlm.nih.gov/protein/XP_034653206.1","LOW QUALITY PROTEIN: ryanodine receptor")</f>
        <v>LOW QUALITY PROTEIN: ryanodine receptor</v>
      </c>
      <c r="J1068">
        <v>2938.29</v>
      </c>
      <c r="K1068" t="s">
        <v>22</v>
      </c>
      <c r="L1068">
        <v>276</v>
      </c>
      <c r="M1068">
        <v>9.75</v>
      </c>
      <c r="N1068">
        <v>28.11</v>
      </c>
      <c r="O1068" t="s">
        <v>19</v>
      </c>
      <c r="P1068" t="s">
        <v>20</v>
      </c>
      <c r="Q1068" t="s">
        <v>19</v>
      </c>
      <c r="R1068" t="str">
        <f>HYPERLINK("https://cfpub.epa.gov/ecotox/explore.cfm?ncbi=7241","Explore in ECOTOX")</f>
        <v>Explore in ECOTOX</v>
      </c>
    </row>
    <row r="1069" spans="1:18" x14ac:dyDescent="0.45">
      <c r="A1069" t="s">
        <v>1264</v>
      </c>
      <c r="B1069">
        <v>8</v>
      </c>
      <c r="C1069" t="str">
        <f>HYPERLINK("http://www.ncbi.nlm.nih.gov/protein/XP_045464163.1","XP_045464163.1")</f>
        <v>XP_045464163.1</v>
      </c>
      <c r="D1069">
        <v>24467</v>
      </c>
      <c r="E1069" t="str">
        <f>HYPERLINK("http://www.ncbi.nlm.nih.gov/Taxonomy/Browser/wwwtax.cgi?mode=Info&amp;id=115357&amp;lvl=3&amp;lin=f&amp;keep=1&amp;srchmode=1&amp;unlock","115357")</f>
        <v>115357</v>
      </c>
      <c r="F1069" t="s">
        <v>760</v>
      </c>
      <c r="G1069" t="str">
        <f>HYPERLINK("http://www.ncbi.nlm.nih.gov/Taxonomy/Browser/wwwtax.cgi?mode=Info&amp;id=115357&amp;lvl=3&amp;lin=f&amp;keep=1&amp;srchmode=1&amp;unlock","Harmonia axyridis")</f>
        <v>Harmonia axyridis</v>
      </c>
      <c r="H1069" t="s">
        <v>978</v>
      </c>
      <c r="I1069" t="str">
        <f>HYPERLINK("http://www.ncbi.nlm.nih.gov/protein/XP_045464163.1","ryanodine receptor isoform X3")</f>
        <v>ryanodine receptor isoform X3</v>
      </c>
      <c r="J1069">
        <v>2936.75</v>
      </c>
      <c r="K1069" t="s">
        <v>22</v>
      </c>
      <c r="L1069">
        <v>276</v>
      </c>
      <c r="M1069">
        <v>9.75</v>
      </c>
      <c r="N1069">
        <v>28.09</v>
      </c>
      <c r="O1069" t="s">
        <v>19</v>
      </c>
      <c r="P1069" t="s">
        <v>20</v>
      </c>
      <c r="Q1069" t="s">
        <v>19</v>
      </c>
      <c r="R1069" t="str">
        <f>HYPERLINK("https://cfpub.epa.gov/ecotox/explore.cfm?ncbi=115357","Explore in ECOTOX")</f>
        <v>Explore in ECOTOX</v>
      </c>
    </row>
    <row r="1070" spans="1:18" x14ac:dyDescent="0.45">
      <c r="A1070" t="s">
        <v>1264</v>
      </c>
      <c r="B1070">
        <v>8</v>
      </c>
      <c r="C1070" t="str">
        <f>HYPERLINK("http://www.ncbi.nlm.nih.gov/protein/XP_015053999.1","XP_015053999.1")</f>
        <v>XP_015053999.1</v>
      </c>
      <c r="D1070">
        <v>50578</v>
      </c>
      <c r="E1070" t="str">
        <f>HYPERLINK("http://www.ncbi.nlm.nih.gov/Taxonomy/Browser/wwwtax.cgi?mode=Info&amp;id=7245&amp;lvl=3&amp;lin=f&amp;keep=1&amp;srchmode=1&amp;unlock","7245")</f>
        <v>7245</v>
      </c>
      <c r="F1070" t="s">
        <v>760</v>
      </c>
      <c r="G1070" t="str">
        <f>HYPERLINK("http://www.ncbi.nlm.nih.gov/Taxonomy/Browser/wwwtax.cgi?mode=Info&amp;id=7245&amp;lvl=3&amp;lin=f&amp;keep=1&amp;srchmode=1&amp;unlock","Drosophila yakuba")</f>
        <v>Drosophila yakuba</v>
      </c>
      <c r="H1070" t="s">
        <v>953</v>
      </c>
      <c r="I1070" t="str">
        <f>HYPERLINK("http://www.ncbi.nlm.nih.gov/protein/XP_015053999.1","ryanodine receptor isoform X12")</f>
        <v>ryanodine receptor isoform X12</v>
      </c>
      <c r="J1070">
        <v>2935.98</v>
      </c>
      <c r="K1070" t="s">
        <v>22</v>
      </c>
      <c r="L1070">
        <v>276</v>
      </c>
      <c r="M1070">
        <v>9.75</v>
      </c>
      <c r="N1070">
        <v>28.09</v>
      </c>
      <c r="O1070" t="s">
        <v>19</v>
      </c>
      <c r="P1070" t="s">
        <v>20</v>
      </c>
      <c r="Q1070" t="s">
        <v>19</v>
      </c>
      <c r="R1070" t="str">
        <f>HYPERLINK("https://cfpub.epa.gov/ecotox/explore.cfm?ncbi=7245","Explore in ECOTOX")</f>
        <v>Explore in ECOTOX</v>
      </c>
    </row>
    <row r="1071" spans="1:18" x14ac:dyDescent="0.45">
      <c r="A1071" t="s">
        <v>1264</v>
      </c>
      <c r="B1071">
        <v>8</v>
      </c>
      <c r="C1071" t="str">
        <f>HYPERLINK("http://www.ncbi.nlm.nih.gov/protein/KQS70853.1","KQS70853.1")</f>
        <v>KQS70853.1</v>
      </c>
      <c r="D1071">
        <v>42776</v>
      </c>
      <c r="E1071" t="str">
        <f>HYPERLINK("http://www.ncbi.nlm.nih.gov/Taxonomy/Browser/wwwtax.cgi?mode=Info&amp;id=7220&amp;lvl=3&amp;lin=f&amp;keep=1&amp;srchmode=1&amp;unlock","7220")</f>
        <v>7220</v>
      </c>
      <c r="F1071" t="s">
        <v>760</v>
      </c>
      <c r="G1071" t="str">
        <f>HYPERLINK("http://www.ncbi.nlm.nih.gov/Taxonomy/Browser/wwwtax.cgi?mode=Info&amp;id=7220&amp;lvl=3&amp;lin=f&amp;keep=1&amp;srchmode=1&amp;unlock","Drosophila erecta")</f>
        <v>Drosophila erecta</v>
      </c>
      <c r="H1071" t="s">
        <v>953</v>
      </c>
      <c r="I1071" t="str">
        <f>HYPERLINK("http://www.ncbi.nlm.nih.gov/protein/KQS70853.1","uncharacterized protein Dere_GG23389, isoform V")</f>
        <v>uncharacterized protein Dere_GG23389, isoform V</v>
      </c>
      <c r="J1071">
        <v>2935.59</v>
      </c>
      <c r="K1071" t="s">
        <v>22</v>
      </c>
      <c r="L1071">
        <v>276</v>
      </c>
      <c r="M1071">
        <v>9.75</v>
      </c>
      <c r="N1071">
        <v>28.08</v>
      </c>
      <c r="O1071" t="s">
        <v>19</v>
      </c>
      <c r="P1071" t="s">
        <v>20</v>
      </c>
      <c r="Q1071" t="s">
        <v>19</v>
      </c>
      <c r="R1071" t="str">
        <f>HYPERLINK("https://cfpub.epa.gov/ecotox/explore.cfm?ncbi=7220","Explore in ECOTOX")</f>
        <v>Explore in ECOTOX</v>
      </c>
    </row>
    <row r="1072" spans="1:18" x14ac:dyDescent="0.45">
      <c r="A1072" t="s">
        <v>1264</v>
      </c>
      <c r="B1072">
        <v>8</v>
      </c>
      <c r="C1072" t="str">
        <f>HYPERLINK("http://www.ncbi.nlm.nih.gov/protein/NP_001246208.1","NP_001246208.1")</f>
        <v>NP_001246208.1</v>
      </c>
      <c r="D1072">
        <v>113791</v>
      </c>
      <c r="E1072" t="str">
        <f>HYPERLINK("http://www.ncbi.nlm.nih.gov/Taxonomy/Browser/wwwtax.cgi?mode=Info&amp;id=7227&amp;lvl=3&amp;lin=f&amp;keep=1&amp;srchmode=1&amp;unlock","7227")</f>
        <v>7227</v>
      </c>
      <c r="F1072" t="s">
        <v>760</v>
      </c>
      <c r="G1072" t="str">
        <f>HYPERLINK("http://www.ncbi.nlm.nih.gov/Taxonomy/Browser/wwwtax.cgi?mode=Info&amp;id=7227&amp;lvl=3&amp;lin=f&amp;keep=1&amp;srchmode=1&amp;unlock","Drosophila melanogaster")</f>
        <v>Drosophila melanogaster</v>
      </c>
      <c r="H1072" t="s">
        <v>976</v>
      </c>
      <c r="I1072" t="str">
        <f>HYPERLINK("http://www.ncbi.nlm.nih.gov/protein/NP_001246208.1","ryanodine receptor, isoform F")</f>
        <v>ryanodine receptor, isoform F</v>
      </c>
      <c r="J1072">
        <v>2935.59</v>
      </c>
      <c r="K1072" t="s">
        <v>22</v>
      </c>
      <c r="L1072">
        <v>276</v>
      </c>
      <c r="M1072">
        <v>9.75</v>
      </c>
      <c r="N1072">
        <v>28.08</v>
      </c>
      <c r="O1072" t="s">
        <v>19</v>
      </c>
      <c r="P1072" t="s">
        <v>20</v>
      </c>
      <c r="Q1072" t="s">
        <v>19</v>
      </c>
      <c r="R1072" t="str">
        <f>HYPERLINK("https://cfpub.epa.gov/ecotox/explore.cfm?ncbi=7227","Explore in ECOTOX")</f>
        <v>Explore in ECOTOX</v>
      </c>
    </row>
    <row r="1073" spans="1:18" x14ac:dyDescent="0.45">
      <c r="A1073" t="s">
        <v>1264</v>
      </c>
      <c r="B1073">
        <v>8</v>
      </c>
      <c r="C1073" t="str">
        <f>HYPERLINK("http://www.ncbi.nlm.nih.gov/protein/XP_033156590.1","XP_033156590.1")</f>
        <v>XP_033156590.1</v>
      </c>
      <c r="D1073">
        <v>24094</v>
      </c>
      <c r="E1073" t="str">
        <f>HYPERLINK("http://www.ncbi.nlm.nih.gov/Taxonomy/Browser/wwwtax.cgi?mode=Info&amp;id=7226&amp;lvl=3&amp;lin=f&amp;keep=1&amp;srchmode=1&amp;unlock","7226")</f>
        <v>7226</v>
      </c>
      <c r="F1073" t="s">
        <v>760</v>
      </c>
      <c r="G1073" t="str">
        <f>HYPERLINK("http://www.ncbi.nlm.nih.gov/Taxonomy/Browser/wwwtax.cgi?mode=Info&amp;id=7226&amp;lvl=3&amp;lin=f&amp;keep=1&amp;srchmode=1&amp;unlock","Drosophila mauritiana")</f>
        <v>Drosophila mauritiana</v>
      </c>
      <c r="H1073" t="s">
        <v>953</v>
      </c>
      <c r="I1073" t="str">
        <f>HYPERLINK("http://www.ncbi.nlm.nih.gov/protein/XP_033156590.1","ryanodine receptor isoform X14")</f>
        <v>ryanodine receptor isoform X14</v>
      </c>
      <c r="J1073">
        <v>2935.21</v>
      </c>
      <c r="K1073" t="s">
        <v>22</v>
      </c>
      <c r="L1073">
        <v>276</v>
      </c>
      <c r="M1073">
        <v>9.75</v>
      </c>
      <c r="N1073">
        <v>28.08</v>
      </c>
      <c r="O1073" t="s">
        <v>19</v>
      </c>
      <c r="P1073" t="s">
        <v>20</v>
      </c>
      <c r="Q1073" t="s">
        <v>19</v>
      </c>
      <c r="R1073" t="str">
        <f>HYPERLINK("https://cfpub.epa.gov/ecotox/explore.cfm?ncbi=7226","Explore in ECOTOX")</f>
        <v>Explore in ECOTOX</v>
      </c>
    </row>
    <row r="1074" spans="1:18" x14ac:dyDescent="0.45">
      <c r="A1074" t="s">
        <v>1264</v>
      </c>
      <c r="B1074">
        <v>8</v>
      </c>
      <c r="C1074" t="str">
        <f>HYPERLINK("http://www.ncbi.nlm.nih.gov/protein/XP_039480417.1","XP_039480417.1")</f>
        <v>XP_039480417.1</v>
      </c>
      <c r="D1074">
        <v>25342</v>
      </c>
      <c r="E1074" t="str">
        <f>HYPERLINK("http://www.ncbi.nlm.nih.gov/Taxonomy/Browser/wwwtax.cgi?mode=Info&amp;id=129105&amp;lvl=3&amp;lin=f&amp;keep=1&amp;srchmode=1&amp;unlock","129105")</f>
        <v>129105</v>
      </c>
      <c r="F1074" t="s">
        <v>760</v>
      </c>
      <c r="G1074" t="str">
        <f>HYPERLINK("http://www.ncbi.nlm.nih.gov/Taxonomy/Browser/wwwtax.cgi?mode=Info&amp;id=129105&amp;lvl=3&amp;lin=f&amp;keep=1&amp;srchmode=1&amp;unlock","Drosophila santomea")</f>
        <v>Drosophila santomea</v>
      </c>
      <c r="H1074" t="s">
        <v>953</v>
      </c>
      <c r="I1074" t="str">
        <f>HYPERLINK("http://www.ncbi.nlm.nih.gov/protein/XP_039480417.1","ryanodine receptor isoform X5")</f>
        <v>ryanodine receptor isoform X5</v>
      </c>
      <c r="J1074">
        <v>2935.21</v>
      </c>
      <c r="K1074" t="s">
        <v>22</v>
      </c>
      <c r="L1074">
        <v>276</v>
      </c>
      <c r="M1074">
        <v>9.75</v>
      </c>
      <c r="N1074">
        <v>28.08</v>
      </c>
      <c r="O1074" t="s">
        <v>19</v>
      </c>
      <c r="P1074" t="s">
        <v>20</v>
      </c>
      <c r="Q1074" t="s">
        <v>19</v>
      </c>
      <c r="R1074" t="str">
        <f>HYPERLINK("https://cfpub.epa.gov/ecotox/explore.cfm?ncbi=129105","Explore in ECOTOX")</f>
        <v>Explore in ECOTOX</v>
      </c>
    </row>
    <row r="1075" spans="1:18" x14ac:dyDescent="0.45">
      <c r="A1075" t="s">
        <v>1264</v>
      </c>
      <c r="B1075">
        <v>8</v>
      </c>
      <c r="C1075" t="str">
        <f>HYPERLINK("http://www.ncbi.nlm.nih.gov/protein/XP_039148616.1","XP_039148616.1")</f>
        <v>XP_039148616.1</v>
      </c>
      <c r="D1075">
        <v>73585</v>
      </c>
      <c r="E1075" t="str">
        <f>HYPERLINK("http://www.ncbi.nlm.nih.gov/Taxonomy/Browser/wwwtax.cgi?mode=Info&amp;id=7240&amp;lvl=3&amp;lin=f&amp;keep=1&amp;srchmode=1&amp;unlock","7240")</f>
        <v>7240</v>
      </c>
      <c r="F1075" t="s">
        <v>760</v>
      </c>
      <c r="G1075" t="str">
        <f>HYPERLINK("http://www.ncbi.nlm.nih.gov/Taxonomy/Browser/wwwtax.cgi?mode=Info&amp;id=7240&amp;lvl=3&amp;lin=f&amp;keep=1&amp;srchmode=1&amp;unlock","Drosophila simulans")</f>
        <v>Drosophila simulans</v>
      </c>
      <c r="H1075" t="s">
        <v>953</v>
      </c>
      <c r="I1075" t="str">
        <f>HYPERLINK("http://www.ncbi.nlm.nih.gov/protein/XP_039148616.1","ryanodine receptor isoform X12")</f>
        <v>ryanodine receptor isoform X12</v>
      </c>
      <c r="J1075">
        <v>2935.21</v>
      </c>
      <c r="K1075" t="s">
        <v>22</v>
      </c>
      <c r="L1075">
        <v>276</v>
      </c>
      <c r="M1075">
        <v>9.75</v>
      </c>
      <c r="N1075">
        <v>28.08</v>
      </c>
      <c r="O1075" t="s">
        <v>19</v>
      </c>
      <c r="P1075" t="s">
        <v>20</v>
      </c>
      <c r="Q1075" t="s">
        <v>19</v>
      </c>
      <c r="R1075" t="str">
        <f>HYPERLINK("https://cfpub.epa.gov/ecotox/explore.cfm?ncbi=7240","Explore in ECOTOX")</f>
        <v>Explore in ECOTOX</v>
      </c>
    </row>
    <row r="1076" spans="1:18" x14ac:dyDescent="0.45">
      <c r="A1076" t="s">
        <v>1264</v>
      </c>
      <c r="B1076">
        <v>8</v>
      </c>
      <c r="C1076" t="str">
        <f>HYPERLINK("http://www.ncbi.nlm.nih.gov/protein/XP_032572729.1","XP_032572729.1")</f>
        <v>XP_032572729.1</v>
      </c>
      <c r="D1076">
        <v>40389</v>
      </c>
      <c r="E1076" t="str">
        <f>HYPERLINK("http://www.ncbi.nlm.nih.gov/Taxonomy/Browser/wwwtax.cgi?mode=Info&amp;id=7238&amp;lvl=3&amp;lin=f&amp;keep=1&amp;srchmode=1&amp;unlock","7238")</f>
        <v>7238</v>
      </c>
      <c r="F1076" t="s">
        <v>760</v>
      </c>
      <c r="G1076" t="str">
        <f>HYPERLINK("http://www.ncbi.nlm.nih.gov/Taxonomy/Browser/wwwtax.cgi?mode=Info&amp;id=7238&amp;lvl=3&amp;lin=f&amp;keep=1&amp;srchmode=1&amp;unlock","Drosophila sechellia")</f>
        <v>Drosophila sechellia</v>
      </c>
      <c r="H1076" t="s">
        <v>953</v>
      </c>
      <c r="I1076" t="str">
        <f>HYPERLINK("http://www.ncbi.nlm.nih.gov/protein/XP_032572729.1","ryanodine receptor isoform X7")</f>
        <v>ryanodine receptor isoform X7</v>
      </c>
      <c r="J1076">
        <v>2934.82</v>
      </c>
      <c r="K1076" t="s">
        <v>22</v>
      </c>
      <c r="L1076">
        <v>276</v>
      </c>
      <c r="M1076">
        <v>9.75</v>
      </c>
      <c r="N1076">
        <v>28.07</v>
      </c>
      <c r="O1076" t="s">
        <v>19</v>
      </c>
      <c r="P1076" t="s">
        <v>20</v>
      </c>
      <c r="Q1076" t="s">
        <v>19</v>
      </c>
      <c r="R1076" t="str">
        <f>HYPERLINK("https://cfpub.epa.gov/ecotox/explore.cfm?ncbi=7238","Explore in ECOTOX")</f>
        <v>Explore in ECOTOX</v>
      </c>
    </row>
    <row r="1077" spans="1:18" x14ac:dyDescent="0.45">
      <c r="A1077" t="s">
        <v>1264</v>
      </c>
      <c r="B1077">
        <v>8</v>
      </c>
      <c r="C1077" t="str">
        <f>HYPERLINK("http://www.ncbi.nlm.nih.gov/protein/XP_032293360.1","XP_032293360.1")</f>
        <v>XP_032293360.1</v>
      </c>
      <c r="D1077">
        <v>44740</v>
      </c>
      <c r="E1077" t="str">
        <f>HYPERLINK("http://www.ncbi.nlm.nih.gov/Taxonomy/Browser/wwwtax.cgi?mode=Info&amp;id=7244&amp;lvl=3&amp;lin=f&amp;keep=1&amp;srchmode=1&amp;unlock","7244")</f>
        <v>7244</v>
      </c>
      <c r="F1077" t="s">
        <v>760</v>
      </c>
      <c r="G1077" t="str">
        <f>HYPERLINK("http://www.ncbi.nlm.nih.gov/Taxonomy/Browser/wwwtax.cgi?mode=Info&amp;id=7244&amp;lvl=3&amp;lin=f&amp;keep=1&amp;srchmode=1&amp;unlock","Drosophila virilis")</f>
        <v>Drosophila virilis</v>
      </c>
      <c r="H1077" t="s">
        <v>953</v>
      </c>
      <c r="I1077" t="str">
        <f>HYPERLINK("http://www.ncbi.nlm.nih.gov/protein/XP_032293360.1","ryanodine receptor isoform X12")</f>
        <v>ryanodine receptor isoform X12</v>
      </c>
      <c r="J1077">
        <v>2934.05</v>
      </c>
      <c r="K1077" t="s">
        <v>22</v>
      </c>
      <c r="L1077">
        <v>276</v>
      </c>
      <c r="M1077">
        <v>9.75</v>
      </c>
      <c r="N1077">
        <v>28.07</v>
      </c>
      <c r="O1077" t="s">
        <v>19</v>
      </c>
      <c r="P1077" t="s">
        <v>20</v>
      </c>
      <c r="Q1077" t="s">
        <v>19</v>
      </c>
      <c r="R1077" t="str">
        <f>HYPERLINK("https://cfpub.epa.gov/ecotox/explore.cfm?ncbi=7244","Explore in ECOTOX")</f>
        <v>Explore in ECOTOX</v>
      </c>
    </row>
    <row r="1078" spans="1:18" x14ac:dyDescent="0.45">
      <c r="A1078" t="s">
        <v>1264</v>
      </c>
      <c r="B1078">
        <v>8</v>
      </c>
      <c r="C1078" t="str">
        <f>HYPERLINK("http://www.ncbi.nlm.nih.gov/protein/XP_017066039.1","XP_017066039.1")</f>
        <v>XP_017066039.1</v>
      </c>
      <c r="D1078">
        <v>22566</v>
      </c>
      <c r="E1078" t="str">
        <f>HYPERLINK("http://www.ncbi.nlm.nih.gov/Taxonomy/Browser/wwwtax.cgi?mode=Info&amp;id=29029&amp;lvl=3&amp;lin=f&amp;keep=1&amp;srchmode=1&amp;unlock","29029")</f>
        <v>29029</v>
      </c>
      <c r="F1078" t="s">
        <v>760</v>
      </c>
      <c r="G1078" t="str">
        <f>HYPERLINK("http://www.ncbi.nlm.nih.gov/Taxonomy/Browser/wwwtax.cgi?mode=Info&amp;id=29029&amp;lvl=3&amp;lin=f&amp;keep=1&amp;srchmode=1&amp;unlock","Drosophila eugracilis")</f>
        <v>Drosophila eugracilis</v>
      </c>
      <c r="H1078" t="s">
        <v>953</v>
      </c>
      <c r="I1078" t="str">
        <f>HYPERLINK("http://www.ncbi.nlm.nih.gov/protein/XP_017066039.1","ryanodine receptor isoform X14")</f>
        <v>ryanodine receptor isoform X14</v>
      </c>
      <c r="J1078">
        <v>2933.28</v>
      </c>
      <c r="K1078" t="s">
        <v>22</v>
      </c>
      <c r="L1078">
        <v>276</v>
      </c>
      <c r="M1078">
        <v>9.75</v>
      </c>
      <c r="N1078">
        <v>28.06</v>
      </c>
      <c r="O1078" t="s">
        <v>19</v>
      </c>
      <c r="P1078" t="s">
        <v>20</v>
      </c>
      <c r="Q1078" t="s">
        <v>19</v>
      </c>
      <c r="R1078" t="str">
        <f>HYPERLINK("https://cfpub.epa.gov/ecotox/explore.cfm?ncbi=29029","Explore in ECOTOX")</f>
        <v>Explore in ECOTOX</v>
      </c>
    </row>
    <row r="1079" spans="1:18" x14ac:dyDescent="0.45">
      <c r="A1079" t="s">
        <v>1264</v>
      </c>
      <c r="B1079">
        <v>8</v>
      </c>
      <c r="C1079" t="str">
        <f>HYPERLINK("http://www.ncbi.nlm.nih.gov/protein/QEE14187.1","QEE14187.1")</f>
        <v>QEE14187.1</v>
      </c>
      <c r="D1079">
        <v>71</v>
      </c>
      <c r="E1079" t="str">
        <f>HYPERLINK("http://www.ncbi.nlm.nih.gov/Taxonomy/Browser/wwwtax.cgi?mode=Info&amp;id=57062&amp;lvl=3&amp;lin=f&amp;keep=1&amp;srchmode=1&amp;unlock","57062")</f>
        <v>57062</v>
      </c>
      <c r="F1079" t="s">
        <v>760</v>
      </c>
      <c r="G1079" t="str">
        <f>HYPERLINK("http://www.ncbi.nlm.nih.gov/Taxonomy/Browser/wwwtax.cgi?mode=Info&amp;id=57062&amp;lvl=3&amp;lin=f&amp;keep=1&amp;srchmode=1&amp;unlock","Hypothenemus hampei")</f>
        <v>Hypothenemus hampei</v>
      </c>
      <c r="H1079" t="s">
        <v>979</v>
      </c>
      <c r="I1079" t="str">
        <f>HYPERLINK("http://www.ncbi.nlm.nih.gov/protein/QEE14187.1","ryanodine receptor")</f>
        <v>ryanodine receptor</v>
      </c>
      <c r="J1079">
        <v>2932.9</v>
      </c>
      <c r="K1079" t="s">
        <v>22</v>
      </c>
      <c r="L1079">
        <v>276</v>
      </c>
      <c r="M1079">
        <v>9.75</v>
      </c>
      <c r="N1079">
        <v>28.06</v>
      </c>
      <c r="O1079" t="s">
        <v>19</v>
      </c>
      <c r="P1079" t="s">
        <v>20</v>
      </c>
      <c r="Q1079" t="s">
        <v>19</v>
      </c>
      <c r="R1079" t="str">
        <f>HYPERLINK("https://cfpub.epa.gov/ecotox/explore.cfm?ncbi=57062","Explore in ECOTOX")</f>
        <v>Explore in ECOTOX</v>
      </c>
    </row>
    <row r="1080" spans="1:18" x14ac:dyDescent="0.45">
      <c r="A1080" t="s">
        <v>1264</v>
      </c>
      <c r="B1080">
        <v>8</v>
      </c>
      <c r="C1080" t="str">
        <f>HYPERLINK("http://www.ncbi.nlm.nih.gov/protein/KAH8316157.1","KAH8316157.1")</f>
        <v>KAH8316157.1</v>
      </c>
      <c r="D1080">
        <v>13796</v>
      </c>
      <c r="E1080" t="str">
        <f>HYPERLINK("http://www.ncbi.nlm.nih.gov/Taxonomy/Browser/wwwtax.cgi?mode=Info&amp;id=1867034&amp;lvl=3&amp;lin=f&amp;keep=1&amp;srchmode=1&amp;unlock","1867034")</f>
        <v>1867034</v>
      </c>
      <c r="F1080" t="s">
        <v>760</v>
      </c>
      <c r="G1080" t="str">
        <f>HYPERLINK("http://www.ncbi.nlm.nih.gov/Taxonomy/Browser/wwwtax.cgi?mode=Info&amp;id=1867034&amp;lvl=3&amp;lin=f&amp;keep=1&amp;srchmode=1&amp;unlock","Drosophila pandora")</f>
        <v>Drosophila pandora</v>
      </c>
      <c r="H1080" t="s">
        <v>953</v>
      </c>
      <c r="I1080" t="str">
        <f>HYPERLINK("http://www.ncbi.nlm.nih.gov/protein/KAH8316157.1","hypothetical protein KR067_000954")</f>
        <v>hypothetical protein KR067_000954</v>
      </c>
      <c r="J1080">
        <v>2932.9</v>
      </c>
      <c r="K1080" t="s">
        <v>22</v>
      </c>
      <c r="L1080">
        <v>276</v>
      </c>
      <c r="M1080">
        <v>9.75</v>
      </c>
      <c r="N1080">
        <v>28.06</v>
      </c>
      <c r="O1080" t="s">
        <v>19</v>
      </c>
      <c r="P1080" t="s">
        <v>20</v>
      </c>
      <c r="Q1080" t="s">
        <v>19</v>
      </c>
      <c r="R1080" t="str">
        <f>HYPERLINK("https://cfpub.epa.gov/ecotox/explore.cfm?ncbi=1867034","Explore in ECOTOX")</f>
        <v>Explore in ECOTOX</v>
      </c>
    </row>
    <row r="1081" spans="1:18" x14ac:dyDescent="0.45">
      <c r="A1081" t="s">
        <v>1264</v>
      </c>
      <c r="B1081">
        <v>8</v>
      </c>
      <c r="C1081" t="str">
        <f>HYPERLINK("http://www.ncbi.nlm.nih.gov/protein/XP_034478185.1","XP_034478185.1")</f>
        <v>XP_034478185.1</v>
      </c>
      <c r="D1081">
        <v>19613</v>
      </c>
      <c r="E1081" t="str">
        <f>HYPERLINK("http://www.ncbi.nlm.nih.gov/Taxonomy/Browser/wwwtax.cgi?mode=Info&amp;id=198719&amp;lvl=3&amp;lin=f&amp;keep=1&amp;srchmode=1&amp;unlock","198719")</f>
        <v>198719</v>
      </c>
      <c r="F1081" t="s">
        <v>760</v>
      </c>
      <c r="G1081" t="str">
        <f>HYPERLINK("http://www.ncbi.nlm.nih.gov/Taxonomy/Browser/wwwtax.cgi?mode=Info&amp;id=198719&amp;lvl=3&amp;lin=f&amp;keep=1&amp;srchmode=1&amp;unlock","Drosophila innubila")</f>
        <v>Drosophila innubila</v>
      </c>
      <c r="H1081" t="s">
        <v>953</v>
      </c>
      <c r="I1081" t="str">
        <f>HYPERLINK("http://www.ncbi.nlm.nih.gov/protein/XP_034478185.1","ryanodine receptor")</f>
        <v>ryanodine receptor</v>
      </c>
      <c r="J1081">
        <v>2932.9</v>
      </c>
      <c r="K1081" t="s">
        <v>22</v>
      </c>
      <c r="L1081">
        <v>276</v>
      </c>
      <c r="M1081">
        <v>9.75</v>
      </c>
      <c r="N1081">
        <v>28.06</v>
      </c>
      <c r="O1081" t="s">
        <v>19</v>
      </c>
      <c r="P1081" t="s">
        <v>20</v>
      </c>
      <c r="Q1081" t="s">
        <v>19</v>
      </c>
      <c r="R1081" t="str">
        <f>HYPERLINK("https://cfpub.epa.gov/ecotox/explore.cfm?ncbi=198719","Explore in ECOTOX")</f>
        <v>Explore in ECOTOX</v>
      </c>
    </row>
    <row r="1082" spans="1:18" x14ac:dyDescent="0.45">
      <c r="A1082" t="s">
        <v>1264</v>
      </c>
      <c r="B1082">
        <v>8</v>
      </c>
      <c r="C1082" t="str">
        <f>HYPERLINK("http://www.ncbi.nlm.nih.gov/protein/KAF5295881.1","KAF5295881.1")</f>
        <v>KAF5295881.1</v>
      </c>
      <c r="D1082">
        <v>20493</v>
      </c>
      <c r="E1082" t="str">
        <f>HYPERLINK("http://www.ncbi.nlm.nih.gov/Taxonomy/Browser/wwwtax.cgi?mode=Info&amp;id=2069292&amp;lvl=3&amp;lin=f&amp;keep=1&amp;srchmode=1&amp;unlock","2069292")</f>
        <v>2069292</v>
      </c>
      <c r="F1082" t="s">
        <v>760</v>
      </c>
      <c r="G1082" t="str">
        <f>HYPERLINK("http://www.ncbi.nlm.nih.gov/Taxonomy/Browser/wwwtax.cgi?mode=Info&amp;id=2069292&amp;lvl=3&amp;lin=f&amp;keep=1&amp;srchmode=1&amp;unlock","Abscondita terminalis")</f>
        <v>Abscondita terminalis</v>
      </c>
      <c r="H1082" t="s">
        <v>980</v>
      </c>
      <c r="I1082" t="str">
        <f>HYPERLINK("http://www.ncbi.nlm.nih.gov/protein/KAF5295881.1","hypothetical protein FQR65_LT10369")</f>
        <v>hypothetical protein FQR65_LT10369</v>
      </c>
      <c r="J1082">
        <v>2932.51</v>
      </c>
      <c r="K1082" t="s">
        <v>22</v>
      </c>
      <c r="L1082">
        <v>276</v>
      </c>
      <c r="M1082">
        <v>9.75</v>
      </c>
      <c r="N1082">
        <v>28.05</v>
      </c>
      <c r="O1082" t="s">
        <v>19</v>
      </c>
      <c r="P1082" t="s">
        <v>20</v>
      </c>
      <c r="Q1082" t="s">
        <v>19</v>
      </c>
      <c r="R1082" t="str">
        <f>HYPERLINK("https://cfpub.epa.gov/ecotox/explore.cfm?ncbi=2069292","Explore in ECOTOX")</f>
        <v>Explore in ECOTOX</v>
      </c>
    </row>
    <row r="1083" spans="1:18" x14ac:dyDescent="0.45">
      <c r="A1083" t="s">
        <v>1264</v>
      </c>
      <c r="B1083">
        <v>8</v>
      </c>
      <c r="C1083" t="str">
        <f>HYPERLINK("http://www.ncbi.nlm.nih.gov/protein/XP_022252763.1","XP_022252763.1")</f>
        <v>XP_022252763.1</v>
      </c>
      <c r="D1083">
        <v>39085</v>
      </c>
      <c r="E1083" t="str">
        <f>HYPERLINK("http://www.ncbi.nlm.nih.gov/Taxonomy/Browser/wwwtax.cgi?mode=Info&amp;id=6850&amp;lvl=3&amp;lin=f&amp;keep=1&amp;srchmode=1&amp;unlock","6850")</f>
        <v>6850</v>
      </c>
      <c r="F1083" t="s">
        <v>981</v>
      </c>
      <c r="G1083" t="str">
        <f>HYPERLINK("http://www.ncbi.nlm.nih.gov/Taxonomy/Browser/wwwtax.cgi?mode=Info&amp;id=6850&amp;lvl=3&amp;lin=f&amp;keep=1&amp;srchmode=1&amp;unlock","Limulus polyphemus")</f>
        <v>Limulus polyphemus</v>
      </c>
      <c r="H1083" t="s">
        <v>982</v>
      </c>
      <c r="I1083" t="str">
        <f>HYPERLINK("http://www.ncbi.nlm.nih.gov/protein/XP_022252763.1","ryanodine receptor-like, partial")</f>
        <v>ryanodine receptor-like, partial</v>
      </c>
      <c r="J1083">
        <v>2932.13</v>
      </c>
      <c r="K1083" t="s">
        <v>22</v>
      </c>
      <c r="L1083">
        <v>276</v>
      </c>
      <c r="M1083">
        <v>9.75</v>
      </c>
      <c r="N1083">
        <v>28.05</v>
      </c>
      <c r="O1083" t="s">
        <v>19</v>
      </c>
      <c r="P1083" t="s">
        <v>20</v>
      </c>
      <c r="Q1083" t="s">
        <v>19</v>
      </c>
      <c r="R1083" t="str">
        <f>HYPERLINK("https://cfpub.epa.gov/ecotox/explore.cfm?ncbi=6850","Explore in ECOTOX")</f>
        <v>Explore in ECOTOX</v>
      </c>
    </row>
    <row r="1084" spans="1:18" x14ac:dyDescent="0.45">
      <c r="A1084" t="s">
        <v>1264</v>
      </c>
      <c r="B1084">
        <v>8</v>
      </c>
      <c r="C1084" t="str">
        <f>HYPERLINK("http://www.ncbi.nlm.nih.gov/protein/KAH8300052.1","KAH8300052.1")</f>
        <v>KAH8300052.1</v>
      </c>
      <c r="D1084">
        <v>13674</v>
      </c>
      <c r="E1084" t="str">
        <f>HYPERLINK("http://www.ncbi.nlm.nih.gov/Taxonomy/Browser/wwwtax.cgi?mode=Info&amp;id=7250&amp;lvl=3&amp;lin=f&amp;keep=1&amp;srchmode=1&amp;unlock","7250")</f>
        <v>7250</v>
      </c>
      <c r="F1084" t="s">
        <v>760</v>
      </c>
      <c r="G1084" t="str">
        <f>HYPERLINK("http://www.ncbi.nlm.nih.gov/Taxonomy/Browser/wwwtax.cgi?mode=Info&amp;id=7250&amp;lvl=3&amp;lin=f&amp;keep=1&amp;srchmode=1&amp;unlock","Drosophila immigrans")</f>
        <v>Drosophila immigrans</v>
      </c>
      <c r="H1084" t="s">
        <v>953</v>
      </c>
      <c r="I1084" t="str">
        <f>HYPERLINK("http://www.ncbi.nlm.nih.gov/protein/KAH8300052.1","hypothetical protein KR044_008990")</f>
        <v>hypothetical protein KR044_008990</v>
      </c>
      <c r="J1084">
        <v>2932.13</v>
      </c>
      <c r="K1084" t="s">
        <v>22</v>
      </c>
      <c r="L1084">
        <v>276</v>
      </c>
      <c r="M1084">
        <v>9.75</v>
      </c>
      <c r="N1084">
        <v>28.05</v>
      </c>
      <c r="O1084" t="s">
        <v>19</v>
      </c>
      <c r="P1084" t="s">
        <v>20</v>
      </c>
      <c r="Q1084" t="s">
        <v>19</v>
      </c>
      <c r="R1084" t="str">
        <f>HYPERLINK("https://cfpub.epa.gov/ecotox/explore.cfm?ncbi=7250","Explore in ECOTOX")</f>
        <v>Explore in ECOTOX</v>
      </c>
    </row>
    <row r="1085" spans="1:18" x14ac:dyDescent="0.45">
      <c r="A1085" t="s">
        <v>1264</v>
      </c>
      <c r="B1085">
        <v>8</v>
      </c>
      <c r="C1085" t="str">
        <f>HYPERLINK("http://www.ncbi.nlm.nih.gov/protein/XP_036227360.1","XP_036227360.1")</f>
        <v>XP_036227360.1</v>
      </c>
      <c r="D1085">
        <v>34315</v>
      </c>
      <c r="E1085" t="str">
        <f>HYPERLINK("http://www.ncbi.nlm.nih.gov/Taxonomy/Browser/wwwtax.cgi?mode=Info&amp;id=104688&amp;lvl=3&amp;lin=f&amp;keep=1&amp;srchmode=1&amp;unlock","104688")</f>
        <v>104688</v>
      </c>
      <c r="F1085" t="s">
        <v>760</v>
      </c>
      <c r="G1085" t="str">
        <f>HYPERLINK("http://www.ncbi.nlm.nih.gov/Taxonomy/Browser/wwwtax.cgi?mode=Info&amp;id=104688&amp;lvl=3&amp;lin=f&amp;keep=1&amp;srchmode=1&amp;unlock","Bactrocera oleae")</f>
        <v>Bactrocera oleae</v>
      </c>
      <c r="H1085" t="s">
        <v>983</v>
      </c>
      <c r="I1085" t="str">
        <f>HYPERLINK("http://www.ncbi.nlm.nih.gov/protein/XP_036227360.1","ryanodine receptor isoform X21")</f>
        <v>ryanodine receptor isoform X21</v>
      </c>
      <c r="J1085">
        <v>2930.97</v>
      </c>
      <c r="K1085" t="s">
        <v>22</v>
      </c>
      <c r="L1085">
        <v>276</v>
      </c>
      <c r="M1085">
        <v>9.75</v>
      </c>
      <c r="N1085">
        <v>28.04</v>
      </c>
      <c r="O1085" t="s">
        <v>19</v>
      </c>
      <c r="P1085" t="s">
        <v>20</v>
      </c>
      <c r="Q1085" t="s">
        <v>19</v>
      </c>
      <c r="R1085" t="str">
        <f>HYPERLINK("https://cfpub.epa.gov/ecotox/explore.cfm?ncbi=104688","Explore in ECOTOX")</f>
        <v>Explore in ECOTOX</v>
      </c>
    </row>
    <row r="1086" spans="1:18" x14ac:dyDescent="0.45">
      <c r="A1086" t="s">
        <v>1264</v>
      </c>
      <c r="B1086">
        <v>8</v>
      </c>
      <c r="C1086" t="str">
        <f>HYPERLINK("http://www.ncbi.nlm.nih.gov/protein/XP_016943113.1","XP_016943113.1")</f>
        <v>XP_016943113.1</v>
      </c>
      <c r="D1086">
        <v>25867</v>
      </c>
      <c r="E1086" t="str">
        <f>HYPERLINK("http://www.ncbi.nlm.nih.gov/Taxonomy/Browser/wwwtax.cgi?mode=Info&amp;id=28584&amp;lvl=3&amp;lin=f&amp;keep=1&amp;srchmode=1&amp;unlock","28584")</f>
        <v>28584</v>
      </c>
      <c r="F1086" t="s">
        <v>760</v>
      </c>
      <c r="G1086" t="str">
        <f>HYPERLINK("http://www.ncbi.nlm.nih.gov/Taxonomy/Browser/wwwtax.cgi?mode=Info&amp;id=28584&amp;lvl=3&amp;lin=f&amp;keep=1&amp;srchmode=1&amp;unlock","Drosophila suzukii")</f>
        <v>Drosophila suzukii</v>
      </c>
      <c r="H1086" t="s">
        <v>953</v>
      </c>
      <c r="I1086" t="str">
        <f>HYPERLINK("http://www.ncbi.nlm.nih.gov/protein/XP_016943113.1","ryanodine receptor isoform X10")</f>
        <v>ryanodine receptor isoform X10</v>
      </c>
      <c r="J1086">
        <v>2929.43</v>
      </c>
      <c r="K1086" t="s">
        <v>22</v>
      </c>
      <c r="L1086">
        <v>276</v>
      </c>
      <c r="M1086">
        <v>9.75</v>
      </c>
      <c r="N1086">
        <v>28.02</v>
      </c>
      <c r="O1086" t="s">
        <v>19</v>
      </c>
      <c r="P1086" t="s">
        <v>20</v>
      </c>
      <c r="Q1086" t="s">
        <v>19</v>
      </c>
      <c r="R1086" t="str">
        <f>HYPERLINK("https://cfpub.epa.gov/ecotox/explore.cfm?ncbi=28584","Explore in ECOTOX")</f>
        <v>Explore in ECOTOX</v>
      </c>
    </row>
    <row r="1087" spans="1:18" x14ac:dyDescent="0.45">
      <c r="A1087" t="s">
        <v>1264</v>
      </c>
      <c r="B1087">
        <v>8</v>
      </c>
      <c r="C1087" t="str">
        <f>HYPERLINK("http://www.ncbi.nlm.nih.gov/protein/KAH8415953.1","KAH8415953.1")</f>
        <v>KAH8415953.1</v>
      </c>
      <c r="D1087">
        <v>11882</v>
      </c>
      <c r="E1087" t="str">
        <f>HYPERLINK("http://www.ncbi.nlm.nih.gov/Taxonomy/Browser/wwwtax.cgi?mode=Info&amp;id=309927&amp;lvl=3&amp;lin=f&amp;keep=1&amp;srchmode=1&amp;unlock","309927")</f>
        <v>309927</v>
      </c>
      <c r="F1087" t="s">
        <v>760</v>
      </c>
      <c r="G1087" t="str">
        <f>HYPERLINK("http://www.ncbi.nlm.nih.gov/Taxonomy/Browser/wwwtax.cgi?mode=Info&amp;id=309927&amp;lvl=3&amp;lin=f&amp;keep=1&amp;srchmode=1&amp;unlock","Zaprionus bogoriensis")</f>
        <v>Zaprionus bogoriensis</v>
      </c>
      <c r="H1087" t="s">
        <v>984</v>
      </c>
      <c r="I1087" t="str">
        <f>HYPERLINK("http://www.ncbi.nlm.nih.gov/protein/KAH8415953.1","hypothetical protein KR222_004752")</f>
        <v>hypothetical protein KR222_004752</v>
      </c>
      <c r="J1087">
        <v>2928.27</v>
      </c>
      <c r="K1087" t="s">
        <v>22</v>
      </c>
      <c r="L1087">
        <v>276</v>
      </c>
      <c r="M1087">
        <v>9.75</v>
      </c>
      <c r="N1087">
        <v>28.01</v>
      </c>
      <c r="O1087" t="s">
        <v>19</v>
      </c>
      <c r="P1087" t="s">
        <v>20</v>
      </c>
      <c r="Q1087" t="s">
        <v>19</v>
      </c>
      <c r="R1087" t="str">
        <f>HYPERLINK("https://cfpub.epa.gov/ecotox/explore.cfm?ncbi=309927","Explore in ECOTOX")</f>
        <v>Explore in ECOTOX</v>
      </c>
    </row>
    <row r="1088" spans="1:18" x14ac:dyDescent="0.45">
      <c r="A1088" t="s">
        <v>1264</v>
      </c>
      <c r="B1088">
        <v>8</v>
      </c>
      <c r="C1088" t="str">
        <f>HYPERLINK("http://www.ncbi.nlm.nih.gov/protein/XP_023033824.1","XP_023033824.1")</f>
        <v>XP_023033824.1</v>
      </c>
      <c r="D1088">
        <v>36661</v>
      </c>
      <c r="E1088" t="str">
        <f>HYPERLINK("http://www.ncbi.nlm.nih.gov/Taxonomy/Browser/wwwtax.cgi?mode=Info&amp;id=7260&amp;lvl=3&amp;lin=f&amp;keep=1&amp;srchmode=1&amp;unlock","7260")</f>
        <v>7260</v>
      </c>
      <c r="F1088" t="s">
        <v>760</v>
      </c>
      <c r="G1088" t="str">
        <f>HYPERLINK("http://www.ncbi.nlm.nih.gov/Taxonomy/Browser/wwwtax.cgi?mode=Info&amp;id=7260&amp;lvl=3&amp;lin=f&amp;keep=1&amp;srchmode=1&amp;unlock","Drosophila willistoni")</f>
        <v>Drosophila willistoni</v>
      </c>
      <c r="H1088" t="s">
        <v>953</v>
      </c>
      <c r="I1088" t="str">
        <f>HYPERLINK("http://www.ncbi.nlm.nih.gov/protein/XP_023033824.1","ryanodine receptor isoform X7")</f>
        <v>ryanodine receptor isoform X7</v>
      </c>
      <c r="J1088">
        <v>2928.27</v>
      </c>
      <c r="K1088" t="s">
        <v>22</v>
      </c>
      <c r="L1088">
        <v>276</v>
      </c>
      <c r="M1088">
        <v>9.75</v>
      </c>
      <c r="N1088">
        <v>28.01</v>
      </c>
      <c r="O1088" t="s">
        <v>19</v>
      </c>
      <c r="P1088" t="s">
        <v>20</v>
      </c>
      <c r="Q1088" t="s">
        <v>19</v>
      </c>
      <c r="R1088" t="str">
        <f>HYPERLINK("https://cfpub.epa.gov/ecotox/explore.cfm?ncbi=7260","Explore in ECOTOX")</f>
        <v>Explore in ECOTOX</v>
      </c>
    </row>
    <row r="1089" spans="1:18" x14ac:dyDescent="0.45">
      <c r="A1089" t="s">
        <v>1264</v>
      </c>
      <c r="B1089">
        <v>8</v>
      </c>
      <c r="C1089" t="str">
        <f>HYPERLINK("http://www.ncbi.nlm.nih.gov/protein/KAH8348814.1","KAH8348814.1")</f>
        <v>KAH8348814.1</v>
      </c>
      <c r="D1089">
        <v>13154</v>
      </c>
      <c r="E1089" t="str">
        <f>HYPERLINK("http://www.ncbi.nlm.nih.gov/Taxonomy/Browser/wwwtax.cgi?mode=Info&amp;id=193234&amp;lvl=3&amp;lin=f&amp;keep=1&amp;srchmode=1&amp;unlock","193234")</f>
        <v>193234</v>
      </c>
      <c r="F1089" t="s">
        <v>760</v>
      </c>
      <c r="G1089" t="str">
        <f>HYPERLINK("http://www.ncbi.nlm.nih.gov/Taxonomy/Browser/wwwtax.cgi?mode=Info&amp;id=193234&amp;lvl=3&amp;lin=f&amp;keep=1&amp;srchmode=1&amp;unlock","Drosophila pseudotakahashii")</f>
        <v>Drosophila pseudotakahashii</v>
      </c>
      <c r="H1089" t="s">
        <v>953</v>
      </c>
      <c r="I1089" t="str">
        <f>HYPERLINK("http://www.ncbi.nlm.nih.gov/protein/KAH8348814.1","hypothetical protein KR084_011459")</f>
        <v>hypothetical protein KR084_011459</v>
      </c>
      <c r="J1089">
        <v>2928.27</v>
      </c>
      <c r="K1089" t="s">
        <v>22</v>
      </c>
      <c r="L1089">
        <v>276</v>
      </c>
      <c r="M1089">
        <v>9.75</v>
      </c>
      <c r="N1089">
        <v>28.01</v>
      </c>
      <c r="O1089" t="s">
        <v>19</v>
      </c>
      <c r="P1089" t="s">
        <v>20</v>
      </c>
      <c r="Q1089" t="s">
        <v>19</v>
      </c>
      <c r="R1089" t="str">
        <f>HYPERLINK("https://cfpub.epa.gov/ecotox/explore.cfm?ncbi=193234","Explore in ECOTOX")</f>
        <v>Explore in ECOTOX</v>
      </c>
    </row>
    <row r="1090" spans="1:18" x14ac:dyDescent="0.45">
      <c r="A1090" t="s">
        <v>1264</v>
      </c>
      <c r="B1090">
        <v>8</v>
      </c>
      <c r="C1090" t="str">
        <f>HYPERLINK("http://www.ncbi.nlm.nih.gov/protein/XP_017959322.1","XP_017959322.1")</f>
        <v>XP_017959322.1</v>
      </c>
      <c r="D1090">
        <v>35897</v>
      </c>
      <c r="E1090" t="str">
        <f>HYPERLINK("http://www.ncbi.nlm.nih.gov/Taxonomy/Browser/wwwtax.cgi?mode=Info&amp;id=7232&amp;lvl=3&amp;lin=f&amp;keep=1&amp;srchmode=1&amp;unlock","7232")</f>
        <v>7232</v>
      </c>
      <c r="F1090" t="s">
        <v>760</v>
      </c>
      <c r="G1090" t="str">
        <f>HYPERLINK("http://www.ncbi.nlm.nih.gov/Taxonomy/Browser/wwwtax.cgi?mode=Info&amp;id=7232&amp;lvl=3&amp;lin=f&amp;keep=1&amp;srchmode=1&amp;unlock","Drosophila navojoa")</f>
        <v>Drosophila navojoa</v>
      </c>
      <c r="H1090" t="s">
        <v>953</v>
      </c>
      <c r="I1090" t="str">
        <f>HYPERLINK("http://www.ncbi.nlm.nih.gov/protein/XP_017959322.1","ryanodine receptor isoform X15")</f>
        <v>ryanodine receptor isoform X15</v>
      </c>
      <c r="J1090">
        <v>2927.89</v>
      </c>
      <c r="K1090" t="s">
        <v>22</v>
      </c>
      <c r="L1090">
        <v>276</v>
      </c>
      <c r="M1090">
        <v>9.75</v>
      </c>
      <c r="N1090">
        <v>28.01</v>
      </c>
      <c r="O1090" t="s">
        <v>19</v>
      </c>
      <c r="P1090" t="s">
        <v>20</v>
      </c>
      <c r="Q1090" t="s">
        <v>19</v>
      </c>
      <c r="R1090" t="str">
        <f>HYPERLINK("https://cfpub.epa.gov/ecotox/explore.cfm?ncbi=7232","Explore in ECOTOX")</f>
        <v>Explore in ECOTOX</v>
      </c>
    </row>
    <row r="1091" spans="1:18" x14ac:dyDescent="0.45">
      <c r="A1091" t="s">
        <v>1264</v>
      </c>
      <c r="B1091">
        <v>8</v>
      </c>
      <c r="C1091" t="str">
        <f>HYPERLINK("http://www.ncbi.nlm.nih.gov/protein/KAF5296045.1","KAF5296045.1")</f>
        <v>KAF5296045.1</v>
      </c>
      <c r="D1091">
        <v>19500</v>
      </c>
      <c r="E1091" t="str">
        <f>HYPERLINK("http://www.ncbi.nlm.nih.gov/Taxonomy/Browser/wwwtax.cgi?mode=Info&amp;id=370605&amp;lvl=3&amp;lin=f&amp;keep=1&amp;srchmode=1&amp;unlock","370605")</f>
        <v>370605</v>
      </c>
      <c r="F1091" t="s">
        <v>760</v>
      </c>
      <c r="G1091" t="str">
        <f>HYPERLINK("http://www.ncbi.nlm.nih.gov/Taxonomy/Browser/wwwtax.cgi?mode=Info&amp;id=370605&amp;lvl=3&amp;lin=f&amp;keep=1&amp;srchmode=1&amp;unlock","Lamprigera yunnana")</f>
        <v>Lamprigera yunnana</v>
      </c>
      <c r="H1091" t="s">
        <v>980</v>
      </c>
      <c r="I1091" t="str">
        <f>HYPERLINK("http://www.ncbi.nlm.nih.gov/protein/KAF5296045.1","hypothetical protein FQA39_LY12667")</f>
        <v>hypothetical protein FQA39_LY12667</v>
      </c>
      <c r="J1091">
        <v>2926.35</v>
      </c>
      <c r="K1091" t="s">
        <v>22</v>
      </c>
      <c r="L1091">
        <v>276</v>
      </c>
      <c r="M1091">
        <v>9.75</v>
      </c>
      <c r="N1091">
        <v>27.99</v>
      </c>
      <c r="O1091" t="s">
        <v>19</v>
      </c>
      <c r="P1091" t="s">
        <v>20</v>
      </c>
      <c r="Q1091" t="s">
        <v>19</v>
      </c>
      <c r="R1091" t="str">
        <f>HYPERLINK("https://cfpub.epa.gov/ecotox/explore.cfm?ncbi=370605","Explore in ECOTOX")</f>
        <v>Explore in ECOTOX</v>
      </c>
    </row>
    <row r="1092" spans="1:18" x14ac:dyDescent="0.45">
      <c r="A1092" t="s">
        <v>1264</v>
      </c>
      <c r="B1092">
        <v>8</v>
      </c>
      <c r="C1092" t="str">
        <f>HYPERLINK("http://www.ncbi.nlm.nih.gov/protein/KAH8401143.1","KAH8401143.1")</f>
        <v>KAH8401143.1</v>
      </c>
      <c r="D1092">
        <v>12426</v>
      </c>
      <c r="E1092" t="str">
        <f>HYPERLINK("http://www.ncbi.nlm.nih.gov/Taxonomy/Browser/wwwtax.cgi?mode=Info&amp;id=2848635&amp;lvl=3&amp;lin=f&amp;keep=1&amp;srchmode=1&amp;unlock","2848635")</f>
        <v>2848635</v>
      </c>
      <c r="F1092" t="s">
        <v>760</v>
      </c>
      <c r="G1092" t="str">
        <f>HYPERLINK("http://www.ncbi.nlm.nih.gov/Taxonomy/Browser/wwwtax.cgi?mode=Info&amp;id=2848635&amp;lvl=3&amp;lin=f&amp;keep=1&amp;srchmode=1&amp;unlock","Drosophila setifemur")</f>
        <v>Drosophila setifemur</v>
      </c>
      <c r="H1092" t="s">
        <v>953</v>
      </c>
      <c r="I1092" t="str">
        <f>HYPERLINK("http://www.ncbi.nlm.nih.gov/protein/KAH8401143.1","hypothetical protein KR009_003188")</f>
        <v>hypothetical protein KR009_003188</v>
      </c>
      <c r="J1092">
        <v>2925.96</v>
      </c>
      <c r="K1092" t="s">
        <v>22</v>
      </c>
      <c r="L1092">
        <v>276</v>
      </c>
      <c r="M1092">
        <v>9.75</v>
      </c>
      <c r="N1092">
        <v>27.99</v>
      </c>
      <c r="O1092" t="s">
        <v>19</v>
      </c>
      <c r="P1092" t="s">
        <v>20</v>
      </c>
      <c r="Q1092" t="s">
        <v>19</v>
      </c>
      <c r="R1092" t="str">
        <f>HYPERLINK("https://cfpub.epa.gov/ecotox/explore.cfm?ncbi=2848635","Explore in ECOTOX")</f>
        <v>Explore in ECOTOX</v>
      </c>
    </row>
    <row r="1093" spans="1:18" x14ac:dyDescent="0.45">
      <c r="A1093" t="s">
        <v>1264</v>
      </c>
      <c r="B1093">
        <v>8</v>
      </c>
      <c r="C1093" t="str">
        <f>HYPERLINK("http://www.ncbi.nlm.nih.gov/protein/KAH8321641.1","KAH8321641.1")</f>
        <v>KAH8321641.1</v>
      </c>
      <c r="D1093">
        <v>12716</v>
      </c>
      <c r="E1093" t="str">
        <f>HYPERLINK("http://www.ncbi.nlm.nih.gov/Taxonomy/Browser/wwwtax.cgi?mode=Info&amp;id=65964&amp;lvl=3&amp;lin=f&amp;keep=1&amp;srchmode=1&amp;unlock","65964")</f>
        <v>65964</v>
      </c>
      <c r="F1093" t="s">
        <v>760</v>
      </c>
      <c r="G1093" t="str">
        <f>HYPERLINK("http://www.ncbi.nlm.nih.gov/Taxonomy/Browser/wwwtax.cgi?mode=Info&amp;id=65964&amp;lvl=3&amp;lin=f&amp;keep=1&amp;srchmode=1&amp;unlock","Drosophila pseudoananassae")</f>
        <v>Drosophila pseudoananassae</v>
      </c>
      <c r="H1093" t="s">
        <v>953</v>
      </c>
      <c r="I1093" t="str">
        <f>HYPERLINK("http://www.ncbi.nlm.nih.gov/protein/KAH8321641.1","hypothetical protein KR074_011004")</f>
        <v>hypothetical protein KR074_011004</v>
      </c>
      <c r="J1093">
        <v>2925.58</v>
      </c>
      <c r="K1093" t="s">
        <v>22</v>
      </c>
      <c r="L1093">
        <v>276</v>
      </c>
      <c r="M1093">
        <v>9.75</v>
      </c>
      <c r="N1093">
        <v>27.99</v>
      </c>
      <c r="O1093" t="s">
        <v>19</v>
      </c>
      <c r="P1093" t="s">
        <v>20</v>
      </c>
      <c r="Q1093" t="s">
        <v>19</v>
      </c>
      <c r="R1093" t="str">
        <f>HYPERLINK("https://cfpub.epa.gov/ecotox/explore.cfm?ncbi=65964","Explore in ECOTOX")</f>
        <v>Explore in ECOTOX</v>
      </c>
    </row>
    <row r="1094" spans="1:18" x14ac:dyDescent="0.45">
      <c r="A1094" t="s">
        <v>1264</v>
      </c>
      <c r="B1094">
        <v>8</v>
      </c>
      <c r="C1094" t="str">
        <f>HYPERLINK("http://www.ncbi.nlm.nih.gov/protein/KAJ0170551.1","KAJ0170551.1")</f>
        <v>KAJ0170551.1</v>
      </c>
      <c r="D1094">
        <v>15504</v>
      </c>
      <c r="E1094" t="str">
        <f>HYPERLINK("http://www.ncbi.nlm.nih.gov/Taxonomy/Browser/wwwtax.cgi?mode=Info&amp;id=765133&amp;lvl=3&amp;lin=f&amp;keep=1&amp;srchmode=1&amp;unlock","765133")</f>
        <v>765133</v>
      </c>
      <c r="F1094" t="s">
        <v>760</v>
      </c>
      <c r="G1094" t="str">
        <f>HYPERLINK("http://www.ncbi.nlm.nih.gov/Taxonomy/Browser/wwwtax.cgi?mode=Info&amp;id=765133&amp;lvl=3&amp;lin=f&amp;keep=1&amp;srchmode=1&amp;unlock","Dendrolimus kikuchii")</f>
        <v>Dendrolimus kikuchii</v>
      </c>
      <c r="H1094" t="s">
        <v>985</v>
      </c>
      <c r="I1094" t="str">
        <f>HYPERLINK("http://www.ncbi.nlm.nih.gov/protein/KAJ0170551.1","hypothetical protein K1T71_013922")</f>
        <v>hypothetical protein K1T71_013922</v>
      </c>
      <c r="J1094">
        <v>2921.72</v>
      </c>
      <c r="K1094" t="s">
        <v>22</v>
      </c>
      <c r="L1094">
        <v>276</v>
      </c>
      <c r="M1094">
        <v>9.75</v>
      </c>
      <c r="N1094">
        <v>27.95</v>
      </c>
      <c r="O1094" t="s">
        <v>19</v>
      </c>
      <c r="P1094" t="s">
        <v>20</v>
      </c>
      <c r="Q1094" t="s">
        <v>19</v>
      </c>
      <c r="R1094" t="str">
        <f>HYPERLINK("https://cfpub.epa.gov/ecotox/explore.cfm?ncbi=765133","Explore in ECOTOX")</f>
        <v>Explore in ECOTOX</v>
      </c>
    </row>
    <row r="1095" spans="1:18" x14ac:dyDescent="0.45">
      <c r="A1095" t="s">
        <v>1264</v>
      </c>
      <c r="B1095">
        <v>8</v>
      </c>
      <c r="C1095" t="str">
        <f>HYPERLINK("http://www.ncbi.nlm.nih.gov/protein/NP_001310043.1","NP_001310043.1")</f>
        <v>NP_001310043.1</v>
      </c>
      <c r="D1095">
        <v>16497</v>
      </c>
      <c r="E1095" t="str">
        <f>HYPERLINK("http://www.ncbi.nlm.nih.gov/Taxonomy/Browser/wwwtax.cgi?mode=Info&amp;id=32264&amp;lvl=3&amp;lin=f&amp;keep=1&amp;srchmode=1&amp;unlock","32264")</f>
        <v>32264</v>
      </c>
      <c r="F1095" t="s">
        <v>904</v>
      </c>
      <c r="G1095" t="str">
        <f>HYPERLINK("http://www.ncbi.nlm.nih.gov/Taxonomy/Browser/wwwtax.cgi?mode=Info&amp;id=32264&amp;lvl=3&amp;lin=f&amp;keep=1&amp;srchmode=1&amp;unlock","Tetranychus urticae")</f>
        <v>Tetranychus urticae</v>
      </c>
      <c r="H1095" t="s">
        <v>986</v>
      </c>
      <c r="I1095" t="str">
        <f>HYPERLINK("http://www.ncbi.nlm.nih.gov/protein/NP_001310043.1","ryanodine receptor-like")</f>
        <v>ryanodine receptor-like</v>
      </c>
      <c r="J1095">
        <v>2920.95</v>
      </c>
      <c r="K1095" t="s">
        <v>22</v>
      </c>
      <c r="L1095">
        <v>276</v>
      </c>
      <c r="M1095">
        <v>9.75</v>
      </c>
      <c r="N1095">
        <v>27.94</v>
      </c>
      <c r="O1095" t="s">
        <v>19</v>
      </c>
      <c r="P1095" t="s">
        <v>20</v>
      </c>
      <c r="Q1095" t="s">
        <v>19</v>
      </c>
      <c r="R1095" t="str">
        <f>HYPERLINK("https://cfpub.epa.gov/ecotox/explore.cfm?ncbi=32264","Explore in ECOTOX")</f>
        <v>Explore in ECOTOX</v>
      </c>
    </row>
    <row r="1096" spans="1:18" x14ac:dyDescent="0.45">
      <c r="A1096" t="s">
        <v>1264</v>
      </c>
      <c r="B1096">
        <v>8</v>
      </c>
      <c r="C1096" t="str">
        <f>HYPERLINK("http://www.ncbi.nlm.nih.gov/protein/XP_017044343.1","XP_017044343.1")</f>
        <v>XP_017044343.1</v>
      </c>
      <c r="D1096">
        <v>22168</v>
      </c>
      <c r="E1096" t="str">
        <f>HYPERLINK("http://www.ncbi.nlm.nih.gov/Taxonomy/Browser/wwwtax.cgi?mode=Info&amp;id=30025&amp;lvl=3&amp;lin=f&amp;keep=1&amp;srchmode=1&amp;unlock","30025")</f>
        <v>30025</v>
      </c>
      <c r="F1096" t="s">
        <v>760</v>
      </c>
      <c r="G1096" t="str">
        <f>HYPERLINK("http://www.ncbi.nlm.nih.gov/Taxonomy/Browser/wwwtax.cgi?mode=Info&amp;id=30025&amp;lvl=3&amp;lin=f&amp;keep=1&amp;srchmode=1&amp;unlock","Drosophila ficusphila")</f>
        <v>Drosophila ficusphila</v>
      </c>
      <c r="H1096" t="s">
        <v>953</v>
      </c>
      <c r="I1096" t="str">
        <f>HYPERLINK("http://www.ncbi.nlm.nih.gov/protein/XP_017044343.1","LOW QUALITY PROTEIN: ryanodine receptor")</f>
        <v>LOW QUALITY PROTEIN: ryanodine receptor</v>
      </c>
      <c r="J1096">
        <v>2920.57</v>
      </c>
      <c r="K1096" t="s">
        <v>22</v>
      </c>
      <c r="L1096">
        <v>276</v>
      </c>
      <c r="M1096">
        <v>9.75</v>
      </c>
      <c r="N1096">
        <v>27.94</v>
      </c>
      <c r="O1096" t="s">
        <v>19</v>
      </c>
      <c r="P1096" t="s">
        <v>20</v>
      </c>
      <c r="Q1096" t="s">
        <v>19</v>
      </c>
      <c r="R1096" t="str">
        <f>HYPERLINK("https://cfpub.epa.gov/ecotox/explore.cfm?ncbi=30025","Explore in ECOTOX")</f>
        <v>Explore in ECOTOX</v>
      </c>
    </row>
    <row r="1097" spans="1:18" x14ac:dyDescent="0.45">
      <c r="A1097" t="s">
        <v>1264</v>
      </c>
      <c r="B1097">
        <v>8</v>
      </c>
      <c r="C1097" t="str">
        <f>HYPERLINK("http://www.ncbi.nlm.nih.gov/protein/CAG9761741.1","CAG9761741.1")</f>
        <v>CAG9761741.1</v>
      </c>
      <c r="D1097">
        <v>15498</v>
      </c>
      <c r="E1097" t="str">
        <f>HYPERLINK("http://www.ncbi.nlm.nih.gov/Taxonomy/Browser/wwwtax.cgi?mode=Info&amp;id=467358&amp;lvl=3&amp;lin=f&amp;keep=1&amp;srchmode=1&amp;unlock","467358")</f>
        <v>467358</v>
      </c>
      <c r="F1097" t="s">
        <v>760</v>
      </c>
      <c r="G1097" t="str">
        <f>HYPERLINK("http://www.ncbi.nlm.nih.gov/Taxonomy/Browser/wwwtax.cgi?mode=Info&amp;id=467358&amp;lvl=3&amp;lin=f&amp;keep=1&amp;srchmode=1&amp;unlock","Ceutorhynchus assimilis")</f>
        <v>Ceutorhynchus assimilis</v>
      </c>
      <c r="H1097" t="s">
        <v>987</v>
      </c>
      <c r="I1097" t="str">
        <f>HYPERLINK("http://www.ncbi.nlm.nih.gov/protein/CAG9761741.1","unnamed protein product")</f>
        <v>unnamed protein product</v>
      </c>
      <c r="J1097">
        <v>2917.1</v>
      </c>
      <c r="K1097" t="s">
        <v>22</v>
      </c>
      <c r="L1097">
        <v>276</v>
      </c>
      <c r="M1097">
        <v>9.75</v>
      </c>
      <c r="N1097">
        <v>27.9</v>
      </c>
      <c r="O1097" t="s">
        <v>19</v>
      </c>
      <c r="P1097" t="s">
        <v>20</v>
      </c>
      <c r="Q1097" t="s">
        <v>19</v>
      </c>
      <c r="R1097" t="str">
        <f>HYPERLINK("https://cfpub.epa.gov/ecotox/explore.cfm?ncbi=467358","Explore in ECOTOX")</f>
        <v>Explore in ECOTOX</v>
      </c>
    </row>
    <row r="1098" spans="1:18" x14ac:dyDescent="0.45">
      <c r="A1098" t="s">
        <v>1264</v>
      </c>
      <c r="B1098">
        <v>8</v>
      </c>
      <c r="C1098" t="str">
        <f>HYPERLINK("http://www.ncbi.nlm.nih.gov/protein/XP_030368904.1","XP_030368904.1")</f>
        <v>XP_030368904.1</v>
      </c>
      <c r="D1098">
        <v>19881</v>
      </c>
      <c r="E1098" t="str">
        <f>HYPERLINK("http://www.ncbi.nlm.nih.gov/Taxonomy/Browser/wwwtax.cgi?mode=Info&amp;id=7225&amp;lvl=3&amp;lin=f&amp;keep=1&amp;srchmode=1&amp;unlock","7225")</f>
        <v>7225</v>
      </c>
      <c r="F1098" t="s">
        <v>760</v>
      </c>
      <c r="G1098" t="str">
        <f>HYPERLINK("http://www.ncbi.nlm.nih.gov/Taxonomy/Browser/wwwtax.cgi?mode=Info&amp;id=7225&amp;lvl=3&amp;lin=f&amp;keep=1&amp;srchmode=1&amp;unlock","Scaptodrosophila lebanonensis")</f>
        <v>Scaptodrosophila lebanonensis</v>
      </c>
      <c r="H1098" t="s">
        <v>984</v>
      </c>
      <c r="I1098" t="str">
        <f>HYPERLINK("http://www.ncbi.nlm.nih.gov/protein/XP_030368904.1","ryanodine receptor isoform X14")</f>
        <v>ryanodine receptor isoform X14</v>
      </c>
      <c r="J1098">
        <v>2912.09</v>
      </c>
      <c r="K1098" t="s">
        <v>22</v>
      </c>
      <c r="L1098">
        <v>276</v>
      </c>
      <c r="M1098">
        <v>9.75</v>
      </c>
      <c r="N1098">
        <v>27.86</v>
      </c>
      <c r="O1098" t="s">
        <v>19</v>
      </c>
      <c r="P1098" t="s">
        <v>20</v>
      </c>
      <c r="Q1098" t="s">
        <v>19</v>
      </c>
      <c r="R1098" t="str">
        <f>HYPERLINK("https://cfpub.epa.gov/ecotox/explore.cfm?ncbi=7225","Explore in ECOTOX")</f>
        <v>Explore in ECOTOX</v>
      </c>
    </row>
    <row r="1099" spans="1:18" x14ac:dyDescent="0.45">
      <c r="A1099" t="s">
        <v>1264</v>
      </c>
      <c r="B1099">
        <v>8</v>
      </c>
      <c r="C1099" t="str">
        <f>HYPERLINK("http://www.ncbi.nlm.nih.gov/protein/XP_042905951.1","XP_042905951.1")</f>
        <v>XP_042905951.1</v>
      </c>
      <c r="D1099">
        <v>33376</v>
      </c>
      <c r="E1099" t="str">
        <f>HYPERLINK("http://www.ncbi.nlm.nih.gov/Taxonomy/Browser/wwwtax.cgi?mode=Info&amp;id=114398&amp;lvl=3&amp;lin=f&amp;keep=1&amp;srchmode=1&amp;unlock","114398")</f>
        <v>114398</v>
      </c>
      <c r="F1099" t="s">
        <v>904</v>
      </c>
      <c r="G1099" t="str">
        <f>HYPERLINK("http://www.ncbi.nlm.nih.gov/Taxonomy/Browser/wwwtax.cgi?mode=Info&amp;id=114398&amp;lvl=3&amp;lin=f&amp;keep=1&amp;srchmode=1&amp;unlock","Parasteatoda tepidariorum")</f>
        <v>Parasteatoda tepidariorum</v>
      </c>
      <c r="H1099" t="s">
        <v>988</v>
      </c>
      <c r="I1099" t="str">
        <f>HYPERLINK("http://www.ncbi.nlm.nih.gov/protein/XP_042905951.1","ryanodine receptor")</f>
        <v>ryanodine receptor</v>
      </c>
      <c r="J1099">
        <v>2912.09</v>
      </c>
      <c r="K1099" t="s">
        <v>19</v>
      </c>
      <c r="L1099">
        <v>276</v>
      </c>
      <c r="M1099">
        <v>9.75</v>
      </c>
      <c r="N1099">
        <v>27.86</v>
      </c>
      <c r="O1099" t="s">
        <v>19</v>
      </c>
      <c r="P1099" t="s">
        <v>20</v>
      </c>
      <c r="Q1099" t="s">
        <v>19</v>
      </c>
      <c r="R1099" t="str">
        <f>HYPERLINK("https://cfpub.epa.gov/ecotox/explore.cfm?ncbi=114398","Explore in ECOTOX")</f>
        <v>Explore in ECOTOX</v>
      </c>
    </row>
    <row r="1100" spans="1:18" x14ac:dyDescent="0.45">
      <c r="A1100" t="s">
        <v>1264</v>
      </c>
      <c r="B1100">
        <v>8</v>
      </c>
      <c r="C1100" t="str">
        <f>HYPERLINK("http://www.ncbi.nlm.nih.gov/protein/XP_050322453.1","XP_050322453.1")</f>
        <v>XP_050322453.1</v>
      </c>
      <c r="D1100">
        <v>25676</v>
      </c>
      <c r="E1100" t="str">
        <f>HYPERLINK("http://www.ncbi.nlm.nih.gov/Taxonomy/Browser/wwwtax.cgi?mode=Info&amp;id=98809&amp;lvl=3&amp;lin=f&amp;keep=1&amp;srchmode=1&amp;unlock","98809")</f>
        <v>98809</v>
      </c>
      <c r="F1100" t="s">
        <v>760</v>
      </c>
      <c r="G1100" t="str">
        <f>HYPERLINK("http://www.ncbi.nlm.nih.gov/Taxonomy/Browser/wwwtax.cgi?mode=Info&amp;id=98809&amp;lvl=3&amp;lin=f&amp;keep=1&amp;srchmode=1&amp;unlock","Bactrocera neohumeralis")</f>
        <v>Bactrocera neohumeralis</v>
      </c>
      <c r="H1100" t="s">
        <v>953</v>
      </c>
      <c r="I1100" t="str">
        <f>HYPERLINK("http://www.ncbi.nlm.nih.gov/protein/XP_050322453.1","LOW QUALITY PROTEIN: ryanodine receptor")</f>
        <v>LOW QUALITY PROTEIN: ryanodine receptor</v>
      </c>
      <c r="J1100">
        <v>2910.55</v>
      </c>
      <c r="K1100" t="s">
        <v>22</v>
      </c>
      <c r="L1100">
        <v>276</v>
      </c>
      <c r="M1100">
        <v>9.75</v>
      </c>
      <c r="N1100">
        <v>27.84</v>
      </c>
      <c r="O1100" t="s">
        <v>19</v>
      </c>
      <c r="P1100" t="s">
        <v>20</v>
      </c>
      <c r="Q1100" t="s">
        <v>19</v>
      </c>
      <c r="R1100" t="str">
        <f>HYPERLINK("https://cfpub.epa.gov/ecotox/explore.cfm?ncbi=98809","Explore in ECOTOX")</f>
        <v>Explore in ECOTOX</v>
      </c>
    </row>
    <row r="1101" spans="1:18" x14ac:dyDescent="0.45">
      <c r="A1101" t="s">
        <v>1264</v>
      </c>
      <c r="B1101">
        <v>8</v>
      </c>
      <c r="C1101" t="str">
        <f>HYPERLINK("http://www.ncbi.nlm.nih.gov/protein/XP_016986328.1","XP_016986328.1")</f>
        <v>XP_016986328.1</v>
      </c>
      <c r="D1101">
        <v>23439</v>
      </c>
      <c r="E1101" t="str">
        <f>HYPERLINK("http://www.ncbi.nlm.nih.gov/Taxonomy/Browser/wwwtax.cgi?mode=Info&amp;id=1041015&amp;lvl=3&amp;lin=f&amp;keep=1&amp;srchmode=1&amp;unlock","1041015")</f>
        <v>1041015</v>
      </c>
      <c r="F1101" t="s">
        <v>760</v>
      </c>
      <c r="G1101" t="str">
        <f>HYPERLINK("http://www.ncbi.nlm.nih.gov/Taxonomy/Browser/wwwtax.cgi?mode=Info&amp;id=1041015&amp;lvl=3&amp;lin=f&amp;keep=1&amp;srchmode=1&amp;unlock","Drosophila rhopaloa")</f>
        <v>Drosophila rhopaloa</v>
      </c>
      <c r="H1101" t="s">
        <v>953</v>
      </c>
      <c r="I1101" t="str">
        <f>HYPERLINK("http://www.ncbi.nlm.nih.gov/protein/XP_016986328.1","LOW QUALITY PROTEIN: ryanodine receptor")</f>
        <v>LOW QUALITY PROTEIN: ryanodine receptor</v>
      </c>
      <c r="J1101">
        <v>2910.55</v>
      </c>
      <c r="K1101" t="s">
        <v>22</v>
      </c>
      <c r="L1101">
        <v>276</v>
      </c>
      <c r="M1101">
        <v>9.75</v>
      </c>
      <c r="N1101">
        <v>27.84</v>
      </c>
      <c r="O1101" t="s">
        <v>19</v>
      </c>
      <c r="P1101" t="s">
        <v>20</v>
      </c>
      <c r="Q1101" t="s">
        <v>19</v>
      </c>
      <c r="R1101" t="str">
        <f>HYPERLINK("https://cfpub.epa.gov/ecotox/explore.cfm?ncbi=1041015","Explore in ECOTOX")</f>
        <v>Explore in ECOTOX</v>
      </c>
    </row>
    <row r="1102" spans="1:18" x14ac:dyDescent="0.45">
      <c r="A1102" t="s">
        <v>1264</v>
      </c>
      <c r="B1102">
        <v>8</v>
      </c>
      <c r="C1102" t="str">
        <f>HYPERLINK("http://www.ncbi.nlm.nih.gov/protein/XP_055904498.1","XP_055904498.1")</f>
        <v>XP_055904498.1</v>
      </c>
      <c r="D1102">
        <v>22407</v>
      </c>
      <c r="E1102" t="str">
        <f>HYPERLINK("http://www.ncbi.nlm.nih.gov/Taxonomy/Browser/wwwtax.cgi?mode=Info&amp;id=290404&amp;lvl=3&amp;lin=f&amp;keep=1&amp;srchmode=1&amp;unlock","290404")</f>
        <v>290404</v>
      </c>
      <c r="F1102" t="s">
        <v>760</v>
      </c>
      <c r="G1102" t="str">
        <f>HYPERLINK("http://www.ncbi.nlm.nih.gov/Taxonomy/Browser/wwwtax.cgi?mode=Info&amp;id=290404&amp;lvl=3&amp;lin=f&amp;keep=1&amp;srchmode=1&amp;unlock","Eupeodes corollae")</f>
        <v>Eupeodes corollae</v>
      </c>
      <c r="H1102" t="s">
        <v>989</v>
      </c>
      <c r="I1102" t="str">
        <f>HYPERLINK("http://www.ncbi.nlm.nih.gov/protein/XP_055904498.1","ryanodine receptor isoform X9")</f>
        <v>ryanodine receptor isoform X9</v>
      </c>
      <c r="J1102">
        <v>2909.4</v>
      </c>
      <c r="K1102" t="s">
        <v>22</v>
      </c>
      <c r="L1102">
        <v>276</v>
      </c>
      <c r="M1102">
        <v>9.75</v>
      </c>
      <c r="N1102">
        <v>27.83</v>
      </c>
      <c r="O1102" t="s">
        <v>19</v>
      </c>
      <c r="P1102" t="s">
        <v>20</v>
      </c>
      <c r="Q1102" t="s">
        <v>19</v>
      </c>
      <c r="R1102" t="str">
        <f>HYPERLINK("https://cfpub.epa.gov/ecotox/explore.cfm?ncbi=290404","Explore in ECOTOX")</f>
        <v>Explore in ECOTOX</v>
      </c>
    </row>
    <row r="1103" spans="1:18" x14ac:dyDescent="0.45">
      <c r="A1103" t="s">
        <v>1264</v>
      </c>
      <c r="B1103">
        <v>8</v>
      </c>
      <c r="C1103" t="str">
        <f>HYPERLINK("http://www.ncbi.nlm.nih.gov/protein/XP_055857541.1","XP_055857541.1")</f>
        <v>XP_055857541.1</v>
      </c>
      <c r="D1103">
        <v>23283</v>
      </c>
      <c r="E1103" t="str">
        <f>HYPERLINK("http://www.ncbi.nlm.nih.gov/Taxonomy/Browser/wwwtax.cgi?mode=Info&amp;id=286459&amp;lvl=3&amp;lin=f&amp;keep=1&amp;srchmode=1&amp;unlock","286459")</f>
        <v>286459</v>
      </c>
      <c r="F1103" t="s">
        <v>760</v>
      </c>
      <c r="G1103" t="str">
        <f>HYPERLINK("http://www.ncbi.nlm.nih.gov/Taxonomy/Browser/wwwtax.cgi?mode=Info&amp;id=286459&amp;lvl=3&amp;lin=f&amp;keep=1&amp;srchmode=1&amp;unlock","Episyrphus balteatus")</f>
        <v>Episyrphus balteatus</v>
      </c>
      <c r="H1103" t="s">
        <v>990</v>
      </c>
      <c r="I1103" t="str">
        <f>HYPERLINK("http://www.ncbi.nlm.nih.gov/protein/XP_055857541.1","ryanodine receptor isoform X8")</f>
        <v>ryanodine receptor isoform X8</v>
      </c>
      <c r="J1103">
        <v>2906.32</v>
      </c>
      <c r="K1103" t="s">
        <v>22</v>
      </c>
      <c r="L1103">
        <v>276</v>
      </c>
      <c r="M1103">
        <v>9.75</v>
      </c>
      <c r="N1103">
        <v>27.8</v>
      </c>
      <c r="O1103" t="s">
        <v>19</v>
      </c>
      <c r="P1103" t="s">
        <v>20</v>
      </c>
      <c r="Q1103" t="s">
        <v>19</v>
      </c>
      <c r="R1103" t="str">
        <f>HYPERLINK("https://cfpub.epa.gov/ecotox/explore.cfm?ncbi=286459","Explore in ECOTOX")</f>
        <v>Explore in ECOTOX</v>
      </c>
    </row>
    <row r="1104" spans="1:18" x14ac:dyDescent="0.45">
      <c r="A1104" t="s">
        <v>1264</v>
      </c>
      <c r="B1104">
        <v>8</v>
      </c>
      <c r="C1104" t="str">
        <f>HYPERLINK("http://www.ncbi.nlm.nih.gov/protein/KAH8285501.1","KAH8285501.1")</f>
        <v>KAH8285501.1</v>
      </c>
      <c r="D1104">
        <v>12797</v>
      </c>
      <c r="E1104" t="str">
        <f>HYPERLINK("http://www.ncbi.nlm.nih.gov/Taxonomy/Browser/wwwtax.cgi?mode=Info&amp;id=111875&amp;lvl=3&amp;lin=f&amp;keep=1&amp;srchmode=1&amp;unlock","111875")</f>
        <v>111875</v>
      </c>
      <c r="F1104" t="s">
        <v>760</v>
      </c>
      <c r="G1104" t="str">
        <f>HYPERLINK("http://www.ncbi.nlm.nih.gov/Taxonomy/Browser/wwwtax.cgi?mode=Info&amp;id=111875&amp;lvl=3&amp;lin=f&amp;keep=1&amp;srchmode=1&amp;unlock","Drosophila jambulina")</f>
        <v>Drosophila jambulina</v>
      </c>
      <c r="H1104" t="s">
        <v>953</v>
      </c>
      <c r="I1104" t="str">
        <f>HYPERLINK("http://www.ncbi.nlm.nih.gov/protein/KAH8285501.1","hypothetical protein KR054_010085")</f>
        <v>hypothetical protein KR054_010085</v>
      </c>
      <c r="J1104">
        <v>2905.93</v>
      </c>
      <c r="K1104" t="s">
        <v>22</v>
      </c>
      <c r="L1104">
        <v>276</v>
      </c>
      <c r="M1104">
        <v>9.75</v>
      </c>
      <c r="N1104">
        <v>27.8</v>
      </c>
      <c r="O1104" t="s">
        <v>19</v>
      </c>
      <c r="P1104" t="s">
        <v>20</v>
      </c>
      <c r="Q1104" t="s">
        <v>19</v>
      </c>
      <c r="R1104" t="str">
        <f>HYPERLINK("https://cfpub.epa.gov/ecotox/explore.cfm?ncbi=111875","Explore in ECOTOX")</f>
        <v>Explore in ECOTOX</v>
      </c>
    </row>
    <row r="1105" spans="1:18" x14ac:dyDescent="0.45">
      <c r="A1105" t="s">
        <v>1264</v>
      </c>
      <c r="B1105">
        <v>8</v>
      </c>
      <c r="C1105" t="str">
        <f>HYPERLINK("http://www.ncbi.nlm.nih.gov/protein/XP_017777975.1","XP_017777975.1")</f>
        <v>XP_017777975.1</v>
      </c>
      <c r="D1105">
        <v>19633</v>
      </c>
      <c r="E1105" t="str">
        <f>HYPERLINK("http://www.ncbi.nlm.nih.gov/Taxonomy/Browser/wwwtax.cgi?mode=Info&amp;id=110193&amp;lvl=3&amp;lin=f&amp;keep=1&amp;srchmode=1&amp;unlock","110193")</f>
        <v>110193</v>
      </c>
      <c r="F1105" t="s">
        <v>760</v>
      </c>
      <c r="G1105" t="str">
        <f>HYPERLINK("http://www.ncbi.nlm.nih.gov/Taxonomy/Browser/wwwtax.cgi?mode=Info&amp;id=110193&amp;lvl=3&amp;lin=f&amp;keep=1&amp;srchmode=1&amp;unlock","Nicrophorus vespilloides")</f>
        <v>Nicrophorus vespilloides</v>
      </c>
      <c r="H1105" t="s">
        <v>991</v>
      </c>
      <c r="I1105" t="str">
        <f>HYPERLINK("http://www.ncbi.nlm.nih.gov/protein/XP_017777975.1","PREDICTED: ryanodine receptor")</f>
        <v>PREDICTED: ryanodine receptor</v>
      </c>
      <c r="J1105">
        <v>2903.62</v>
      </c>
      <c r="K1105" t="s">
        <v>22</v>
      </c>
      <c r="L1105">
        <v>276</v>
      </c>
      <c r="M1105">
        <v>9.75</v>
      </c>
      <c r="N1105">
        <v>27.78</v>
      </c>
      <c r="O1105" t="s">
        <v>19</v>
      </c>
      <c r="P1105" t="s">
        <v>20</v>
      </c>
      <c r="Q1105" t="s">
        <v>19</v>
      </c>
      <c r="R1105" t="str">
        <f>HYPERLINK("https://cfpub.epa.gov/ecotox/explore.cfm?ncbi=110193","Explore in ECOTOX")</f>
        <v>Explore in ECOTOX</v>
      </c>
    </row>
    <row r="1106" spans="1:18" x14ac:dyDescent="0.45">
      <c r="A1106" t="s">
        <v>1264</v>
      </c>
      <c r="B1106">
        <v>8</v>
      </c>
      <c r="C1106" t="str">
        <f>HYPERLINK("http://www.ncbi.nlm.nih.gov/protein/KAH8254374.1","KAH8254374.1")</f>
        <v>KAH8254374.1</v>
      </c>
      <c r="D1106">
        <v>12611</v>
      </c>
      <c r="E1106" t="str">
        <f>HYPERLINK("http://www.ncbi.nlm.nih.gov/Taxonomy/Browser/wwwtax.cgi?mode=Info&amp;id=46829&amp;lvl=3&amp;lin=f&amp;keep=1&amp;srchmode=1&amp;unlock","46829")</f>
        <v>46829</v>
      </c>
      <c r="F1106" t="s">
        <v>760</v>
      </c>
      <c r="G1106" t="str">
        <f>HYPERLINK("http://www.ncbi.nlm.nih.gov/Taxonomy/Browser/wwwtax.cgi?mode=Info&amp;id=46829&amp;lvl=3&amp;lin=f&amp;keep=1&amp;srchmode=1&amp;unlock","Drosophila birchii")</f>
        <v>Drosophila birchii</v>
      </c>
      <c r="H1106" t="s">
        <v>953</v>
      </c>
      <c r="I1106" t="str">
        <f>HYPERLINK("http://www.ncbi.nlm.nih.gov/protein/KAH8254374.1","hypothetical protein KR032_009708")</f>
        <v>hypothetical protein KR032_009708</v>
      </c>
      <c r="J1106">
        <v>2900.92</v>
      </c>
      <c r="K1106" t="s">
        <v>22</v>
      </c>
      <c r="L1106">
        <v>276</v>
      </c>
      <c r="M1106">
        <v>9.75</v>
      </c>
      <c r="N1106">
        <v>27.75</v>
      </c>
      <c r="O1106" t="s">
        <v>19</v>
      </c>
      <c r="P1106" t="s">
        <v>20</v>
      </c>
      <c r="Q1106" t="s">
        <v>19</v>
      </c>
      <c r="R1106" t="str">
        <f>HYPERLINK("https://cfpub.epa.gov/ecotox/explore.cfm?ncbi=46829","Explore in ECOTOX")</f>
        <v>Explore in ECOTOX</v>
      </c>
    </row>
    <row r="1107" spans="1:18" x14ac:dyDescent="0.45">
      <c r="A1107" t="s">
        <v>1264</v>
      </c>
      <c r="B1107">
        <v>8</v>
      </c>
      <c r="C1107" t="str">
        <f>HYPERLINK("http://www.ncbi.nlm.nih.gov/protein/KAJ6217176.1","KAJ6217176.1")</f>
        <v>KAJ6217176.1</v>
      </c>
      <c r="D1107">
        <v>27412</v>
      </c>
      <c r="E1107" t="str">
        <f>HYPERLINK("http://www.ncbi.nlm.nih.gov/Taxonomy/Browser/wwwtax.cgi?mode=Info&amp;id=40697&amp;lvl=3&amp;lin=f&amp;keep=1&amp;srchmode=1&amp;unlock","40697")</f>
        <v>40697</v>
      </c>
      <c r="F1107" t="s">
        <v>904</v>
      </c>
      <c r="G1107" t="str">
        <f>HYPERLINK("http://www.ncbi.nlm.nih.gov/Taxonomy/Browser/wwwtax.cgi?mode=Info&amp;id=40697&amp;lvl=3&amp;lin=f&amp;keep=1&amp;srchmode=1&amp;unlock","Blomia tropicalis")</f>
        <v>Blomia tropicalis</v>
      </c>
      <c r="H1107" t="s">
        <v>992</v>
      </c>
      <c r="I1107" t="str">
        <f>HYPERLINK("http://www.ncbi.nlm.nih.gov/protein/KAJ6217176.1","hypothetical protein RDWZM_008333")</f>
        <v>hypothetical protein RDWZM_008333</v>
      </c>
      <c r="J1107">
        <v>2898.23</v>
      </c>
      <c r="K1107" t="s">
        <v>22</v>
      </c>
      <c r="L1107">
        <v>276</v>
      </c>
      <c r="M1107">
        <v>9.75</v>
      </c>
      <c r="N1107">
        <v>27.72</v>
      </c>
      <c r="O1107" t="s">
        <v>19</v>
      </c>
      <c r="P1107" t="s">
        <v>20</v>
      </c>
      <c r="Q1107" t="s">
        <v>19</v>
      </c>
      <c r="R1107" t="str">
        <f>HYPERLINK("https://cfpub.epa.gov/ecotox/explore.cfm?ncbi=40697","Explore in ECOTOX")</f>
        <v>Explore in ECOTOX</v>
      </c>
    </row>
    <row r="1108" spans="1:18" x14ac:dyDescent="0.45">
      <c r="A1108" t="s">
        <v>1264</v>
      </c>
      <c r="B1108">
        <v>8</v>
      </c>
      <c r="C1108" t="str">
        <f>HYPERLINK("http://www.ncbi.nlm.nih.gov/protein/XP_031640513.1","XP_031640513.1")</f>
        <v>XP_031640513.1</v>
      </c>
      <c r="D1108">
        <v>24977</v>
      </c>
      <c r="E1108" t="str">
        <f>HYPERLINK("http://www.ncbi.nlm.nih.gov/Taxonomy/Browser/wwwtax.cgi?mode=Info&amp;id=265458&amp;lvl=3&amp;lin=f&amp;keep=1&amp;srchmode=1&amp;unlock","265458")</f>
        <v>265458</v>
      </c>
      <c r="F1108" t="s">
        <v>760</v>
      </c>
      <c r="G1108" t="str">
        <f>HYPERLINK("http://www.ncbi.nlm.nih.gov/Taxonomy/Browser/wwwtax.cgi?mode=Info&amp;id=265458&amp;lvl=3&amp;lin=f&amp;keep=1&amp;srchmode=1&amp;unlock","Contarinia nasturtii")</f>
        <v>Contarinia nasturtii</v>
      </c>
      <c r="H1108" t="s">
        <v>993</v>
      </c>
      <c r="I1108" t="str">
        <f>HYPERLINK("http://www.ncbi.nlm.nih.gov/protein/XP_031640513.1","ryanodine receptor isoform X5")</f>
        <v>ryanodine receptor isoform X5</v>
      </c>
      <c r="J1108">
        <v>2893.22</v>
      </c>
      <c r="K1108" t="s">
        <v>22</v>
      </c>
      <c r="L1108">
        <v>276</v>
      </c>
      <c r="M1108">
        <v>9.75</v>
      </c>
      <c r="N1108">
        <v>27.68</v>
      </c>
      <c r="O1108" t="s">
        <v>19</v>
      </c>
      <c r="P1108" t="s">
        <v>20</v>
      </c>
      <c r="Q1108" t="s">
        <v>19</v>
      </c>
      <c r="R1108" t="str">
        <f>HYPERLINK("https://cfpub.epa.gov/ecotox/explore.cfm?ncbi=265458","Explore in ECOTOX")</f>
        <v>Explore in ECOTOX</v>
      </c>
    </row>
    <row r="1109" spans="1:18" x14ac:dyDescent="0.45">
      <c r="A1109" t="s">
        <v>1264</v>
      </c>
      <c r="B1109">
        <v>8</v>
      </c>
      <c r="C1109" t="str">
        <f>HYPERLINK("http://www.ncbi.nlm.nih.gov/protein/TMW46794.1","TMW46794.1")</f>
        <v>TMW46794.1</v>
      </c>
      <c r="D1109">
        <v>15895</v>
      </c>
      <c r="E1109" t="str">
        <f>HYPERLINK("http://www.ncbi.nlm.nih.gov/Taxonomy/Browser/wwwtax.cgi?mode=Info&amp;id=7385&amp;lvl=3&amp;lin=f&amp;keep=1&amp;srchmode=1&amp;unlock","7385")</f>
        <v>7385</v>
      </c>
      <c r="F1109" t="s">
        <v>760</v>
      </c>
      <c r="G1109" t="str">
        <f>HYPERLINK("http://www.ncbi.nlm.nih.gov/Taxonomy/Browser/wwwtax.cgi?mode=Info&amp;id=7385&amp;lvl=3&amp;lin=f&amp;keep=1&amp;srchmode=1&amp;unlock","Sarcophaga bullata")</f>
        <v>Sarcophaga bullata</v>
      </c>
      <c r="H1109" t="s">
        <v>994</v>
      </c>
      <c r="I1109" t="str">
        <f>HYPERLINK("http://www.ncbi.nlm.nih.gov/protein/TMW46794.1","hypothetical protein DOY81_008127, partial")</f>
        <v>hypothetical protein DOY81_008127, partial</v>
      </c>
      <c r="J1109">
        <v>2890.14</v>
      </c>
      <c r="K1109" t="s">
        <v>22</v>
      </c>
      <c r="L1109">
        <v>276</v>
      </c>
      <c r="M1109">
        <v>9.75</v>
      </c>
      <c r="N1109">
        <v>27.65</v>
      </c>
      <c r="O1109" t="s">
        <v>19</v>
      </c>
      <c r="P1109" t="s">
        <v>20</v>
      </c>
      <c r="Q1109" t="s">
        <v>19</v>
      </c>
      <c r="R1109" t="str">
        <f>HYPERLINK("https://cfpub.epa.gov/ecotox/explore.cfm?ncbi=7385","Explore in ECOTOX")</f>
        <v>Explore in ECOTOX</v>
      </c>
    </row>
    <row r="1110" spans="1:18" x14ac:dyDescent="0.45">
      <c r="A1110" t="s">
        <v>1264</v>
      </c>
      <c r="B1110">
        <v>8</v>
      </c>
      <c r="C1110" t="str">
        <f>HYPERLINK("http://www.ncbi.nlm.nih.gov/protein/XP_054156136.1","XP_054156136.1")</f>
        <v>XP_054156136.1</v>
      </c>
      <c r="D1110">
        <v>17051</v>
      </c>
      <c r="E1110" t="str">
        <f>HYPERLINK("http://www.ncbi.nlm.nih.gov/Taxonomy/Browser/wwwtax.cgi?mode=Info&amp;id=1686743&amp;lvl=3&amp;lin=f&amp;keep=1&amp;srchmode=1&amp;unlock","1686743")</f>
        <v>1686743</v>
      </c>
      <c r="F1110" t="s">
        <v>904</v>
      </c>
      <c r="G1110" t="str">
        <f>HYPERLINK("http://www.ncbi.nlm.nih.gov/Taxonomy/Browser/wwwtax.cgi?mode=Info&amp;id=1686743&amp;lvl=3&amp;lin=f&amp;keep=1&amp;srchmode=1&amp;unlock","Oppia nitens")</f>
        <v>Oppia nitens</v>
      </c>
      <c r="H1110" t="s">
        <v>995</v>
      </c>
      <c r="I1110" t="str">
        <f>HYPERLINK("http://www.ncbi.nlm.nih.gov/protein/XP_054156136.1","ryanodine receptor-like isoform X6")</f>
        <v>ryanodine receptor-like isoform X6</v>
      </c>
      <c r="J1110">
        <v>2887.83</v>
      </c>
      <c r="K1110" t="s">
        <v>19</v>
      </c>
      <c r="L1110">
        <v>276</v>
      </c>
      <c r="M1110">
        <v>9.75</v>
      </c>
      <c r="N1110">
        <v>27.62</v>
      </c>
      <c r="O1110" t="s">
        <v>19</v>
      </c>
      <c r="P1110" t="s">
        <v>20</v>
      </c>
      <c r="Q1110" t="s">
        <v>19</v>
      </c>
      <c r="R1110" t="str">
        <f>HYPERLINK("https://cfpub.epa.gov/ecotox/explore.cfm?ncbi=1686743","Explore in ECOTOX")</f>
        <v>Explore in ECOTOX</v>
      </c>
    </row>
    <row r="1111" spans="1:18" x14ac:dyDescent="0.45">
      <c r="A1111" t="s">
        <v>1264</v>
      </c>
      <c r="B1111">
        <v>8</v>
      </c>
      <c r="C1111" t="str">
        <f>HYPERLINK("http://www.ncbi.nlm.nih.gov/protein/XP_017790364.1","XP_017790364.1")</f>
        <v>XP_017790364.1</v>
      </c>
      <c r="D1111">
        <v>25074</v>
      </c>
      <c r="E1111" t="str">
        <f>HYPERLINK("http://www.ncbi.nlm.nih.gov/Taxonomy/Browser/wwwtax.cgi?mode=Info&amp;id=597456&amp;lvl=3&amp;lin=f&amp;keep=1&amp;srchmode=1&amp;unlock","597456")</f>
        <v>597456</v>
      </c>
      <c r="F1111" t="s">
        <v>760</v>
      </c>
      <c r="G1111" t="str">
        <f>HYPERLINK("http://www.ncbi.nlm.nih.gov/Taxonomy/Browser/wwwtax.cgi?mode=Info&amp;id=597456&amp;lvl=3&amp;lin=f&amp;keep=1&amp;srchmode=1&amp;unlock","Habropoda laboriosa")</f>
        <v>Habropoda laboriosa</v>
      </c>
      <c r="H1111" t="s">
        <v>996</v>
      </c>
      <c r="I1111" t="str">
        <f>HYPERLINK("http://www.ncbi.nlm.nih.gov/protein/XP_017790364.1","PREDICTED: LOW QUALITY PROTEIN: ryanodine receptor")</f>
        <v>PREDICTED: LOW QUALITY PROTEIN: ryanodine receptor</v>
      </c>
      <c r="J1111">
        <v>2883.2</v>
      </c>
      <c r="K1111" t="s">
        <v>22</v>
      </c>
      <c r="L1111">
        <v>276</v>
      </c>
      <c r="M1111">
        <v>9.75</v>
      </c>
      <c r="N1111">
        <v>27.58</v>
      </c>
      <c r="O1111" t="s">
        <v>19</v>
      </c>
      <c r="P1111" t="s">
        <v>20</v>
      </c>
      <c r="Q1111" t="s">
        <v>19</v>
      </c>
      <c r="R1111" t="str">
        <f>HYPERLINK("https://cfpub.epa.gov/ecotox/explore.cfm?ncbi=597456","Explore in ECOTOX")</f>
        <v>Explore in ECOTOX</v>
      </c>
    </row>
    <row r="1112" spans="1:18" x14ac:dyDescent="0.45">
      <c r="A1112" t="s">
        <v>1264</v>
      </c>
      <c r="B1112">
        <v>8</v>
      </c>
      <c r="C1112" t="str">
        <f>HYPERLINK("http://www.ncbi.nlm.nih.gov/protein/XP_043197983.1","XP_043197983.1")</f>
        <v>XP_043197983.1</v>
      </c>
      <c r="D1112">
        <v>88033</v>
      </c>
      <c r="E1112" t="str">
        <f>HYPERLINK("http://www.ncbi.nlm.nih.gov/Taxonomy/Browser/wwwtax.cgi?mode=Info&amp;id=1232801&amp;lvl=3&amp;lin=f&amp;keep=1&amp;srchmode=1&amp;unlock","1232801")</f>
        <v>1232801</v>
      </c>
      <c r="F1112" t="s">
        <v>997</v>
      </c>
      <c r="G1112" t="str">
        <f>HYPERLINK("http://www.ncbi.nlm.nih.gov/Taxonomy/Browser/wwwtax.cgi?mode=Info&amp;id=1232801&amp;lvl=3&amp;lin=f&amp;keep=1&amp;srchmode=1&amp;unlock","Amphibalanus amphitrite")</f>
        <v>Amphibalanus amphitrite</v>
      </c>
      <c r="H1112" t="s">
        <v>998</v>
      </c>
      <c r="I1112" t="str">
        <f>HYPERLINK("http://www.ncbi.nlm.nih.gov/protein/XP_043197983.1","ryanodine receptor-like isoform X7")</f>
        <v>ryanodine receptor-like isoform X7</v>
      </c>
      <c r="J1112">
        <v>2876.66</v>
      </c>
      <c r="K1112" t="s">
        <v>22</v>
      </c>
      <c r="L1112">
        <v>276</v>
      </c>
      <c r="M1112">
        <v>9.75</v>
      </c>
      <c r="N1112">
        <v>27.52</v>
      </c>
      <c r="O1112" t="s">
        <v>19</v>
      </c>
      <c r="P1112" t="s">
        <v>20</v>
      </c>
      <c r="Q1112" t="s">
        <v>19</v>
      </c>
      <c r="R1112" t="str">
        <f>HYPERLINK("https://cfpub.epa.gov/ecotox/explore.cfm?ncbi=1232801","Explore in ECOTOX")</f>
        <v>Explore in ECOTOX</v>
      </c>
    </row>
    <row r="1113" spans="1:18" x14ac:dyDescent="0.45">
      <c r="A1113" t="s">
        <v>1264</v>
      </c>
      <c r="B1113">
        <v>8</v>
      </c>
      <c r="C1113" t="str">
        <f>HYPERLINK("http://www.ncbi.nlm.nih.gov/protein/XP_035704018.1","XP_035704018.1")</f>
        <v>XP_035704018.1</v>
      </c>
      <c r="D1113">
        <v>66154</v>
      </c>
      <c r="E1113" t="str">
        <f>HYPERLINK("http://www.ncbi.nlm.nih.gov/Taxonomy/Browser/wwwtax.cgi?mode=Info&amp;id=158441&amp;lvl=3&amp;lin=f&amp;keep=1&amp;srchmode=1&amp;unlock","158441")</f>
        <v>158441</v>
      </c>
      <c r="F1113" t="s">
        <v>999</v>
      </c>
      <c r="G1113" t="str">
        <f>HYPERLINK("http://www.ncbi.nlm.nih.gov/Taxonomy/Browser/wwwtax.cgi?mode=Info&amp;id=158441&amp;lvl=3&amp;lin=f&amp;keep=1&amp;srchmode=1&amp;unlock","Folsomia candida")</f>
        <v>Folsomia candida</v>
      </c>
      <c r="H1113" t="s">
        <v>1000</v>
      </c>
      <c r="I1113" t="str">
        <f>HYPERLINK("http://www.ncbi.nlm.nih.gov/protein/XP_035704018.1","ryanodine receptor isoform X12")</f>
        <v>ryanodine receptor isoform X12</v>
      </c>
      <c r="J1113">
        <v>2876.27</v>
      </c>
      <c r="K1113" t="s">
        <v>22</v>
      </c>
      <c r="L1113">
        <v>276</v>
      </c>
      <c r="M1113">
        <v>9.75</v>
      </c>
      <c r="N1113">
        <v>27.51</v>
      </c>
      <c r="O1113" t="s">
        <v>19</v>
      </c>
      <c r="P1113" t="s">
        <v>20</v>
      </c>
      <c r="Q1113" t="s">
        <v>19</v>
      </c>
      <c r="R1113" t="str">
        <f>HYPERLINK("https://cfpub.epa.gov/ecotox/explore.cfm?ncbi=158441","Explore in ECOTOX")</f>
        <v>Explore in ECOTOX</v>
      </c>
    </row>
    <row r="1114" spans="1:18" x14ac:dyDescent="0.45">
      <c r="A1114" t="s">
        <v>1264</v>
      </c>
      <c r="B1114">
        <v>8</v>
      </c>
      <c r="C1114" t="str">
        <f>HYPERLINK("http://www.ncbi.nlm.nih.gov/protein/XP_046909164.1","XP_046909164.1")</f>
        <v>XP_046909164.1</v>
      </c>
      <c r="D1114">
        <v>40247</v>
      </c>
      <c r="E1114" t="str">
        <f>HYPERLINK("http://www.ncbi.nlm.nih.gov/Taxonomy/Browser/wwwtax.cgi?mode=Info&amp;id=6954&amp;lvl=3&amp;lin=f&amp;keep=1&amp;srchmode=1&amp;unlock","6954")</f>
        <v>6954</v>
      </c>
      <c r="F1114" t="s">
        <v>904</v>
      </c>
      <c r="G1114" t="str">
        <f>HYPERLINK("http://www.ncbi.nlm.nih.gov/Taxonomy/Browser/wwwtax.cgi?mode=Info&amp;id=6954&amp;lvl=3&amp;lin=f&amp;keep=1&amp;srchmode=1&amp;unlock","Dermatophagoides farinae")</f>
        <v>Dermatophagoides farinae</v>
      </c>
      <c r="H1114" t="s">
        <v>1001</v>
      </c>
      <c r="I1114" t="str">
        <f>HYPERLINK("http://www.ncbi.nlm.nih.gov/protein/XP_046909164.1","LOW QUALITY PROTEIN: ryanodine receptor-like")</f>
        <v>LOW QUALITY PROTEIN: ryanodine receptor-like</v>
      </c>
      <c r="J1114">
        <v>2875.89</v>
      </c>
      <c r="K1114" t="s">
        <v>22</v>
      </c>
      <c r="L1114">
        <v>276</v>
      </c>
      <c r="M1114">
        <v>9.75</v>
      </c>
      <c r="N1114">
        <v>27.51</v>
      </c>
      <c r="O1114" t="s">
        <v>19</v>
      </c>
      <c r="P1114" t="s">
        <v>20</v>
      </c>
      <c r="Q1114" t="s">
        <v>19</v>
      </c>
      <c r="R1114" t="str">
        <f>HYPERLINK("https://cfpub.epa.gov/ecotox/explore.cfm?ncbi=6954","Explore in ECOTOX")</f>
        <v>Explore in ECOTOX</v>
      </c>
    </row>
    <row r="1115" spans="1:18" x14ac:dyDescent="0.45">
      <c r="A1115" t="s">
        <v>1264</v>
      </c>
      <c r="B1115">
        <v>8</v>
      </c>
      <c r="C1115" t="str">
        <f>HYPERLINK("http://www.ncbi.nlm.nih.gov/protein/RWS13062.1","RWS13062.1")</f>
        <v>RWS13062.1</v>
      </c>
      <c r="D1115">
        <v>19013</v>
      </c>
      <c r="E1115" t="str">
        <f>HYPERLINK("http://www.ncbi.nlm.nih.gov/Taxonomy/Browser/wwwtax.cgi?mode=Info&amp;id=1965070&amp;lvl=3&amp;lin=f&amp;keep=1&amp;srchmode=1&amp;unlock","1965070")</f>
        <v>1965070</v>
      </c>
      <c r="F1115" t="s">
        <v>904</v>
      </c>
      <c r="G1115" t="str">
        <f>HYPERLINK("http://www.ncbi.nlm.nih.gov/Taxonomy/Browser/wwwtax.cgi?mode=Info&amp;id=1965070&amp;lvl=3&amp;lin=f&amp;keep=1&amp;srchmode=1&amp;unlock","Dinothrombium tinctorium")</f>
        <v>Dinothrombium tinctorium</v>
      </c>
      <c r="H1115" t="s">
        <v>1002</v>
      </c>
      <c r="I1115" t="str">
        <f>HYPERLINK("http://www.ncbi.nlm.nih.gov/protein/RWS13062.1","ryanodine receptor-like protein")</f>
        <v>ryanodine receptor-like protein</v>
      </c>
      <c r="J1115">
        <v>2853.93</v>
      </c>
      <c r="K1115" t="s">
        <v>22</v>
      </c>
      <c r="L1115">
        <v>276</v>
      </c>
      <c r="M1115">
        <v>9.75</v>
      </c>
      <c r="N1115">
        <v>27.3</v>
      </c>
      <c r="O1115" t="s">
        <v>19</v>
      </c>
      <c r="P1115" t="s">
        <v>20</v>
      </c>
      <c r="Q1115" t="s">
        <v>19</v>
      </c>
      <c r="R1115" t="str">
        <f>HYPERLINK("https://cfpub.epa.gov/ecotox/explore.cfm?ncbi=1965070","Explore in ECOTOX")</f>
        <v>Explore in ECOTOX</v>
      </c>
    </row>
    <row r="1116" spans="1:18" x14ac:dyDescent="0.45">
      <c r="A1116" t="s">
        <v>1264</v>
      </c>
      <c r="B1116">
        <v>8</v>
      </c>
      <c r="C1116" t="str">
        <f>HYPERLINK("http://www.ncbi.nlm.nih.gov/protein/XP_053210168.1","XP_053210168.1")</f>
        <v>XP_053210168.1</v>
      </c>
      <c r="D1116">
        <v>15055</v>
      </c>
      <c r="E1116" t="str">
        <f>HYPERLINK("http://www.ncbi.nlm.nih.gov/Taxonomy/Browser/wwwtax.cgi?mode=Info&amp;id=50023&amp;lvl=3&amp;lin=f&amp;keep=1&amp;srchmode=1&amp;unlock","50023")</f>
        <v>50023</v>
      </c>
      <c r="F1116" t="s">
        <v>904</v>
      </c>
      <c r="G1116" t="str">
        <f>HYPERLINK("http://www.ncbi.nlm.nih.gov/Taxonomy/Browser/wwwtax.cgi?mode=Info&amp;id=50023&amp;lvl=3&amp;lin=f&amp;keep=1&amp;srchmode=1&amp;unlock","Panonychus citri")</f>
        <v>Panonychus citri</v>
      </c>
      <c r="H1116" t="s">
        <v>1003</v>
      </c>
      <c r="I1116" t="str">
        <f>HYPERLINK("http://www.ncbi.nlm.nih.gov/protein/XP_053210168.1","LOW QUALITY PROTEIN: ryanodine receptor-like")</f>
        <v>LOW QUALITY PROTEIN: ryanodine receptor-like</v>
      </c>
      <c r="J1116">
        <v>2847.38</v>
      </c>
      <c r="K1116" t="s">
        <v>22</v>
      </c>
      <c r="L1116">
        <v>276</v>
      </c>
      <c r="M1116">
        <v>9.75</v>
      </c>
      <c r="N1116">
        <v>27.24</v>
      </c>
      <c r="O1116" t="s">
        <v>19</v>
      </c>
      <c r="P1116" t="s">
        <v>20</v>
      </c>
      <c r="Q1116" t="s">
        <v>19</v>
      </c>
      <c r="R1116" t="str">
        <f>HYPERLINK("https://cfpub.epa.gov/ecotox/explore.cfm?ncbi=50023","Explore in ECOTOX")</f>
        <v>Explore in ECOTOX</v>
      </c>
    </row>
    <row r="1117" spans="1:18" x14ac:dyDescent="0.45">
      <c r="A1117" t="s">
        <v>1264</v>
      </c>
      <c r="B1117">
        <v>8</v>
      </c>
      <c r="C1117" t="str">
        <f>HYPERLINK("http://www.ncbi.nlm.nih.gov/protein/XP_025103917.1","XP_025103917.1")</f>
        <v>XP_025103917.1</v>
      </c>
      <c r="D1117">
        <v>62313</v>
      </c>
      <c r="E1117" t="str">
        <f>HYPERLINK("http://www.ncbi.nlm.nih.gov/Taxonomy/Browser/wwwtax.cgi?mode=Info&amp;id=400727&amp;lvl=3&amp;lin=f&amp;keep=1&amp;srchmode=1&amp;unlock","400727")</f>
        <v>400727</v>
      </c>
      <c r="F1117" t="s">
        <v>757</v>
      </c>
      <c r="G1117" t="str">
        <f>HYPERLINK("http://www.ncbi.nlm.nih.gov/Taxonomy/Browser/wwwtax.cgi?mode=Info&amp;id=400727&amp;lvl=3&amp;lin=f&amp;keep=1&amp;srchmode=1&amp;unlock","Pomacea canaliculata")</f>
        <v>Pomacea canaliculata</v>
      </c>
      <c r="H1117" t="s">
        <v>832</v>
      </c>
      <c r="I1117" t="str">
        <f>HYPERLINK("http://www.ncbi.nlm.nih.gov/protein/XP_025103917.1","ryanodine receptor-like isoform X10")</f>
        <v>ryanodine receptor-like isoform X10</v>
      </c>
      <c r="J1117">
        <v>2837.37</v>
      </c>
      <c r="K1117" t="s">
        <v>22</v>
      </c>
      <c r="L1117">
        <v>276</v>
      </c>
      <c r="M1117">
        <v>9.75</v>
      </c>
      <c r="N1117">
        <v>27.14</v>
      </c>
      <c r="O1117" t="s">
        <v>19</v>
      </c>
      <c r="P1117" t="s">
        <v>20</v>
      </c>
      <c r="Q1117" t="s">
        <v>19</v>
      </c>
      <c r="R1117" t="str">
        <f>HYPERLINK("https://cfpub.epa.gov/ecotox/explore.cfm?ncbi=400727","Explore in ECOTOX")</f>
        <v>Explore in ECOTOX</v>
      </c>
    </row>
    <row r="1118" spans="1:18" x14ac:dyDescent="0.45">
      <c r="A1118" t="s">
        <v>1264</v>
      </c>
      <c r="B1118">
        <v>8</v>
      </c>
      <c r="C1118" t="str">
        <f>HYPERLINK("http://www.ncbi.nlm.nih.gov/protein/NXQ62989.1","NXQ62989.1")</f>
        <v>NXQ62989.1</v>
      </c>
      <c r="D1118">
        <v>13596</v>
      </c>
      <c r="E1118" t="str">
        <f>HYPERLINK("http://www.ncbi.nlm.nih.gov/Taxonomy/Browser/wwwtax.cgi?mode=Info&amp;id=156561&amp;lvl=3&amp;lin=f&amp;keep=1&amp;srchmode=1&amp;unlock","156561")</f>
        <v>156561</v>
      </c>
      <c r="F1118" t="s">
        <v>241</v>
      </c>
      <c r="G1118" t="str">
        <f>HYPERLINK("http://www.ncbi.nlm.nih.gov/Taxonomy/Browser/wwwtax.cgi?mode=Info&amp;id=156561&amp;lvl=3&amp;lin=f&amp;keep=1&amp;srchmode=1&amp;unlock","Anthoscopus minutus")</f>
        <v>Anthoscopus minutus</v>
      </c>
      <c r="H1118" t="s">
        <v>1004</v>
      </c>
      <c r="I1118" t="str">
        <f>HYPERLINK("http://www.ncbi.nlm.nih.gov/protein/NXQ62989.1","RYR3 protein")</f>
        <v>RYR3 protein</v>
      </c>
      <c r="J1118">
        <v>2821.19</v>
      </c>
      <c r="K1118" t="s">
        <v>22</v>
      </c>
      <c r="L1118">
        <v>276</v>
      </c>
      <c r="M1118">
        <v>9.75</v>
      </c>
      <c r="N1118">
        <v>26.99</v>
      </c>
      <c r="O1118" t="s">
        <v>19</v>
      </c>
      <c r="P1118" t="s">
        <v>20</v>
      </c>
      <c r="Q1118" t="s">
        <v>19</v>
      </c>
      <c r="R1118" t="str">
        <f>HYPERLINK("https://cfpub.epa.gov/ecotox/explore.cfm?ncbi=156561","Explore in ECOTOX")</f>
        <v>Explore in ECOTOX</v>
      </c>
    </row>
    <row r="1119" spans="1:18" x14ac:dyDescent="0.45">
      <c r="A1119" t="s">
        <v>1264</v>
      </c>
      <c r="B1119">
        <v>8</v>
      </c>
      <c r="C1119" t="str">
        <f>HYPERLINK("http://www.ncbi.nlm.nih.gov/protein/KAI4558615.1","KAI4558615.1")</f>
        <v>KAI4558615.1</v>
      </c>
      <c r="D1119">
        <v>40310</v>
      </c>
      <c r="E1119" t="str">
        <f>HYPERLINK("http://www.ncbi.nlm.nih.gov/Taxonomy/Browser/wwwtax.cgi?mode=Info&amp;id=2918886&amp;lvl=3&amp;lin=f&amp;keep=1&amp;srchmode=1&amp;unlock","2918886")</f>
        <v>2918886</v>
      </c>
      <c r="F1119" t="s">
        <v>96</v>
      </c>
      <c r="G1119" t="str">
        <f>HYPERLINK("http://www.ncbi.nlm.nih.gov/Taxonomy/Browser/wwwtax.cgi?mode=Info&amp;id=2918886&amp;lvl=3&amp;lin=f&amp;keep=1&amp;srchmode=1&amp;unlock","Ovis ammon polii x Ovis aries")</f>
        <v>Ovis ammon polii x Ovis aries</v>
      </c>
      <c r="H1119" t="s">
        <v>1005</v>
      </c>
      <c r="I1119" t="str">
        <f>HYPERLINK("http://www.ncbi.nlm.nih.gov/protein/KAI4558615.1","hypothetical protein MJT46_013257")</f>
        <v>hypothetical protein MJT46_013257</v>
      </c>
      <c r="J1119">
        <v>2816.57</v>
      </c>
      <c r="K1119" t="s">
        <v>19</v>
      </c>
      <c r="L1119">
        <v>276</v>
      </c>
      <c r="M1119">
        <v>9.75</v>
      </c>
      <c r="N1119">
        <v>26.94</v>
      </c>
      <c r="O1119" t="s">
        <v>19</v>
      </c>
      <c r="P1119" t="s">
        <v>20</v>
      </c>
      <c r="Q1119" t="s">
        <v>19</v>
      </c>
      <c r="R1119" t="str">
        <f>HYPERLINK("https://cfpub.epa.gov/ecotox/explore.cfm?ncbi=2918886","Explore in ECOTOX")</f>
        <v>Explore in ECOTOX</v>
      </c>
    </row>
    <row r="1120" spans="1:18" x14ac:dyDescent="0.45">
      <c r="A1120" t="s">
        <v>1264</v>
      </c>
      <c r="B1120">
        <v>8</v>
      </c>
      <c r="C1120" t="str">
        <f>HYPERLINK("http://www.ncbi.nlm.nih.gov/protein/KAI4534522.1","KAI4534522.1")</f>
        <v>KAI4534522.1</v>
      </c>
      <c r="D1120">
        <v>20823</v>
      </c>
      <c r="E1120" t="str">
        <f>HYPERLINK("http://www.ncbi.nlm.nih.gov/Taxonomy/Browser/wwwtax.cgi?mode=Info&amp;id=230172&amp;lvl=3&amp;lin=f&amp;keep=1&amp;srchmode=1&amp;unlock","230172")</f>
        <v>230172</v>
      </c>
      <c r="F1120" t="s">
        <v>96</v>
      </c>
      <c r="G1120" t="str">
        <f>HYPERLINK("http://www.ncbi.nlm.nih.gov/Taxonomy/Browser/wwwtax.cgi?mode=Info&amp;id=230172&amp;lvl=3&amp;lin=f&amp;keep=1&amp;srchmode=1&amp;unlock","Ovis ammon polii")</f>
        <v>Ovis ammon polii</v>
      </c>
      <c r="H1120" t="s">
        <v>1006</v>
      </c>
      <c r="I1120" t="str">
        <f>HYPERLINK("http://www.ncbi.nlm.nih.gov/protein/KAI4534522.1","hypothetical protein MG293_015382")</f>
        <v>hypothetical protein MG293_015382</v>
      </c>
      <c r="J1120">
        <v>2813.1</v>
      </c>
      <c r="K1120" t="s">
        <v>19</v>
      </c>
      <c r="L1120">
        <v>276</v>
      </c>
      <c r="M1120">
        <v>9.75</v>
      </c>
      <c r="N1120">
        <v>26.91</v>
      </c>
      <c r="O1120" t="s">
        <v>19</v>
      </c>
      <c r="P1120" t="s">
        <v>20</v>
      </c>
      <c r="Q1120" t="s">
        <v>19</v>
      </c>
      <c r="R1120" t="str">
        <f>HYPERLINK("https://cfpub.epa.gov/ecotox/explore.cfm?ncbi=230172","Explore in ECOTOX")</f>
        <v>Explore in ECOTOX</v>
      </c>
    </row>
    <row r="1121" spans="1:18" x14ac:dyDescent="0.45">
      <c r="A1121" t="s">
        <v>1264</v>
      </c>
      <c r="B1121">
        <v>8</v>
      </c>
      <c r="C1121" t="str">
        <f>HYPERLINK("http://www.ncbi.nlm.nih.gov/protein/XP_028968698.1","XP_028968698.1")</f>
        <v>XP_028968698.1</v>
      </c>
      <c r="D1121">
        <v>11907</v>
      </c>
      <c r="E1121" t="str">
        <f>HYPERLINK("http://www.ncbi.nlm.nih.gov/Taxonomy/Browser/wwwtax.cgi?mode=Info&amp;id=34638&amp;lvl=3&amp;lin=f&amp;keep=1&amp;srchmode=1&amp;unlock","34638")</f>
        <v>34638</v>
      </c>
      <c r="F1121" t="s">
        <v>904</v>
      </c>
      <c r="G1121" t="str">
        <f>HYPERLINK("http://www.ncbi.nlm.nih.gov/Taxonomy/Browser/wwwtax.cgi?mode=Info&amp;id=34638&amp;lvl=3&amp;lin=f&amp;keep=1&amp;srchmode=1&amp;unlock","Galendromus occidentalis")</f>
        <v>Galendromus occidentalis</v>
      </c>
      <c r="H1121" t="s">
        <v>1007</v>
      </c>
      <c r="I1121" t="str">
        <f>HYPERLINK("http://www.ncbi.nlm.nih.gov/protein/XP_028968698.1","ryanodine receptor")</f>
        <v>ryanodine receptor</v>
      </c>
      <c r="J1121">
        <v>2810.79</v>
      </c>
      <c r="K1121" t="s">
        <v>22</v>
      </c>
      <c r="L1121">
        <v>276</v>
      </c>
      <c r="M1121">
        <v>9.75</v>
      </c>
      <c r="N1121">
        <v>26.89</v>
      </c>
      <c r="O1121" t="s">
        <v>19</v>
      </c>
      <c r="P1121" t="s">
        <v>20</v>
      </c>
      <c r="Q1121" t="s">
        <v>19</v>
      </c>
      <c r="R1121" t="str">
        <f>HYPERLINK("https://cfpub.epa.gov/ecotox/explore.cfm?ncbi=34638","Explore in ECOTOX")</f>
        <v>Explore in ECOTOX</v>
      </c>
    </row>
    <row r="1122" spans="1:18" x14ac:dyDescent="0.45">
      <c r="A1122" t="s">
        <v>1264</v>
      </c>
      <c r="B1122">
        <v>8</v>
      </c>
      <c r="C1122" t="str">
        <f>HYPERLINK("http://www.ncbi.nlm.nih.gov/protein/XP_052269357.1","XP_052269357.1")</f>
        <v>XP_052269357.1</v>
      </c>
      <c r="D1122">
        <v>262975</v>
      </c>
      <c r="E1122" t="str">
        <f>HYPERLINK("http://www.ncbi.nlm.nih.gov/Taxonomy/Browser/wwwtax.cgi?mode=Info&amp;id=45954&amp;lvl=3&amp;lin=f&amp;keep=1&amp;srchmode=1&amp;unlock","45954")</f>
        <v>45954</v>
      </c>
      <c r="F1122" t="s">
        <v>833</v>
      </c>
      <c r="G1122" t="str">
        <f>HYPERLINK("http://www.ncbi.nlm.nih.gov/Taxonomy/Browser/wwwtax.cgi?mode=Info&amp;id=45954&amp;lvl=3&amp;lin=f&amp;keep=1&amp;srchmode=1&amp;unlock","Dreissena polymorpha")</f>
        <v>Dreissena polymorpha</v>
      </c>
      <c r="H1122" t="s">
        <v>1008</v>
      </c>
      <c r="I1122" t="str">
        <f>HYPERLINK("http://www.ncbi.nlm.nih.gov/protein/XP_052269357.1","ryanodine receptor-like")</f>
        <v>ryanodine receptor-like</v>
      </c>
      <c r="J1122">
        <v>2798.85</v>
      </c>
      <c r="K1122" t="s">
        <v>22</v>
      </c>
      <c r="L1122">
        <v>276</v>
      </c>
      <c r="M1122">
        <v>9.75</v>
      </c>
      <c r="N1122">
        <v>26.77</v>
      </c>
      <c r="O1122" t="s">
        <v>19</v>
      </c>
      <c r="P1122" t="s">
        <v>20</v>
      </c>
      <c r="Q1122" t="s">
        <v>19</v>
      </c>
      <c r="R1122" t="str">
        <f>HYPERLINK("https://cfpub.epa.gov/ecotox/explore.cfm?ncbi=45954","Explore in ECOTOX")</f>
        <v>Explore in ECOTOX</v>
      </c>
    </row>
    <row r="1123" spans="1:18" x14ac:dyDescent="0.45">
      <c r="A1123" t="s">
        <v>1264</v>
      </c>
      <c r="B1123">
        <v>8</v>
      </c>
      <c r="C1123" t="str">
        <f>HYPERLINK("http://www.ncbi.nlm.nih.gov/protein/XP_059162225.1","XP_059162225.1")</f>
        <v>XP_059162225.1</v>
      </c>
      <c r="D1123">
        <v>41931</v>
      </c>
      <c r="E1123" t="str">
        <f>HYPERLINK("http://www.ncbi.nlm.nih.gov/Taxonomy/Browser/wwwtax.cgi?mode=Info&amp;id=109671&amp;lvl=3&amp;lin=f&amp;keep=1&amp;srchmode=1&amp;unlock","109671")</f>
        <v>109671</v>
      </c>
      <c r="F1123" t="s">
        <v>757</v>
      </c>
      <c r="G1123" t="str">
        <f>HYPERLINK("http://www.ncbi.nlm.nih.gov/Taxonomy/Browser/wwwtax.cgi?mode=Info&amp;id=109671&amp;lvl=3&amp;lin=f&amp;keep=1&amp;srchmode=1&amp;unlock","Physella acuta")</f>
        <v>Physella acuta</v>
      </c>
      <c r="H1123" t="s">
        <v>832</v>
      </c>
      <c r="I1123" t="str">
        <f>HYPERLINK("http://www.ncbi.nlm.nih.gov/protein/XP_059162225.1","ryanodine receptor-like")</f>
        <v>ryanodine receptor-like</v>
      </c>
      <c r="J1123">
        <v>2781.51</v>
      </c>
      <c r="K1123" t="s">
        <v>22</v>
      </c>
      <c r="L1123">
        <v>276</v>
      </c>
      <c r="M1123">
        <v>9.75</v>
      </c>
      <c r="N1123">
        <v>26.61</v>
      </c>
      <c r="O1123" t="s">
        <v>19</v>
      </c>
      <c r="P1123" t="s">
        <v>20</v>
      </c>
      <c r="Q1123" t="s">
        <v>19</v>
      </c>
      <c r="R1123" t="str">
        <f>HYPERLINK("https://cfpub.epa.gov/ecotox/explore.cfm?ncbi=109671","Explore in ECOTOX")</f>
        <v>Explore in ECOTOX</v>
      </c>
    </row>
    <row r="1124" spans="1:18" x14ac:dyDescent="0.45">
      <c r="A1124" t="s">
        <v>1264</v>
      </c>
      <c r="B1124">
        <v>8</v>
      </c>
      <c r="C1124" t="str">
        <f>HYPERLINK("http://www.ncbi.nlm.nih.gov/protein/XP_046567750.1","XP_046567750.1")</f>
        <v>XP_046567750.1</v>
      </c>
      <c r="D1124">
        <v>43461</v>
      </c>
      <c r="E1124" t="str">
        <f>HYPERLINK("http://www.ncbi.nlm.nih.gov/Taxonomy/Browser/wwwtax.cgi?mode=Info&amp;id=36100&amp;lvl=3&amp;lin=f&amp;keep=1&amp;srchmode=1&amp;unlock","36100")</f>
        <v>36100</v>
      </c>
      <c r="F1124" t="s">
        <v>757</v>
      </c>
      <c r="G1124" t="str">
        <f>HYPERLINK("http://www.ncbi.nlm.nih.gov/Taxonomy/Browser/wwwtax.cgi?mode=Info&amp;id=36100&amp;lvl=3&amp;lin=f&amp;keep=1&amp;srchmode=1&amp;unlock","Haliotis rubra")</f>
        <v>Haliotis rubra</v>
      </c>
      <c r="H1124" t="s">
        <v>1009</v>
      </c>
      <c r="I1124" t="str">
        <f>HYPERLINK("http://www.ncbi.nlm.nih.gov/protein/XP_046567750.1","LOW QUALITY PROTEIN: ryanodine receptor-like")</f>
        <v>LOW QUALITY PROTEIN: ryanodine receptor-like</v>
      </c>
      <c r="J1124">
        <v>2780.74</v>
      </c>
      <c r="K1124" t="s">
        <v>22</v>
      </c>
      <c r="L1124">
        <v>276</v>
      </c>
      <c r="M1124">
        <v>9.75</v>
      </c>
      <c r="N1124">
        <v>26.6</v>
      </c>
      <c r="O1124" t="s">
        <v>19</v>
      </c>
      <c r="P1124" t="s">
        <v>20</v>
      </c>
      <c r="Q1124" t="s">
        <v>19</v>
      </c>
      <c r="R1124" t="str">
        <f>HYPERLINK("https://cfpub.epa.gov/ecotox/explore.cfm?ncbi=36100","Explore in ECOTOX")</f>
        <v>Explore in ECOTOX</v>
      </c>
    </row>
    <row r="1125" spans="1:18" x14ac:dyDescent="0.45">
      <c r="A1125" t="s">
        <v>1264</v>
      </c>
      <c r="B1125">
        <v>8</v>
      </c>
      <c r="C1125" t="str">
        <f>HYPERLINK("http://www.ncbi.nlm.nih.gov/protein/XP_013913629.1","XP_013913629.1")</f>
        <v>XP_013913629.1</v>
      </c>
      <c r="D1125">
        <v>25664</v>
      </c>
      <c r="E1125" t="str">
        <f>HYPERLINK("http://www.ncbi.nlm.nih.gov/Taxonomy/Browser/wwwtax.cgi?mode=Info&amp;id=35019&amp;lvl=3&amp;lin=f&amp;keep=1&amp;srchmode=1&amp;unlock","35019")</f>
        <v>35019</v>
      </c>
      <c r="F1125" t="s">
        <v>192</v>
      </c>
      <c r="G1125" t="str">
        <f>HYPERLINK("http://www.ncbi.nlm.nih.gov/Taxonomy/Browser/wwwtax.cgi?mode=Info&amp;id=35019&amp;lvl=3&amp;lin=f&amp;keep=1&amp;srchmode=1&amp;unlock","Thamnophis sirtalis")</f>
        <v>Thamnophis sirtalis</v>
      </c>
      <c r="H1125" t="s">
        <v>272</v>
      </c>
      <c r="I1125" t="str">
        <f>HYPERLINK("http://www.ncbi.nlm.nih.gov/protein/XP_013913629.1","PREDICTED: LOW QUALITY PROTEIN: ryanodine receptor 2")</f>
        <v>PREDICTED: LOW QUALITY PROTEIN: ryanodine receptor 2</v>
      </c>
      <c r="J1125">
        <v>2760.71</v>
      </c>
      <c r="K1125" t="s">
        <v>22</v>
      </c>
      <c r="L1125">
        <v>276</v>
      </c>
      <c r="M1125">
        <v>9.75</v>
      </c>
      <c r="N1125">
        <v>26.41</v>
      </c>
      <c r="O1125" t="s">
        <v>19</v>
      </c>
      <c r="P1125" t="s">
        <v>20</v>
      </c>
      <c r="Q1125" t="s">
        <v>19</v>
      </c>
      <c r="R1125" t="str">
        <f>HYPERLINK("https://cfpub.epa.gov/ecotox/explore.cfm?ncbi=35019","Explore in ECOTOX")</f>
        <v>Explore in ECOTOX</v>
      </c>
    </row>
    <row r="1126" spans="1:18" x14ac:dyDescent="0.45">
      <c r="A1126" t="s">
        <v>1264</v>
      </c>
      <c r="B1126">
        <v>8</v>
      </c>
      <c r="C1126" t="str">
        <f>HYPERLINK("http://www.ncbi.nlm.nih.gov/protein/XP_060079078.1","XP_060079078.1")</f>
        <v>XP_060079078.1</v>
      </c>
      <c r="D1126">
        <v>24066</v>
      </c>
      <c r="E1126" t="str">
        <f>HYPERLINK("http://www.ncbi.nlm.nih.gov/Taxonomy/Browser/wwwtax.cgi?mode=Info&amp;id=509963&amp;lvl=3&amp;lin=f&amp;keep=1&amp;srchmode=1&amp;unlock","509963")</f>
        <v>509963</v>
      </c>
      <c r="F1126" t="s">
        <v>833</v>
      </c>
      <c r="G1126" t="str">
        <f>HYPERLINK("http://www.ncbi.nlm.nih.gov/Taxonomy/Browser/wwwtax.cgi?mode=Info&amp;id=509963&amp;lvl=3&amp;lin=f&amp;keep=1&amp;srchmode=1&amp;unlock","Ylistrum balloti")</f>
        <v>Ylistrum balloti</v>
      </c>
      <c r="H1126" t="s">
        <v>849</v>
      </c>
      <c r="I1126" t="str">
        <f>HYPERLINK("http://www.ncbi.nlm.nih.gov/protein/XP_060079078.1","LOW QUALITY PROTEIN: ryanodine receptor 2-like")</f>
        <v>LOW QUALITY PROTEIN: ryanodine receptor 2-like</v>
      </c>
      <c r="J1126">
        <v>2736.44</v>
      </c>
      <c r="K1126" t="s">
        <v>22</v>
      </c>
      <c r="L1126">
        <v>276</v>
      </c>
      <c r="M1126">
        <v>9.75</v>
      </c>
      <c r="N1126">
        <v>26.18</v>
      </c>
      <c r="O1126" t="s">
        <v>19</v>
      </c>
      <c r="P1126" t="s">
        <v>20</v>
      </c>
      <c r="Q1126" t="s">
        <v>19</v>
      </c>
      <c r="R1126" t="str">
        <f>HYPERLINK("https://cfpub.epa.gov/ecotox/explore.cfm?ncbi=509963","Explore in ECOTOX")</f>
        <v>Explore in ECOTOX</v>
      </c>
    </row>
    <row r="1127" spans="1:18" x14ac:dyDescent="0.45">
      <c r="A1127" t="s">
        <v>1264</v>
      </c>
      <c r="B1127">
        <v>8</v>
      </c>
      <c r="C1127" t="str">
        <f>HYPERLINK("http://www.ncbi.nlm.nih.gov/protein/XP_014787754.1","XP_014787754.1")</f>
        <v>XP_014787754.1</v>
      </c>
      <c r="D1127">
        <v>29154</v>
      </c>
      <c r="E1127" t="str">
        <f>HYPERLINK("http://www.ncbi.nlm.nih.gov/Taxonomy/Browser/wwwtax.cgi?mode=Info&amp;id=37653&amp;lvl=3&amp;lin=f&amp;keep=1&amp;srchmode=1&amp;unlock","37653")</f>
        <v>37653</v>
      </c>
      <c r="F1127" t="s">
        <v>1010</v>
      </c>
      <c r="G1127" t="str">
        <f>HYPERLINK("http://www.ncbi.nlm.nih.gov/Taxonomy/Browser/wwwtax.cgi?mode=Info&amp;id=37653&amp;lvl=3&amp;lin=f&amp;keep=1&amp;srchmode=1&amp;unlock","Octopus bimaculoides")</f>
        <v>Octopus bimaculoides</v>
      </c>
      <c r="H1127" t="s">
        <v>1011</v>
      </c>
      <c r="I1127" t="str">
        <f>HYPERLINK("http://www.ncbi.nlm.nih.gov/protein/XP_014787754.1","ryanodine receptor isoform X16")</f>
        <v>ryanodine receptor isoform X16</v>
      </c>
      <c r="J1127">
        <v>2717.95</v>
      </c>
      <c r="K1127" t="s">
        <v>22</v>
      </c>
      <c r="L1127">
        <v>276</v>
      </c>
      <c r="M1127">
        <v>9.75</v>
      </c>
      <c r="N1127">
        <v>26</v>
      </c>
      <c r="O1127" t="s">
        <v>19</v>
      </c>
      <c r="P1127" t="s">
        <v>20</v>
      </c>
      <c r="Q1127" t="s">
        <v>19</v>
      </c>
      <c r="R1127" t="str">
        <f>HYPERLINK("https://cfpub.epa.gov/ecotox/explore.cfm?ncbi=37653","Explore in ECOTOX")</f>
        <v>Explore in ECOTOX</v>
      </c>
    </row>
    <row r="1128" spans="1:18" x14ac:dyDescent="0.45">
      <c r="A1128" t="s">
        <v>1264</v>
      </c>
      <c r="B1128">
        <v>8</v>
      </c>
      <c r="C1128" t="str">
        <f>HYPERLINK("http://www.ncbi.nlm.nih.gov/protein/CAI9729939.1","CAI9729939.1")</f>
        <v>CAI9729939.1</v>
      </c>
      <c r="D1128">
        <v>30776</v>
      </c>
      <c r="E1128" t="str">
        <f>HYPERLINK("http://www.ncbi.nlm.nih.gov/Taxonomy/Browser/wwwtax.cgi?mode=Info&amp;id=6645&amp;lvl=3&amp;lin=f&amp;keep=1&amp;srchmode=1&amp;unlock","6645")</f>
        <v>6645</v>
      </c>
      <c r="F1128" t="s">
        <v>1010</v>
      </c>
      <c r="G1128" t="str">
        <f>HYPERLINK("http://www.ncbi.nlm.nih.gov/Taxonomy/Browser/wwwtax.cgi?mode=Info&amp;id=6645&amp;lvl=3&amp;lin=f&amp;keep=1&amp;srchmode=1&amp;unlock","Octopus vulgaris")</f>
        <v>Octopus vulgaris</v>
      </c>
      <c r="H1128" t="s">
        <v>1012</v>
      </c>
      <c r="I1128" t="str">
        <f>HYPERLINK("http://www.ncbi.nlm.nih.gov/protein/CAI9729939.1","ryanodine receptor-like isoform X8")</f>
        <v>ryanodine receptor-like isoform X8</v>
      </c>
      <c r="J1128">
        <v>2717.57</v>
      </c>
      <c r="K1128" t="s">
        <v>22</v>
      </c>
      <c r="L1128">
        <v>276</v>
      </c>
      <c r="M1128">
        <v>9.75</v>
      </c>
      <c r="N1128">
        <v>26</v>
      </c>
      <c r="O1128" t="s">
        <v>19</v>
      </c>
      <c r="P1128" t="s">
        <v>20</v>
      </c>
      <c r="Q1128" t="s">
        <v>19</v>
      </c>
      <c r="R1128" t="str">
        <f>HYPERLINK("https://cfpub.epa.gov/ecotox/explore.cfm?ncbi=6645","Explore in ECOTOX")</f>
        <v>Explore in ECOTOX</v>
      </c>
    </row>
    <row r="1129" spans="1:18" x14ac:dyDescent="0.45">
      <c r="A1129" t="s">
        <v>1264</v>
      </c>
      <c r="B1129">
        <v>8</v>
      </c>
      <c r="C1129" t="str">
        <f>HYPERLINK("http://www.ncbi.nlm.nih.gov/protein/XP_036330086.1","XP_036330086.1")</f>
        <v>XP_036330086.1</v>
      </c>
      <c r="D1129">
        <v>30971</v>
      </c>
      <c r="E1129" t="str">
        <f>HYPERLINK("http://www.ncbi.nlm.nih.gov/Taxonomy/Browser/wwwtax.cgi?mode=Info&amp;id=28610&amp;lvl=3&amp;lin=f&amp;keep=1&amp;srchmode=1&amp;unlock","28610")</f>
        <v>28610</v>
      </c>
      <c r="F1129" t="s">
        <v>760</v>
      </c>
      <c r="G1129" t="str">
        <f>HYPERLINK("http://www.ncbi.nlm.nih.gov/Taxonomy/Browser/wwwtax.cgi?mode=Info&amp;id=28610&amp;lvl=3&amp;lin=f&amp;keep=1&amp;srchmode=1&amp;unlock","Rhagoletis pomonella")</f>
        <v>Rhagoletis pomonella</v>
      </c>
      <c r="H1129" t="s">
        <v>1013</v>
      </c>
      <c r="I1129" t="str">
        <f>HYPERLINK("http://www.ncbi.nlm.nih.gov/protein/XP_036330086.1","ryanodine receptor, partial")</f>
        <v>ryanodine receptor, partial</v>
      </c>
      <c r="J1129">
        <v>2705.24</v>
      </c>
      <c r="K1129" t="s">
        <v>22</v>
      </c>
      <c r="L1129">
        <v>276</v>
      </c>
      <c r="M1129">
        <v>9.75</v>
      </c>
      <c r="N1129">
        <v>25.88</v>
      </c>
      <c r="O1129" t="s">
        <v>19</v>
      </c>
      <c r="P1129" t="s">
        <v>20</v>
      </c>
      <c r="Q1129" t="s">
        <v>19</v>
      </c>
      <c r="R1129" t="str">
        <f>HYPERLINK("https://cfpub.epa.gov/ecotox/explore.cfm?ncbi=28610","Explore in ECOTOX")</f>
        <v>Explore in ECOTOX</v>
      </c>
    </row>
    <row r="1130" spans="1:18" x14ac:dyDescent="0.45">
      <c r="A1130" t="s">
        <v>1264</v>
      </c>
      <c r="B1130">
        <v>8</v>
      </c>
      <c r="C1130" t="str">
        <f>HYPERLINK("http://www.ncbi.nlm.nih.gov/protein/XP_010301948.1","XP_010301948.1")</f>
        <v>XP_010301948.1</v>
      </c>
      <c r="D1130">
        <v>27939</v>
      </c>
      <c r="E1130" t="str">
        <f>HYPERLINK("http://www.ncbi.nlm.nih.gov/Taxonomy/Browser/wwwtax.cgi?mode=Info&amp;id=100784&amp;lvl=3&amp;lin=f&amp;keep=1&amp;srchmode=1&amp;unlock","100784")</f>
        <v>100784</v>
      </c>
      <c r="F1130" t="s">
        <v>241</v>
      </c>
      <c r="G1130" t="str">
        <f>HYPERLINK("http://www.ncbi.nlm.nih.gov/Taxonomy/Browser/wwwtax.cgi?mode=Info&amp;id=100784&amp;lvl=3&amp;lin=f&amp;keep=1&amp;srchmode=1&amp;unlock","Balearica regulorum gibbericeps")</f>
        <v>Balearica regulorum gibbericeps</v>
      </c>
      <c r="H1130" t="s">
        <v>1014</v>
      </c>
      <c r="I1130" t="str">
        <f>HYPERLINK("http://www.ncbi.nlm.nih.gov/protein/XP_010301948.1","PREDICTED: ryanodine receptor 2, partial")</f>
        <v>PREDICTED: ryanodine receptor 2, partial</v>
      </c>
      <c r="J1130">
        <v>2691.76</v>
      </c>
      <c r="K1130" t="s">
        <v>22</v>
      </c>
      <c r="L1130">
        <v>276</v>
      </c>
      <c r="M1130">
        <v>9.75</v>
      </c>
      <c r="N1130">
        <v>25.75</v>
      </c>
      <c r="O1130" t="s">
        <v>19</v>
      </c>
      <c r="P1130" t="s">
        <v>20</v>
      </c>
      <c r="Q1130" t="s">
        <v>19</v>
      </c>
      <c r="R1130" t="str">
        <f>HYPERLINK("https://cfpub.epa.gov/ecotox/explore.cfm?ncbi=100784","Explore in ECOTOX")</f>
        <v>Explore in ECOTOX</v>
      </c>
    </row>
    <row r="1131" spans="1:18" x14ac:dyDescent="0.45">
      <c r="A1131" t="s">
        <v>1264</v>
      </c>
      <c r="B1131">
        <v>8</v>
      </c>
      <c r="C1131" t="str">
        <f>HYPERLINK("http://www.ncbi.nlm.nih.gov/protein/XP_009869067.1","XP_009869067.1")</f>
        <v>XP_009869067.1</v>
      </c>
      <c r="D1131">
        <v>26531</v>
      </c>
      <c r="E1131" t="str">
        <f>HYPERLINK("http://www.ncbi.nlm.nih.gov/Taxonomy/Browser/wwwtax.cgi?mode=Info&amp;id=57397&amp;lvl=3&amp;lin=f&amp;keep=1&amp;srchmode=1&amp;unlock","57397")</f>
        <v>57397</v>
      </c>
      <c r="F1131" t="s">
        <v>241</v>
      </c>
      <c r="G1131" t="str">
        <f>HYPERLINK("http://www.ncbi.nlm.nih.gov/Taxonomy/Browser/wwwtax.cgi?mode=Info&amp;id=57397&amp;lvl=3&amp;lin=f&amp;keep=1&amp;srchmode=1&amp;unlock","Apaloderma vittatum")</f>
        <v>Apaloderma vittatum</v>
      </c>
      <c r="H1131" t="s">
        <v>1015</v>
      </c>
      <c r="I1131" t="str">
        <f>HYPERLINK("http://www.ncbi.nlm.nih.gov/protein/XP_009869067.1","PREDICTED: ryanodine receptor 3, partial")</f>
        <v>PREDICTED: ryanodine receptor 3, partial</v>
      </c>
      <c r="J1131">
        <v>2675.58</v>
      </c>
      <c r="K1131" t="s">
        <v>22</v>
      </c>
      <c r="L1131">
        <v>276</v>
      </c>
      <c r="M1131">
        <v>9.75</v>
      </c>
      <c r="N1131">
        <v>25.59</v>
      </c>
      <c r="O1131" t="s">
        <v>19</v>
      </c>
      <c r="P1131" t="s">
        <v>20</v>
      </c>
      <c r="Q1131" t="s">
        <v>19</v>
      </c>
      <c r="R1131" t="str">
        <f>HYPERLINK("https://cfpub.epa.gov/ecotox/explore.cfm?ncbi=57397","Explore in ECOTOX")</f>
        <v>Explore in ECOTOX</v>
      </c>
    </row>
    <row r="1132" spans="1:18" x14ac:dyDescent="0.45">
      <c r="A1132" t="s">
        <v>1264</v>
      </c>
      <c r="B1132">
        <v>8</v>
      </c>
      <c r="C1132" t="str">
        <f>HYPERLINK("http://www.ncbi.nlm.nih.gov/protein/KAI0981288.1","KAI0981288.1")</f>
        <v>KAI0981288.1</v>
      </c>
      <c r="D1132">
        <v>13361</v>
      </c>
      <c r="E1132" t="str">
        <f>HYPERLINK("http://www.ncbi.nlm.nih.gov/Taxonomy/Browser/wwwtax.cgi?mode=Info&amp;id=141832&amp;lvl=3&amp;lin=f&amp;keep=1&amp;srchmode=1&amp;unlock","141832")</f>
        <v>141832</v>
      </c>
      <c r="F1132" t="s">
        <v>1016</v>
      </c>
      <c r="G1132" t="str">
        <f>HYPERLINK("http://www.ncbi.nlm.nih.gov/Taxonomy/Browser/wwwtax.cgi?mode=Info&amp;id=141832&amp;lvl=3&amp;lin=f&amp;keep=1&amp;srchmode=1&amp;unlock","Pomphorhynchus laevis")</f>
        <v>Pomphorhynchus laevis</v>
      </c>
      <c r="H1132" t="s">
        <v>1017</v>
      </c>
      <c r="I1132" t="str">
        <f>HYPERLINK("http://www.ncbi.nlm.nih.gov/protein/KAI0981288.1","hypothetical protein GJ496_001976")</f>
        <v>hypothetical protein GJ496_001976</v>
      </c>
      <c r="J1132">
        <v>2659.79</v>
      </c>
      <c r="K1132" t="s">
        <v>22</v>
      </c>
      <c r="L1132">
        <v>276</v>
      </c>
      <c r="M1132">
        <v>9.75</v>
      </c>
      <c r="N1132">
        <v>25.44</v>
      </c>
      <c r="O1132" t="s">
        <v>19</v>
      </c>
      <c r="P1132" t="s">
        <v>20</v>
      </c>
      <c r="Q1132" t="s">
        <v>19</v>
      </c>
      <c r="R1132" t="str">
        <f>HYPERLINK("https://cfpub.epa.gov/ecotox/explore.cfm?ncbi=141832","Explore in ECOTOX")</f>
        <v>Explore in ECOTOX</v>
      </c>
    </row>
    <row r="1133" spans="1:18" x14ac:dyDescent="0.45">
      <c r="A1133" t="s">
        <v>1264</v>
      </c>
      <c r="B1133">
        <v>8</v>
      </c>
      <c r="C1133" t="str">
        <f>HYPERLINK("http://www.ncbi.nlm.nih.gov/protein/KAF7488173.1","KAF7488173.1")</f>
        <v>KAF7488173.1</v>
      </c>
      <c r="D1133">
        <v>34818</v>
      </c>
      <c r="E1133" t="str">
        <f>HYPERLINK("http://www.ncbi.nlm.nih.gov/Taxonomy/Browser/wwwtax.cgi?mode=Info&amp;id=52283&amp;lvl=3&amp;lin=f&amp;keep=1&amp;srchmode=1&amp;unlock","52283")</f>
        <v>52283</v>
      </c>
      <c r="F1133" t="s">
        <v>904</v>
      </c>
      <c r="G1133" t="str">
        <f>HYPERLINK("http://www.ncbi.nlm.nih.gov/Taxonomy/Browser/wwwtax.cgi?mode=Info&amp;id=52283&amp;lvl=3&amp;lin=f&amp;keep=1&amp;srchmode=1&amp;unlock","Sarcoptes scabiei")</f>
        <v>Sarcoptes scabiei</v>
      </c>
      <c r="H1133" t="s">
        <v>992</v>
      </c>
      <c r="I1133" t="str">
        <f>HYPERLINK("http://www.ncbi.nlm.nih.gov/protein/KAF7488173.1","Ryanodine receptor")</f>
        <v>Ryanodine receptor</v>
      </c>
      <c r="J1133">
        <v>2657.86</v>
      </c>
      <c r="K1133" t="s">
        <v>22</v>
      </c>
      <c r="L1133">
        <v>276</v>
      </c>
      <c r="M1133">
        <v>9.75</v>
      </c>
      <c r="N1133">
        <v>25.42</v>
      </c>
      <c r="O1133" t="s">
        <v>19</v>
      </c>
      <c r="P1133" t="s">
        <v>20</v>
      </c>
      <c r="Q1133" t="s">
        <v>19</v>
      </c>
      <c r="R1133" t="str">
        <f>HYPERLINK("https://cfpub.epa.gov/ecotox/explore.cfm?ncbi=52283","Explore in ECOTOX")</f>
        <v>Explore in ECOTOX</v>
      </c>
    </row>
    <row r="1134" spans="1:18" x14ac:dyDescent="0.45">
      <c r="A1134" t="s">
        <v>1264</v>
      </c>
      <c r="B1134">
        <v>8</v>
      </c>
      <c r="C1134" t="str">
        <f>HYPERLINK("http://www.ncbi.nlm.nih.gov/protein/CAF0808496.1","CAF0808496.1")</f>
        <v>CAF0808496.1</v>
      </c>
      <c r="D1134">
        <v>348897</v>
      </c>
      <c r="E1134" t="str">
        <f>HYPERLINK("http://www.ncbi.nlm.nih.gov/Taxonomy/Browser/wwwtax.cgi?mode=Info&amp;id=392033&amp;lvl=3&amp;lin=f&amp;keep=1&amp;srchmode=1&amp;unlock","392033")</f>
        <v>392033</v>
      </c>
      <c r="F1134" t="s">
        <v>811</v>
      </c>
      <c r="G1134" t="str">
        <f>HYPERLINK("http://www.ncbi.nlm.nih.gov/Taxonomy/Browser/wwwtax.cgi?mode=Info&amp;id=392033&amp;lvl=3&amp;lin=f&amp;keep=1&amp;srchmode=1&amp;unlock","Rotaria sordida")</f>
        <v>Rotaria sordida</v>
      </c>
      <c r="H1134" t="s">
        <v>812</v>
      </c>
      <c r="I1134" t="str">
        <f>HYPERLINK("http://www.ncbi.nlm.nih.gov/protein/CAF0808496.1","unnamed protein product")</f>
        <v>unnamed protein product</v>
      </c>
      <c r="J1134">
        <v>2655.55</v>
      </c>
      <c r="K1134" t="s">
        <v>22</v>
      </c>
      <c r="L1134">
        <v>276</v>
      </c>
      <c r="M1134">
        <v>9.75</v>
      </c>
      <c r="N1134">
        <v>25.4</v>
      </c>
      <c r="O1134" t="s">
        <v>19</v>
      </c>
      <c r="P1134" t="s">
        <v>20</v>
      </c>
      <c r="Q1134" t="s">
        <v>19</v>
      </c>
      <c r="R1134" t="str">
        <f>HYPERLINK("https://cfpub.epa.gov/ecotox/explore.cfm?ncbi=392033","Explore in ECOTOX")</f>
        <v>Explore in ECOTOX</v>
      </c>
    </row>
    <row r="1135" spans="1:18" x14ac:dyDescent="0.45">
      <c r="A1135" t="s">
        <v>1264</v>
      </c>
      <c r="B1135">
        <v>8</v>
      </c>
      <c r="C1135" t="str">
        <f>HYPERLINK("http://www.ncbi.nlm.nih.gov/protein/KAJ8309071.1","KAJ8309071.1")</f>
        <v>KAJ8309071.1</v>
      </c>
      <c r="D1135">
        <v>25449</v>
      </c>
      <c r="E1135" t="str">
        <f>HYPERLINK("http://www.ncbi.nlm.nih.gov/Taxonomy/Browser/wwwtax.cgi?mode=Info&amp;id=220873&amp;lvl=3&amp;lin=f&amp;keep=1&amp;srchmode=1&amp;unlock","220873")</f>
        <v>220873</v>
      </c>
      <c r="F1135" t="s">
        <v>833</v>
      </c>
      <c r="G1135" t="str">
        <f>HYPERLINK("http://www.ncbi.nlm.nih.gov/Taxonomy/Browser/wwwtax.cgi?mode=Info&amp;id=220873&amp;lvl=3&amp;lin=f&amp;keep=1&amp;srchmode=1&amp;unlock","Tegillarca granosa")</f>
        <v>Tegillarca granosa</v>
      </c>
      <c r="H1135" t="s">
        <v>1018</v>
      </c>
      <c r="I1135" t="str">
        <f>HYPERLINK("http://www.ncbi.nlm.nih.gov/protein/KAJ8309071.1","hypothetical protein KUTeg_013945")</f>
        <v>hypothetical protein KUTeg_013945</v>
      </c>
      <c r="J1135">
        <v>2617.42</v>
      </c>
      <c r="K1135" t="s">
        <v>22</v>
      </c>
      <c r="L1135">
        <v>276</v>
      </c>
      <c r="M1135">
        <v>9.75</v>
      </c>
      <c r="N1135">
        <v>25.04</v>
      </c>
      <c r="O1135" t="s">
        <v>19</v>
      </c>
      <c r="P1135" t="s">
        <v>20</v>
      </c>
      <c r="Q1135" t="s">
        <v>19</v>
      </c>
      <c r="R1135" t="str">
        <f>HYPERLINK("https://cfpub.epa.gov/ecotox/explore.cfm?ncbi=220873","Explore in ECOTOX")</f>
        <v>Explore in ECOTOX</v>
      </c>
    </row>
    <row r="1136" spans="1:18" x14ac:dyDescent="0.45">
      <c r="A1136" t="s">
        <v>1264</v>
      </c>
      <c r="B1136">
        <v>8</v>
      </c>
      <c r="C1136" t="str">
        <f>HYPERLINK("http://www.ncbi.nlm.nih.gov/protein/VDI80221.1","VDI80221.1")</f>
        <v>VDI80221.1</v>
      </c>
      <c r="D1136">
        <v>83902</v>
      </c>
      <c r="E1136" t="str">
        <f>HYPERLINK("http://www.ncbi.nlm.nih.gov/Taxonomy/Browser/wwwtax.cgi?mode=Info&amp;id=29158&amp;lvl=3&amp;lin=f&amp;keep=1&amp;srchmode=1&amp;unlock","29158")</f>
        <v>29158</v>
      </c>
      <c r="F1136" t="s">
        <v>833</v>
      </c>
      <c r="G1136" t="str">
        <f>HYPERLINK("http://www.ncbi.nlm.nih.gov/Taxonomy/Browser/wwwtax.cgi?mode=Info&amp;id=29158&amp;lvl=3&amp;lin=f&amp;keep=1&amp;srchmode=1&amp;unlock","Mytilus galloprovincialis")</f>
        <v>Mytilus galloprovincialis</v>
      </c>
      <c r="H1136" t="s">
        <v>1019</v>
      </c>
      <c r="I1136" t="str">
        <f>HYPERLINK("http://www.ncbi.nlm.nih.gov/protein/VDI80221.1","ryanodine receptor 2")</f>
        <v>ryanodine receptor 2</v>
      </c>
      <c r="J1136">
        <v>2566.5700000000002</v>
      </c>
      <c r="K1136" t="s">
        <v>22</v>
      </c>
      <c r="L1136">
        <v>276</v>
      </c>
      <c r="M1136">
        <v>9.75</v>
      </c>
      <c r="N1136">
        <v>24.55</v>
      </c>
      <c r="O1136" t="s">
        <v>19</v>
      </c>
      <c r="P1136" t="s">
        <v>20</v>
      </c>
      <c r="Q1136" t="s">
        <v>19</v>
      </c>
      <c r="R1136" t="str">
        <f>HYPERLINK("https://cfpub.epa.gov/ecotox/explore.cfm?ncbi=29158","Explore in ECOTOX")</f>
        <v>Explore in ECOTOX</v>
      </c>
    </row>
    <row r="1137" spans="1:18" x14ac:dyDescent="0.45">
      <c r="A1137" t="s">
        <v>1264</v>
      </c>
      <c r="B1137">
        <v>8</v>
      </c>
      <c r="C1137" t="str">
        <f>HYPERLINK("http://www.ncbi.nlm.nih.gov/protein/XP_054758833.1","XP_054758833.1")</f>
        <v>XP_054758833.1</v>
      </c>
      <c r="D1137">
        <v>27814</v>
      </c>
      <c r="E1137" t="str">
        <f>HYPERLINK("http://www.ncbi.nlm.nih.gov/Taxonomy/Browser/wwwtax.cgi?mode=Info&amp;id=7653&amp;lvl=3&amp;lin=f&amp;keep=1&amp;srchmode=1&amp;unlock","7653")</f>
        <v>7653</v>
      </c>
      <c r="F1137" t="s">
        <v>1020</v>
      </c>
      <c r="G1137" t="str">
        <f>HYPERLINK("http://www.ncbi.nlm.nih.gov/Taxonomy/Browser/wwwtax.cgi?mode=Info&amp;id=7653&amp;lvl=3&amp;lin=f&amp;keep=1&amp;srchmode=1&amp;unlock","Lytechinus pictus")</f>
        <v>Lytechinus pictus</v>
      </c>
      <c r="H1137" t="s">
        <v>1021</v>
      </c>
      <c r="I1137" t="str">
        <f>HYPERLINK("http://www.ncbi.nlm.nih.gov/protein/XP_054758833.1","ryanodine receptor 2-like")</f>
        <v>ryanodine receptor 2-like</v>
      </c>
      <c r="J1137">
        <v>2564.64</v>
      </c>
      <c r="K1137" t="s">
        <v>22</v>
      </c>
      <c r="L1137">
        <v>276</v>
      </c>
      <c r="M1137">
        <v>9.75</v>
      </c>
      <c r="N1137">
        <v>24.53</v>
      </c>
      <c r="O1137" t="s">
        <v>19</v>
      </c>
      <c r="P1137" t="s">
        <v>20</v>
      </c>
      <c r="Q1137" t="s">
        <v>19</v>
      </c>
      <c r="R1137" t="str">
        <f>HYPERLINK("https://cfpub.epa.gov/ecotox/explore.cfm?ncbi=7653","Explore in ECOTOX")</f>
        <v>Explore in ECOTOX</v>
      </c>
    </row>
    <row r="1138" spans="1:18" x14ac:dyDescent="0.45">
      <c r="A1138" t="s">
        <v>1264</v>
      </c>
      <c r="B1138">
        <v>8</v>
      </c>
      <c r="C1138" t="str">
        <f>HYPERLINK("http://www.ncbi.nlm.nih.gov/protein/GBM47406.1","GBM47406.1")</f>
        <v>GBM47406.1</v>
      </c>
      <c r="D1138">
        <v>278984</v>
      </c>
      <c r="E1138" t="str">
        <f>HYPERLINK("http://www.ncbi.nlm.nih.gov/Taxonomy/Browser/wwwtax.cgi?mode=Info&amp;id=182803&amp;lvl=3&amp;lin=f&amp;keep=1&amp;srchmode=1&amp;unlock","182803")</f>
        <v>182803</v>
      </c>
      <c r="F1138" t="s">
        <v>904</v>
      </c>
      <c r="G1138" t="str">
        <f>HYPERLINK("http://www.ncbi.nlm.nih.gov/Taxonomy/Browser/wwwtax.cgi?mode=Info&amp;id=182803&amp;lvl=3&amp;lin=f&amp;keep=1&amp;srchmode=1&amp;unlock","Araneus ventricosus")</f>
        <v>Araneus ventricosus</v>
      </c>
      <c r="H1138" t="s">
        <v>922</v>
      </c>
      <c r="I1138" t="str">
        <f>HYPERLINK("http://www.ncbi.nlm.nih.gov/protein/GBM47406.1","Ryanodine receptor")</f>
        <v>Ryanodine receptor</v>
      </c>
      <c r="J1138">
        <v>2560.79</v>
      </c>
      <c r="K1138" t="s">
        <v>22</v>
      </c>
      <c r="L1138">
        <v>276</v>
      </c>
      <c r="M1138">
        <v>9.75</v>
      </c>
      <c r="N1138">
        <v>24.5</v>
      </c>
      <c r="O1138" t="s">
        <v>19</v>
      </c>
      <c r="P1138" t="s">
        <v>20</v>
      </c>
      <c r="Q1138" t="s">
        <v>19</v>
      </c>
      <c r="R1138" t="str">
        <f>HYPERLINK("https://cfpub.epa.gov/ecotox/explore.cfm?ncbi=182803","Explore in ECOTOX")</f>
        <v>Explore in ECOTOX</v>
      </c>
    </row>
    <row r="1139" spans="1:18" x14ac:dyDescent="0.45">
      <c r="A1139" t="s">
        <v>1264</v>
      </c>
      <c r="B1139">
        <v>8</v>
      </c>
      <c r="C1139" t="str">
        <f>HYPERLINK("http://www.ncbi.nlm.nih.gov/protein/XP_022104826.1","XP_022104826.1")</f>
        <v>XP_022104826.1</v>
      </c>
      <c r="D1139">
        <v>33561</v>
      </c>
      <c r="E1139" t="str">
        <f>HYPERLINK("http://www.ncbi.nlm.nih.gov/Taxonomy/Browser/wwwtax.cgi?mode=Info&amp;id=133434&amp;lvl=3&amp;lin=f&amp;keep=1&amp;srchmode=1&amp;unlock","133434")</f>
        <v>133434</v>
      </c>
      <c r="F1139" t="s">
        <v>1022</v>
      </c>
      <c r="G1139" t="str">
        <f>HYPERLINK("http://www.ncbi.nlm.nih.gov/Taxonomy/Browser/wwwtax.cgi?mode=Info&amp;id=133434&amp;lvl=3&amp;lin=f&amp;keep=1&amp;srchmode=1&amp;unlock","Acanthaster planci")</f>
        <v>Acanthaster planci</v>
      </c>
      <c r="H1139" t="s">
        <v>1023</v>
      </c>
      <c r="I1139" t="str">
        <f>HYPERLINK("http://www.ncbi.nlm.nih.gov/protein/XP_022104826.1","ryanodine receptor 2-like")</f>
        <v>ryanodine receptor 2-like</v>
      </c>
      <c r="J1139">
        <v>2558.1</v>
      </c>
      <c r="K1139" t="s">
        <v>19</v>
      </c>
      <c r="L1139">
        <v>276</v>
      </c>
      <c r="M1139">
        <v>9.75</v>
      </c>
      <c r="N1139">
        <v>24.47</v>
      </c>
      <c r="O1139" t="s">
        <v>19</v>
      </c>
      <c r="P1139" t="s">
        <v>20</v>
      </c>
      <c r="Q1139" t="s">
        <v>19</v>
      </c>
      <c r="R1139" t="str">
        <f>HYPERLINK("https://cfpub.epa.gov/ecotox/explore.cfm?ncbi=133434","Explore in ECOTOX")</f>
        <v>Explore in ECOTOX</v>
      </c>
    </row>
    <row r="1140" spans="1:18" x14ac:dyDescent="0.45">
      <c r="A1140" t="s">
        <v>1264</v>
      </c>
      <c r="B1140">
        <v>8</v>
      </c>
      <c r="C1140" t="str">
        <f>HYPERLINK("http://www.ncbi.nlm.nih.gov/protein/WKY11482.1","WKY11482.1")</f>
        <v>WKY11482.1</v>
      </c>
      <c r="D1140">
        <v>52283</v>
      </c>
      <c r="E1140" t="str">
        <f>HYPERLINK("http://www.ncbi.nlm.nih.gov/Taxonomy/Browser/wwwtax.cgi?mode=Info&amp;id=27835&amp;lvl=3&amp;lin=f&amp;keep=1&amp;srchmode=1&amp;unlock","27835")</f>
        <v>27835</v>
      </c>
      <c r="F1140" t="s">
        <v>1024</v>
      </c>
      <c r="G1140" t="str">
        <f>HYPERLINK("http://www.ncbi.nlm.nih.gov/Taxonomy/Browser/wwwtax.cgi?mode=Info&amp;id=27835&amp;lvl=3&amp;lin=f&amp;keep=1&amp;srchmode=1&amp;unlock","Nippostrongylus brasiliensis")</f>
        <v>Nippostrongylus brasiliensis</v>
      </c>
      <c r="H1140" t="s">
        <v>1025</v>
      </c>
      <c r="I1140" t="str">
        <f>HYPERLINK("http://www.ncbi.nlm.nih.gov/protein/WKY11482.1","hypothetical protein Q1695_003218")</f>
        <v>hypothetical protein Q1695_003218</v>
      </c>
      <c r="J1140">
        <v>2553.4699999999998</v>
      </c>
      <c r="K1140" t="s">
        <v>22</v>
      </c>
      <c r="L1140">
        <v>276</v>
      </c>
      <c r="M1140">
        <v>9.75</v>
      </c>
      <c r="N1140">
        <v>24.43</v>
      </c>
      <c r="O1140" t="s">
        <v>19</v>
      </c>
      <c r="P1140" t="s">
        <v>20</v>
      </c>
      <c r="Q1140" t="s">
        <v>19</v>
      </c>
      <c r="R1140" t="str">
        <f>HYPERLINK("https://cfpub.epa.gov/ecotox/explore.cfm?ncbi=27835","Explore in ECOTOX")</f>
        <v>Explore in ECOTOX</v>
      </c>
    </row>
    <row r="1141" spans="1:18" x14ac:dyDescent="0.45">
      <c r="A1141" t="s">
        <v>1264</v>
      </c>
      <c r="B1141">
        <v>8</v>
      </c>
      <c r="C1141" t="str">
        <f>HYPERLINK("http://www.ncbi.nlm.nih.gov/protein/XP_041469245.1","XP_041469245.1")</f>
        <v>XP_041469245.1</v>
      </c>
      <c r="D1141">
        <v>33902</v>
      </c>
      <c r="E1141" t="str">
        <f>HYPERLINK("http://www.ncbi.nlm.nih.gov/Taxonomy/Browser/wwwtax.cgi?mode=Info&amp;id=7654&amp;lvl=3&amp;lin=f&amp;keep=1&amp;srchmode=1&amp;unlock","7654")</f>
        <v>7654</v>
      </c>
      <c r="F1141" t="s">
        <v>1020</v>
      </c>
      <c r="G1141" t="str">
        <f>HYPERLINK("http://www.ncbi.nlm.nih.gov/Taxonomy/Browser/wwwtax.cgi?mode=Info&amp;id=7654&amp;lvl=3&amp;lin=f&amp;keep=1&amp;srchmode=1&amp;unlock","Lytechinus variegatus")</f>
        <v>Lytechinus variegatus</v>
      </c>
      <c r="H1141" t="s">
        <v>1026</v>
      </c>
      <c r="I1141" t="str">
        <f>HYPERLINK("http://www.ncbi.nlm.nih.gov/protein/XP_041469245.1","ryanodine receptor 2-like isoform X1")</f>
        <v>ryanodine receptor 2-like isoform X1</v>
      </c>
      <c r="J1141">
        <v>2546.9299999999998</v>
      </c>
      <c r="K1141" t="s">
        <v>22</v>
      </c>
      <c r="L1141">
        <v>276</v>
      </c>
      <c r="M1141">
        <v>9.75</v>
      </c>
      <c r="N1141">
        <v>24.36</v>
      </c>
      <c r="O1141" t="s">
        <v>19</v>
      </c>
      <c r="P1141" t="s">
        <v>20</v>
      </c>
      <c r="Q1141" t="s">
        <v>19</v>
      </c>
      <c r="R1141" t="str">
        <f>HYPERLINK("https://cfpub.epa.gov/ecotox/explore.cfm?ncbi=7654","Explore in ECOTOX")</f>
        <v>Explore in ECOTOX</v>
      </c>
    </row>
    <row r="1142" spans="1:18" x14ac:dyDescent="0.45">
      <c r="A1142" t="s">
        <v>1264</v>
      </c>
      <c r="B1142">
        <v>8</v>
      </c>
      <c r="C1142" t="str">
        <f>HYPERLINK("http://www.ncbi.nlm.nih.gov/protein/VDN89344.1","VDN89344.1")</f>
        <v>VDN89344.1</v>
      </c>
      <c r="D1142">
        <v>14709</v>
      </c>
      <c r="E1142" t="str">
        <f>HYPERLINK("http://www.ncbi.nlm.nih.gov/Taxonomy/Browser/wwwtax.cgi?mode=Info&amp;id=6280&amp;lvl=3&amp;lin=f&amp;keep=1&amp;srchmode=1&amp;unlock","6280")</f>
        <v>6280</v>
      </c>
      <c r="F1142" t="s">
        <v>1024</v>
      </c>
      <c r="G1142" t="str">
        <f>HYPERLINK("http://www.ncbi.nlm.nih.gov/Taxonomy/Browser/wwwtax.cgi?mode=Info&amp;id=6280&amp;lvl=3&amp;lin=f&amp;keep=1&amp;srchmode=1&amp;unlock","Brugia pahangi")</f>
        <v>Brugia pahangi</v>
      </c>
      <c r="H1142" t="s">
        <v>1027</v>
      </c>
      <c r="I1142" t="str">
        <f>HYPERLINK("http://www.ncbi.nlm.nih.gov/protein/VDN89344.1","unnamed protein product")</f>
        <v>unnamed protein product</v>
      </c>
      <c r="J1142">
        <v>2542.3000000000002</v>
      </c>
      <c r="K1142" t="s">
        <v>22</v>
      </c>
      <c r="L1142">
        <v>276</v>
      </c>
      <c r="M1142">
        <v>9.75</v>
      </c>
      <c r="N1142">
        <v>24.32</v>
      </c>
      <c r="O1142" t="s">
        <v>19</v>
      </c>
      <c r="P1142" t="s">
        <v>20</v>
      </c>
      <c r="Q1142" t="s">
        <v>19</v>
      </c>
      <c r="R1142" t="str">
        <f>HYPERLINK("https://cfpub.epa.gov/ecotox/explore.cfm?ncbi=6280","Explore in ECOTOX")</f>
        <v>Explore in ECOTOX</v>
      </c>
    </row>
    <row r="1143" spans="1:18" x14ac:dyDescent="0.45">
      <c r="A1143" t="s">
        <v>1264</v>
      </c>
      <c r="B1143">
        <v>8</v>
      </c>
      <c r="C1143" t="str">
        <f>HYPERLINK("http://www.ncbi.nlm.nih.gov/protein/KAI4492832.1","KAI4492832.1")</f>
        <v>KAI4492832.1</v>
      </c>
      <c r="D1143">
        <v>15634</v>
      </c>
      <c r="E1143" t="str">
        <f>HYPERLINK("http://www.ncbi.nlm.nih.gov/Taxonomy/Browser/wwwtax.cgi?mode=Info&amp;id=27506&amp;lvl=3&amp;lin=f&amp;keep=1&amp;srchmode=1&amp;unlock","27506")</f>
        <v>27506</v>
      </c>
      <c r="F1143" t="s">
        <v>760</v>
      </c>
      <c r="G1143" t="str">
        <f>HYPERLINK("http://www.ncbi.nlm.nih.gov/Taxonomy/Browser/wwwtax.cgi?mode=Info&amp;id=27506&amp;lvl=3&amp;lin=f&amp;keep=1&amp;srchmode=1&amp;unlock","Polistes exclamans")</f>
        <v>Polistes exclamans</v>
      </c>
      <c r="H1143" t="s">
        <v>808</v>
      </c>
      <c r="I1143" t="str">
        <f>HYPERLINK("http://www.ncbi.nlm.nih.gov/protein/KAI4492832.1","hypothetical protein M0804_002623")</f>
        <v>hypothetical protein M0804_002623</v>
      </c>
      <c r="J1143">
        <v>2528.8200000000002</v>
      </c>
      <c r="K1143" t="s">
        <v>22</v>
      </c>
      <c r="L1143">
        <v>276</v>
      </c>
      <c r="M1143">
        <v>9.75</v>
      </c>
      <c r="N1143">
        <v>24.19</v>
      </c>
      <c r="O1143" t="s">
        <v>19</v>
      </c>
      <c r="P1143" t="s">
        <v>20</v>
      </c>
      <c r="Q1143" t="s">
        <v>19</v>
      </c>
      <c r="R1143" t="str">
        <f>HYPERLINK("https://cfpub.epa.gov/ecotox/explore.cfm?ncbi=27506","Explore in ECOTOX")</f>
        <v>Explore in ECOTOX</v>
      </c>
    </row>
    <row r="1144" spans="1:18" x14ac:dyDescent="0.45">
      <c r="A1144" t="s">
        <v>1264</v>
      </c>
      <c r="B1144">
        <v>8</v>
      </c>
      <c r="C1144" t="str">
        <f>HYPERLINK("http://www.ncbi.nlm.nih.gov/protein/XP_052106421.1","XP_052106421.1")</f>
        <v>XP_052106421.1</v>
      </c>
      <c r="D1144">
        <v>50240</v>
      </c>
      <c r="E1144" t="str">
        <f>HYPERLINK("http://www.ncbi.nlm.nih.gov/Taxonomy/Browser/wwwtax.cgi?mode=Info&amp;id=6549&amp;lvl=3&amp;lin=f&amp;keep=1&amp;srchmode=1&amp;unlock","6549")</f>
        <v>6549</v>
      </c>
      <c r="F1144" t="s">
        <v>833</v>
      </c>
      <c r="G1144" t="str">
        <f>HYPERLINK("http://www.ncbi.nlm.nih.gov/Taxonomy/Browser/wwwtax.cgi?mode=Info&amp;id=6549&amp;lvl=3&amp;lin=f&amp;keep=1&amp;srchmode=1&amp;unlock","Mytilus californianus")</f>
        <v>Mytilus californianus</v>
      </c>
      <c r="H1144" t="s">
        <v>1028</v>
      </c>
      <c r="I1144" t="str">
        <f>HYPERLINK("http://www.ncbi.nlm.nih.gov/protein/XP_052106421.1","ryanodine receptor-like")</f>
        <v>ryanodine receptor-like</v>
      </c>
      <c r="J1144">
        <v>2528.0500000000002</v>
      </c>
      <c r="K1144" t="s">
        <v>22</v>
      </c>
      <c r="L1144">
        <v>276</v>
      </c>
      <c r="M1144">
        <v>9.75</v>
      </c>
      <c r="N1144">
        <v>24.18</v>
      </c>
      <c r="O1144" t="s">
        <v>19</v>
      </c>
      <c r="P1144" t="s">
        <v>20</v>
      </c>
      <c r="Q1144" t="s">
        <v>19</v>
      </c>
      <c r="R1144" t="str">
        <f>HYPERLINK("https://cfpub.epa.gov/ecotox/explore.cfm?ncbi=6549","Explore in ECOTOX")</f>
        <v>Explore in ECOTOX</v>
      </c>
    </row>
    <row r="1145" spans="1:18" x14ac:dyDescent="0.45">
      <c r="A1145" t="s">
        <v>1264</v>
      </c>
      <c r="B1145">
        <v>8</v>
      </c>
      <c r="C1145" t="str">
        <f>HYPERLINK("http://www.ncbi.nlm.nih.gov/protein/XP_002735182.2","XP_002735182.2")</f>
        <v>XP_002735182.2</v>
      </c>
      <c r="D1145">
        <v>22977</v>
      </c>
      <c r="E1145" t="str">
        <f>HYPERLINK("http://www.ncbi.nlm.nih.gov/Taxonomy/Browser/wwwtax.cgi?mode=Info&amp;id=10224&amp;lvl=3&amp;lin=f&amp;keep=1&amp;srchmode=1&amp;unlock","10224")</f>
        <v>10224</v>
      </c>
      <c r="F1145" t="s">
        <v>1029</v>
      </c>
      <c r="G1145" t="str">
        <f>HYPERLINK("http://www.ncbi.nlm.nih.gov/Taxonomy/Browser/wwwtax.cgi?mode=Info&amp;id=10224&amp;lvl=3&amp;lin=f&amp;keep=1&amp;srchmode=1&amp;unlock","Saccoglossus kowalevskii")</f>
        <v>Saccoglossus kowalevskii</v>
      </c>
      <c r="H1145" t="s">
        <v>1030</v>
      </c>
      <c r="I1145" t="str">
        <f>HYPERLINK("http://www.ncbi.nlm.nih.gov/protein/XP_002735182.2","PREDICTED: LOW QUALITY PROTEIN: ryanodine receptor 2")</f>
        <v>PREDICTED: LOW QUALITY PROTEIN: ryanodine receptor 2</v>
      </c>
      <c r="J1145">
        <v>2504.17</v>
      </c>
      <c r="K1145" t="s">
        <v>22</v>
      </c>
      <c r="L1145">
        <v>276</v>
      </c>
      <c r="M1145">
        <v>9.75</v>
      </c>
      <c r="N1145">
        <v>23.95</v>
      </c>
      <c r="O1145" t="s">
        <v>19</v>
      </c>
      <c r="P1145" t="s">
        <v>20</v>
      </c>
      <c r="Q1145" t="s">
        <v>19</v>
      </c>
      <c r="R1145" t="str">
        <f>HYPERLINK("https://cfpub.epa.gov/ecotox/explore.cfm?ncbi=10224","Explore in ECOTOX")</f>
        <v>Explore in ECOTOX</v>
      </c>
    </row>
    <row r="1146" spans="1:18" x14ac:dyDescent="0.45">
      <c r="A1146" t="s">
        <v>1264</v>
      </c>
      <c r="B1146">
        <v>8</v>
      </c>
      <c r="C1146" t="str">
        <f>HYPERLINK("http://www.ncbi.nlm.nih.gov/protein/XP_052124088.1","XP_052124088.1")</f>
        <v>XP_052124088.1</v>
      </c>
      <c r="D1146">
        <v>44628</v>
      </c>
      <c r="E1146" t="str">
        <f>HYPERLINK("http://www.ncbi.nlm.nih.gov/Taxonomy/Browser/wwwtax.cgi?mode=Info&amp;id=133901&amp;lvl=3&amp;lin=f&amp;keep=1&amp;srchmode=1&amp;unlock","133901")</f>
        <v>133901</v>
      </c>
      <c r="F1146" t="s">
        <v>760</v>
      </c>
      <c r="G1146" t="str">
        <f>HYPERLINK("http://www.ncbi.nlm.nih.gov/Taxonomy/Browser/wwwtax.cgi?mode=Info&amp;id=133901&amp;lvl=3&amp;lin=f&amp;keep=1&amp;srchmode=1&amp;unlock","Frankliniella occidentalis")</f>
        <v>Frankliniella occidentalis</v>
      </c>
      <c r="H1146" t="s">
        <v>1031</v>
      </c>
      <c r="I1146" t="str">
        <f>HYPERLINK("http://www.ncbi.nlm.nih.gov/protein/XP_052124088.1","ryanodine receptor")</f>
        <v>ryanodine receptor</v>
      </c>
      <c r="J1146">
        <v>2488.38</v>
      </c>
      <c r="K1146" t="s">
        <v>22</v>
      </c>
      <c r="L1146">
        <v>276</v>
      </c>
      <c r="M1146">
        <v>9.75</v>
      </c>
      <c r="N1146">
        <v>23.8</v>
      </c>
      <c r="O1146" t="s">
        <v>19</v>
      </c>
      <c r="P1146" t="s">
        <v>20</v>
      </c>
      <c r="Q1146" t="s">
        <v>19</v>
      </c>
      <c r="R1146" t="str">
        <f>HYPERLINK("https://cfpub.epa.gov/ecotox/explore.cfm?ncbi=133901","Explore in ECOTOX")</f>
        <v>Explore in ECOTOX</v>
      </c>
    </row>
    <row r="1147" spans="1:18" x14ac:dyDescent="0.45">
      <c r="A1147" t="s">
        <v>1264</v>
      </c>
      <c r="B1147">
        <v>8</v>
      </c>
      <c r="C1147" t="str">
        <f>HYPERLINK("http://www.ncbi.nlm.nih.gov/protein/XP_033213568.1","XP_033213568.1")</f>
        <v>XP_033213568.1</v>
      </c>
      <c r="D1147">
        <v>25246</v>
      </c>
      <c r="E1147" t="str">
        <f>HYPERLINK("http://www.ncbi.nlm.nih.gov/Taxonomy/Browser/wwwtax.cgi?mode=Info&amp;id=2817044&amp;lvl=3&amp;lin=f&amp;keep=1&amp;srchmode=1&amp;unlock","2817044")</f>
        <v>2817044</v>
      </c>
      <c r="F1147" t="s">
        <v>760</v>
      </c>
      <c r="G1147" t="str">
        <f>HYPERLINK("http://www.ncbi.nlm.nih.gov/Taxonomy/Browser/wwwtax.cgi?mode=Info&amp;id=2817044&amp;lvl=3&amp;lin=f&amp;keep=1&amp;srchmode=1&amp;unlock","Belonocnema kinseyi")</f>
        <v>Belonocnema kinseyi</v>
      </c>
      <c r="H1147" t="s">
        <v>1032</v>
      </c>
      <c r="I1147" t="str">
        <f>HYPERLINK("http://www.ncbi.nlm.nih.gov/protein/XP_033213568.1","ryanodine receptor isoform X2")</f>
        <v>ryanodine receptor isoform X2</v>
      </c>
      <c r="J1147">
        <v>2483.37</v>
      </c>
      <c r="K1147" t="s">
        <v>22</v>
      </c>
      <c r="L1147">
        <v>276</v>
      </c>
      <c r="M1147">
        <v>9.75</v>
      </c>
      <c r="N1147">
        <v>23.76</v>
      </c>
      <c r="O1147" t="s">
        <v>19</v>
      </c>
      <c r="P1147" t="s">
        <v>20</v>
      </c>
      <c r="Q1147" t="s">
        <v>19</v>
      </c>
      <c r="R1147" t="str">
        <f>HYPERLINK("https://cfpub.epa.gov/ecotox/explore.cfm?ncbi=2817044","Explore in ECOTOX")</f>
        <v>Explore in ECOTOX</v>
      </c>
    </row>
    <row r="1148" spans="1:18" x14ac:dyDescent="0.45">
      <c r="A1148" t="s">
        <v>1264</v>
      </c>
      <c r="B1148">
        <v>8</v>
      </c>
      <c r="C1148" t="str">
        <f>HYPERLINK("http://www.ncbi.nlm.nih.gov/protein/AHN16453.1","AHN16453.1")</f>
        <v>AHN16453.1</v>
      </c>
      <c r="D1148">
        <v>306</v>
      </c>
      <c r="E1148" t="str">
        <f>HYPERLINK("http://www.ncbi.nlm.nih.gov/Taxonomy/Browser/wwwtax.cgi?mode=Info&amp;id=252295&amp;lvl=3&amp;lin=f&amp;keep=1&amp;srchmode=1&amp;unlock","252295")</f>
        <v>252295</v>
      </c>
      <c r="F1148" t="s">
        <v>760</v>
      </c>
      <c r="G1148" t="str">
        <f>HYPERLINK("http://www.ncbi.nlm.nih.gov/Taxonomy/Browser/wwwtax.cgi?mode=Info&amp;id=252295&amp;lvl=3&amp;lin=f&amp;keep=1&amp;srchmode=1&amp;unlock","Carposina sasakii")</f>
        <v>Carposina sasakii</v>
      </c>
      <c r="H1148" t="s">
        <v>961</v>
      </c>
      <c r="I1148" t="str">
        <f>HYPERLINK("http://www.ncbi.nlm.nih.gov/protein/AHN16453.1","ryanodine receptor")</f>
        <v>ryanodine receptor</v>
      </c>
      <c r="J1148">
        <v>2482.21</v>
      </c>
      <c r="K1148" t="s">
        <v>22</v>
      </c>
      <c r="L1148">
        <v>276</v>
      </c>
      <c r="M1148">
        <v>9.75</v>
      </c>
      <c r="N1148">
        <v>23.74</v>
      </c>
      <c r="O1148" t="s">
        <v>19</v>
      </c>
      <c r="P1148" t="s">
        <v>20</v>
      </c>
      <c r="Q1148" t="s">
        <v>19</v>
      </c>
      <c r="R1148" t="str">
        <f>HYPERLINK("https://cfpub.epa.gov/ecotox/explore.cfm?ncbi=252295","Explore in ECOTOX")</f>
        <v>Explore in ECOTOX</v>
      </c>
    </row>
    <row r="1149" spans="1:18" x14ac:dyDescent="0.45">
      <c r="A1149" t="s">
        <v>1264</v>
      </c>
      <c r="B1149">
        <v>8</v>
      </c>
      <c r="C1149" t="str">
        <f>HYPERLINK("http://www.ncbi.nlm.nih.gov/protein/OBS60282.1","OBS60282.1")</f>
        <v>OBS60282.1</v>
      </c>
      <c r="D1149">
        <v>24524</v>
      </c>
      <c r="E1149" t="str">
        <f>HYPERLINK("http://www.ncbi.nlm.nih.gov/Taxonomy/Browser/wwwtax.cgi?mode=Info&amp;id=56216&amp;lvl=3&amp;lin=f&amp;keep=1&amp;srchmode=1&amp;unlock","56216")</f>
        <v>56216</v>
      </c>
      <c r="F1149" t="s">
        <v>96</v>
      </c>
      <c r="G1149" t="str">
        <f>HYPERLINK("http://www.ncbi.nlm.nih.gov/Taxonomy/Browser/wwwtax.cgi?mode=Info&amp;id=56216&amp;lvl=3&amp;lin=f&amp;keep=1&amp;srchmode=1&amp;unlock","Neotoma lepida")</f>
        <v>Neotoma lepida</v>
      </c>
      <c r="H1149" t="s">
        <v>1033</v>
      </c>
      <c r="I1149" t="str">
        <f>HYPERLINK("http://www.ncbi.nlm.nih.gov/protein/OBS60282.1","hypothetical protein A6R68_08602")</f>
        <v>hypothetical protein A6R68_08602</v>
      </c>
      <c r="J1149">
        <v>2480.67</v>
      </c>
      <c r="K1149" t="s">
        <v>22</v>
      </c>
      <c r="L1149">
        <v>276</v>
      </c>
      <c r="M1149">
        <v>9.75</v>
      </c>
      <c r="N1149">
        <v>23.73</v>
      </c>
      <c r="O1149" t="s">
        <v>19</v>
      </c>
      <c r="P1149" t="s">
        <v>20</v>
      </c>
      <c r="Q1149" t="s">
        <v>19</v>
      </c>
      <c r="R1149" t="str">
        <f>HYPERLINK("https://cfpub.epa.gov/ecotox/explore.cfm?ncbi=56216","Explore in ECOTOX")</f>
        <v>Explore in ECOTOX</v>
      </c>
    </row>
    <row r="1150" spans="1:18" x14ac:dyDescent="0.45">
      <c r="A1150" t="s">
        <v>1264</v>
      </c>
      <c r="B1150">
        <v>8</v>
      </c>
      <c r="C1150" t="str">
        <f>HYPERLINK("http://www.ncbi.nlm.nih.gov/protein/XP_049853812.1","XP_049853812.1")</f>
        <v>XP_049853812.1</v>
      </c>
      <c r="D1150">
        <v>38985</v>
      </c>
      <c r="E1150" t="str">
        <f>HYPERLINK("http://www.ncbi.nlm.nih.gov/Taxonomy/Browser/wwwtax.cgi?mode=Info&amp;id=7010&amp;lvl=3&amp;lin=f&amp;keep=1&amp;srchmode=1&amp;unlock","7010")</f>
        <v>7010</v>
      </c>
      <c r="F1150" t="s">
        <v>760</v>
      </c>
      <c r="G1150" t="str">
        <f>HYPERLINK("http://www.ncbi.nlm.nih.gov/Taxonomy/Browser/wwwtax.cgi?mode=Info&amp;id=7010&amp;lvl=3&amp;lin=f&amp;keep=1&amp;srchmode=1&amp;unlock","Schistocerca gregaria")</f>
        <v>Schistocerca gregaria</v>
      </c>
      <c r="H1150" t="s">
        <v>1034</v>
      </c>
      <c r="I1150" t="str">
        <f>HYPERLINK("http://www.ncbi.nlm.nih.gov/protein/XP_049853812.1","ryanodine receptor isoform X8")</f>
        <v>ryanodine receptor isoform X8</v>
      </c>
      <c r="J1150">
        <v>2472.1999999999998</v>
      </c>
      <c r="K1150" t="s">
        <v>22</v>
      </c>
      <c r="L1150">
        <v>276</v>
      </c>
      <c r="M1150">
        <v>9.75</v>
      </c>
      <c r="N1150">
        <v>23.65</v>
      </c>
      <c r="O1150" t="s">
        <v>19</v>
      </c>
      <c r="P1150" t="s">
        <v>20</v>
      </c>
      <c r="Q1150" t="s">
        <v>19</v>
      </c>
      <c r="R1150" t="str">
        <f>HYPERLINK("https://cfpub.epa.gov/ecotox/explore.cfm?ncbi=7010","Explore in ECOTOX")</f>
        <v>Explore in ECOTOX</v>
      </c>
    </row>
    <row r="1151" spans="1:18" x14ac:dyDescent="0.45">
      <c r="A1151" t="s">
        <v>1264</v>
      </c>
      <c r="B1151">
        <v>8</v>
      </c>
      <c r="C1151" t="str">
        <f>HYPERLINK("http://www.ncbi.nlm.nih.gov/protein/XP_059607963.1","XP_059607963.1")</f>
        <v>XP_059607963.1</v>
      </c>
      <c r="D1151">
        <v>16028</v>
      </c>
      <c r="E1151" t="str">
        <f>HYPERLINK("http://www.ncbi.nlm.nih.gov/Taxonomy/Browser/wwwtax.cgi?mode=Info&amp;id=94469&amp;lvl=3&amp;lin=f&amp;keep=1&amp;srchmode=1&amp;unlock","94469")</f>
        <v>94469</v>
      </c>
      <c r="F1151" t="s">
        <v>760</v>
      </c>
      <c r="G1151" t="str">
        <f>HYPERLINK("http://www.ncbi.nlm.nih.gov/Taxonomy/Browser/wwwtax.cgi?mode=Info&amp;id=94469&amp;lvl=3&amp;lin=f&amp;keep=1&amp;srchmode=1&amp;unlock","Phlebotomus argentipes")</f>
        <v>Phlebotomus argentipes</v>
      </c>
      <c r="H1151" t="s">
        <v>943</v>
      </c>
      <c r="I1151" t="str">
        <f>HYPERLINK("http://www.ncbi.nlm.nih.gov/protein/XP_059607963.1","ryanodine receptor")</f>
        <v>ryanodine receptor</v>
      </c>
      <c r="J1151">
        <v>2471.81</v>
      </c>
      <c r="K1151" t="s">
        <v>22</v>
      </c>
      <c r="L1151">
        <v>276</v>
      </c>
      <c r="M1151">
        <v>9.75</v>
      </c>
      <c r="N1151">
        <v>23.64</v>
      </c>
      <c r="O1151" t="s">
        <v>19</v>
      </c>
      <c r="P1151" t="s">
        <v>20</v>
      </c>
      <c r="Q1151" t="s">
        <v>19</v>
      </c>
      <c r="R1151" t="str">
        <f>HYPERLINK("https://cfpub.epa.gov/ecotox/explore.cfm?ncbi=94469","Explore in ECOTOX")</f>
        <v>Explore in ECOTOX</v>
      </c>
    </row>
    <row r="1152" spans="1:18" x14ac:dyDescent="0.45">
      <c r="A1152" t="s">
        <v>1264</v>
      </c>
      <c r="B1152">
        <v>8</v>
      </c>
      <c r="C1152" t="str">
        <f>HYPERLINK("http://www.ncbi.nlm.nih.gov/protein/XP_049775985.1","XP_049775985.1")</f>
        <v>XP_049775985.1</v>
      </c>
      <c r="D1152">
        <v>26383</v>
      </c>
      <c r="E1152" t="str">
        <f>HYPERLINK("http://www.ncbi.nlm.nih.gov/Taxonomy/Browser/wwwtax.cgi?mode=Info&amp;id=274614&amp;lvl=3&amp;lin=f&amp;keep=1&amp;srchmode=1&amp;unlock","274614")</f>
        <v>274614</v>
      </c>
      <c r="F1152" t="s">
        <v>760</v>
      </c>
      <c r="G1152" t="str">
        <f>HYPERLINK("http://www.ncbi.nlm.nih.gov/Taxonomy/Browser/wwwtax.cgi?mode=Info&amp;id=274614&amp;lvl=3&amp;lin=f&amp;keep=1&amp;srchmode=1&amp;unlock","Schistocerca cancellata")</f>
        <v>Schistocerca cancellata</v>
      </c>
      <c r="H1152" t="s">
        <v>1035</v>
      </c>
      <c r="I1152" t="str">
        <f>HYPERLINK("http://www.ncbi.nlm.nih.gov/protein/XP_049775985.1","ryanodine receptor")</f>
        <v>ryanodine receptor</v>
      </c>
      <c r="J1152">
        <v>2471.4299999999998</v>
      </c>
      <c r="K1152" t="s">
        <v>22</v>
      </c>
      <c r="L1152">
        <v>276</v>
      </c>
      <c r="M1152">
        <v>9.75</v>
      </c>
      <c r="N1152">
        <v>23.64</v>
      </c>
      <c r="O1152" t="s">
        <v>19</v>
      </c>
      <c r="P1152" t="s">
        <v>20</v>
      </c>
      <c r="Q1152" t="s">
        <v>19</v>
      </c>
      <c r="R1152" t="str">
        <f>HYPERLINK("https://cfpub.epa.gov/ecotox/explore.cfm?ncbi=274614","Explore in ECOTOX")</f>
        <v>Explore in ECOTOX</v>
      </c>
    </row>
    <row r="1153" spans="1:18" x14ac:dyDescent="0.45">
      <c r="A1153" t="s">
        <v>1264</v>
      </c>
      <c r="B1153">
        <v>8</v>
      </c>
      <c r="C1153" t="str">
        <f>HYPERLINK("http://www.ncbi.nlm.nih.gov/protein/XP_046990544.1","XP_046990544.1")</f>
        <v>XP_046990544.1</v>
      </c>
      <c r="D1153">
        <v>26426</v>
      </c>
      <c r="E1153" t="str">
        <f>HYPERLINK("http://www.ncbi.nlm.nih.gov/Taxonomy/Browser/wwwtax.cgi?mode=Info&amp;id=7009&amp;lvl=3&amp;lin=f&amp;keep=1&amp;srchmode=1&amp;unlock","7009")</f>
        <v>7009</v>
      </c>
      <c r="F1153" t="s">
        <v>760</v>
      </c>
      <c r="G1153" t="str">
        <f>HYPERLINK("http://www.ncbi.nlm.nih.gov/Taxonomy/Browser/wwwtax.cgi?mode=Info&amp;id=7009&amp;lvl=3&amp;lin=f&amp;keep=1&amp;srchmode=1&amp;unlock","Schistocerca americana")</f>
        <v>Schistocerca americana</v>
      </c>
      <c r="H1153" t="s">
        <v>1036</v>
      </c>
      <c r="I1153" t="str">
        <f>HYPERLINK("http://www.ncbi.nlm.nih.gov/protein/XP_046990544.1","ryanodine receptor")</f>
        <v>ryanodine receptor</v>
      </c>
      <c r="J1153">
        <v>2470.66</v>
      </c>
      <c r="K1153" t="s">
        <v>22</v>
      </c>
      <c r="L1153">
        <v>276</v>
      </c>
      <c r="M1153">
        <v>9.75</v>
      </c>
      <c r="N1153">
        <v>23.63</v>
      </c>
      <c r="O1153" t="s">
        <v>19</v>
      </c>
      <c r="P1153" t="s">
        <v>20</v>
      </c>
      <c r="Q1153" t="s">
        <v>19</v>
      </c>
      <c r="R1153" t="str">
        <f>HYPERLINK("https://cfpub.epa.gov/ecotox/explore.cfm?ncbi=7009","Explore in ECOTOX")</f>
        <v>Explore in ECOTOX</v>
      </c>
    </row>
    <row r="1154" spans="1:18" x14ac:dyDescent="0.45">
      <c r="A1154" t="s">
        <v>1264</v>
      </c>
      <c r="B1154">
        <v>8</v>
      </c>
      <c r="C1154" t="str">
        <f>HYPERLINK("http://www.ncbi.nlm.nih.gov/protein/KAK3911259.1","KAK3911259.1")</f>
        <v>KAK3911259.1</v>
      </c>
      <c r="D1154">
        <v>26206</v>
      </c>
      <c r="E1154" t="str">
        <f>HYPERLINK("http://www.ncbi.nlm.nih.gov/Taxonomy/Browser/wwwtax.cgi?mode=Info&amp;id=407009&amp;lvl=3&amp;lin=f&amp;keep=1&amp;srchmode=1&amp;unlock","407009")</f>
        <v>407009</v>
      </c>
      <c r="F1154" t="s">
        <v>760</v>
      </c>
      <c r="G1154" t="str">
        <f>HYPERLINK("http://www.ncbi.nlm.nih.gov/Taxonomy/Browser/wwwtax.cgi?mode=Info&amp;id=407009&amp;lvl=3&amp;lin=f&amp;keep=1&amp;srchmode=1&amp;unlock","Frankliniella fusca")</f>
        <v>Frankliniella fusca</v>
      </c>
      <c r="H1154" t="s">
        <v>1037</v>
      </c>
      <c r="I1154" t="str">
        <f>HYPERLINK("http://www.ncbi.nlm.nih.gov/protein/KAK3911259.1","hypothetical protein KUF71_021040")</f>
        <v>hypothetical protein KUF71_021040</v>
      </c>
      <c r="J1154">
        <v>2470.27</v>
      </c>
      <c r="K1154" t="s">
        <v>22</v>
      </c>
      <c r="L1154">
        <v>276</v>
      </c>
      <c r="M1154">
        <v>9.75</v>
      </c>
      <c r="N1154">
        <v>23.63</v>
      </c>
      <c r="O1154" t="s">
        <v>19</v>
      </c>
      <c r="P1154" t="s">
        <v>20</v>
      </c>
      <c r="Q1154" t="s">
        <v>19</v>
      </c>
      <c r="R1154" t="str">
        <f>HYPERLINK("https://cfpub.epa.gov/ecotox/explore.cfm?ncbi=407009","Explore in ECOTOX")</f>
        <v>Explore in ECOTOX</v>
      </c>
    </row>
    <row r="1155" spans="1:18" x14ac:dyDescent="0.45">
      <c r="A1155" t="s">
        <v>1264</v>
      </c>
      <c r="B1155">
        <v>8</v>
      </c>
      <c r="C1155" t="str">
        <f>HYPERLINK("http://www.ncbi.nlm.nih.gov/protein/XP_047108107.1","XP_047108107.1")</f>
        <v>XP_047108107.1</v>
      </c>
      <c r="D1155">
        <v>25762</v>
      </c>
      <c r="E1155" t="str">
        <f>HYPERLINK("http://www.ncbi.nlm.nih.gov/Taxonomy/Browser/wwwtax.cgi?mode=Info&amp;id=274613&amp;lvl=3&amp;lin=f&amp;keep=1&amp;srchmode=1&amp;unlock","274613")</f>
        <v>274613</v>
      </c>
      <c r="F1155" t="s">
        <v>760</v>
      </c>
      <c r="G1155" t="str">
        <f>HYPERLINK("http://www.ncbi.nlm.nih.gov/Taxonomy/Browser/wwwtax.cgi?mode=Info&amp;id=274613&amp;lvl=3&amp;lin=f&amp;keep=1&amp;srchmode=1&amp;unlock","Schistocerca piceifrons")</f>
        <v>Schistocerca piceifrons</v>
      </c>
      <c r="H1155" t="s">
        <v>1038</v>
      </c>
      <c r="I1155" t="str">
        <f>HYPERLINK("http://www.ncbi.nlm.nih.gov/protein/XP_047108107.1","ryanodine receptor")</f>
        <v>ryanodine receptor</v>
      </c>
      <c r="J1155">
        <v>2469.89</v>
      </c>
      <c r="K1155" t="s">
        <v>22</v>
      </c>
      <c r="L1155">
        <v>276</v>
      </c>
      <c r="M1155">
        <v>9.75</v>
      </c>
      <c r="N1155">
        <v>23.63</v>
      </c>
      <c r="O1155" t="s">
        <v>19</v>
      </c>
      <c r="P1155" t="s">
        <v>20</v>
      </c>
      <c r="Q1155" t="s">
        <v>19</v>
      </c>
      <c r="R1155" t="str">
        <f>HYPERLINK("https://cfpub.epa.gov/ecotox/explore.cfm?ncbi=274613","Explore in ECOTOX")</f>
        <v>Explore in ECOTOX</v>
      </c>
    </row>
    <row r="1156" spans="1:18" x14ac:dyDescent="0.45">
      <c r="A1156" t="s">
        <v>1264</v>
      </c>
      <c r="B1156">
        <v>8</v>
      </c>
      <c r="C1156" t="str">
        <f>HYPERLINK("http://www.ncbi.nlm.nih.gov/protein/CAD7424343.1","CAD7424343.1")</f>
        <v>CAD7424343.1</v>
      </c>
      <c r="D1156">
        <v>13140</v>
      </c>
      <c r="E1156" t="str">
        <f>HYPERLINK("http://www.ncbi.nlm.nih.gov/Taxonomy/Browser/wwwtax.cgi?mode=Info&amp;id=170555&amp;lvl=3&amp;lin=f&amp;keep=1&amp;srchmode=1&amp;unlock","170555")</f>
        <v>170555</v>
      </c>
      <c r="F1156" t="s">
        <v>760</v>
      </c>
      <c r="G1156" t="str">
        <f>HYPERLINK("http://www.ncbi.nlm.nih.gov/Taxonomy/Browser/wwwtax.cgi?mode=Info&amp;id=170555&amp;lvl=3&amp;lin=f&amp;keep=1&amp;srchmode=1&amp;unlock","Timema monikensis")</f>
        <v>Timema monikensis</v>
      </c>
      <c r="H1156" t="s">
        <v>1039</v>
      </c>
      <c r="I1156" t="str">
        <f>HYPERLINK("http://www.ncbi.nlm.nih.gov/protein/CAD7424343.1","unnamed protein product")</f>
        <v>unnamed protein product</v>
      </c>
      <c r="J1156">
        <v>2469.5</v>
      </c>
      <c r="K1156" t="s">
        <v>22</v>
      </c>
      <c r="L1156">
        <v>276</v>
      </c>
      <c r="M1156">
        <v>9.75</v>
      </c>
      <c r="N1156">
        <v>23.62</v>
      </c>
      <c r="O1156" t="s">
        <v>19</v>
      </c>
      <c r="P1156" t="s">
        <v>20</v>
      </c>
      <c r="Q1156" t="s">
        <v>19</v>
      </c>
      <c r="R1156" t="str">
        <f>HYPERLINK("https://cfpub.epa.gov/ecotox/explore.cfm?ncbi=170555","Explore in ECOTOX")</f>
        <v>Explore in ECOTOX</v>
      </c>
    </row>
    <row r="1157" spans="1:18" x14ac:dyDescent="0.45">
      <c r="A1157" t="s">
        <v>1264</v>
      </c>
      <c r="B1157">
        <v>8</v>
      </c>
      <c r="C1157" t="str">
        <f>HYPERLINK("http://www.ncbi.nlm.nih.gov/protein/XP_049800975.1","XP_049800975.1")</f>
        <v>XP_049800975.1</v>
      </c>
      <c r="D1157">
        <v>28534</v>
      </c>
      <c r="E1157" t="str">
        <f>HYPERLINK("http://www.ncbi.nlm.nih.gov/Taxonomy/Browser/wwwtax.cgi?mode=Info&amp;id=7011&amp;lvl=3&amp;lin=f&amp;keep=1&amp;srchmode=1&amp;unlock","7011")</f>
        <v>7011</v>
      </c>
      <c r="F1157" t="s">
        <v>760</v>
      </c>
      <c r="G1157" t="str">
        <f>HYPERLINK("http://www.ncbi.nlm.nih.gov/Taxonomy/Browser/wwwtax.cgi?mode=Info&amp;id=7011&amp;lvl=3&amp;lin=f&amp;keep=1&amp;srchmode=1&amp;unlock","Schistocerca nitens")</f>
        <v>Schistocerca nitens</v>
      </c>
      <c r="H1157" t="s">
        <v>1040</v>
      </c>
      <c r="I1157" t="str">
        <f>HYPERLINK("http://www.ncbi.nlm.nih.gov/protein/XP_049800975.1","ryanodine receptor")</f>
        <v>ryanodine receptor</v>
      </c>
      <c r="J1157">
        <v>2469.5</v>
      </c>
      <c r="K1157" t="s">
        <v>22</v>
      </c>
      <c r="L1157">
        <v>276</v>
      </c>
      <c r="M1157">
        <v>9.75</v>
      </c>
      <c r="N1157">
        <v>23.62</v>
      </c>
      <c r="O1157" t="s">
        <v>19</v>
      </c>
      <c r="P1157" t="s">
        <v>20</v>
      </c>
      <c r="Q1157" t="s">
        <v>19</v>
      </c>
      <c r="R1157" t="str">
        <f>HYPERLINK("https://cfpub.epa.gov/ecotox/explore.cfm?ncbi=7011","Explore in ECOTOX")</f>
        <v>Explore in ECOTOX</v>
      </c>
    </row>
    <row r="1158" spans="1:18" x14ac:dyDescent="0.45">
      <c r="A1158" t="s">
        <v>1264</v>
      </c>
      <c r="B1158">
        <v>8</v>
      </c>
      <c r="C1158" t="str">
        <f>HYPERLINK("http://www.ncbi.nlm.nih.gov/protein/XP_049951021.1","XP_049951021.1")</f>
        <v>XP_049951021.1</v>
      </c>
      <c r="D1158">
        <v>27698</v>
      </c>
      <c r="E1158" t="str">
        <f>HYPERLINK("http://www.ncbi.nlm.nih.gov/Taxonomy/Browser/wwwtax.cgi?mode=Info&amp;id=2023355&amp;lvl=3&amp;lin=f&amp;keep=1&amp;srchmode=1&amp;unlock","2023355")</f>
        <v>2023355</v>
      </c>
      <c r="F1158" t="s">
        <v>760</v>
      </c>
      <c r="G1158" t="str">
        <f>HYPERLINK("http://www.ncbi.nlm.nih.gov/Taxonomy/Browser/wwwtax.cgi?mode=Info&amp;id=2023355&amp;lvl=3&amp;lin=f&amp;keep=1&amp;srchmode=1&amp;unlock","Schistocerca serialis cubense")</f>
        <v>Schistocerca serialis cubense</v>
      </c>
      <c r="H1158" t="s">
        <v>1041</v>
      </c>
      <c r="I1158" t="str">
        <f>HYPERLINK("http://www.ncbi.nlm.nih.gov/protein/XP_049951021.1","ryanodine receptor")</f>
        <v>ryanodine receptor</v>
      </c>
      <c r="J1158">
        <v>2469.12</v>
      </c>
      <c r="K1158" t="s">
        <v>22</v>
      </c>
      <c r="L1158">
        <v>276</v>
      </c>
      <c r="M1158">
        <v>9.75</v>
      </c>
      <c r="N1158">
        <v>23.62</v>
      </c>
      <c r="O1158" t="s">
        <v>19</v>
      </c>
      <c r="P1158" t="s">
        <v>20</v>
      </c>
      <c r="Q1158" t="s">
        <v>19</v>
      </c>
      <c r="R1158" t="str">
        <f>HYPERLINK("https://cfpub.epa.gov/ecotox/explore.cfm?ncbi=2023355","Explore in ECOTOX")</f>
        <v>Explore in ECOTOX</v>
      </c>
    </row>
    <row r="1159" spans="1:18" x14ac:dyDescent="0.45">
      <c r="A1159" t="s">
        <v>1264</v>
      </c>
      <c r="B1159">
        <v>8</v>
      </c>
      <c r="C1159" t="str">
        <f>HYPERLINK("http://www.ncbi.nlm.nih.gov/protein/XP_045457465.1","XP_045457465.1")</f>
        <v>XP_045457465.1</v>
      </c>
      <c r="D1159">
        <v>14884</v>
      </c>
      <c r="E1159" t="str">
        <f>HYPERLINK("http://www.ncbi.nlm.nih.gov/Taxonomy/Browser/wwwtax.cgi?mode=Info&amp;id=113334&amp;lvl=3&amp;lin=f&amp;keep=1&amp;srchmode=1&amp;unlock","113334")</f>
        <v>113334</v>
      </c>
      <c r="F1159" t="s">
        <v>760</v>
      </c>
      <c r="G1159" t="str">
        <f>HYPERLINK("http://www.ncbi.nlm.nih.gov/Taxonomy/Browser/wwwtax.cgi?mode=Info&amp;id=113334&amp;lvl=3&amp;lin=f&amp;keep=1&amp;srchmode=1&amp;unlock","Melitaea cinxia")</f>
        <v>Melitaea cinxia</v>
      </c>
      <c r="H1159" t="s">
        <v>1042</v>
      </c>
      <c r="I1159" t="str">
        <f>HYPERLINK("http://www.ncbi.nlm.nih.gov/protein/XP_045457465.1","ryanodine receptor")</f>
        <v>ryanodine receptor</v>
      </c>
      <c r="J1159">
        <v>2465.65</v>
      </c>
      <c r="K1159" t="s">
        <v>22</v>
      </c>
      <c r="L1159">
        <v>276</v>
      </c>
      <c r="M1159">
        <v>9.75</v>
      </c>
      <c r="N1159">
        <v>23.59</v>
      </c>
      <c r="O1159" t="s">
        <v>19</v>
      </c>
      <c r="P1159" t="s">
        <v>20</v>
      </c>
      <c r="Q1159" t="s">
        <v>19</v>
      </c>
      <c r="R1159" t="str">
        <f>HYPERLINK("https://cfpub.epa.gov/ecotox/explore.cfm?ncbi=113334","Explore in ECOTOX")</f>
        <v>Explore in ECOTOX</v>
      </c>
    </row>
    <row r="1160" spans="1:18" x14ac:dyDescent="0.45">
      <c r="A1160" t="s">
        <v>1264</v>
      </c>
      <c r="B1160">
        <v>8</v>
      </c>
      <c r="C1160" t="str">
        <f>HYPERLINK("http://www.ncbi.nlm.nih.gov/protein/XP_015609509.1","XP_015609509.1")</f>
        <v>XP_015609509.1</v>
      </c>
      <c r="D1160">
        <v>32159</v>
      </c>
      <c r="E1160" t="str">
        <f>HYPERLINK("http://www.ncbi.nlm.nih.gov/Taxonomy/Browser/wwwtax.cgi?mode=Info&amp;id=211228&amp;lvl=3&amp;lin=f&amp;keep=1&amp;srchmode=1&amp;unlock","211228")</f>
        <v>211228</v>
      </c>
      <c r="F1160" t="s">
        <v>760</v>
      </c>
      <c r="G1160" t="str">
        <f>HYPERLINK("http://www.ncbi.nlm.nih.gov/Taxonomy/Browser/wwwtax.cgi?mode=Info&amp;id=211228&amp;lvl=3&amp;lin=f&amp;keep=1&amp;srchmode=1&amp;unlock","Cephus cinctus")</f>
        <v>Cephus cinctus</v>
      </c>
      <c r="H1160" t="s">
        <v>1043</v>
      </c>
      <c r="I1160" t="str">
        <f>HYPERLINK("http://www.ncbi.nlm.nih.gov/protein/XP_015609509.1","ryanodine receptor isoform X27")</f>
        <v>ryanodine receptor isoform X27</v>
      </c>
      <c r="J1160">
        <v>2464.4899999999998</v>
      </c>
      <c r="K1160" t="s">
        <v>22</v>
      </c>
      <c r="L1160">
        <v>276</v>
      </c>
      <c r="M1160">
        <v>9.75</v>
      </c>
      <c r="N1160">
        <v>23.57</v>
      </c>
      <c r="O1160" t="s">
        <v>19</v>
      </c>
      <c r="P1160" t="s">
        <v>20</v>
      </c>
      <c r="Q1160" t="s">
        <v>19</v>
      </c>
      <c r="R1160" t="str">
        <f>HYPERLINK("https://cfpub.epa.gov/ecotox/explore.cfm?ncbi=211228","Explore in ECOTOX")</f>
        <v>Explore in ECOTOX</v>
      </c>
    </row>
    <row r="1161" spans="1:18" x14ac:dyDescent="0.45">
      <c r="A1161" t="s">
        <v>1264</v>
      </c>
      <c r="B1161">
        <v>8</v>
      </c>
      <c r="C1161" t="str">
        <f>HYPERLINK("http://www.ncbi.nlm.nih.gov/protein/XP_054285012.1","XP_054285012.1")</f>
        <v>XP_054285012.1</v>
      </c>
      <c r="D1161">
        <v>34645</v>
      </c>
      <c r="E1161" t="str">
        <f>HYPERLINK("http://www.ncbi.nlm.nih.gov/Taxonomy/Browser/wwwtax.cgi?mode=Info&amp;id=74068&amp;lvl=3&amp;lin=f&amp;keep=1&amp;srchmode=1&amp;unlock","74068")</f>
        <v>74068</v>
      </c>
      <c r="F1161" t="s">
        <v>760</v>
      </c>
      <c r="G1161" t="str">
        <f>HYPERLINK("http://www.ncbi.nlm.nih.gov/Taxonomy/Browser/wwwtax.cgi?mode=Info&amp;id=74068&amp;lvl=3&amp;lin=f&amp;keep=1&amp;srchmode=1&amp;unlock","Macrosteles quadrilineatus")</f>
        <v>Macrosteles quadrilineatus</v>
      </c>
      <c r="H1161" t="s">
        <v>1044</v>
      </c>
      <c r="I1161" t="str">
        <f>HYPERLINK("http://www.ncbi.nlm.nih.gov/protein/XP_054285012.1","ryanodine receptor isoform X2")</f>
        <v>ryanodine receptor isoform X2</v>
      </c>
      <c r="J1161">
        <v>2461.8000000000002</v>
      </c>
      <c r="K1161" t="s">
        <v>22</v>
      </c>
      <c r="L1161">
        <v>276</v>
      </c>
      <c r="M1161">
        <v>9.75</v>
      </c>
      <c r="N1161">
        <v>23.55</v>
      </c>
      <c r="O1161" t="s">
        <v>19</v>
      </c>
      <c r="P1161" t="s">
        <v>20</v>
      </c>
      <c r="Q1161" t="s">
        <v>19</v>
      </c>
      <c r="R1161" t="str">
        <f>HYPERLINK("https://cfpub.epa.gov/ecotox/explore.cfm?ncbi=74068","Explore in ECOTOX")</f>
        <v>Explore in ECOTOX</v>
      </c>
    </row>
    <row r="1162" spans="1:18" x14ac:dyDescent="0.45">
      <c r="A1162" t="s">
        <v>1264</v>
      </c>
      <c r="B1162">
        <v>8</v>
      </c>
      <c r="C1162" t="str">
        <f>HYPERLINK("http://www.ncbi.nlm.nih.gov/protein/NWI95812.1","NWI95812.1")</f>
        <v>NWI95812.1</v>
      </c>
      <c r="D1162">
        <v>13920</v>
      </c>
      <c r="E1162" t="str">
        <f>HYPERLINK("http://www.ncbi.nlm.nih.gov/Taxonomy/Browser/wwwtax.cgi?mode=Info&amp;id=9163&amp;lvl=3&amp;lin=f&amp;keep=1&amp;srchmode=1&amp;unlock","9163")</f>
        <v>9163</v>
      </c>
      <c r="F1162" t="s">
        <v>241</v>
      </c>
      <c r="G1162" t="str">
        <f>HYPERLINK("http://www.ncbi.nlm.nih.gov/Taxonomy/Browser/wwwtax.cgi?mode=Info&amp;id=9163&amp;lvl=3&amp;lin=f&amp;keep=1&amp;srchmode=1&amp;unlock","Pitta sordida")</f>
        <v>Pitta sordida</v>
      </c>
      <c r="H1162" t="s">
        <v>1045</v>
      </c>
      <c r="I1162" t="str">
        <f>HYPERLINK("http://www.ncbi.nlm.nih.gov/protein/NWI95812.1","RYR3 protein")</f>
        <v>RYR3 protein</v>
      </c>
      <c r="J1162">
        <v>2459.1</v>
      </c>
      <c r="K1162" t="s">
        <v>22</v>
      </c>
      <c r="L1162">
        <v>276</v>
      </c>
      <c r="M1162">
        <v>9.75</v>
      </c>
      <c r="N1162">
        <v>23.52</v>
      </c>
      <c r="O1162" t="s">
        <v>19</v>
      </c>
      <c r="P1162" t="s">
        <v>20</v>
      </c>
      <c r="Q1162" t="s">
        <v>19</v>
      </c>
      <c r="R1162" t="str">
        <f>HYPERLINK("https://cfpub.epa.gov/ecotox/explore.cfm?ncbi=9163","Explore in ECOTOX")</f>
        <v>Explore in ECOTOX</v>
      </c>
    </row>
    <row r="1163" spans="1:18" x14ac:dyDescent="0.45">
      <c r="A1163" t="s">
        <v>1264</v>
      </c>
      <c r="B1163">
        <v>8</v>
      </c>
      <c r="C1163" t="str">
        <f>HYPERLINK("http://www.ncbi.nlm.nih.gov/protein/XP_046629330.1","XP_046629330.1")</f>
        <v>XP_046629330.1</v>
      </c>
      <c r="D1163">
        <v>27757</v>
      </c>
      <c r="E1163" t="str">
        <f>HYPERLINK("http://www.ncbi.nlm.nih.gov/Taxonomy/Browser/wwwtax.cgi?mode=Info&amp;id=2961670&amp;lvl=3&amp;lin=f&amp;keep=1&amp;srchmode=1&amp;unlock","2961670")</f>
        <v>2961670</v>
      </c>
      <c r="F1163" t="s">
        <v>760</v>
      </c>
      <c r="G1163" t="str">
        <f>HYPERLINK("http://www.ncbi.nlm.nih.gov/Taxonomy/Browser/wwwtax.cgi?mode=Info&amp;id=2961670&amp;lvl=3&amp;lin=f&amp;keep=1&amp;srchmode=1&amp;unlock","Neodiprion virginianus")</f>
        <v>Neodiprion virginianus</v>
      </c>
      <c r="H1163" t="s">
        <v>1046</v>
      </c>
      <c r="I1163" t="str">
        <f>HYPERLINK("http://www.ncbi.nlm.nih.gov/protein/XP_046629330.1","ryanodine receptor")</f>
        <v>ryanodine receptor</v>
      </c>
      <c r="J1163">
        <v>2458.33</v>
      </c>
      <c r="K1163" t="s">
        <v>22</v>
      </c>
      <c r="L1163">
        <v>276</v>
      </c>
      <c r="M1163">
        <v>9.75</v>
      </c>
      <c r="N1163">
        <v>23.52</v>
      </c>
      <c r="O1163" t="s">
        <v>19</v>
      </c>
      <c r="P1163" t="s">
        <v>20</v>
      </c>
      <c r="Q1163" t="s">
        <v>19</v>
      </c>
      <c r="R1163" t="str">
        <f>HYPERLINK("https://cfpub.epa.gov/ecotox/explore.cfm?ncbi=2961670","Explore in ECOTOX")</f>
        <v>Explore in ECOTOX</v>
      </c>
    </row>
    <row r="1164" spans="1:18" x14ac:dyDescent="0.45">
      <c r="A1164" t="s">
        <v>1264</v>
      </c>
      <c r="B1164">
        <v>8</v>
      </c>
      <c r="C1164" t="str">
        <f>HYPERLINK("http://www.ncbi.nlm.nih.gov/protein/XP_034937910.1","XP_034937910.1")</f>
        <v>XP_034937910.1</v>
      </c>
      <c r="D1164">
        <v>19356</v>
      </c>
      <c r="E1164" t="str">
        <f>HYPERLINK("http://www.ncbi.nlm.nih.gov/Taxonomy/Browser/wwwtax.cgi?mode=Info&amp;id=460826&amp;lvl=3&amp;lin=f&amp;keep=1&amp;srchmode=1&amp;unlock","460826")</f>
        <v>460826</v>
      </c>
      <c r="F1164" t="s">
        <v>760</v>
      </c>
      <c r="G1164" t="str">
        <f>HYPERLINK("http://www.ncbi.nlm.nih.gov/Taxonomy/Browser/wwwtax.cgi?mode=Info&amp;id=460826&amp;lvl=3&amp;lin=f&amp;keep=1&amp;srchmode=1&amp;unlock","Chelonus insularis")</f>
        <v>Chelonus insularis</v>
      </c>
      <c r="H1164" t="s">
        <v>769</v>
      </c>
      <c r="I1164" t="str">
        <f>HYPERLINK("http://www.ncbi.nlm.nih.gov/protein/XP_034937910.1","ryanodine receptor isoform X2")</f>
        <v>ryanodine receptor isoform X2</v>
      </c>
      <c r="J1164">
        <v>2457.94</v>
      </c>
      <c r="K1164" t="s">
        <v>22</v>
      </c>
      <c r="L1164">
        <v>276</v>
      </c>
      <c r="M1164">
        <v>9.75</v>
      </c>
      <c r="N1164">
        <v>23.51</v>
      </c>
      <c r="O1164" t="s">
        <v>19</v>
      </c>
      <c r="P1164" t="s">
        <v>20</v>
      </c>
      <c r="Q1164" t="s">
        <v>19</v>
      </c>
      <c r="R1164" t="str">
        <f>HYPERLINK("https://cfpub.epa.gov/ecotox/explore.cfm?ncbi=460826","Explore in ECOTOX")</f>
        <v>Explore in ECOTOX</v>
      </c>
    </row>
    <row r="1165" spans="1:18" x14ac:dyDescent="0.45">
      <c r="A1165" t="s">
        <v>1264</v>
      </c>
      <c r="B1165">
        <v>8</v>
      </c>
      <c r="C1165" t="str">
        <f>HYPERLINK("http://www.ncbi.nlm.nih.gov/protein/AFW97408.1","AFW97408.1")</f>
        <v>AFW97408.1</v>
      </c>
      <c r="D1165">
        <v>59846</v>
      </c>
      <c r="E1165" t="str">
        <f>HYPERLINK("http://www.ncbi.nlm.nih.gov/Taxonomy/Browser/wwwtax.cgi?mode=Info&amp;id=51655&amp;lvl=3&amp;lin=f&amp;keep=1&amp;srchmode=1&amp;unlock","51655")</f>
        <v>51655</v>
      </c>
      <c r="F1165" t="s">
        <v>760</v>
      </c>
      <c r="G1165" t="str">
        <f>HYPERLINK("http://www.ncbi.nlm.nih.gov/Taxonomy/Browser/wwwtax.cgi?mode=Info&amp;id=51655&amp;lvl=3&amp;lin=f&amp;keep=1&amp;srchmode=1&amp;unlock","Plutella xylostella")</f>
        <v>Plutella xylostella</v>
      </c>
      <c r="H1165" t="s">
        <v>1047</v>
      </c>
      <c r="I1165" t="str">
        <f>HYPERLINK("http://www.ncbi.nlm.nih.gov/protein/AFW97408.1","RyR")</f>
        <v>RyR</v>
      </c>
      <c r="J1165">
        <v>2457.56</v>
      </c>
      <c r="K1165" t="s">
        <v>22</v>
      </c>
      <c r="L1165">
        <v>276</v>
      </c>
      <c r="M1165">
        <v>9.75</v>
      </c>
      <c r="N1165">
        <v>23.51</v>
      </c>
      <c r="O1165" t="s">
        <v>19</v>
      </c>
      <c r="P1165" t="s">
        <v>20</v>
      </c>
      <c r="Q1165" t="s">
        <v>19</v>
      </c>
      <c r="R1165" t="str">
        <f>HYPERLINK("https://cfpub.epa.gov/ecotox/explore.cfm?ncbi=51655","Explore in ECOTOX")</f>
        <v>Explore in ECOTOX</v>
      </c>
    </row>
    <row r="1166" spans="1:18" x14ac:dyDescent="0.45">
      <c r="A1166" t="s">
        <v>1264</v>
      </c>
      <c r="B1166">
        <v>8</v>
      </c>
      <c r="C1166" t="str">
        <f>HYPERLINK("http://www.ncbi.nlm.nih.gov/protein/KAK2581454.1","KAK2581454.1")</f>
        <v>KAK2581454.1</v>
      </c>
      <c r="D1166">
        <v>14711</v>
      </c>
      <c r="E1166" t="str">
        <f>HYPERLINK("http://www.ncbi.nlm.nih.gov/Taxonomy/Browser/wwwtax.cgi?mode=Info&amp;id=1348599&amp;lvl=3&amp;lin=f&amp;keep=1&amp;srchmode=1&amp;unlock","1348599")</f>
        <v>1348599</v>
      </c>
      <c r="F1166" t="s">
        <v>760</v>
      </c>
      <c r="G1166" t="str">
        <f>HYPERLINK("http://www.ncbi.nlm.nih.gov/Taxonomy/Browser/wwwtax.cgi?mode=Info&amp;id=1348599&amp;lvl=3&amp;lin=f&amp;keep=1&amp;srchmode=1&amp;unlock","Odynerus spinipes")</f>
        <v>Odynerus spinipes</v>
      </c>
      <c r="H1166" t="s">
        <v>1048</v>
      </c>
      <c r="I1166" t="str">
        <f>HYPERLINK("http://www.ncbi.nlm.nih.gov/protein/KAK2581454.1","hypothetical protein KPH14_005126")</f>
        <v>hypothetical protein KPH14_005126</v>
      </c>
      <c r="J1166">
        <v>2456.4</v>
      </c>
      <c r="K1166" t="s">
        <v>22</v>
      </c>
      <c r="L1166">
        <v>276</v>
      </c>
      <c r="M1166">
        <v>9.75</v>
      </c>
      <c r="N1166">
        <v>23.5</v>
      </c>
      <c r="O1166" t="s">
        <v>19</v>
      </c>
      <c r="P1166" t="s">
        <v>20</v>
      </c>
      <c r="Q1166" t="s">
        <v>19</v>
      </c>
      <c r="R1166" t="str">
        <f>HYPERLINK("https://cfpub.epa.gov/ecotox/explore.cfm?ncbi=1348599","Explore in ECOTOX")</f>
        <v>Explore in ECOTOX</v>
      </c>
    </row>
    <row r="1167" spans="1:18" x14ac:dyDescent="0.45">
      <c r="A1167" t="s">
        <v>1264</v>
      </c>
      <c r="B1167">
        <v>8</v>
      </c>
      <c r="C1167" t="str">
        <f>HYPERLINK("http://www.ncbi.nlm.nih.gov/protein/XP_002424547.1","XP_002424547.1")</f>
        <v>XP_002424547.1</v>
      </c>
      <c r="D1167">
        <v>21887</v>
      </c>
      <c r="E1167" t="str">
        <f>HYPERLINK("http://www.ncbi.nlm.nih.gov/Taxonomy/Browser/wwwtax.cgi?mode=Info&amp;id=121224&amp;lvl=3&amp;lin=f&amp;keep=1&amp;srchmode=1&amp;unlock","121224")</f>
        <v>121224</v>
      </c>
      <c r="F1167" t="s">
        <v>760</v>
      </c>
      <c r="G1167" t="str">
        <f>HYPERLINK("http://www.ncbi.nlm.nih.gov/Taxonomy/Browser/wwwtax.cgi?mode=Info&amp;id=121224&amp;lvl=3&amp;lin=f&amp;keep=1&amp;srchmode=1&amp;unlock","Pediculus humanus corporis")</f>
        <v>Pediculus humanus corporis</v>
      </c>
      <c r="H1167" t="s">
        <v>1049</v>
      </c>
      <c r="I1167" t="str">
        <f>HYPERLINK("http://www.ncbi.nlm.nih.gov/protein/XP_002424547.1","Ryanodine receptor, putative")</f>
        <v>Ryanodine receptor, putative</v>
      </c>
      <c r="J1167">
        <v>2456.02</v>
      </c>
      <c r="K1167" t="s">
        <v>22</v>
      </c>
      <c r="L1167">
        <v>276</v>
      </c>
      <c r="M1167">
        <v>9.75</v>
      </c>
      <c r="N1167">
        <v>23.49</v>
      </c>
      <c r="O1167" t="s">
        <v>19</v>
      </c>
      <c r="P1167" t="s">
        <v>20</v>
      </c>
      <c r="Q1167" t="s">
        <v>19</v>
      </c>
      <c r="R1167" t="str">
        <f>HYPERLINK("https://cfpub.epa.gov/ecotox/explore.cfm?ncbi=121224","Explore in ECOTOX")</f>
        <v>Explore in ECOTOX</v>
      </c>
    </row>
    <row r="1168" spans="1:18" x14ac:dyDescent="0.45">
      <c r="A1168" t="s">
        <v>1264</v>
      </c>
      <c r="B1168">
        <v>8</v>
      </c>
      <c r="C1168" t="str">
        <f>HYPERLINK("http://www.ncbi.nlm.nih.gov/protein/XP_046435087.1","XP_046435087.1")</f>
        <v>XP_046435087.1</v>
      </c>
      <c r="D1168">
        <v>27443</v>
      </c>
      <c r="E1168" t="str">
        <f>HYPERLINK("http://www.ncbi.nlm.nih.gov/Taxonomy/Browser/wwwtax.cgi?mode=Info&amp;id=2872261&amp;lvl=3&amp;lin=f&amp;keep=1&amp;srchmode=1&amp;unlock","2872261")</f>
        <v>2872261</v>
      </c>
      <c r="F1168" t="s">
        <v>760</v>
      </c>
      <c r="G1168" t="str">
        <f>HYPERLINK("http://www.ncbi.nlm.nih.gov/Taxonomy/Browser/wwwtax.cgi?mode=Info&amp;id=2872261&amp;lvl=3&amp;lin=f&amp;keep=1&amp;srchmode=1&amp;unlock","Neodiprion fabricii")</f>
        <v>Neodiprion fabricii</v>
      </c>
      <c r="H1168" t="s">
        <v>1046</v>
      </c>
      <c r="I1168" t="str">
        <f>HYPERLINK("http://www.ncbi.nlm.nih.gov/protein/XP_046435087.1","ryanodine receptor")</f>
        <v>ryanodine receptor</v>
      </c>
      <c r="J1168">
        <v>2455.63</v>
      </c>
      <c r="K1168" t="s">
        <v>22</v>
      </c>
      <c r="L1168">
        <v>276</v>
      </c>
      <c r="M1168">
        <v>9.75</v>
      </c>
      <c r="N1168">
        <v>23.49</v>
      </c>
      <c r="O1168" t="s">
        <v>19</v>
      </c>
      <c r="P1168" t="s">
        <v>20</v>
      </c>
      <c r="Q1168" t="s">
        <v>19</v>
      </c>
      <c r="R1168" t="str">
        <f>HYPERLINK("https://cfpub.epa.gov/ecotox/explore.cfm?ncbi=2872261","Explore in ECOTOX")</f>
        <v>Explore in ECOTOX</v>
      </c>
    </row>
    <row r="1169" spans="1:18" x14ac:dyDescent="0.45">
      <c r="A1169" t="s">
        <v>1264</v>
      </c>
      <c r="B1169">
        <v>8</v>
      </c>
      <c r="C1169" t="str">
        <f>HYPERLINK("http://www.ncbi.nlm.nih.gov/protein/XP_043461897.1","XP_043461897.1")</f>
        <v>XP_043461897.1</v>
      </c>
      <c r="D1169">
        <v>24681</v>
      </c>
      <c r="E1169" t="str">
        <f>HYPERLINK("http://www.ncbi.nlm.nih.gov/Taxonomy/Browser/wwwtax.cgi?mode=Info&amp;id=63436&amp;lvl=3&amp;lin=f&amp;keep=1&amp;srchmode=1&amp;unlock","63436")</f>
        <v>63436</v>
      </c>
      <c r="F1169" t="s">
        <v>760</v>
      </c>
      <c r="G1169" t="str">
        <f>HYPERLINK("http://www.ncbi.nlm.nih.gov/Taxonomy/Browser/wwwtax.cgi?mode=Info&amp;id=63436&amp;lvl=3&amp;lin=f&amp;keep=1&amp;srchmode=1&amp;unlock","Leptopilina heterotoma")</f>
        <v>Leptopilina heterotoma</v>
      </c>
      <c r="H1169" t="s">
        <v>769</v>
      </c>
      <c r="I1169" t="str">
        <f>HYPERLINK("http://www.ncbi.nlm.nih.gov/protein/XP_043461897.1","ryanodine receptor isoform X13")</f>
        <v>ryanodine receptor isoform X13</v>
      </c>
      <c r="J1169">
        <v>2454.48</v>
      </c>
      <c r="K1169" t="s">
        <v>22</v>
      </c>
      <c r="L1169">
        <v>276</v>
      </c>
      <c r="M1169">
        <v>9.75</v>
      </c>
      <c r="N1169">
        <v>23.48</v>
      </c>
      <c r="O1169" t="s">
        <v>19</v>
      </c>
      <c r="P1169" t="s">
        <v>20</v>
      </c>
      <c r="Q1169" t="s">
        <v>19</v>
      </c>
      <c r="R1169" t="str">
        <f>HYPERLINK("https://cfpub.epa.gov/ecotox/explore.cfm?ncbi=63436","Explore in ECOTOX")</f>
        <v>Explore in ECOTOX</v>
      </c>
    </row>
    <row r="1170" spans="1:18" x14ac:dyDescent="0.45">
      <c r="A1170" t="s">
        <v>1264</v>
      </c>
      <c r="B1170">
        <v>8</v>
      </c>
      <c r="C1170" t="str">
        <f>HYPERLINK("http://www.ncbi.nlm.nih.gov/protein/KZC04423.1","KZC04423.1")</f>
        <v>KZC04423.1</v>
      </c>
      <c r="D1170">
        <v>23631</v>
      </c>
      <c r="E1170" t="str">
        <f>HYPERLINK("http://www.ncbi.nlm.nih.gov/Taxonomy/Browser/wwwtax.cgi?mode=Info&amp;id=178035&amp;lvl=3&amp;lin=f&amp;keep=1&amp;srchmode=1&amp;unlock","178035")</f>
        <v>178035</v>
      </c>
      <c r="F1170" t="s">
        <v>760</v>
      </c>
      <c r="G1170" t="str">
        <f>HYPERLINK("http://www.ncbi.nlm.nih.gov/Taxonomy/Browser/wwwtax.cgi?mode=Info&amp;id=178035&amp;lvl=3&amp;lin=f&amp;keep=1&amp;srchmode=1&amp;unlock","Dufourea novaeangliae")</f>
        <v>Dufourea novaeangliae</v>
      </c>
      <c r="H1170" t="s">
        <v>1050</v>
      </c>
      <c r="I1170" t="str">
        <f>HYPERLINK("http://www.ncbi.nlm.nih.gov/protein/KZC04423.1","Ryanodine receptor 44F")</f>
        <v>Ryanodine receptor 44F</v>
      </c>
      <c r="J1170">
        <v>2453.71</v>
      </c>
      <c r="K1170" t="s">
        <v>22</v>
      </c>
      <c r="L1170">
        <v>276</v>
      </c>
      <c r="M1170">
        <v>9.75</v>
      </c>
      <c r="N1170">
        <v>23.47</v>
      </c>
      <c r="O1170" t="s">
        <v>19</v>
      </c>
      <c r="P1170" t="s">
        <v>20</v>
      </c>
      <c r="Q1170" t="s">
        <v>19</v>
      </c>
      <c r="R1170" t="str">
        <f>HYPERLINK("https://cfpub.epa.gov/ecotox/explore.cfm?ncbi=178035","Explore in ECOTOX")</f>
        <v>Explore in ECOTOX</v>
      </c>
    </row>
    <row r="1171" spans="1:18" x14ac:dyDescent="0.45">
      <c r="A1171" t="s">
        <v>1264</v>
      </c>
      <c r="B1171">
        <v>8</v>
      </c>
      <c r="C1171" t="str">
        <f>HYPERLINK("http://www.ncbi.nlm.nih.gov/protein/XP_047344492.1","XP_047344492.1")</f>
        <v>XP_047344492.1</v>
      </c>
      <c r="D1171">
        <v>28891</v>
      </c>
      <c r="E1171" t="str">
        <f>HYPERLINK("http://www.ncbi.nlm.nih.gov/Taxonomy/Browser/wwwtax.cgi?mode=Info&amp;id=202808&amp;lvl=3&amp;lin=f&amp;keep=1&amp;srchmode=1&amp;unlock","202808")</f>
        <v>202808</v>
      </c>
      <c r="F1171" t="s">
        <v>760</v>
      </c>
      <c r="G1171" t="str">
        <f>HYPERLINK("http://www.ncbi.nlm.nih.gov/Taxonomy/Browser/wwwtax.cgi?mode=Info&amp;id=202808&amp;lvl=3&amp;lin=f&amp;keep=1&amp;srchmode=1&amp;unlock","Vespa velutina")</f>
        <v>Vespa velutina</v>
      </c>
      <c r="H1171" t="s">
        <v>805</v>
      </c>
      <c r="I1171" t="str">
        <f>HYPERLINK("http://www.ncbi.nlm.nih.gov/protein/XP_047344492.1","ryanodine receptor isoform X8")</f>
        <v>ryanodine receptor isoform X8</v>
      </c>
      <c r="J1171">
        <v>2452.17</v>
      </c>
      <c r="K1171" t="s">
        <v>22</v>
      </c>
      <c r="L1171">
        <v>276</v>
      </c>
      <c r="M1171">
        <v>9.75</v>
      </c>
      <c r="N1171">
        <v>23.46</v>
      </c>
      <c r="O1171" t="s">
        <v>19</v>
      </c>
      <c r="P1171" t="s">
        <v>20</v>
      </c>
      <c r="Q1171" t="s">
        <v>19</v>
      </c>
      <c r="R1171" t="str">
        <f>HYPERLINK("https://cfpub.epa.gov/ecotox/explore.cfm?ncbi=202808","Explore in ECOTOX")</f>
        <v>Explore in ECOTOX</v>
      </c>
    </row>
    <row r="1172" spans="1:18" x14ac:dyDescent="0.45">
      <c r="A1172" t="s">
        <v>1264</v>
      </c>
      <c r="B1172">
        <v>8</v>
      </c>
      <c r="C1172" t="str">
        <f>HYPERLINK("http://www.ncbi.nlm.nih.gov/protein/XP_046833589.1","XP_046833589.1")</f>
        <v>XP_046833589.1</v>
      </c>
      <c r="D1172">
        <v>26302</v>
      </c>
      <c r="E1172" t="str">
        <f>HYPERLINK("http://www.ncbi.nlm.nih.gov/Taxonomy/Browser/wwwtax.cgi?mode=Info&amp;id=7445&amp;lvl=3&amp;lin=f&amp;keep=1&amp;srchmode=1&amp;unlock","7445")</f>
        <v>7445</v>
      </c>
      <c r="F1172" t="s">
        <v>760</v>
      </c>
      <c r="G1172" t="str">
        <f>HYPERLINK("http://www.ncbi.nlm.nih.gov/Taxonomy/Browser/wwwtax.cgi?mode=Info&amp;id=7445&amp;lvl=3&amp;lin=f&amp;keep=1&amp;srchmode=1&amp;unlock","Vespa crabro")</f>
        <v>Vespa crabro</v>
      </c>
      <c r="H1172" t="s">
        <v>1051</v>
      </c>
      <c r="I1172" t="str">
        <f>HYPERLINK("http://www.ncbi.nlm.nih.gov/protein/XP_046833589.1","ryanodine receptor isoform X10")</f>
        <v>ryanodine receptor isoform X10</v>
      </c>
      <c r="J1172">
        <v>2452.17</v>
      </c>
      <c r="K1172" t="s">
        <v>22</v>
      </c>
      <c r="L1172">
        <v>276</v>
      </c>
      <c r="M1172">
        <v>9.75</v>
      </c>
      <c r="N1172">
        <v>23.46</v>
      </c>
      <c r="O1172" t="s">
        <v>19</v>
      </c>
      <c r="P1172" t="s">
        <v>20</v>
      </c>
      <c r="Q1172" t="s">
        <v>19</v>
      </c>
      <c r="R1172" t="str">
        <f>HYPERLINK("https://cfpub.epa.gov/ecotox/explore.cfm?ncbi=7445","Explore in ECOTOX")</f>
        <v>Explore in ECOTOX</v>
      </c>
    </row>
    <row r="1173" spans="1:18" x14ac:dyDescent="0.45">
      <c r="A1173" t="s">
        <v>1264</v>
      </c>
      <c r="B1173">
        <v>8</v>
      </c>
      <c r="C1173" t="str">
        <f>HYPERLINK("http://www.ncbi.nlm.nih.gov/protein/XP_035717757.1","XP_035717757.1")</f>
        <v>XP_035717757.1</v>
      </c>
      <c r="D1173">
        <v>27336</v>
      </c>
      <c r="E1173" t="str">
        <f>HYPERLINK("http://www.ncbi.nlm.nih.gov/Taxonomy/Browser/wwwtax.cgi?mode=Info&amp;id=7446&amp;lvl=3&amp;lin=f&amp;keep=1&amp;srchmode=1&amp;unlock","7446")</f>
        <v>7446</v>
      </c>
      <c r="F1173" t="s">
        <v>760</v>
      </c>
      <c r="G1173" t="str">
        <f>HYPERLINK("http://www.ncbi.nlm.nih.gov/Taxonomy/Browser/wwwtax.cgi?mode=Info&amp;id=7446&amp;lvl=3&amp;lin=f&amp;keep=1&amp;srchmode=1&amp;unlock","Vespa mandarinia")</f>
        <v>Vespa mandarinia</v>
      </c>
      <c r="H1173" t="s">
        <v>1052</v>
      </c>
      <c r="I1173" t="str">
        <f>HYPERLINK("http://www.ncbi.nlm.nih.gov/protein/XP_035717757.1","ryanodine receptor-like isoform X4")</f>
        <v>ryanodine receptor-like isoform X4</v>
      </c>
      <c r="J1173">
        <v>2451.4</v>
      </c>
      <c r="K1173" t="s">
        <v>22</v>
      </c>
      <c r="L1173">
        <v>276</v>
      </c>
      <c r="M1173">
        <v>9.75</v>
      </c>
      <c r="N1173">
        <v>23.45</v>
      </c>
      <c r="O1173" t="s">
        <v>19</v>
      </c>
      <c r="P1173" t="s">
        <v>20</v>
      </c>
      <c r="Q1173" t="s">
        <v>19</v>
      </c>
      <c r="R1173" t="str">
        <f>HYPERLINK("https://cfpub.epa.gov/ecotox/explore.cfm?ncbi=7446","Explore in ECOTOX")</f>
        <v>Explore in ECOTOX</v>
      </c>
    </row>
    <row r="1174" spans="1:18" x14ac:dyDescent="0.45">
      <c r="A1174" t="s">
        <v>1264</v>
      </c>
      <c r="B1174">
        <v>8</v>
      </c>
      <c r="C1174" t="str">
        <f>HYPERLINK("http://www.ncbi.nlm.nih.gov/protein/XP_046751965.1","XP_046751965.1")</f>
        <v>XP_046751965.1</v>
      </c>
      <c r="D1174">
        <v>20474</v>
      </c>
      <c r="E1174" t="str">
        <f>HYPERLINK("http://www.ncbi.nlm.nih.gov/Taxonomy/Browser/wwwtax.cgi?mode=Info&amp;id=362088&amp;lvl=3&amp;lin=f&amp;keep=1&amp;srchmode=1&amp;unlock","362088")</f>
        <v>362088</v>
      </c>
      <c r="F1174" t="s">
        <v>760</v>
      </c>
      <c r="G1174" t="str">
        <f>HYPERLINK("http://www.ncbi.nlm.nih.gov/Taxonomy/Browser/wwwtax.cgi?mode=Info&amp;id=362088&amp;lvl=3&amp;lin=f&amp;keep=1&amp;srchmode=1&amp;unlock","Diprion similis")</f>
        <v>Diprion similis</v>
      </c>
      <c r="H1174" t="s">
        <v>1046</v>
      </c>
      <c r="I1174" t="str">
        <f>HYPERLINK("http://www.ncbi.nlm.nih.gov/protein/XP_046751965.1","ryanodine receptor isoform X8")</f>
        <v>ryanodine receptor isoform X8</v>
      </c>
      <c r="J1174">
        <v>2450.2399999999998</v>
      </c>
      <c r="K1174" t="s">
        <v>22</v>
      </c>
      <c r="L1174">
        <v>276</v>
      </c>
      <c r="M1174">
        <v>9.75</v>
      </c>
      <c r="N1174">
        <v>23.44</v>
      </c>
      <c r="O1174" t="s">
        <v>19</v>
      </c>
      <c r="P1174" t="s">
        <v>20</v>
      </c>
      <c r="Q1174" t="s">
        <v>19</v>
      </c>
      <c r="R1174" t="str">
        <f>HYPERLINK("https://cfpub.epa.gov/ecotox/explore.cfm?ncbi=362088","Explore in ECOTOX")</f>
        <v>Explore in ECOTOX</v>
      </c>
    </row>
    <row r="1175" spans="1:18" x14ac:dyDescent="0.45">
      <c r="A1175" t="s">
        <v>1264</v>
      </c>
      <c r="B1175">
        <v>8</v>
      </c>
      <c r="C1175" t="str">
        <f>HYPERLINK("http://www.ncbi.nlm.nih.gov/protein/XP_051156428.1","XP_051156428.1")</f>
        <v>XP_051156428.1</v>
      </c>
      <c r="D1175">
        <v>23915</v>
      </c>
      <c r="E1175" t="str">
        <f>HYPERLINK("http://www.ncbi.nlm.nih.gov/Taxonomy/Browser/wwwtax.cgi?mode=Info&amp;id=63433&amp;lvl=3&amp;lin=f&amp;keep=1&amp;srchmode=1&amp;unlock","63433")</f>
        <v>63433</v>
      </c>
      <c r="F1175" t="s">
        <v>760</v>
      </c>
      <c r="G1175" t="str">
        <f>HYPERLINK("http://www.ncbi.nlm.nih.gov/Taxonomy/Browser/wwwtax.cgi?mode=Info&amp;id=63433&amp;lvl=3&amp;lin=f&amp;keep=1&amp;srchmode=1&amp;unlock","Leptopilina boulardi")</f>
        <v>Leptopilina boulardi</v>
      </c>
      <c r="H1175" t="s">
        <v>769</v>
      </c>
      <c r="I1175" t="str">
        <f>HYPERLINK("http://www.ncbi.nlm.nih.gov/protein/XP_051156428.1","ryanodine receptor isoform X4")</f>
        <v>ryanodine receptor isoform X4</v>
      </c>
      <c r="J1175">
        <v>2449.4699999999998</v>
      </c>
      <c r="K1175" t="s">
        <v>22</v>
      </c>
      <c r="L1175">
        <v>276</v>
      </c>
      <c r="M1175">
        <v>9.75</v>
      </c>
      <c r="N1175">
        <v>23.43</v>
      </c>
      <c r="O1175" t="s">
        <v>19</v>
      </c>
      <c r="P1175" t="s">
        <v>20</v>
      </c>
      <c r="Q1175" t="s">
        <v>19</v>
      </c>
      <c r="R1175" t="str">
        <f>HYPERLINK("https://cfpub.epa.gov/ecotox/explore.cfm?ncbi=63433","Explore in ECOTOX")</f>
        <v>Explore in ECOTOX</v>
      </c>
    </row>
    <row r="1176" spans="1:18" x14ac:dyDescent="0.45">
      <c r="A1176" t="s">
        <v>1264</v>
      </c>
      <c r="B1176">
        <v>8</v>
      </c>
      <c r="C1176" t="str">
        <f>HYPERLINK("http://www.ncbi.nlm.nih.gov/protein/XP_048513527.1","XP_048513527.1")</f>
        <v>XP_048513527.1</v>
      </c>
      <c r="D1176">
        <v>26387</v>
      </c>
      <c r="E1176" t="str">
        <f>HYPERLINK("http://www.ncbi.nlm.nih.gov/Taxonomy/Browser/wwwtax.cgi?mode=Info&amp;id=37344&amp;lvl=3&amp;lin=f&amp;keep=1&amp;srchmode=1&amp;unlock","37344")</f>
        <v>37344</v>
      </c>
      <c r="F1176" t="s">
        <v>760</v>
      </c>
      <c r="G1176" t="str">
        <f>HYPERLINK("http://www.ncbi.nlm.nih.gov/Taxonomy/Browser/wwwtax.cgi?mode=Info&amp;id=37344&amp;lvl=3&amp;lin=f&amp;keep=1&amp;srchmode=1&amp;unlock","Athalia rosae")</f>
        <v>Athalia rosae</v>
      </c>
      <c r="H1176" t="s">
        <v>1053</v>
      </c>
      <c r="I1176" t="str">
        <f>HYPERLINK("http://www.ncbi.nlm.nih.gov/protein/XP_048513527.1","ryanodine receptor isoform X18")</f>
        <v>ryanodine receptor isoform X18</v>
      </c>
      <c r="J1176">
        <v>2448.6999999999998</v>
      </c>
      <c r="K1176" t="s">
        <v>22</v>
      </c>
      <c r="L1176">
        <v>276</v>
      </c>
      <c r="M1176">
        <v>9.75</v>
      </c>
      <c r="N1176">
        <v>23.42</v>
      </c>
      <c r="O1176" t="s">
        <v>19</v>
      </c>
      <c r="P1176" t="s">
        <v>20</v>
      </c>
      <c r="Q1176" t="s">
        <v>19</v>
      </c>
      <c r="R1176" t="str">
        <f>HYPERLINK("https://cfpub.epa.gov/ecotox/explore.cfm?ncbi=37344","Explore in ECOTOX")</f>
        <v>Explore in ECOTOX</v>
      </c>
    </row>
    <row r="1177" spans="1:18" x14ac:dyDescent="0.45">
      <c r="A1177" t="s">
        <v>1264</v>
      </c>
      <c r="B1177">
        <v>8</v>
      </c>
      <c r="C1177" t="str">
        <f>HYPERLINK("http://www.ncbi.nlm.nih.gov/protein/KAJ1521535.1","KAJ1521535.1")</f>
        <v>KAJ1521535.1</v>
      </c>
      <c r="D1177">
        <v>12925</v>
      </c>
      <c r="E1177" t="str">
        <f>HYPERLINK("http://www.ncbi.nlm.nih.gov/Taxonomy/Browser/wwwtax.cgi?mode=Info&amp;id=439358&amp;lvl=3&amp;lin=f&amp;keep=1&amp;srchmode=1&amp;unlock","439358")</f>
        <v>439358</v>
      </c>
      <c r="F1177" t="s">
        <v>760</v>
      </c>
      <c r="G1177" t="str">
        <f>HYPERLINK("http://www.ncbi.nlm.nih.gov/Taxonomy/Browser/wwwtax.cgi?mode=Info&amp;id=439358&amp;lvl=3&amp;lin=f&amp;keep=1&amp;srchmode=1&amp;unlock","Megalurothrips usitatus")</f>
        <v>Megalurothrips usitatus</v>
      </c>
      <c r="H1177" t="s">
        <v>1054</v>
      </c>
      <c r="I1177" t="str">
        <f>HYPERLINK("http://www.ncbi.nlm.nih.gov/protein/KAJ1521535.1","hypothetical protein ONE63_003195")</f>
        <v>hypothetical protein ONE63_003195</v>
      </c>
      <c r="J1177">
        <v>2447.54</v>
      </c>
      <c r="K1177" t="s">
        <v>22</v>
      </c>
      <c r="L1177">
        <v>276</v>
      </c>
      <c r="M1177">
        <v>9.75</v>
      </c>
      <c r="N1177">
        <v>23.41</v>
      </c>
      <c r="O1177" t="s">
        <v>19</v>
      </c>
      <c r="P1177" t="s">
        <v>20</v>
      </c>
      <c r="Q1177" t="s">
        <v>19</v>
      </c>
      <c r="R1177" t="str">
        <f>HYPERLINK("https://cfpub.epa.gov/ecotox/explore.cfm?ncbi=439358","Explore in ECOTOX")</f>
        <v>Explore in ECOTOX</v>
      </c>
    </row>
    <row r="1178" spans="1:18" x14ac:dyDescent="0.45">
      <c r="A1178" t="s">
        <v>1264</v>
      </c>
      <c r="B1178">
        <v>8</v>
      </c>
      <c r="C1178" t="str">
        <f>HYPERLINK("http://www.ncbi.nlm.nih.gov/protein/XP_052896076.1","XP_052896076.1")</f>
        <v>XP_052896076.1</v>
      </c>
      <c r="D1178">
        <v>15560</v>
      </c>
      <c r="E1178" t="str">
        <f>HYPERLINK("http://www.ncbi.nlm.nih.gov/Taxonomy/Browser/wwwtax.cgi?mode=Info&amp;id=186751&amp;lvl=3&amp;lin=f&amp;keep=1&amp;srchmode=1&amp;unlock","186751")</f>
        <v>186751</v>
      </c>
      <c r="F1178" t="s">
        <v>760</v>
      </c>
      <c r="G1178" t="str">
        <f>HYPERLINK("http://www.ncbi.nlm.nih.gov/Taxonomy/Browser/wwwtax.cgi?mode=Info&amp;id=186751&amp;lvl=3&amp;lin=f&amp;keep=1&amp;srchmode=1&amp;unlock","Anopheles moucheti")</f>
        <v>Anopheles moucheti</v>
      </c>
      <c r="H1178" t="s">
        <v>1055</v>
      </c>
      <c r="I1178" t="str">
        <f>HYPERLINK("http://www.ncbi.nlm.nih.gov/protein/XP_052896076.1","ryanodine receptor isoform X6")</f>
        <v>ryanodine receptor isoform X6</v>
      </c>
      <c r="J1178">
        <v>2447.54</v>
      </c>
      <c r="K1178" t="s">
        <v>22</v>
      </c>
      <c r="L1178">
        <v>276</v>
      </c>
      <c r="M1178">
        <v>9.75</v>
      </c>
      <c r="N1178">
        <v>23.41</v>
      </c>
      <c r="O1178" t="s">
        <v>19</v>
      </c>
      <c r="P1178" t="s">
        <v>20</v>
      </c>
      <c r="Q1178" t="s">
        <v>19</v>
      </c>
      <c r="R1178" t="str">
        <f>HYPERLINK("https://cfpub.epa.gov/ecotox/explore.cfm?ncbi=186751","Explore in ECOTOX")</f>
        <v>Explore in ECOTOX</v>
      </c>
    </row>
    <row r="1179" spans="1:18" x14ac:dyDescent="0.45">
      <c r="A1179" t="s">
        <v>1264</v>
      </c>
      <c r="B1179">
        <v>8</v>
      </c>
      <c r="C1179" t="str">
        <f>HYPERLINK("http://www.ncbi.nlm.nih.gov/protein/CAD7194666.1","CAD7194666.1")</f>
        <v>CAD7194666.1</v>
      </c>
      <c r="D1179">
        <v>14103</v>
      </c>
      <c r="E1179" t="str">
        <f>HYPERLINK("http://www.ncbi.nlm.nih.gov/Taxonomy/Browser/wwwtax.cgi?mode=Info&amp;id=61478&amp;lvl=3&amp;lin=f&amp;keep=1&amp;srchmode=1&amp;unlock","61478")</f>
        <v>61478</v>
      </c>
      <c r="F1179" t="s">
        <v>760</v>
      </c>
      <c r="G1179" t="str">
        <f>HYPERLINK("http://www.ncbi.nlm.nih.gov/Taxonomy/Browser/wwwtax.cgi?mode=Info&amp;id=61478&amp;lvl=3&amp;lin=f&amp;keep=1&amp;srchmode=1&amp;unlock","Timema douglasi")</f>
        <v>Timema douglasi</v>
      </c>
      <c r="H1179" t="s">
        <v>1039</v>
      </c>
      <c r="I1179" t="str">
        <f>HYPERLINK("http://www.ncbi.nlm.nih.gov/protein/CAD7194666.1","unnamed protein product")</f>
        <v>unnamed protein product</v>
      </c>
      <c r="J1179">
        <v>2446.77</v>
      </c>
      <c r="K1179" t="s">
        <v>22</v>
      </c>
      <c r="L1179">
        <v>276</v>
      </c>
      <c r="M1179">
        <v>9.75</v>
      </c>
      <c r="N1179">
        <v>23.41</v>
      </c>
      <c r="O1179" t="s">
        <v>19</v>
      </c>
      <c r="P1179" t="s">
        <v>20</v>
      </c>
      <c r="Q1179" t="s">
        <v>19</v>
      </c>
      <c r="R1179" t="str">
        <f>HYPERLINK("https://cfpub.epa.gov/ecotox/explore.cfm?ncbi=61478","Explore in ECOTOX")</f>
        <v>Explore in ECOTOX</v>
      </c>
    </row>
    <row r="1180" spans="1:18" x14ac:dyDescent="0.45">
      <c r="A1180" t="s">
        <v>1264</v>
      </c>
      <c r="B1180">
        <v>8</v>
      </c>
      <c r="C1180" t="str">
        <f>HYPERLINK("http://www.ncbi.nlm.nih.gov/protein/XP_041783473.1","XP_041783473.1")</f>
        <v>XP_041783473.1</v>
      </c>
      <c r="D1180">
        <v>29037</v>
      </c>
      <c r="E1180" t="str">
        <f>HYPERLINK("http://www.ncbi.nlm.nih.gov/Taxonomy/Browser/wwwtax.cgi?mode=Info&amp;id=30066&amp;lvl=3&amp;lin=f&amp;keep=1&amp;srchmode=1&amp;unlock","30066")</f>
        <v>30066</v>
      </c>
      <c r="F1180" t="s">
        <v>760</v>
      </c>
      <c r="G1180" t="str">
        <f>HYPERLINK("http://www.ncbi.nlm.nih.gov/Taxonomy/Browser/wwwtax.cgi?mode=Info&amp;id=30066&amp;lvl=3&amp;lin=f&amp;keep=1&amp;srchmode=1&amp;unlock","Anopheles merus")</f>
        <v>Anopheles merus</v>
      </c>
      <c r="H1180" t="s">
        <v>917</v>
      </c>
      <c r="I1180" t="str">
        <f>HYPERLINK("http://www.ncbi.nlm.nih.gov/protein/XP_041783473.1","ryanodine receptor isoform X5")</f>
        <v>ryanodine receptor isoform X5</v>
      </c>
      <c r="J1180">
        <v>2446.39</v>
      </c>
      <c r="K1180" t="s">
        <v>22</v>
      </c>
      <c r="L1180">
        <v>276</v>
      </c>
      <c r="M1180">
        <v>9.75</v>
      </c>
      <c r="N1180">
        <v>23.4</v>
      </c>
      <c r="O1180" t="s">
        <v>19</v>
      </c>
      <c r="P1180" t="s">
        <v>20</v>
      </c>
      <c r="Q1180" t="s">
        <v>19</v>
      </c>
      <c r="R1180" t="str">
        <f>HYPERLINK("https://cfpub.epa.gov/ecotox/explore.cfm?ncbi=30066","Explore in ECOTOX")</f>
        <v>Explore in ECOTOX</v>
      </c>
    </row>
    <row r="1181" spans="1:18" x14ac:dyDescent="0.45">
      <c r="A1181" t="s">
        <v>1264</v>
      </c>
      <c r="B1181">
        <v>8</v>
      </c>
      <c r="C1181" t="str">
        <f>HYPERLINK("http://www.ncbi.nlm.nih.gov/protein/XP_040168204.1","XP_040168204.1")</f>
        <v>XP_040168204.1</v>
      </c>
      <c r="D1181">
        <v>27762</v>
      </c>
      <c r="E1181" t="str">
        <f>HYPERLINK("http://www.ncbi.nlm.nih.gov/Taxonomy/Browser/wwwtax.cgi?mode=Info&amp;id=7173&amp;lvl=3&amp;lin=f&amp;keep=1&amp;srchmode=1&amp;unlock","7173")</f>
        <v>7173</v>
      </c>
      <c r="F1181" t="s">
        <v>760</v>
      </c>
      <c r="G1181" t="str">
        <f>HYPERLINK("http://www.ncbi.nlm.nih.gov/Taxonomy/Browser/wwwtax.cgi?mode=Info&amp;id=7173&amp;lvl=3&amp;lin=f&amp;keep=1&amp;srchmode=1&amp;unlock","Anopheles arabiensis")</f>
        <v>Anopheles arabiensis</v>
      </c>
      <c r="H1181" t="s">
        <v>917</v>
      </c>
      <c r="I1181" t="str">
        <f>HYPERLINK("http://www.ncbi.nlm.nih.gov/protein/XP_040168204.1","ryanodine receptor isoform X12")</f>
        <v>ryanodine receptor isoform X12</v>
      </c>
      <c r="J1181">
        <v>2446.39</v>
      </c>
      <c r="K1181" t="s">
        <v>22</v>
      </c>
      <c r="L1181">
        <v>276</v>
      </c>
      <c r="M1181">
        <v>9.75</v>
      </c>
      <c r="N1181">
        <v>23.4</v>
      </c>
      <c r="O1181" t="s">
        <v>19</v>
      </c>
      <c r="P1181" t="s">
        <v>20</v>
      </c>
      <c r="Q1181" t="s">
        <v>19</v>
      </c>
      <c r="R1181" t="str">
        <f>HYPERLINK("https://cfpub.epa.gov/ecotox/explore.cfm?ncbi=7173","Explore in ECOTOX")</f>
        <v>Explore in ECOTOX</v>
      </c>
    </row>
    <row r="1182" spans="1:18" x14ac:dyDescent="0.45">
      <c r="A1182" t="s">
        <v>1264</v>
      </c>
      <c r="B1182">
        <v>8</v>
      </c>
      <c r="C1182" t="str">
        <f>HYPERLINK("http://www.ncbi.nlm.nih.gov/protein/KAG7198524.1","KAG7198524.1")</f>
        <v>KAG7198524.1</v>
      </c>
      <c r="D1182">
        <v>21928</v>
      </c>
      <c r="E1182" t="str">
        <f>HYPERLINK("http://www.ncbi.nlm.nih.gov/Taxonomy/Browser/wwwtax.cgi?mode=Info&amp;id=860918&amp;lvl=3&amp;lin=f&amp;keep=1&amp;srchmode=1&amp;unlock","860918")</f>
        <v>860918</v>
      </c>
      <c r="F1182" t="s">
        <v>760</v>
      </c>
      <c r="G1182" t="str">
        <f>HYPERLINK("http://www.ncbi.nlm.nih.gov/Taxonomy/Browser/wwwtax.cgi?mode=Info&amp;id=860918&amp;lvl=3&amp;lin=f&amp;keep=1&amp;srchmode=1&amp;unlock","Ampulex compressa")</f>
        <v>Ampulex compressa</v>
      </c>
      <c r="H1182" t="s">
        <v>1050</v>
      </c>
      <c r="I1182" t="str">
        <f>HYPERLINK("http://www.ncbi.nlm.nih.gov/protein/KAG7198524.1","hypothetical protein KM043_005897")</f>
        <v>hypothetical protein KM043_005897</v>
      </c>
      <c r="J1182">
        <v>2446.39</v>
      </c>
      <c r="K1182" t="s">
        <v>22</v>
      </c>
      <c r="L1182">
        <v>276</v>
      </c>
      <c r="M1182">
        <v>9.75</v>
      </c>
      <c r="N1182">
        <v>23.4</v>
      </c>
      <c r="O1182" t="s">
        <v>19</v>
      </c>
      <c r="P1182" t="s">
        <v>20</v>
      </c>
      <c r="Q1182" t="s">
        <v>19</v>
      </c>
      <c r="R1182" t="str">
        <f>HYPERLINK("https://cfpub.epa.gov/ecotox/explore.cfm?ncbi=860918","Explore in ECOTOX")</f>
        <v>Explore in ECOTOX</v>
      </c>
    </row>
    <row r="1183" spans="1:18" x14ac:dyDescent="0.45">
      <c r="A1183" t="s">
        <v>1264</v>
      </c>
      <c r="B1183">
        <v>8</v>
      </c>
      <c r="C1183" t="str">
        <f>HYPERLINK("http://www.ncbi.nlm.nih.gov/protein/AGW82429.1","AGW82429.1")</f>
        <v>AGW82429.1</v>
      </c>
      <c r="D1183">
        <v>35043</v>
      </c>
      <c r="E1183" t="str">
        <f>HYPERLINK("http://www.ncbi.nlm.nih.gov/Taxonomy/Browser/wwwtax.cgi?mode=Info&amp;id=108931&amp;lvl=3&amp;lin=f&amp;keep=1&amp;srchmode=1&amp;unlock","108931")</f>
        <v>108931</v>
      </c>
      <c r="F1183" t="s">
        <v>760</v>
      </c>
      <c r="G1183" t="str">
        <f>HYPERLINK("http://www.ncbi.nlm.nih.gov/Taxonomy/Browser/wwwtax.cgi?mode=Info&amp;id=108931&amp;lvl=3&amp;lin=f&amp;keep=1&amp;srchmode=1&amp;unlock","Nilaparvata lugens")</f>
        <v>Nilaparvata lugens</v>
      </c>
      <c r="H1183" t="s">
        <v>1056</v>
      </c>
      <c r="I1183" t="str">
        <f>HYPERLINK("http://www.ncbi.nlm.nih.gov/protein/AGW82429.1","ryanodine receptor")</f>
        <v>ryanodine receptor</v>
      </c>
      <c r="J1183">
        <v>2446.39</v>
      </c>
      <c r="K1183" t="s">
        <v>22</v>
      </c>
      <c r="L1183">
        <v>276</v>
      </c>
      <c r="M1183">
        <v>9.75</v>
      </c>
      <c r="N1183">
        <v>23.4</v>
      </c>
      <c r="O1183" t="s">
        <v>19</v>
      </c>
      <c r="P1183" t="s">
        <v>20</v>
      </c>
      <c r="Q1183" t="s">
        <v>19</v>
      </c>
      <c r="R1183" t="str">
        <f>HYPERLINK("https://cfpub.epa.gov/ecotox/explore.cfm?ncbi=108931","Explore in ECOTOX")</f>
        <v>Explore in ECOTOX</v>
      </c>
    </row>
    <row r="1184" spans="1:18" x14ac:dyDescent="0.45">
      <c r="A1184" t="s">
        <v>1264</v>
      </c>
      <c r="B1184">
        <v>8</v>
      </c>
      <c r="C1184" t="str">
        <f>HYPERLINK("http://www.ncbi.nlm.nih.gov/protein/GFR18429.1","GFR18429.1")</f>
        <v>GFR18429.1</v>
      </c>
      <c r="D1184">
        <v>69136</v>
      </c>
      <c r="E1184" t="str">
        <f>HYPERLINK("http://www.ncbi.nlm.nih.gov/Taxonomy/Browser/wwwtax.cgi?mode=Info&amp;id=2740835&amp;lvl=3&amp;lin=f&amp;keep=1&amp;srchmode=1&amp;unlock","2740835")</f>
        <v>2740835</v>
      </c>
      <c r="F1184" t="s">
        <v>904</v>
      </c>
      <c r="G1184" t="str">
        <f>HYPERLINK("http://www.ncbi.nlm.nih.gov/Taxonomy/Browser/wwwtax.cgi?mode=Info&amp;id=2740835&amp;lvl=3&amp;lin=f&amp;keep=1&amp;srchmode=1&amp;unlock","Trichonephila clavata")</f>
        <v>Trichonephila clavata</v>
      </c>
      <c r="H1184" t="s">
        <v>1057</v>
      </c>
      <c r="I1184" t="str">
        <f>HYPERLINK("http://www.ncbi.nlm.nih.gov/protein/GFR18429.1","ryanodine receptor")</f>
        <v>ryanodine receptor</v>
      </c>
      <c r="J1184">
        <v>2445.23</v>
      </c>
      <c r="K1184" t="s">
        <v>22</v>
      </c>
      <c r="L1184">
        <v>276</v>
      </c>
      <c r="M1184">
        <v>9.75</v>
      </c>
      <c r="N1184">
        <v>23.39</v>
      </c>
      <c r="O1184" t="s">
        <v>19</v>
      </c>
      <c r="P1184" t="s">
        <v>20</v>
      </c>
      <c r="Q1184" t="s">
        <v>19</v>
      </c>
      <c r="R1184" t="str">
        <f>HYPERLINK("https://cfpub.epa.gov/ecotox/explore.cfm?ncbi=2740835","Explore in ECOTOX")</f>
        <v>Explore in ECOTOX</v>
      </c>
    </row>
    <row r="1185" spans="1:18" x14ac:dyDescent="0.45">
      <c r="A1185" t="s">
        <v>1264</v>
      </c>
      <c r="B1185">
        <v>8</v>
      </c>
      <c r="C1185" t="str">
        <f>HYPERLINK("http://www.ncbi.nlm.nih.gov/protein/XP_046492257.1","XP_046492257.1")</f>
        <v>XP_046492257.1</v>
      </c>
      <c r="D1185">
        <v>28716</v>
      </c>
      <c r="E1185" t="str">
        <f>HYPERLINK("http://www.ncbi.nlm.nih.gov/Taxonomy/Browser/wwwtax.cgi?mode=Info&amp;id=441929&amp;lvl=3&amp;lin=f&amp;keep=1&amp;srchmode=1&amp;unlock","441929")</f>
        <v>441929</v>
      </c>
      <c r="F1185" t="s">
        <v>760</v>
      </c>
      <c r="G1185" t="str">
        <f>HYPERLINK("http://www.ncbi.nlm.nih.gov/Taxonomy/Browser/wwwtax.cgi?mode=Info&amp;id=441929&amp;lvl=3&amp;lin=f&amp;keep=1&amp;srchmode=1&amp;unlock","Neodiprion pinetum")</f>
        <v>Neodiprion pinetum</v>
      </c>
      <c r="H1185" t="s">
        <v>1058</v>
      </c>
      <c r="I1185" t="str">
        <f>HYPERLINK("http://www.ncbi.nlm.nih.gov/protein/XP_046492257.1","ryanodine receptor")</f>
        <v>ryanodine receptor</v>
      </c>
      <c r="J1185">
        <v>2445.23</v>
      </c>
      <c r="K1185" t="s">
        <v>22</v>
      </c>
      <c r="L1185">
        <v>276</v>
      </c>
      <c r="M1185">
        <v>9.75</v>
      </c>
      <c r="N1185">
        <v>23.39</v>
      </c>
      <c r="O1185" t="s">
        <v>19</v>
      </c>
      <c r="P1185" t="s">
        <v>20</v>
      </c>
      <c r="Q1185" t="s">
        <v>19</v>
      </c>
      <c r="R1185" t="str">
        <f>HYPERLINK("https://cfpub.epa.gov/ecotox/explore.cfm?ncbi=441929","Explore in ECOTOX")</f>
        <v>Explore in ECOTOX</v>
      </c>
    </row>
    <row r="1186" spans="1:18" x14ac:dyDescent="0.45">
      <c r="A1186" t="s">
        <v>1264</v>
      </c>
      <c r="B1186">
        <v>8</v>
      </c>
      <c r="C1186" t="str">
        <f>HYPERLINK("http://www.ncbi.nlm.nih.gov/protein/XP_046602030.1","XP_046602030.1")</f>
        <v>XP_046602030.1</v>
      </c>
      <c r="D1186">
        <v>28663</v>
      </c>
      <c r="E1186" t="str">
        <f>HYPERLINK("http://www.ncbi.nlm.nih.gov/Taxonomy/Browser/wwwtax.cgi?mode=Info&amp;id=441921&amp;lvl=3&amp;lin=f&amp;keep=1&amp;srchmode=1&amp;unlock","441921")</f>
        <v>441921</v>
      </c>
      <c r="F1186" t="s">
        <v>760</v>
      </c>
      <c r="G1186" t="str">
        <f>HYPERLINK("http://www.ncbi.nlm.nih.gov/Taxonomy/Browser/wwwtax.cgi?mode=Info&amp;id=441921&amp;lvl=3&amp;lin=f&amp;keep=1&amp;srchmode=1&amp;unlock","Neodiprion lecontei")</f>
        <v>Neodiprion lecontei</v>
      </c>
      <c r="H1186" t="s">
        <v>1059</v>
      </c>
      <c r="I1186" t="str">
        <f>HYPERLINK("http://www.ncbi.nlm.nih.gov/protein/XP_046602030.1","ryanodine receptor")</f>
        <v>ryanodine receptor</v>
      </c>
      <c r="J1186">
        <v>2444.46</v>
      </c>
      <c r="K1186" t="s">
        <v>22</v>
      </c>
      <c r="L1186">
        <v>276</v>
      </c>
      <c r="M1186">
        <v>9.75</v>
      </c>
      <c r="N1186">
        <v>23.38</v>
      </c>
      <c r="O1186" t="s">
        <v>19</v>
      </c>
      <c r="P1186" t="s">
        <v>20</v>
      </c>
      <c r="Q1186" t="s">
        <v>19</v>
      </c>
      <c r="R1186" t="str">
        <f>HYPERLINK("https://cfpub.epa.gov/ecotox/explore.cfm?ncbi=441921","Explore in ECOTOX")</f>
        <v>Explore in ECOTOX</v>
      </c>
    </row>
    <row r="1187" spans="1:18" x14ac:dyDescent="0.45">
      <c r="A1187" t="s">
        <v>1264</v>
      </c>
      <c r="B1187">
        <v>8</v>
      </c>
      <c r="C1187" t="str">
        <f>HYPERLINK("http://www.ncbi.nlm.nih.gov/protein/KRZ14375.1","KRZ14375.1")</f>
        <v>KRZ14375.1</v>
      </c>
      <c r="D1187">
        <v>19285</v>
      </c>
      <c r="E1187" t="str">
        <f>HYPERLINK("http://www.ncbi.nlm.nih.gov/Taxonomy/Browser/wwwtax.cgi?mode=Info&amp;id=268475&amp;lvl=3&amp;lin=f&amp;keep=1&amp;srchmode=1&amp;unlock","268475")</f>
        <v>268475</v>
      </c>
      <c r="F1187" t="s">
        <v>1060</v>
      </c>
      <c r="G1187" t="str">
        <f>HYPERLINK("http://www.ncbi.nlm.nih.gov/Taxonomy/Browser/wwwtax.cgi?mode=Info&amp;id=268475&amp;lvl=3&amp;lin=f&amp;keep=1&amp;srchmode=1&amp;unlock","Trichinella zimbabwensis")</f>
        <v>Trichinella zimbabwensis</v>
      </c>
      <c r="H1187" t="s">
        <v>1027</v>
      </c>
      <c r="I1187" t="str">
        <f>HYPERLINK("http://www.ncbi.nlm.nih.gov/protein/KRZ14375.1","Ryanodine receptor 44F")</f>
        <v>Ryanodine receptor 44F</v>
      </c>
      <c r="J1187">
        <v>2442.92</v>
      </c>
      <c r="K1187" t="s">
        <v>22</v>
      </c>
      <c r="L1187">
        <v>276</v>
      </c>
      <c r="M1187">
        <v>9.75</v>
      </c>
      <c r="N1187">
        <v>23.37</v>
      </c>
      <c r="O1187" t="s">
        <v>19</v>
      </c>
      <c r="P1187" t="s">
        <v>20</v>
      </c>
      <c r="Q1187" t="s">
        <v>19</v>
      </c>
      <c r="R1187" t="str">
        <f>HYPERLINK("https://cfpub.epa.gov/ecotox/explore.cfm?ncbi=268475","Explore in ECOTOX")</f>
        <v>Explore in ECOTOX</v>
      </c>
    </row>
    <row r="1188" spans="1:18" x14ac:dyDescent="0.45">
      <c r="A1188" t="s">
        <v>1264</v>
      </c>
      <c r="B1188">
        <v>8</v>
      </c>
      <c r="C1188" t="str">
        <f>HYPERLINK("http://www.ncbi.nlm.nih.gov/protein/XP_052862915.1","XP_052862915.1")</f>
        <v>XP_052862915.1</v>
      </c>
      <c r="D1188">
        <v>14508</v>
      </c>
      <c r="E1188" t="str">
        <f>HYPERLINK("http://www.ncbi.nlm.nih.gov/Taxonomy/Browser/wwwtax.cgi?mode=Info&amp;id=68878&amp;lvl=3&amp;lin=f&amp;keep=1&amp;srchmode=1&amp;unlock","68878")</f>
        <v>68878</v>
      </c>
      <c r="F1188" t="s">
        <v>760</v>
      </c>
      <c r="G1188" t="str">
        <f>HYPERLINK("http://www.ncbi.nlm.nih.gov/Taxonomy/Browser/wwwtax.cgi?mode=Info&amp;id=68878&amp;lvl=3&amp;lin=f&amp;keep=1&amp;srchmode=1&amp;unlock","Anopheles cruzii")</f>
        <v>Anopheles cruzii</v>
      </c>
      <c r="H1188" t="s">
        <v>1055</v>
      </c>
      <c r="I1188" t="str">
        <f>HYPERLINK("http://www.ncbi.nlm.nih.gov/protein/XP_052862915.1","ryanodine receptor isoform X6")</f>
        <v>ryanodine receptor isoform X6</v>
      </c>
      <c r="J1188">
        <v>2442.54</v>
      </c>
      <c r="K1188" t="s">
        <v>22</v>
      </c>
      <c r="L1188">
        <v>276</v>
      </c>
      <c r="M1188">
        <v>9.75</v>
      </c>
      <c r="N1188">
        <v>23.36</v>
      </c>
      <c r="O1188" t="s">
        <v>19</v>
      </c>
      <c r="P1188" t="s">
        <v>20</v>
      </c>
      <c r="Q1188" t="s">
        <v>19</v>
      </c>
      <c r="R1188" t="str">
        <f>HYPERLINK("https://cfpub.epa.gov/ecotox/explore.cfm?ncbi=68878","Explore in ECOTOX")</f>
        <v>Explore in ECOTOX</v>
      </c>
    </row>
    <row r="1189" spans="1:18" x14ac:dyDescent="0.45">
      <c r="A1189" t="s">
        <v>1264</v>
      </c>
      <c r="B1189">
        <v>8</v>
      </c>
      <c r="C1189" t="str">
        <f>HYPERLINK("http://www.ncbi.nlm.nih.gov/protein/XP_043526032.1","XP_043526032.1")</f>
        <v>XP_043526032.1</v>
      </c>
      <c r="D1189">
        <v>34731</v>
      </c>
      <c r="E1189" t="str">
        <f>HYPERLINK("http://www.ncbi.nlm.nih.gov/Taxonomy/Browser/wwwtax.cgi?mode=Info&amp;id=561572&amp;lvl=3&amp;lin=f&amp;keep=1&amp;srchmode=1&amp;unlock","561572")</f>
        <v>561572</v>
      </c>
      <c r="F1189" t="s">
        <v>760</v>
      </c>
      <c r="G1189" t="str">
        <f>HYPERLINK("http://www.ncbi.nlm.nih.gov/Taxonomy/Browser/wwwtax.cgi?mode=Info&amp;id=561572&amp;lvl=3&amp;lin=f&amp;keep=1&amp;srchmode=1&amp;unlock","Frieseomelitta varia")</f>
        <v>Frieseomelitta varia</v>
      </c>
      <c r="H1189" t="s">
        <v>817</v>
      </c>
      <c r="I1189" t="str">
        <f>HYPERLINK("http://www.ncbi.nlm.nih.gov/protein/XP_043526032.1","ryanodine receptor isoform X8")</f>
        <v>ryanodine receptor isoform X8</v>
      </c>
      <c r="J1189">
        <v>2442.15</v>
      </c>
      <c r="K1189" t="s">
        <v>22</v>
      </c>
      <c r="L1189">
        <v>276</v>
      </c>
      <c r="M1189">
        <v>9.75</v>
      </c>
      <c r="N1189">
        <v>23.36</v>
      </c>
      <c r="O1189" t="s">
        <v>19</v>
      </c>
      <c r="P1189" t="s">
        <v>20</v>
      </c>
      <c r="Q1189" t="s">
        <v>19</v>
      </c>
      <c r="R1189" t="str">
        <f>HYPERLINK("https://cfpub.epa.gov/ecotox/explore.cfm?ncbi=561572","Explore in ECOTOX")</f>
        <v>Explore in ECOTOX</v>
      </c>
    </row>
    <row r="1190" spans="1:18" x14ac:dyDescent="0.45">
      <c r="A1190" t="s">
        <v>1264</v>
      </c>
      <c r="B1190">
        <v>8</v>
      </c>
      <c r="C1190" t="str">
        <f>HYPERLINK("http://www.ncbi.nlm.nih.gov/protein/XP_028982483.1","XP_028982483.1")</f>
        <v>XP_028982483.1</v>
      </c>
      <c r="D1190">
        <v>19520</v>
      </c>
      <c r="E1190" t="str">
        <f>HYPERLINK("http://www.ncbi.nlm.nih.gov/Taxonomy/Browser/wwwtax.cgi?mode=Info&amp;id=454923&amp;lvl=3&amp;lin=f&amp;keep=1&amp;srchmode=1&amp;unlock","454923")</f>
        <v>454923</v>
      </c>
      <c r="F1190" t="s">
        <v>760</v>
      </c>
      <c r="G1190" t="str">
        <f>HYPERLINK("http://www.ncbi.nlm.nih.gov/Taxonomy/Browser/wwwtax.cgi?mode=Info&amp;id=454923&amp;lvl=3&amp;lin=f&amp;keep=1&amp;srchmode=1&amp;unlock","Diachasma alloeum")</f>
        <v>Diachasma alloeum</v>
      </c>
      <c r="H1190" t="s">
        <v>769</v>
      </c>
      <c r="I1190" t="str">
        <f>HYPERLINK("http://www.ncbi.nlm.nih.gov/protein/XP_028982483.1","LOW QUALITY PROTEIN: ryanodine receptor")</f>
        <v>LOW QUALITY PROTEIN: ryanodine receptor</v>
      </c>
      <c r="J1190">
        <v>2441.38</v>
      </c>
      <c r="K1190" t="s">
        <v>22</v>
      </c>
      <c r="L1190">
        <v>276</v>
      </c>
      <c r="M1190">
        <v>9.75</v>
      </c>
      <c r="N1190">
        <v>23.35</v>
      </c>
      <c r="O1190" t="s">
        <v>19</v>
      </c>
      <c r="P1190" t="s">
        <v>20</v>
      </c>
      <c r="Q1190" t="s">
        <v>19</v>
      </c>
      <c r="R1190" t="str">
        <f>HYPERLINK("https://cfpub.epa.gov/ecotox/explore.cfm?ncbi=454923","Explore in ECOTOX")</f>
        <v>Explore in ECOTOX</v>
      </c>
    </row>
    <row r="1191" spans="1:18" x14ac:dyDescent="0.45">
      <c r="A1191" t="s">
        <v>1264</v>
      </c>
      <c r="B1191">
        <v>8</v>
      </c>
      <c r="C1191" t="str">
        <f>HYPERLINK("http://www.ncbi.nlm.nih.gov/protein/XP_049289009.1","XP_049289009.1")</f>
        <v>XP_049289009.1</v>
      </c>
      <c r="D1191">
        <v>26504</v>
      </c>
      <c r="E1191" t="str">
        <f>HYPERLINK("http://www.ncbi.nlm.nih.gov/Taxonomy/Browser/wwwtax.cgi?mode=Info&amp;id=62324&amp;lvl=3&amp;lin=f&amp;keep=1&amp;srchmode=1&amp;unlock","62324")</f>
        <v>62324</v>
      </c>
      <c r="F1191" t="s">
        <v>760</v>
      </c>
      <c r="G1191" t="str">
        <f>HYPERLINK("http://www.ncbi.nlm.nih.gov/Taxonomy/Browser/wwwtax.cgi?mode=Info&amp;id=62324&amp;lvl=3&amp;lin=f&amp;keep=1&amp;srchmode=1&amp;unlock","Anopheles funestus")</f>
        <v>Anopheles funestus</v>
      </c>
      <c r="H1191" t="s">
        <v>940</v>
      </c>
      <c r="I1191" t="str">
        <f>HYPERLINK("http://www.ncbi.nlm.nih.gov/protein/XP_049289009.1","ryanodine receptor isoform X11")</f>
        <v>ryanodine receptor isoform X11</v>
      </c>
      <c r="J1191">
        <v>2440.61</v>
      </c>
      <c r="K1191" t="s">
        <v>22</v>
      </c>
      <c r="L1191">
        <v>276</v>
      </c>
      <c r="M1191">
        <v>9.75</v>
      </c>
      <c r="N1191">
        <v>23.35</v>
      </c>
      <c r="O1191" t="s">
        <v>19</v>
      </c>
      <c r="P1191" t="s">
        <v>20</v>
      </c>
      <c r="Q1191" t="s">
        <v>19</v>
      </c>
      <c r="R1191" t="str">
        <f>HYPERLINK("https://cfpub.epa.gov/ecotox/explore.cfm?ncbi=62324","Explore in ECOTOX")</f>
        <v>Explore in ECOTOX</v>
      </c>
    </row>
    <row r="1192" spans="1:18" x14ac:dyDescent="0.45">
      <c r="A1192" t="s">
        <v>1264</v>
      </c>
      <c r="B1192">
        <v>8</v>
      </c>
      <c r="C1192" t="str">
        <f>HYPERLINK("http://www.ncbi.nlm.nih.gov/protein/XP_050481042.1","XP_050481042.1")</f>
        <v>XP_050481042.1</v>
      </c>
      <c r="D1192">
        <v>27820</v>
      </c>
      <c r="E1192" t="str">
        <f>HYPERLINK("http://www.ncbi.nlm.nih.gov/Taxonomy/Browser/wwwtax.cgi?mode=Info&amp;id=85661&amp;lvl=3&amp;lin=f&amp;keep=1&amp;srchmode=1&amp;unlock","85661")</f>
        <v>85661</v>
      </c>
      <c r="F1192" t="s">
        <v>760</v>
      </c>
      <c r="G1192" t="str">
        <f>HYPERLINK("http://www.ncbi.nlm.nih.gov/Taxonomy/Browser/wwwtax.cgi?mode=Info&amp;id=85661&amp;lvl=3&amp;lin=f&amp;keep=1&amp;srchmode=1&amp;unlock","Bombus huntii")</f>
        <v>Bombus huntii</v>
      </c>
      <c r="H1192" t="s">
        <v>928</v>
      </c>
      <c r="I1192" t="str">
        <f>HYPERLINK("http://www.ncbi.nlm.nih.gov/protein/XP_050481042.1","ryanodine receptor isoform X6")</f>
        <v>ryanodine receptor isoform X6</v>
      </c>
      <c r="J1192">
        <v>2439.4499999999998</v>
      </c>
      <c r="K1192" t="s">
        <v>22</v>
      </c>
      <c r="L1192">
        <v>276</v>
      </c>
      <c r="M1192">
        <v>9.75</v>
      </c>
      <c r="N1192">
        <v>23.34</v>
      </c>
      <c r="O1192" t="s">
        <v>19</v>
      </c>
      <c r="P1192" t="s">
        <v>20</v>
      </c>
      <c r="Q1192" t="s">
        <v>19</v>
      </c>
      <c r="R1192" t="str">
        <f>HYPERLINK("https://cfpub.epa.gov/ecotox/explore.cfm?ncbi=85661","Explore in ECOTOX")</f>
        <v>Explore in ECOTOX</v>
      </c>
    </row>
    <row r="1193" spans="1:18" x14ac:dyDescent="0.45">
      <c r="A1193" t="s">
        <v>1264</v>
      </c>
      <c r="B1193">
        <v>8</v>
      </c>
      <c r="C1193" t="str">
        <f>HYPERLINK("http://www.ncbi.nlm.nih.gov/protein/XP_033191848.1","XP_033191848.1")</f>
        <v>XP_033191848.1</v>
      </c>
      <c r="D1193">
        <v>24339</v>
      </c>
      <c r="E1193" t="str">
        <f>HYPERLINK("http://www.ncbi.nlm.nih.gov/Taxonomy/Browser/wwwtax.cgi?mode=Info&amp;id=2705178&amp;lvl=3&amp;lin=f&amp;keep=1&amp;srchmode=1&amp;unlock","2705178")</f>
        <v>2705178</v>
      </c>
      <c r="F1193" t="s">
        <v>760</v>
      </c>
      <c r="G1193" t="str">
        <f>HYPERLINK("http://www.ncbi.nlm.nih.gov/Taxonomy/Browser/wwwtax.cgi?mode=Info&amp;id=2705178&amp;lvl=3&amp;lin=f&amp;keep=1&amp;srchmode=1&amp;unlock","Bombus vancouverensis nearcticus")</f>
        <v>Bombus vancouverensis nearcticus</v>
      </c>
      <c r="H1193" t="s">
        <v>928</v>
      </c>
      <c r="I1193" t="str">
        <f>HYPERLINK("http://www.ncbi.nlm.nih.gov/protein/XP_033191848.1","ryanodine receptor isoform X8")</f>
        <v>ryanodine receptor isoform X8</v>
      </c>
      <c r="J1193">
        <v>2439.4499999999998</v>
      </c>
      <c r="K1193" t="s">
        <v>22</v>
      </c>
      <c r="L1193">
        <v>276</v>
      </c>
      <c r="M1193">
        <v>9.75</v>
      </c>
      <c r="N1193">
        <v>23.34</v>
      </c>
      <c r="O1193" t="s">
        <v>19</v>
      </c>
      <c r="P1193" t="s">
        <v>20</v>
      </c>
      <c r="Q1193" t="s">
        <v>19</v>
      </c>
      <c r="R1193" t="str">
        <f>HYPERLINK("https://cfpub.epa.gov/ecotox/explore.cfm?ncbi=2705178","Explore in ECOTOX")</f>
        <v>Explore in ECOTOX</v>
      </c>
    </row>
    <row r="1194" spans="1:18" x14ac:dyDescent="0.45">
      <c r="A1194" t="s">
        <v>1264</v>
      </c>
      <c r="B1194">
        <v>8</v>
      </c>
      <c r="C1194" t="str">
        <f>HYPERLINK("http://www.ncbi.nlm.nih.gov/protein/XP_033302144.1","XP_033302144.1")</f>
        <v>XP_033302144.1</v>
      </c>
      <c r="D1194">
        <v>24041</v>
      </c>
      <c r="E1194" t="str">
        <f>HYPERLINK("http://www.ncbi.nlm.nih.gov/Taxonomy/Browser/wwwtax.cgi?mode=Info&amp;id=103933&amp;lvl=3&amp;lin=f&amp;keep=1&amp;srchmode=1&amp;unlock","103933")</f>
        <v>103933</v>
      </c>
      <c r="F1194" t="s">
        <v>760</v>
      </c>
      <c r="G1194" t="str">
        <f>HYPERLINK("http://www.ncbi.nlm.nih.gov/Taxonomy/Browser/wwwtax.cgi?mode=Info&amp;id=103933&amp;lvl=3&amp;lin=f&amp;keep=1&amp;srchmode=1&amp;unlock","Bombus bifarius")</f>
        <v>Bombus bifarius</v>
      </c>
      <c r="H1194" t="s">
        <v>928</v>
      </c>
      <c r="I1194" t="str">
        <f>HYPERLINK("http://www.ncbi.nlm.nih.gov/protein/XP_033302144.1","ryanodine receptor isoform X9")</f>
        <v>ryanodine receptor isoform X9</v>
      </c>
      <c r="J1194">
        <v>2439.0700000000002</v>
      </c>
      <c r="K1194" t="s">
        <v>22</v>
      </c>
      <c r="L1194">
        <v>276</v>
      </c>
      <c r="M1194">
        <v>9.75</v>
      </c>
      <c r="N1194">
        <v>23.33</v>
      </c>
      <c r="O1194" t="s">
        <v>19</v>
      </c>
      <c r="P1194" t="s">
        <v>20</v>
      </c>
      <c r="Q1194" t="s">
        <v>19</v>
      </c>
      <c r="R1194" t="str">
        <f>HYPERLINK("https://cfpub.epa.gov/ecotox/explore.cfm?ncbi=103933","Explore in ECOTOX")</f>
        <v>Explore in ECOTOX</v>
      </c>
    </row>
    <row r="1195" spans="1:18" x14ac:dyDescent="0.45">
      <c r="A1195" t="s">
        <v>1264</v>
      </c>
      <c r="B1195">
        <v>8</v>
      </c>
      <c r="C1195" t="str">
        <f>HYPERLINK("http://www.ncbi.nlm.nih.gov/protein/XP_058055053.1","XP_058055053.1")</f>
        <v>XP_058055053.1</v>
      </c>
      <c r="D1195">
        <v>14272</v>
      </c>
      <c r="E1195" t="str">
        <f>HYPERLINK("http://www.ncbi.nlm.nih.gov/Taxonomy/Browser/wwwtax.cgi?mode=Info&amp;id=139047&amp;lvl=3&amp;lin=f&amp;keep=1&amp;srchmode=1&amp;unlock","139047")</f>
        <v>139047</v>
      </c>
      <c r="F1195" t="s">
        <v>760</v>
      </c>
      <c r="G1195" t="str">
        <f>HYPERLINK("http://www.ncbi.nlm.nih.gov/Taxonomy/Browser/wwwtax.cgi?mode=Info&amp;id=139047&amp;lvl=3&amp;lin=f&amp;keep=1&amp;srchmode=1&amp;unlock","Anopheles bellator")</f>
        <v>Anopheles bellator</v>
      </c>
      <c r="H1195" t="s">
        <v>917</v>
      </c>
      <c r="I1195" t="str">
        <f>HYPERLINK("http://www.ncbi.nlm.nih.gov/protein/XP_058055053.1","ryanodine receptor isoform X3")</f>
        <v>ryanodine receptor isoform X3</v>
      </c>
      <c r="J1195">
        <v>2439.0700000000002</v>
      </c>
      <c r="K1195" t="s">
        <v>22</v>
      </c>
      <c r="L1195">
        <v>276</v>
      </c>
      <c r="M1195">
        <v>9.75</v>
      </c>
      <c r="N1195">
        <v>23.33</v>
      </c>
      <c r="O1195" t="s">
        <v>19</v>
      </c>
      <c r="P1195" t="s">
        <v>20</v>
      </c>
      <c r="Q1195" t="s">
        <v>19</v>
      </c>
      <c r="R1195" t="str">
        <f>HYPERLINK("https://cfpub.epa.gov/ecotox/explore.cfm?ncbi=139047","Explore in ECOTOX")</f>
        <v>Explore in ECOTOX</v>
      </c>
    </row>
    <row r="1196" spans="1:18" x14ac:dyDescent="0.45">
      <c r="A1196" t="s">
        <v>1264</v>
      </c>
      <c r="B1196">
        <v>8</v>
      </c>
      <c r="C1196" t="str">
        <f>HYPERLINK("http://www.ncbi.nlm.nih.gov/protein/XP_011300764.1","XP_011300764.1")</f>
        <v>XP_011300764.1</v>
      </c>
      <c r="D1196">
        <v>19063</v>
      </c>
      <c r="E1196" t="str">
        <f>HYPERLINK("http://www.ncbi.nlm.nih.gov/Taxonomy/Browser/wwwtax.cgi?mode=Info&amp;id=64838&amp;lvl=3&amp;lin=f&amp;keep=1&amp;srchmode=1&amp;unlock","64838")</f>
        <v>64838</v>
      </c>
      <c r="F1196" t="s">
        <v>760</v>
      </c>
      <c r="G1196" t="str">
        <f>HYPERLINK("http://www.ncbi.nlm.nih.gov/Taxonomy/Browser/wwwtax.cgi?mode=Info&amp;id=64838&amp;lvl=3&amp;lin=f&amp;keep=1&amp;srchmode=1&amp;unlock","Fopius arisanus")</f>
        <v>Fopius arisanus</v>
      </c>
      <c r="H1196" t="s">
        <v>769</v>
      </c>
      <c r="I1196" t="str">
        <f>HYPERLINK("http://www.ncbi.nlm.nih.gov/protein/XP_011300764.1","PREDICTED: ryanodine receptor 44F isoform X7")</f>
        <v>PREDICTED: ryanodine receptor 44F isoform X7</v>
      </c>
      <c r="J1196">
        <v>2438.6799999999998</v>
      </c>
      <c r="K1196" t="s">
        <v>22</v>
      </c>
      <c r="L1196">
        <v>276</v>
      </c>
      <c r="M1196">
        <v>9.75</v>
      </c>
      <c r="N1196">
        <v>23.33</v>
      </c>
      <c r="O1196" t="s">
        <v>19</v>
      </c>
      <c r="P1196" t="s">
        <v>20</v>
      </c>
      <c r="Q1196" t="s">
        <v>19</v>
      </c>
      <c r="R1196" t="str">
        <f>HYPERLINK("https://cfpub.epa.gov/ecotox/explore.cfm?ncbi=64838","Explore in ECOTOX")</f>
        <v>Explore in ECOTOX</v>
      </c>
    </row>
    <row r="1197" spans="1:18" x14ac:dyDescent="0.45">
      <c r="A1197" t="s">
        <v>1264</v>
      </c>
      <c r="B1197">
        <v>8</v>
      </c>
      <c r="C1197" t="str">
        <f>HYPERLINK("http://www.ncbi.nlm.nih.gov/protein/CAD7622040.1","CAD7622040.1")</f>
        <v>CAD7622040.1</v>
      </c>
      <c r="D1197">
        <v>46733</v>
      </c>
      <c r="E1197" t="str">
        <f>HYPERLINK("http://www.ncbi.nlm.nih.gov/Taxonomy/Browser/wwwtax.cgi?mode=Info&amp;id=1979941&amp;lvl=3&amp;lin=f&amp;keep=1&amp;srchmode=1&amp;unlock","1979941")</f>
        <v>1979941</v>
      </c>
      <c r="F1197" t="s">
        <v>904</v>
      </c>
      <c r="G1197" t="str">
        <f>HYPERLINK("http://www.ncbi.nlm.nih.gov/Taxonomy/Browser/wwwtax.cgi?mode=Info&amp;id=1979941&amp;lvl=3&amp;lin=f&amp;keep=1&amp;srchmode=1&amp;unlock","Medioppia subpectinata")</f>
        <v>Medioppia subpectinata</v>
      </c>
      <c r="H1197" t="s">
        <v>995</v>
      </c>
      <c r="I1197" t="str">
        <f>HYPERLINK("http://www.ncbi.nlm.nih.gov/protein/CAD7622040.1","unnamed protein product")</f>
        <v>unnamed protein product</v>
      </c>
      <c r="J1197">
        <v>2438.6799999999998</v>
      </c>
      <c r="K1197" t="s">
        <v>22</v>
      </c>
      <c r="L1197">
        <v>276</v>
      </c>
      <c r="M1197">
        <v>9.75</v>
      </c>
      <c r="N1197">
        <v>23.33</v>
      </c>
      <c r="O1197" t="s">
        <v>19</v>
      </c>
      <c r="P1197" t="s">
        <v>20</v>
      </c>
      <c r="Q1197" t="s">
        <v>19</v>
      </c>
      <c r="R1197" t="str">
        <f>HYPERLINK("https://cfpub.epa.gov/ecotox/explore.cfm?ncbi=1979941","Explore in ECOTOX")</f>
        <v>Explore in ECOTOX</v>
      </c>
    </row>
    <row r="1198" spans="1:18" x14ac:dyDescent="0.45">
      <c r="A1198" t="s">
        <v>1264</v>
      </c>
      <c r="B1198">
        <v>8</v>
      </c>
      <c r="C1198" t="str">
        <f>HYPERLINK("http://www.ncbi.nlm.nih.gov/protein/XP_012250199.1","XP_012250199.1")</f>
        <v>XP_012250199.1</v>
      </c>
      <c r="D1198">
        <v>24542</v>
      </c>
      <c r="E1198" t="str">
        <f>HYPERLINK("http://www.ncbi.nlm.nih.gov/Taxonomy/Browser/wwwtax.cgi?mode=Info&amp;id=132113&amp;lvl=3&amp;lin=f&amp;keep=1&amp;srchmode=1&amp;unlock","132113")</f>
        <v>132113</v>
      </c>
      <c r="F1198" t="s">
        <v>760</v>
      </c>
      <c r="G1198" t="str">
        <f>HYPERLINK("http://www.ncbi.nlm.nih.gov/Taxonomy/Browser/wwwtax.cgi?mode=Info&amp;id=132113&amp;lvl=3&amp;lin=f&amp;keep=1&amp;srchmode=1&amp;unlock","Bombus impatiens")</f>
        <v>Bombus impatiens</v>
      </c>
      <c r="H1198" t="s">
        <v>1061</v>
      </c>
      <c r="I1198" t="str">
        <f>HYPERLINK("http://www.ncbi.nlm.nih.gov/protein/XP_012250199.1","ryanodine receptor isoform X8")</f>
        <v>ryanodine receptor isoform X8</v>
      </c>
      <c r="J1198">
        <v>2438.6799999999998</v>
      </c>
      <c r="K1198" t="s">
        <v>22</v>
      </c>
      <c r="L1198">
        <v>276</v>
      </c>
      <c r="M1198">
        <v>9.75</v>
      </c>
      <c r="N1198">
        <v>23.33</v>
      </c>
      <c r="O1198" t="s">
        <v>19</v>
      </c>
      <c r="P1198" t="s">
        <v>20</v>
      </c>
      <c r="Q1198" t="s">
        <v>19</v>
      </c>
      <c r="R1198" t="str">
        <f>HYPERLINK("https://cfpub.epa.gov/ecotox/explore.cfm?ncbi=132113","Explore in ECOTOX")</f>
        <v>Explore in ECOTOX</v>
      </c>
    </row>
    <row r="1199" spans="1:18" x14ac:dyDescent="0.45">
      <c r="A1199" t="s">
        <v>1264</v>
      </c>
      <c r="B1199">
        <v>8</v>
      </c>
      <c r="C1199" t="str">
        <f>HYPERLINK("http://www.ncbi.nlm.nih.gov/protein/KRY23543.1","KRY23543.1")</f>
        <v>KRY23543.1</v>
      </c>
      <c r="D1199">
        <v>19507</v>
      </c>
      <c r="E1199" t="str">
        <f>HYPERLINK("http://www.ncbi.nlm.nih.gov/Taxonomy/Browser/wwwtax.cgi?mode=Info&amp;id=990121&amp;lvl=3&amp;lin=f&amp;keep=1&amp;srchmode=1&amp;unlock","990121")</f>
        <v>990121</v>
      </c>
      <c r="F1199" t="s">
        <v>1060</v>
      </c>
      <c r="G1199" t="str">
        <f>HYPERLINK("http://www.ncbi.nlm.nih.gov/Taxonomy/Browser/wwwtax.cgi?mode=Info&amp;id=990121&amp;lvl=3&amp;lin=f&amp;keep=1&amp;srchmode=1&amp;unlock","Trichinella patagoniensis")</f>
        <v>Trichinella patagoniensis</v>
      </c>
      <c r="H1199" t="s">
        <v>1027</v>
      </c>
      <c r="I1199" t="str">
        <f>HYPERLINK("http://www.ncbi.nlm.nih.gov/protein/KRY23543.1","Ryanodine receptor 44F")</f>
        <v>Ryanodine receptor 44F</v>
      </c>
      <c r="J1199">
        <v>2438.3000000000002</v>
      </c>
      <c r="K1199" t="s">
        <v>22</v>
      </c>
      <c r="L1199">
        <v>276</v>
      </c>
      <c r="M1199">
        <v>9.75</v>
      </c>
      <c r="N1199">
        <v>23.32</v>
      </c>
      <c r="O1199" t="s">
        <v>19</v>
      </c>
      <c r="P1199" t="s">
        <v>20</v>
      </c>
      <c r="Q1199" t="s">
        <v>19</v>
      </c>
      <c r="R1199" t="str">
        <f>HYPERLINK("https://cfpub.epa.gov/ecotox/explore.cfm?ncbi=990121","Explore in ECOTOX")</f>
        <v>Explore in ECOTOX</v>
      </c>
    </row>
    <row r="1200" spans="1:18" x14ac:dyDescent="0.45">
      <c r="A1200" t="s">
        <v>1264</v>
      </c>
      <c r="B1200">
        <v>8</v>
      </c>
      <c r="C1200" t="str">
        <f>HYPERLINK("http://www.ncbi.nlm.nih.gov/protein/BES99791.1","BES99791.1")</f>
        <v>BES99791.1</v>
      </c>
      <c r="D1200">
        <v>41089</v>
      </c>
      <c r="E1200" t="str">
        <f>HYPERLINK("http://www.ncbi.nlm.nih.gov/Taxonomy/Browser/wwwtax.cgi?mode=Info&amp;id=355587&amp;lvl=3&amp;lin=f&amp;keep=1&amp;srchmode=1&amp;unlock","355587")</f>
        <v>355587</v>
      </c>
      <c r="F1200" t="s">
        <v>760</v>
      </c>
      <c r="G1200" t="str">
        <f>HYPERLINK("http://www.ncbi.nlm.nih.gov/Taxonomy/Browser/wwwtax.cgi?mode=Info&amp;id=355587&amp;lvl=3&amp;lin=f&amp;keep=1&amp;srchmode=1&amp;unlock","Nesidiocoris tenuis")</f>
        <v>Nesidiocoris tenuis</v>
      </c>
      <c r="H1200" t="s">
        <v>1062</v>
      </c>
      <c r="I1200" t="str">
        <f>HYPERLINK("http://www.ncbi.nlm.nih.gov/protein/BES99791.1","ryanodine receptor")</f>
        <v>ryanodine receptor</v>
      </c>
      <c r="J1200">
        <v>2436.7600000000002</v>
      </c>
      <c r="K1200" t="s">
        <v>22</v>
      </c>
      <c r="L1200">
        <v>276</v>
      </c>
      <c r="M1200">
        <v>9.75</v>
      </c>
      <c r="N1200">
        <v>23.31</v>
      </c>
      <c r="O1200" t="s">
        <v>19</v>
      </c>
      <c r="P1200" t="s">
        <v>20</v>
      </c>
      <c r="Q1200" t="s">
        <v>19</v>
      </c>
      <c r="R1200" t="str">
        <f>HYPERLINK("https://cfpub.epa.gov/ecotox/explore.cfm?ncbi=355587","Explore in ECOTOX")</f>
        <v>Explore in ECOTOX</v>
      </c>
    </row>
    <row r="1201" spans="1:18" x14ac:dyDescent="0.45">
      <c r="A1201" t="s">
        <v>1264</v>
      </c>
      <c r="B1201">
        <v>8</v>
      </c>
      <c r="C1201" t="str">
        <f>HYPERLINK("http://www.ncbi.nlm.nih.gov/protein/XP_043604792.1","XP_043604792.1")</f>
        <v>XP_043604792.1</v>
      </c>
      <c r="D1201">
        <v>28314</v>
      </c>
      <c r="E1201" t="str">
        <f>HYPERLINK("http://www.ncbi.nlm.nih.gov/Taxonomy/Browser/wwwtax.cgi?mode=Info&amp;id=396416&amp;lvl=3&amp;lin=f&amp;keep=1&amp;srchmode=1&amp;unlock","396416")</f>
        <v>396416</v>
      </c>
      <c r="F1201" t="s">
        <v>760</v>
      </c>
      <c r="G1201" t="str">
        <f>HYPERLINK("http://www.ncbi.nlm.nih.gov/Taxonomy/Browser/wwwtax.cgi?mode=Info&amp;id=396416&amp;lvl=3&amp;lin=f&amp;keep=1&amp;srchmode=1&amp;unlock","Bombus pyrosoma")</f>
        <v>Bombus pyrosoma</v>
      </c>
      <c r="H1201" t="s">
        <v>928</v>
      </c>
      <c r="I1201" t="str">
        <f>HYPERLINK("http://www.ncbi.nlm.nih.gov/protein/XP_043604792.1","ryanodine receptor isoform X16")</f>
        <v>ryanodine receptor isoform X16</v>
      </c>
      <c r="J1201">
        <v>2436.7600000000002</v>
      </c>
      <c r="K1201" t="s">
        <v>22</v>
      </c>
      <c r="L1201">
        <v>276</v>
      </c>
      <c r="M1201">
        <v>9.75</v>
      </c>
      <c r="N1201">
        <v>23.31</v>
      </c>
      <c r="O1201" t="s">
        <v>19</v>
      </c>
      <c r="P1201" t="s">
        <v>20</v>
      </c>
      <c r="Q1201" t="s">
        <v>19</v>
      </c>
      <c r="R1201" t="str">
        <f>HYPERLINK("https://cfpub.epa.gov/ecotox/explore.cfm?ncbi=396416","Explore in ECOTOX")</f>
        <v>Explore in ECOTOX</v>
      </c>
    </row>
    <row r="1202" spans="1:18" x14ac:dyDescent="0.45">
      <c r="A1202" t="s">
        <v>1264</v>
      </c>
      <c r="B1202">
        <v>8</v>
      </c>
      <c r="C1202" t="str">
        <f>HYPERLINK("http://www.ncbi.nlm.nih.gov/protein/XP_012158412.1","XP_012158412.1")</f>
        <v>XP_012158412.1</v>
      </c>
      <c r="D1202">
        <v>43815</v>
      </c>
      <c r="E1202" t="str">
        <f>HYPERLINK("http://www.ncbi.nlm.nih.gov/Taxonomy/Browser/wwwtax.cgi?mode=Info&amp;id=7213&amp;lvl=3&amp;lin=f&amp;keep=1&amp;srchmode=1&amp;unlock","7213")</f>
        <v>7213</v>
      </c>
      <c r="F1202" t="s">
        <v>760</v>
      </c>
      <c r="G1202" t="str">
        <f>HYPERLINK("http://www.ncbi.nlm.nih.gov/Taxonomy/Browser/wwwtax.cgi?mode=Info&amp;id=7213&amp;lvl=3&amp;lin=f&amp;keep=1&amp;srchmode=1&amp;unlock","Ceratitis capitata")</f>
        <v>Ceratitis capitata</v>
      </c>
      <c r="H1202" t="s">
        <v>1063</v>
      </c>
      <c r="I1202" t="str">
        <f>HYPERLINK("http://www.ncbi.nlm.nih.gov/protein/XP_012158412.1","ryanodine receptor isoform X15")</f>
        <v>ryanodine receptor isoform X15</v>
      </c>
      <c r="J1202">
        <v>2435.6</v>
      </c>
      <c r="K1202" t="s">
        <v>22</v>
      </c>
      <c r="L1202">
        <v>276</v>
      </c>
      <c r="M1202">
        <v>9.75</v>
      </c>
      <c r="N1202">
        <v>23.3</v>
      </c>
      <c r="O1202" t="s">
        <v>19</v>
      </c>
      <c r="P1202" t="s">
        <v>20</v>
      </c>
      <c r="Q1202" t="s">
        <v>19</v>
      </c>
      <c r="R1202" t="str">
        <f>HYPERLINK("https://cfpub.epa.gov/ecotox/explore.cfm?ncbi=7213","Explore in ECOTOX")</f>
        <v>Explore in ECOTOX</v>
      </c>
    </row>
    <row r="1203" spans="1:18" x14ac:dyDescent="0.45">
      <c r="A1203" t="s">
        <v>1264</v>
      </c>
      <c r="B1203">
        <v>8</v>
      </c>
      <c r="C1203" t="str">
        <f>HYPERLINK("http://www.ncbi.nlm.nih.gov/protein/KRZ94973.1","KRZ94973.1")</f>
        <v>KRZ94973.1</v>
      </c>
      <c r="D1203">
        <v>18432</v>
      </c>
      <c r="E1203" t="str">
        <f>HYPERLINK("http://www.ncbi.nlm.nih.gov/Taxonomy/Browser/wwwtax.cgi?mode=Info&amp;id=92180&amp;lvl=3&amp;lin=f&amp;keep=1&amp;srchmode=1&amp;unlock","92180")</f>
        <v>92180</v>
      </c>
      <c r="F1203" t="s">
        <v>1060</v>
      </c>
      <c r="G1203" t="str">
        <f>HYPERLINK("http://www.ncbi.nlm.nih.gov/Taxonomy/Browser/wwwtax.cgi?mode=Info&amp;id=92180&amp;lvl=3&amp;lin=f&amp;keep=1&amp;srchmode=1&amp;unlock","Trichinella sp. T8")</f>
        <v>Trichinella sp. T8</v>
      </c>
      <c r="H1203" t="s">
        <v>1027</v>
      </c>
      <c r="I1203" t="str">
        <f>HYPERLINK("http://www.ncbi.nlm.nih.gov/protein/KRZ94973.1","Ryanodine receptor 44F")</f>
        <v>Ryanodine receptor 44F</v>
      </c>
      <c r="J1203">
        <v>2435.6</v>
      </c>
      <c r="K1203" t="s">
        <v>22</v>
      </c>
      <c r="L1203">
        <v>276</v>
      </c>
      <c r="M1203">
        <v>9.75</v>
      </c>
      <c r="N1203">
        <v>23.3</v>
      </c>
      <c r="O1203" t="s">
        <v>19</v>
      </c>
      <c r="P1203" t="s">
        <v>20</v>
      </c>
      <c r="Q1203" t="s">
        <v>19</v>
      </c>
      <c r="R1203" t="str">
        <f>HYPERLINK("https://cfpub.epa.gov/ecotox/explore.cfm?ncbi=92180","Explore in ECOTOX")</f>
        <v>Explore in ECOTOX</v>
      </c>
    </row>
    <row r="1204" spans="1:18" x14ac:dyDescent="0.45">
      <c r="A1204" t="s">
        <v>1264</v>
      </c>
      <c r="B1204">
        <v>8</v>
      </c>
      <c r="C1204" t="str">
        <f>HYPERLINK("http://www.ncbi.nlm.nih.gov/protein/XP_060817757.1","XP_060817757.1")</f>
        <v>XP_060817757.1</v>
      </c>
      <c r="D1204">
        <v>22550</v>
      </c>
      <c r="E1204" t="str">
        <f>HYPERLINK("http://www.ncbi.nlm.nih.gov/Taxonomy/Browser/wwwtax.cgi?mode=Info&amp;id=65598&amp;lvl=3&amp;lin=f&amp;keep=1&amp;srchmode=1&amp;unlock","65598")</f>
        <v>65598</v>
      </c>
      <c r="F1204" t="s">
        <v>760</v>
      </c>
      <c r="G1204" t="str">
        <f>HYPERLINK("http://www.ncbi.nlm.nih.gov/Taxonomy/Browser/wwwtax.cgi?mode=Info&amp;id=65598&amp;lvl=3&amp;lin=f&amp;keep=1&amp;srchmode=1&amp;unlock","Bombus pascuorum")</f>
        <v>Bombus pascuorum</v>
      </c>
      <c r="H1204" t="s">
        <v>928</v>
      </c>
      <c r="I1204" t="str">
        <f>HYPERLINK("http://www.ncbi.nlm.nih.gov/protein/XP_060817757.1","ryanodine receptor isoform X6")</f>
        <v>ryanodine receptor isoform X6</v>
      </c>
      <c r="J1204">
        <v>2434.83</v>
      </c>
      <c r="K1204" t="s">
        <v>22</v>
      </c>
      <c r="L1204">
        <v>276</v>
      </c>
      <c r="M1204">
        <v>9.75</v>
      </c>
      <c r="N1204">
        <v>23.29</v>
      </c>
      <c r="O1204" t="s">
        <v>19</v>
      </c>
      <c r="P1204" t="s">
        <v>20</v>
      </c>
      <c r="Q1204" t="s">
        <v>19</v>
      </c>
      <c r="R1204" t="str">
        <f>HYPERLINK("https://cfpub.epa.gov/ecotox/explore.cfm?ncbi=65598","Explore in ECOTOX")</f>
        <v>Explore in ECOTOX</v>
      </c>
    </row>
    <row r="1205" spans="1:18" x14ac:dyDescent="0.45">
      <c r="A1205" t="s">
        <v>1264</v>
      </c>
      <c r="B1205">
        <v>8</v>
      </c>
      <c r="C1205" t="str">
        <f>HYPERLINK("http://www.ncbi.nlm.nih.gov/protein/XP_026294831.1","XP_026294831.1")</f>
        <v>XP_026294831.1</v>
      </c>
      <c r="D1205">
        <v>27624</v>
      </c>
      <c r="E1205" t="str">
        <f>HYPERLINK("http://www.ncbi.nlm.nih.gov/Taxonomy/Browser/wwwtax.cgi?mode=Info&amp;id=7460&amp;lvl=3&amp;lin=f&amp;keep=1&amp;srchmode=1&amp;unlock","7460")</f>
        <v>7460</v>
      </c>
      <c r="F1205" t="s">
        <v>760</v>
      </c>
      <c r="G1205" t="str">
        <f>HYPERLINK("http://www.ncbi.nlm.nih.gov/Taxonomy/Browser/wwwtax.cgi?mode=Info&amp;id=7460&amp;lvl=3&amp;lin=f&amp;keep=1&amp;srchmode=1&amp;unlock","Apis mellifera")</f>
        <v>Apis mellifera</v>
      </c>
      <c r="H1205" t="s">
        <v>1064</v>
      </c>
      <c r="I1205" t="str">
        <f>HYPERLINK("http://www.ncbi.nlm.nih.gov/protein/XP_026294831.1","ryanodine receptor isoform X3")</f>
        <v>ryanodine receptor isoform X3</v>
      </c>
      <c r="J1205">
        <v>2434.83</v>
      </c>
      <c r="K1205" t="s">
        <v>22</v>
      </c>
      <c r="L1205">
        <v>276</v>
      </c>
      <c r="M1205">
        <v>9.75</v>
      </c>
      <c r="N1205">
        <v>23.29</v>
      </c>
      <c r="O1205" t="s">
        <v>19</v>
      </c>
      <c r="P1205" t="s">
        <v>20</v>
      </c>
      <c r="Q1205" t="s">
        <v>19</v>
      </c>
      <c r="R1205" t="str">
        <f>HYPERLINK("https://cfpub.epa.gov/ecotox/explore.cfm?ncbi=7460","Explore in ECOTOX")</f>
        <v>Explore in ECOTOX</v>
      </c>
    </row>
    <row r="1206" spans="1:18" x14ac:dyDescent="0.45">
      <c r="A1206" t="s">
        <v>1264</v>
      </c>
      <c r="B1206">
        <v>8</v>
      </c>
      <c r="C1206" t="str">
        <f>HYPERLINK("http://www.ncbi.nlm.nih.gov/protein/XP_044016397.1","XP_044016397.1")</f>
        <v>XP_044016397.1</v>
      </c>
      <c r="D1206">
        <v>32415</v>
      </c>
      <c r="E1206" t="str">
        <f>HYPERLINK("http://www.ncbi.nlm.nih.gov/Taxonomy/Browser/wwwtax.cgi?mode=Info&amp;id=684658&amp;lvl=3&amp;lin=f&amp;keep=1&amp;srchmode=1&amp;unlock","684658")</f>
        <v>684658</v>
      </c>
      <c r="F1206" t="s">
        <v>760</v>
      </c>
      <c r="G1206" t="str">
        <f>HYPERLINK("http://www.ncbi.nlm.nih.gov/Taxonomy/Browser/wwwtax.cgi?mode=Info&amp;id=684658&amp;lvl=3&amp;lin=f&amp;keep=1&amp;srchmode=1&amp;unlock","Aphidius gifuensis")</f>
        <v>Aphidius gifuensis</v>
      </c>
      <c r="H1206" t="s">
        <v>769</v>
      </c>
      <c r="I1206" t="str">
        <f>HYPERLINK("http://www.ncbi.nlm.nih.gov/protein/XP_044016397.1","ryanodine receptor isoform X6")</f>
        <v>ryanodine receptor isoform X6</v>
      </c>
      <c r="J1206">
        <v>2434.06</v>
      </c>
      <c r="K1206" t="s">
        <v>22</v>
      </c>
      <c r="L1206">
        <v>276</v>
      </c>
      <c r="M1206">
        <v>9.75</v>
      </c>
      <c r="N1206">
        <v>23.28</v>
      </c>
      <c r="O1206" t="s">
        <v>19</v>
      </c>
      <c r="P1206" t="s">
        <v>20</v>
      </c>
      <c r="Q1206" t="s">
        <v>19</v>
      </c>
      <c r="R1206" t="str">
        <f>HYPERLINK("https://cfpub.epa.gov/ecotox/explore.cfm?ncbi=684658","Explore in ECOTOX")</f>
        <v>Explore in ECOTOX</v>
      </c>
    </row>
    <row r="1207" spans="1:18" x14ac:dyDescent="0.45">
      <c r="A1207" t="s">
        <v>1264</v>
      </c>
      <c r="B1207">
        <v>8</v>
      </c>
      <c r="C1207" t="str">
        <f>HYPERLINK("http://www.ncbi.nlm.nih.gov/protein/XP_043253048.1","XP_043253048.1")</f>
        <v>XP_043253048.1</v>
      </c>
      <c r="D1207">
        <v>18626</v>
      </c>
      <c r="E1207" t="str">
        <f>HYPERLINK("http://www.ncbi.nlm.nih.gov/Taxonomy/Browser/wwwtax.cgi?mode=Info&amp;id=935657&amp;lvl=3&amp;lin=f&amp;keep=1&amp;srchmode=1&amp;unlock","935657")</f>
        <v>935657</v>
      </c>
      <c r="F1207" t="s">
        <v>760</v>
      </c>
      <c r="G1207" t="str">
        <f>HYPERLINK("http://www.ncbi.nlm.nih.gov/Taxonomy/Browser/wwwtax.cgi?mode=Info&amp;id=935657&amp;lvl=3&amp;lin=f&amp;keep=1&amp;srchmode=1&amp;unlock","Colletes gigas")</f>
        <v>Colletes gigas</v>
      </c>
      <c r="H1207" t="s">
        <v>1065</v>
      </c>
      <c r="I1207" t="str">
        <f>HYPERLINK("http://www.ncbi.nlm.nih.gov/protein/XP_043253048.1","ryanodine receptor isoform X4")</f>
        <v>ryanodine receptor isoform X4</v>
      </c>
      <c r="J1207">
        <v>2434.06</v>
      </c>
      <c r="K1207" t="s">
        <v>22</v>
      </c>
      <c r="L1207">
        <v>276</v>
      </c>
      <c r="M1207">
        <v>9.75</v>
      </c>
      <c r="N1207">
        <v>23.28</v>
      </c>
      <c r="O1207" t="s">
        <v>19</v>
      </c>
      <c r="P1207" t="s">
        <v>20</v>
      </c>
      <c r="Q1207" t="s">
        <v>19</v>
      </c>
      <c r="R1207" t="str">
        <f>HYPERLINK("https://cfpub.epa.gov/ecotox/explore.cfm?ncbi=935657","Explore in ECOTOX")</f>
        <v>Explore in ECOTOX</v>
      </c>
    </row>
    <row r="1208" spans="1:18" x14ac:dyDescent="0.45">
      <c r="A1208" t="s">
        <v>1264</v>
      </c>
      <c r="B1208">
        <v>8</v>
      </c>
      <c r="C1208" t="str">
        <f>HYPERLINK("http://www.ncbi.nlm.nih.gov/protein/XP_031369530.1","XP_031369530.1")</f>
        <v>XP_031369530.1</v>
      </c>
      <c r="D1208">
        <v>20479</v>
      </c>
      <c r="E1208" t="str">
        <f>HYPERLINK("http://www.ncbi.nlm.nih.gov/Taxonomy/Browser/wwwtax.cgi?mode=Info&amp;id=7462&amp;lvl=3&amp;lin=f&amp;keep=1&amp;srchmode=1&amp;unlock","7462")</f>
        <v>7462</v>
      </c>
      <c r="F1208" t="s">
        <v>760</v>
      </c>
      <c r="G1208" t="str">
        <f>HYPERLINK("http://www.ncbi.nlm.nih.gov/Taxonomy/Browser/wwwtax.cgi?mode=Info&amp;id=7462&amp;lvl=3&amp;lin=f&amp;keep=1&amp;srchmode=1&amp;unlock","Apis dorsata")</f>
        <v>Apis dorsata</v>
      </c>
      <c r="H1208" t="s">
        <v>1066</v>
      </c>
      <c r="I1208" t="str">
        <f>HYPERLINK("http://www.ncbi.nlm.nih.gov/protein/XP_031369530.1","ryanodine receptor isoform X3")</f>
        <v>ryanodine receptor isoform X3</v>
      </c>
      <c r="J1208">
        <v>2433.29</v>
      </c>
      <c r="K1208" t="s">
        <v>22</v>
      </c>
      <c r="L1208">
        <v>276</v>
      </c>
      <c r="M1208">
        <v>9.75</v>
      </c>
      <c r="N1208">
        <v>23.28</v>
      </c>
      <c r="O1208" t="s">
        <v>19</v>
      </c>
      <c r="P1208" t="s">
        <v>20</v>
      </c>
      <c r="Q1208" t="s">
        <v>19</v>
      </c>
      <c r="R1208" t="str">
        <f>HYPERLINK("https://cfpub.epa.gov/ecotox/explore.cfm?ncbi=7462","Explore in ECOTOX")</f>
        <v>Explore in ECOTOX</v>
      </c>
    </row>
    <row r="1209" spans="1:18" x14ac:dyDescent="0.45">
      <c r="A1209" t="s">
        <v>1264</v>
      </c>
      <c r="B1209">
        <v>8</v>
      </c>
      <c r="C1209" t="str">
        <f>HYPERLINK("http://www.ncbi.nlm.nih.gov/protein/KRX66896.1","KRX66896.1")</f>
        <v>KRX66896.1</v>
      </c>
      <c r="D1209">
        <v>18541</v>
      </c>
      <c r="E1209" t="str">
        <f>HYPERLINK("http://www.ncbi.nlm.nih.gov/Taxonomy/Browser/wwwtax.cgi?mode=Info&amp;id=181606&amp;lvl=3&amp;lin=f&amp;keep=1&amp;srchmode=1&amp;unlock","181606")</f>
        <v>181606</v>
      </c>
      <c r="F1209" t="s">
        <v>1060</v>
      </c>
      <c r="G1209" t="str">
        <f>HYPERLINK("http://www.ncbi.nlm.nih.gov/Taxonomy/Browser/wwwtax.cgi?mode=Info&amp;id=181606&amp;lvl=3&amp;lin=f&amp;keep=1&amp;srchmode=1&amp;unlock","Trichinella sp. T9")</f>
        <v>Trichinella sp. T9</v>
      </c>
      <c r="H1209" t="s">
        <v>1027</v>
      </c>
      <c r="I1209" t="str">
        <f>HYPERLINK("http://www.ncbi.nlm.nih.gov/protein/KRX66896.1","Ryanodine receptor 44F")</f>
        <v>Ryanodine receptor 44F</v>
      </c>
      <c r="J1209">
        <v>2433.29</v>
      </c>
      <c r="K1209" t="s">
        <v>22</v>
      </c>
      <c r="L1209">
        <v>276</v>
      </c>
      <c r="M1209">
        <v>9.75</v>
      </c>
      <c r="N1209">
        <v>23.28</v>
      </c>
      <c r="O1209" t="s">
        <v>19</v>
      </c>
      <c r="P1209" t="s">
        <v>20</v>
      </c>
      <c r="Q1209" t="s">
        <v>19</v>
      </c>
      <c r="R1209" t="str">
        <f>HYPERLINK("https://cfpub.epa.gov/ecotox/explore.cfm?ncbi=181606","Explore in ECOTOX")</f>
        <v>Explore in ECOTOX</v>
      </c>
    </row>
    <row r="1210" spans="1:18" x14ac:dyDescent="0.45">
      <c r="A1210" t="s">
        <v>1264</v>
      </c>
      <c r="B1210">
        <v>8</v>
      </c>
      <c r="C1210" t="str">
        <f>HYPERLINK("http://www.ncbi.nlm.nih.gov/protein/XP_016920095.1","XP_016920095.1")</f>
        <v>XP_016920095.1</v>
      </c>
      <c r="D1210">
        <v>22469</v>
      </c>
      <c r="E1210" t="str">
        <f>HYPERLINK("http://www.ncbi.nlm.nih.gov/Taxonomy/Browser/wwwtax.cgi?mode=Info&amp;id=7461&amp;lvl=3&amp;lin=f&amp;keep=1&amp;srchmode=1&amp;unlock","7461")</f>
        <v>7461</v>
      </c>
      <c r="F1210" t="s">
        <v>760</v>
      </c>
      <c r="G1210" t="str">
        <f>HYPERLINK("http://www.ncbi.nlm.nih.gov/Taxonomy/Browser/wwwtax.cgi?mode=Info&amp;id=7461&amp;lvl=3&amp;lin=f&amp;keep=1&amp;srchmode=1&amp;unlock","Apis cerana")</f>
        <v>Apis cerana</v>
      </c>
      <c r="H1210" t="s">
        <v>816</v>
      </c>
      <c r="I1210" t="str">
        <f>HYPERLINK("http://www.ncbi.nlm.nih.gov/protein/XP_016920095.1","ryanodine receptor isoform X3")</f>
        <v>ryanodine receptor isoform X3</v>
      </c>
      <c r="J1210">
        <v>2432.91</v>
      </c>
      <c r="K1210" t="s">
        <v>22</v>
      </c>
      <c r="L1210">
        <v>276</v>
      </c>
      <c r="M1210">
        <v>9.75</v>
      </c>
      <c r="N1210">
        <v>23.27</v>
      </c>
      <c r="O1210" t="s">
        <v>19</v>
      </c>
      <c r="P1210" t="s">
        <v>20</v>
      </c>
      <c r="Q1210" t="s">
        <v>19</v>
      </c>
      <c r="R1210" t="str">
        <f>HYPERLINK("https://cfpub.epa.gov/ecotox/explore.cfm?ncbi=7461","Explore in ECOTOX")</f>
        <v>Explore in ECOTOX</v>
      </c>
    </row>
    <row r="1211" spans="1:18" x14ac:dyDescent="0.45">
      <c r="A1211" t="s">
        <v>1264</v>
      </c>
      <c r="B1211">
        <v>8</v>
      </c>
      <c r="C1211" t="str">
        <f>HYPERLINK("http://www.ncbi.nlm.nih.gov/protein/XP_053659222.1","XP_053659222.1")</f>
        <v>XP_053659222.1</v>
      </c>
      <c r="D1211">
        <v>12065</v>
      </c>
      <c r="E1211" t="str">
        <f>HYPERLINK("http://www.ncbi.nlm.nih.gov/Taxonomy/Browser/wwwtax.cgi?mode=Info&amp;id=1521116&amp;lvl=3&amp;lin=f&amp;keep=1&amp;srchmode=1&amp;unlock","1521116")</f>
        <v>1521116</v>
      </c>
      <c r="F1211" t="s">
        <v>760</v>
      </c>
      <c r="G1211" t="str">
        <f>HYPERLINK("http://www.ncbi.nlm.nih.gov/Taxonomy/Browser/wwwtax.cgi?mode=Info&amp;id=1521116&amp;lvl=3&amp;lin=f&amp;keep=1&amp;srchmode=1&amp;unlock","Anopheles marshallii")</f>
        <v>Anopheles marshallii</v>
      </c>
      <c r="H1211" t="s">
        <v>917</v>
      </c>
      <c r="I1211" t="str">
        <f>HYPERLINK("http://www.ncbi.nlm.nih.gov/protein/XP_053659222.1","ryanodine receptor isoform X5")</f>
        <v>ryanodine receptor isoform X5</v>
      </c>
      <c r="J1211">
        <v>2432.91</v>
      </c>
      <c r="K1211" t="s">
        <v>22</v>
      </c>
      <c r="L1211">
        <v>276</v>
      </c>
      <c r="M1211">
        <v>9.75</v>
      </c>
      <c r="N1211">
        <v>23.27</v>
      </c>
      <c r="O1211" t="s">
        <v>19</v>
      </c>
      <c r="P1211" t="s">
        <v>20</v>
      </c>
      <c r="Q1211" t="s">
        <v>19</v>
      </c>
      <c r="R1211" t="str">
        <f>HYPERLINK("https://cfpub.epa.gov/ecotox/explore.cfm?ncbi=1521116","Explore in ECOTOX")</f>
        <v>Explore in ECOTOX</v>
      </c>
    </row>
    <row r="1212" spans="1:18" x14ac:dyDescent="0.45">
      <c r="A1212" t="s">
        <v>1264</v>
      </c>
      <c r="B1212">
        <v>8</v>
      </c>
      <c r="C1212" t="str">
        <f>HYPERLINK("http://www.ncbi.nlm.nih.gov/protein/XP_031833310.1","XP_031833310.1")</f>
        <v>XP_031833310.1</v>
      </c>
      <c r="D1212">
        <v>25323</v>
      </c>
      <c r="E1212" t="str">
        <f>HYPERLINK("http://www.ncbi.nlm.nih.gov/Taxonomy/Browser/wwwtax.cgi?mode=Info&amp;id=2448451&amp;lvl=3&amp;lin=f&amp;keep=1&amp;srchmode=1&amp;unlock","2448451")</f>
        <v>2448451</v>
      </c>
      <c r="F1212" t="s">
        <v>760</v>
      </c>
      <c r="G1212" t="str">
        <f>HYPERLINK("http://www.ncbi.nlm.nih.gov/Taxonomy/Browser/wwwtax.cgi?mode=Info&amp;id=2448451&amp;lvl=3&amp;lin=f&amp;keep=1&amp;srchmode=1&amp;unlock","Nomia melanderi")</f>
        <v>Nomia melanderi</v>
      </c>
      <c r="H1212" t="s">
        <v>1067</v>
      </c>
      <c r="I1212" t="str">
        <f>HYPERLINK("http://www.ncbi.nlm.nih.gov/protein/XP_031833310.1","ryanodine receptor isoform X29")</f>
        <v>ryanodine receptor isoform X29</v>
      </c>
      <c r="J1212">
        <v>2432.52</v>
      </c>
      <c r="K1212" t="s">
        <v>22</v>
      </c>
      <c r="L1212">
        <v>276</v>
      </c>
      <c r="M1212">
        <v>9.75</v>
      </c>
      <c r="N1212">
        <v>23.27</v>
      </c>
      <c r="O1212" t="s">
        <v>19</v>
      </c>
      <c r="P1212" t="s">
        <v>20</v>
      </c>
      <c r="Q1212" t="s">
        <v>19</v>
      </c>
      <c r="R1212" t="str">
        <f>HYPERLINK("https://cfpub.epa.gov/ecotox/explore.cfm?ncbi=2448451","Explore in ECOTOX")</f>
        <v>Explore in ECOTOX</v>
      </c>
    </row>
    <row r="1213" spans="1:18" x14ac:dyDescent="0.45">
      <c r="A1213" t="s">
        <v>1264</v>
      </c>
      <c r="B1213">
        <v>8</v>
      </c>
      <c r="C1213" t="str">
        <f>HYPERLINK("http://www.ncbi.nlm.nih.gov/protein/XP_043802534.1","XP_043802534.1")</f>
        <v>XP_043802534.1</v>
      </c>
      <c r="D1213">
        <v>20599</v>
      </c>
      <c r="E1213" t="str">
        <f>HYPERLINK("http://www.ncbi.nlm.nih.gov/Taxonomy/Browser/wwwtax.cgi?mode=Info&amp;id=183418&amp;lvl=3&amp;lin=f&amp;keep=1&amp;srchmode=1&amp;unlock","183418")</f>
        <v>183418</v>
      </c>
      <c r="F1213" t="s">
        <v>760</v>
      </c>
      <c r="G1213" t="str">
        <f>HYPERLINK("http://www.ncbi.nlm.nih.gov/Taxonomy/Browser/wwwtax.cgi?mode=Info&amp;id=183418&amp;lvl=3&amp;lin=f&amp;keep=1&amp;srchmode=1&amp;unlock","Apis laboriosa")</f>
        <v>Apis laboriosa</v>
      </c>
      <c r="H1213" t="s">
        <v>1068</v>
      </c>
      <c r="I1213" t="str">
        <f>HYPERLINK("http://www.ncbi.nlm.nih.gov/protein/XP_043802534.1","ryanodine receptor isoform X3")</f>
        <v>ryanodine receptor isoform X3</v>
      </c>
      <c r="J1213">
        <v>2432.52</v>
      </c>
      <c r="K1213" t="s">
        <v>22</v>
      </c>
      <c r="L1213">
        <v>276</v>
      </c>
      <c r="M1213">
        <v>9.75</v>
      </c>
      <c r="N1213">
        <v>23.27</v>
      </c>
      <c r="O1213" t="s">
        <v>19</v>
      </c>
      <c r="P1213" t="s">
        <v>20</v>
      </c>
      <c r="Q1213" t="s">
        <v>19</v>
      </c>
      <c r="R1213" t="str">
        <f>HYPERLINK("https://cfpub.epa.gov/ecotox/explore.cfm?ncbi=183418","Explore in ECOTOX")</f>
        <v>Explore in ECOTOX</v>
      </c>
    </row>
    <row r="1214" spans="1:18" x14ac:dyDescent="0.45">
      <c r="A1214" t="s">
        <v>1264</v>
      </c>
      <c r="B1214">
        <v>8</v>
      </c>
      <c r="C1214" t="str">
        <f>HYPERLINK("http://www.ncbi.nlm.nih.gov/protein/XP_027222950.1","XP_027222950.1")</f>
        <v>XP_027222950.1</v>
      </c>
      <c r="D1214">
        <v>60260</v>
      </c>
      <c r="E1214" t="str">
        <f>HYPERLINK("http://www.ncbi.nlm.nih.gov/Taxonomy/Browser/wwwtax.cgi?mode=Info&amp;id=6689&amp;lvl=3&amp;lin=f&amp;keep=1&amp;srchmode=1&amp;unlock","6689")</f>
        <v>6689</v>
      </c>
      <c r="F1214" t="s">
        <v>779</v>
      </c>
      <c r="G1214" t="str">
        <f>HYPERLINK("http://www.ncbi.nlm.nih.gov/Taxonomy/Browser/wwwtax.cgi?mode=Info&amp;id=6689&amp;lvl=3&amp;lin=f&amp;keep=1&amp;srchmode=1&amp;unlock","Penaeus vannamei")</f>
        <v>Penaeus vannamei</v>
      </c>
      <c r="H1214" t="s">
        <v>1069</v>
      </c>
      <c r="I1214" t="str">
        <f>HYPERLINK("http://www.ncbi.nlm.nih.gov/protein/XP_027222950.1","LOW QUALITY PROTEIN: ryanodine receptor-like")</f>
        <v>LOW QUALITY PROTEIN: ryanodine receptor-like</v>
      </c>
      <c r="J1214">
        <v>2432.52</v>
      </c>
      <c r="K1214" t="s">
        <v>22</v>
      </c>
      <c r="L1214">
        <v>276</v>
      </c>
      <c r="M1214">
        <v>9.75</v>
      </c>
      <c r="N1214">
        <v>23.27</v>
      </c>
      <c r="O1214" t="s">
        <v>19</v>
      </c>
      <c r="P1214" t="s">
        <v>20</v>
      </c>
      <c r="Q1214" t="s">
        <v>19</v>
      </c>
      <c r="R1214" t="str">
        <f>HYPERLINK("https://cfpub.epa.gov/ecotox/explore.cfm?ncbi=6689","Explore in ECOTOX")</f>
        <v>Explore in ECOTOX</v>
      </c>
    </row>
    <row r="1215" spans="1:18" x14ac:dyDescent="0.45">
      <c r="A1215" t="s">
        <v>1264</v>
      </c>
      <c r="B1215">
        <v>8</v>
      </c>
      <c r="C1215" t="str">
        <f>HYPERLINK("http://www.ncbi.nlm.nih.gov/protein/KRX50494.1","KRX50494.1")</f>
        <v>KRX50494.1</v>
      </c>
      <c r="D1215">
        <v>18644</v>
      </c>
      <c r="E1215" t="str">
        <f>HYPERLINK("http://www.ncbi.nlm.nih.gov/Taxonomy/Browser/wwwtax.cgi?mode=Info&amp;id=144512&amp;lvl=3&amp;lin=f&amp;keep=1&amp;srchmode=1&amp;unlock","144512")</f>
        <v>144512</v>
      </c>
      <c r="F1215" t="s">
        <v>1060</v>
      </c>
      <c r="G1215" t="str">
        <f>HYPERLINK("http://www.ncbi.nlm.nih.gov/Taxonomy/Browser/wwwtax.cgi?mode=Info&amp;id=144512&amp;lvl=3&amp;lin=f&amp;keep=1&amp;srchmode=1&amp;unlock","Trichinella murrelli")</f>
        <v>Trichinella murrelli</v>
      </c>
      <c r="H1215" t="s">
        <v>1027</v>
      </c>
      <c r="I1215" t="str">
        <f>HYPERLINK("http://www.ncbi.nlm.nih.gov/protein/KRX50494.1","Ryanodine receptor 44F")</f>
        <v>Ryanodine receptor 44F</v>
      </c>
      <c r="J1215">
        <v>2432.14</v>
      </c>
      <c r="K1215" t="s">
        <v>22</v>
      </c>
      <c r="L1215">
        <v>276</v>
      </c>
      <c r="M1215">
        <v>9.75</v>
      </c>
      <c r="N1215">
        <v>23.27</v>
      </c>
      <c r="O1215" t="s">
        <v>19</v>
      </c>
      <c r="P1215" t="s">
        <v>20</v>
      </c>
      <c r="Q1215" t="s">
        <v>19</v>
      </c>
      <c r="R1215" t="str">
        <f>HYPERLINK("https://cfpub.epa.gov/ecotox/explore.cfm?ncbi=144512","Explore in ECOTOX")</f>
        <v>Explore in ECOTOX</v>
      </c>
    </row>
    <row r="1216" spans="1:18" x14ac:dyDescent="0.45">
      <c r="A1216" t="s">
        <v>1264</v>
      </c>
      <c r="B1216">
        <v>8</v>
      </c>
      <c r="C1216" t="str">
        <f>HYPERLINK("http://www.ncbi.nlm.nih.gov/protein/OXB65702.1","OXB65702.1")</f>
        <v>OXB65702.1</v>
      </c>
      <c r="D1216">
        <v>17178</v>
      </c>
      <c r="E1216" t="str">
        <f>HYPERLINK("http://www.ncbi.nlm.nih.gov/Taxonomy/Browser/wwwtax.cgi?mode=Info&amp;id=9009&amp;lvl=3&amp;lin=f&amp;keep=1&amp;srchmode=1&amp;unlock","9009")</f>
        <v>9009</v>
      </c>
      <c r="F1216" t="s">
        <v>241</v>
      </c>
      <c r="G1216" t="str">
        <f>HYPERLINK("http://www.ncbi.nlm.nih.gov/Taxonomy/Browser/wwwtax.cgi?mode=Info&amp;id=9009&amp;lvl=3&amp;lin=f&amp;keep=1&amp;srchmode=1&amp;unlock","Callipepla squamata")</f>
        <v>Callipepla squamata</v>
      </c>
      <c r="H1216" t="s">
        <v>1070</v>
      </c>
      <c r="I1216" t="str">
        <f>HYPERLINK("http://www.ncbi.nlm.nih.gov/protein/OXB65702.1","hypothetical protein ASZ78_015453")</f>
        <v>hypothetical protein ASZ78_015453</v>
      </c>
      <c r="J1216">
        <v>2431.75</v>
      </c>
      <c r="K1216" t="s">
        <v>22</v>
      </c>
      <c r="L1216">
        <v>276</v>
      </c>
      <c r="M1216">
        <v>9.75</v>
      </c>
      <c r="N1216">
        <v>23.26</v>
      </c>
      <c r="O1216" t="s">
        <v>19</v>
      </c>
      <c r="P1216" t="s">
        <v>20</v>
      </c>
      <c r="Q1216" t="s">
        <v>19</v>
      </c>
      <c r="R1216" t="str">
        <f>HYPERLINK("https://cfpub.epa.gov/ecotox/explore.cfm?ncbi=9009","Explore in ECOTOX")</f>
        <v>Explore in ECOTOX</v>
      </c>
    </row>
    <row r="1217" spans="1:18" x14ac:dyDescent="0.45">
      <c r="A1217" t="s">
        <v>1264</v>
      </c>
      <c r="B1217">
        <v>8</v>
      </c>
      <c r="C1217" t="str">
        <f>HYPERLINK("http://www.ncbi.nlm.nih.gov/protein/XP_012217225.1","XP_012217225.1")</f>
        <v>XP_012217225.1</v>
      </c>
      <c r="D1217">
        <v>21847</v>
      </c>
      <c r="E1217" t="str">
        <f>HYPERLINK("http://www.ncbi.nlm.nih.gov/Taxonomy/Browser/wwwtax.cgi?mode=Info&amp;id=83485&amp;lvl=3&amp;lin=f&amp;keep=1&amp;srchmode=1&amp;unlock","83485")</f>
        <v>83485</v>
      </c>
      <c r="F1217" t="s">
        <v>760</v>
      </c>
      <c r="G1217" t="str">
        <f>HYPERLINK("http://www.ncbi.nlm.nih.gov/Taxonomy/Browser/wwwtax.cgi?mode=Info&amp;id=83485&amp;lvl=3&amp;lin=f&amp;keep=1&amp;srchmode=1&amp;unlock","Linepithema humile")</f>
        <v>Linepithema humile</v>
      </c>
      <c r="H1217" t="s">
        <v>1071</v>
      </c>
      <c r="I1217" t="str">
        <f>HYPERLINK("http://www.ncbi.nlm.nih.gov/protein/XP_012217225.1","PREDICTED: LOW QUALITY PROTEIN: ryanodine receptor 44F")</f>
        <v>PREDICTED: LOW QUALITY PROTEIN: ryanodine receptor 44F</v>
      </c>
      <c r="J1217">
        <v>2431.75</v>
      </c>
      <c r="K1217" t="s">
        <v>22</v>
      </c>
      <c r="L1217">
        <v>276</v>
      </c>
      <c r="M1217">
        <v>9.75</v>
      </c>
      <c r="N1217">
        <v>23.26</v>
      </c>
      <c r="O1217" t="s">
        <v>19</v>
      </c>
      <c r="P1217" t="s">
        <v>20</v>
      </c>
      <c r="Q1217" t="s">
        <v>19</v>
      </c>
      <c r="R1217" t="str">
        <f>HYPERLINK("https://cfpub.epa.gov/ecotox/explore.cfm?ncbi=83485","Explore in ECOTOX")</f>
        <v>Explore in ECOTOX</v>
      </c>
    </row>
    <row r="1218" spans="1:18" x14ac:dyDescent="0.45">
      <c r="A1218" t="s">
        <v>1264</v>
      </c>
      <c r="B1218">
        <v>8</v>
      </c>
      <c r="C1218" t="str">
        <f>HYPERLINK("http://www.ncbi.nlm.nih.gov/protein/KRX28173.1","KRX28173.1")</f>
        <v>KRX28173.1</v>
      </c>
      <c r="D1218">
        <v>17020</v>
      </c>
      <c r="E1218" t="str">
        <f>HYPERLINK("http://www.ncbi.nlm.nih.gov/Taxonomy/Browser/wwwtax.cgi?mode=Info&amp;id=6336&amp;lvl=3&amp;lin=f&amp;keep=1&amp;srchmode=1&amp;unlock","6336")</f>
        <v>6336</v>
      </c>
      <c r="F1218" t="s">
        <v>1060</v>
      </c>
      <c r="G1218" t="str">
        <f>HYPERLINK("http://www.ncbi.nlm.nih.gov/Taxonomy/Browser/wwwtax.cgi?mode=Info&amp;id=6336&amp;lvl=3&amp;lin=f&amp;keep=1&amp;srchmode=1&amp;unlock","Trichinella nelsoni")</f>
        <v>Trichinella nelsoni</v>
      </c>
      <c r="H1218" t="s">
        <v>1027</v>
      </c>
      <c r="I1218" t="str">
        <f>HYPERLINK("http://www.ncbi.nlm.nih.gov/protein/KRX28173.1","Ryanodine receptor 44F")</f>
        <v>Ryanodine receptor 44F</v>
      </c>
      <c r="J1218">
        <v>2430.98</v>
      </c>
      <c r="K1218" t="s">
        <v>22</v>
      </c>
      <c r="L1218">
        <v>276</v>
      </c>
      <c r="M1218">
        <v>9.75</v>
      </c>
      <c r="N1218">
        <v>23.25</v>
      </c>
      <c r="O1218" t="s">
        <v>19</v>
      </c>
      <c r="P1218" t="s">
        <v>20</v>
      </c>
      <c r="Q1218" t="s">
        <v>19</v>
      </c>
      <c r="R1218" t="str">
        <f>HYPERLINK("https://cfpub.epa.gov/ecotox/explore.cfm?ncbi=6336","Explore in ECOTOX")</f>
        <v>Explore in ECOTOX</v>
      </c>
    </row>
    <row r="1219" spans="1:18" x14ac:dyDescent="0.45">
      <c r="A1219" t="s">
        <v>1264</v>
      </c>
      <c r="B1219">
        <v>8</v>
      </c>
      <c r="C1219" t="str">
        <f>HYPERLINK("http://www.ncbi.nlm.nih.gov/protein/KAK0170418.1","KAK0170418.1")</f>
        <v>KAK0170418.1</v>
      </c>
      <c r="D1219">
        <v>42615</v>
      </c>
      <c r="E1219" t="str">
        <f>HYPERLINK("http://www.ncbi.nlm.nih.gov/Taxonomy/Browser/wwwtax.cgi?mode=Info&amp;id=144406&amp;lvl=3&amp;lin=f&amp;keep=1&amp;srchmode=1&amp;unlock","144406")</f>
        <v>144406</v>
      </c>
      <c r="F1219" t="s">
        <v>760</v>
      </c>
      <c r="G1219" t="str">
        <f>HYPERLINK("http://www.ncbi.nlm.nih.gov/Taxonomy/Browser/wwwtax.cgi?mode=Info&amp;id=144406&amp;lvl=3&amp;lin=f&amp;keep=1&amp;srchmode=1&amp;unlock","Microctonus aethiopoides")</f>
        <v>Microctonus aethiopoides</v>
      </c>
      <c r="H1219" t="s">
        <v>769</v>
      </c>
      <c r="I1219" t="str">
        <f>HYPERLINK("http://www.ncbi.nlm.nih.gov/protein/KAK0170418.1","hypothetical protein PV328_010986")</f>
        <v>hypothetical protein PV328_010986</v>
      </c>
      <c r="J1219">
        <v>2430.6</v>
      </c>
      <c r="K1219" t="s">
        <v>22</v>
      </c>
      <c r="L1219">
        <v>276</v>
      </c>
      <c r="M1219">
        <v>9.75</v>
      </c>
      <c r="N1219">
        <v>23.25</v>
      </c>
      <c r="O1219" t="s">
        <v>19</v>
      </c>
      <c r="P1219" t="s">
        <v>20</v>
      </c>
      <c r="Q1219" t="s">
        <v>19</v>
      </c>
      <c r="R1219" t="str">
        <f>HYPERLINK("https://cfpub.epa.gov/ecotox/explore.cfm?ncbi=144406","Explore in ECOTOX")</f>
        <v>Explore in ECOTOX</v>
      </c>
    </row>
    <row r="1220" spans="1:18" x14ac:dyDescent="0.45">
      <c r="A1220" t="s">
        <v>1264</v>
      </c>
      <c r="B1220">
        <v>8</v>
      </c>
      <c r="C1220" t="str">
        <f>HYPERLINK("http://www.ncbi.nlm.nih.gov/protein/XP_043283364.1","XP_043283364.1")</f>
        <v>XP_043283364.1</v>
      </c>
      <c r="D1220">
        <v>24001</v>
      </c>
      <c r="E1220" t="str">
        <f>HYPERLINK("http://www.ncbi.nlm.nih.gov/Taxonomy/Browser/wwwtax.cgi?mode=Info&amp;id=32260&amp;lvl=3&amp;lin=f&amp;keep=1&amp;srchmode=1&amp;unlock","32260")</f>
        <v>32260</v>
      </c>
      <c r="F1220" t="s">
        <v>760</v>
      </c>
      <c r="G1220" t="str">
        <f>HYPERLINK("http://www.ncbi.nlm.nih.gov/Taxonomy/Browser/wwwtax.cgi?mode=Info&amp;id=32260&amp;lvl=3&amp;lin=f&amp;keep=1&amp;srchmode=1&amp;unlock","Venturia canescens")</f>
        <v>Venturia canescens</v>
      </c>
      <c r="H1220" t="s">
        <v>769</v>
      </c>
      <c r="I1220" t="str">
        <f>HYPERLINK("http://www.ncbi.nlm.nih.gov/protein/XP_043283364.1","ryanodine receptor isoform X16")</f>
        <v>ryanodine receptor isoform X16</v>
      </c>
      <c r="J1220">
        <v>2429.0500000000002</v>
      </c>
      <c r="K1220" t="s">
        <v>22</v>
      </c>
      <c r="L1220">
        <v>276</v>
      </c>
      <c r="M1220">
        <v>9.75</v>
      </c>
      <c r="N1220">
        <v>23.24</v>
      </c>
      <c r="O1220" t="s">
        <v>19</v>
      </c>
      <c r="P1220" t="s">
        <v>20</v>
      </c>
      <c r="Q1220" t="s">
        <v>19</v>
      </c>
      <c r="R1220" t="str">
        <f>HYPERLINK("https://cfpub.epa.gov/ecotox/explore.cfm?ncbi=32260","Explore in ECOTOX")</f>
        <v>Explore in ECOTOX</v>
      </c>
    </row>
    <row r="1221" spans="1:18" x14ac:dyDescent="0.45">
      <c r="A1221" t="s">
        <v>1264</v>
      </c>
      <c r="B1221">
        <v>8</v>
      </c>
      <c r="C1221" t="str">
        <f>HYPERLINK("http://www.ncbi.nlm.nih.gov/protein/KRX83684.1","KRX83684.1")</f>
        <v>KRX83684.1</v>
      </c>
      <c r="D1221">
        <v>19492</v>
      </c>
      <c r="E1221" t="str">
        <f>HYPERLINK("http://www.ncbi.nlm.nih.gov/Taxonomy/Browser/wwwtax.cgi?mode=Info&amp;id=92179&amp;lvl=3&amp;lin=f&amp;keep=1&amp;srchmode=1&amp;unlock","92179")</f>
        <v>92179</v>
      </c>
      <c r="F1221" t="s">
        <v>1060</v>
      </c>
      <c r="G1221" t="str">
        <f>HYPERLINK("http://www.ncbi.nlm.nih.gov/Taxonomy/Browser/wwwtax.cgi?mode=Info&amp;id=92179&amp;lvl=3&amp;lin=f&amp;keep=1&amp;srchmode=1&amp;unlock","Trichinella sp. T6")</f>
        <v>Trichinella sp. T6</v>
      </c>
      <c r="H1221" t="s">
        <v>1027</v>
      </c>
      <c r="I1221" t="str">
        <f>HYPERLINK("http://www.ncbi.nlm.nih.gov/protein/KRX83684.1","Ryanodine receptor 2")</f>
        <v>Ryanodine receptor 2</v>
      </c>
      <c r="J1221">
        <v>2428.67</v>
      </c>
      <c r="K1221" t="s">
        <v>22</v>
      </c>
      <c r="L1221">
        <v>276</v>
      </c>
      <c r="M1221">
        <v>9.75</v>
      </c>
      <c r="N1221">
        <v>23.23</v>
      </c>
      <c r="O1221" t="s">
        <v>19</v>
      </c>
      <c r="P1221" t="s">
        <v>20</v>
      </c>
      <c r="Q1221" t="s">
        <v>19</v>
      </c>
      <c r="R1221" t="str">
        <f>HYPERLINK("https://cfpub.epa.gov/ecotox/explore.cfm?ncbi=92179","Explore in ECOTOX")</f>
        <v>Explore in ECOTOX</v>
      </c>
    </row>
    <row r="1222" spans="1:18" x14ac:dyDescent="0.45">
      <c r="A1222" t="s">
        <v>1264</v>
      </c>
      <c r="B1222">
        <v>8</v>
      </c>
      <c r="C1222" t="str">
        <f>HYPERLINK("http://www.ncbi.nlm.nih.gov/protein/AIA23859.1","AIA23859.1")</f>
        <v>AIA23859.1</v>
      </c>
      <c r="D1222">
        <v>572</v>
      </c>
      <c r="E1222" t="str">
        <f>HYPERLINK("http://www.ncbi.nlm.nih.gov/Taxonomy/Browser/wwwtax.cgi?mode=Info&amp;id=113103&amp;lvl=3&amp;lin=f&amp;keep=1&amp;srchmode=1&amp;unlock","113103")</f>
        <v>113103</v>
      </c>
      <c r="F1222" t="s">
        <v>760</v>
      </c>
      <c r="G1222" t="str">
        <f>HYPERLINK("http://www.ncbi.nlm.nih.gov/Taxonomy/Browser/wwwtax.cgi?mode=Info&amp;id=113103&amp;lvl=3&amp;lin=f&amp;keep=1&amp;srchmode=1&amp;unlock","Sogatella furcifera")</f>
        <v>Sogatella furcifera</v>
      </c>
      <c r="H1222" t="s">
        <v>1072</v>
      </c>
      <c r="I1222" t="str">
        <f>HYPERLINK("http://www.ncbi.nlm.nih.gov/protein/AIA23859.1","ryanodine receptor")</f>
        <v>ryanodine receptor</v>
      </c>
      <c r="J1222">
        <v>2427.9</v>
      </c>
      <c r="K1222" t="s">
        <v>22</v>
      </c>
      <c r="L1222">
        <v>276</v>
      </c>
      <c r="M1222">
        <v>9.75</v>
      </c>
      <c r="N1222">
        <v>23.22</v>
      </c>
      <c r="O1222" t="s">
        <v>19</v>
      </c>
      <c r="P1222" t="s">
        <v>20</v>
      </c>
      <c r="Q1222" t="s">
        <v>19</v>
      </c>
      <c r="R1222" t="str">
        <f>HYPERLINK("https://cfpub.epa.gov/ecotox/explore.cfm?ncbi=113103","Explore in ECOTOX")</f>
        <v>Explore in ECOTOX</v>
      </c>
    </row>
    <row r="1223" spans="1:18" x14ac:dyDescent="0.45">
      <c r="A1223" t="s">
        <v>1264</v>
      </c>
      <c r="B1223">
        <v>8</v>
      </c>
      <c r="C1223" t="str">
        <f>HYPERLINK("http://www.ncbi.nlm.nih.gov/protein/KAI4503161.1","KAI4503161.1")</f>
        <v>KAI4503161.1</v>
      </c>
      <c r="D1223">
        <v>17014</v>
      </c>
      <c r="E1223" t="str">
        <f>HYPERLINK("http://www.ncbi.nlm.nih.gov/Taxonomy/Browser/wwwtax.cgi?mode=Info&amp;id=91405&amp;lvl=3&amp;lin=f&amp;keep=1&amp;srchmode=1&amp;unlock","91405")</f>
        <v>91405</v>
      </c>
      <c r="F1223" t="s">
        <v>760</v>
      </c>
      <c r="G1223" t="str">
        <f>HYPERLINK("http://www.ncbi.nlm.nih.gov/Taxonomy/Browser/wwwtax.cgi?mode=Info&amp;id=91405&amp;lvl=3&amp;lin=f&amp;keep=1&amp;srchmode=1&amp;unlock","Mischocyttarus mexicanus")</f>
        <v>Mischocyttarus mexicanus</v>
      </c>
      <c r="H1223" t="s">
        <v>808</v>
      </c>
      <c r="I1223" t="str">
        <f>HYPERLINK("http://www.ncbi.nlm.nih.gov/protein/KAI4503161.1","hypothetical protein M0802_001383")</f>
        <v>hypothetical protein M0802_001383</v>
      </c>
      <c r="J1223">
        <v>2427.5100000000002</v>
      </c>
      <c r="K1223" t="s">
        <v>22</v>
      </c>
      <c r="L1223">
        <v>276</v>
      </c>
      <c r="M1223">
        <v>9.75</v>
      </c>
      <c r="N1223">
        <v>23.22</v>
      </c>
      <c r="O1223" t="s">
        <v>19</v>
      </c>
      <c r="P1223" t="s">
        <v>20</v>
      </c>
      <c r="Q1223" t="s">
        <v>19</v>
      </c>
      <c r="R1223" t="str">
        <f>HYPERLINK("https://cfpub.epa.gov/ecotox/explore.cfm?ncbi=91405","Explore in ECOTOX")</f>
        <v>Explore in ECOTOX</v>
      </c>
    </row>
    <row r="1224" spans="1:18" x14ac:dyDescent="0.45">
      <c r="A1224" t="s">
        <v>1264</v>
      </c>
      <c r="B1224">
        <v>8</v>
      </c>
      <c r="C1224" t="str">
        <f>HYPERLINK("http://www.ncbi.nlm.nih.gov/protein/KAG8039117.1","KAG8039117.1")</f>
        <v>KAG8039117.1</v>
      </c>
      <c r="D1224">
        <v>8423</v>
      </c>
      <c r="E1224" t="str">
        <f>HYPERLINK("http://www.ncbi.nlm.nih.gov/Taxonomy/Browser/wwwtax.cgi?mode=Info&amp;id=2053667&amp;lvl=3&amp;lin=f&amp;keep=1&amp;srchmode=1&amp;unlock","2053667")</f>
        <v>2053667</v>
      </c>
      <c r="F1224" t="s">
        <v>760</v>
      </c>
      <c r="G1224" t="str">
        <f>HYPERLINK("http://www.ncbi.nlm.nih.gov/Taxonomy/Browser/wwwtax.cgi?mode=Info&amp;id=2053667&amp;lvl=3&amp;lin=f&amp;keep=1&amp;srchmode=1&amp;unlock","Cotesia typhae")</f>
        <v>Cotesia typhae</v>
      </c>
      <c r="H1224" t="s">
        <v>769</v>
      </c>
      <c r="I1224" t="str">
        <f>HYPERLINK("http://www.ncbi.nlm.nih.gov/protein/KAG8039117.1","hypothetical protein G9C98_003424")</f>
        <v>hypothetical protein G9C98_003424</v>
      </c>
      <c r="J1224">
        <v>2427.5100000000002</v>
      </c>
      <c r="K1224" t="s">
        <v>22</v>
      </c>
      <c r="L1224">
        <v>276</v>
      </c>
      <c r="M1224">
        <v>9.75</v>
      </c>
      <c r="N1224">
        <v>23.22</v>
      </c>
      <c r="O1224" t="s">
        <v>19</v>
      </c>
      <c r="P1224" t="s">
        <v>20</v>
      </c>
      <c r="Q1224" t="s">
        <v>19</v>
      </c>
      <c r="R1224" t="str">
        <f>HYPERLINK("https://cfpub.epa.gov/ecotox/explore.cfm?ncbi=2053667","Explore in ECOTOX")</f>
        <v>Explore in ECOTOX</v>
      </c>
    </row>
    <row r="1225" spans="1:18" x14ac:dyDescent="0.45">
      <c r="A1225" t="s">
        <v>1264</v>
      </c>
      <c r="B1225">
        <v>8</v>
      </c>
      <c r="C1225" t="str">
        <f>HYPERLINK("http://www.ncbi.nlm.nih.gov/protein/CAH0100917.1","CAH0100917.1")</f>
        <v>CAH0100917.1</v>
      </c>
      <c r="D1225">
        <v>16000</v>
      </c>
      <c r="E1225" t="str">
        <f>HYPERLINK("http://www.ncbi.nlm.nih.gov/Taxonomy/Browser/wwwtax.cgi?mode=Info&amp;id=27404&amp;lvl=3&amp;lin=f&amp;keep=1&amp;srchmode=1&amp;unlock","27404")</f>
        <v>27404</v>
      </c>
      <c r="F1225" t="s">
        <v>1073</v>
      </c>
      <c r="G1225" t="str">
        <f>HYPERLINK("http://www.ncbi.nlm.nih.gov/Taxonomy/Browser/wwwtax.cgi?mode=Info&amp;id=27404&amp;lvl=3&amp;lin=f&amp;keep=1&amp;srchmode=1&amp;unlock","Daphnia galeata")</f>
        <v>Daphnia galeata</v>
      </c>
      <c r="H1225" t="s">
        <v>1074</v>
      </c>
      <c r="I1225" t="str">
        <f>HYPERLINK("http://www.ncbi.nlm.nih.gov/protein/CAH0100917.1","unnamed protein product, partial")</f>
        <v>unnamed protein product, partial</v>
      </c>
      <c r="J1225">
        <v>2427.13</v>
      </c>
      <c r="K1225" t="s">
        <v>22</v>
      </c>
      <c r="L1225">
        <v>276</v>
      </c>
      <c r="M1225">
        <v>9.75</v>
      </c>
      <c r="N1225">
        <v>23.22</v>
      </c>
      <c r="O1225" t="s">
        <v>19</v>
      </c>
      <c r="P1225" t="s">
        <v>20</v>
      </c>
      <c r="Q1225" t="s">
        <v>19</v>
      </c>
      <c r="R1225" t="str">
        <f>HYPERLINK("https://cfpub.epa.gov/ecotox/explore.cfm?ncbi=27404","Explore in ECOTOX")</f>
        <v>Explore in ECOTOX</v>
      </c>
    </row>
    <row r="1226" spans="1:18" x14ac:dyDescent="0.45">
      <c r="A1226" t="s">
        <v>1264</v>
      </c>
      <c r="B1226">
        <v>8</v>
      </c>
      <c r="C1226" t="str">
        <f>HYPERLINK("http://www.ncbi.nlm.nih.gov/protein/XP_031777943.1","XP_031777943.1")</f>
        <v>XP_031777943.1</v>
      </c>
      <c r="D1226">
        <v>34899</v>
      </c>
      <c r="E1226" t="str">
        <f>HYPERLINK("http://www.ncbi.nlm.nih.gov/Taxonomy/Browser/wwwtax.cgi?mode=Info&amp;id=7425&amp;lvl=3&amp;lin=f&amp;keep=1&amp;srchmode=1&amp;unlock","7425")</f>
        <v>7425</v>
      </c>
      <c r="F1226" t="s">
        <v>760</v>
      </c>
      <c r="G1226" t="str">
        <f>HYPERLINK("http://www.ncbi.nlm.nih.gov/Taxonomy/Browser/wwwtax.cgi?mode=Info&amp;id=7425&amp;lvl=3&amp;lin=f&amp;keep=1&amp;srchmode=1&amp;unlock","Nasonia vitripennis")</f>
        <v>Nasonia vitripennis</v>
      </c>
      <c r="H1226" t="s">
        <v>1075</v>
      </c>
      <c r="I1226" t="str">
        <f>HYPERLINK("http://www.ncbi.nlm.nih.gov/protein/XP_031777943.1","ryanodine receptor")</f>
        <v>ryanodine receptor</v>
      </c>
      <c r="J1226">
        <v>2425.9699999999998</v>
      </c>
      <c r="K1226" t="s">
        <v>22</v>
      </c>
      <c r="L1226">
        <v>276</v>
      </c>
      <c r="M1226">
        <v>9.75</v>
      </c>
      <c r="N1226">
        <v>23.21</v>
      </c>
      <c r="O1226" t="s">
        <v>19</v>
      </c>
      <c r="P1226" t="s">
        <v>20</v>
      </c>
      <c r="Q1226" t="s">
        <v>19</v>
      </c>
      <c r="R1226" t="str">
        <f>HYPERLINK("https://cfpub.epa.gov/ecotox/explore.cfm?ncbi=7425","Explore in ECOTOX")</f>
        <v>Explore in ECOTOX</v>
      </c>
    </row>
    <row r="1227" spans="1:18" x14ac:dyDescent="0.45">
      <c r="A1227" t="s">
        <v>1264</v>
      </c>
      <c r="B1227">
        <v>8</v>
      </c>
      <c r="C1227" t="str">
        <f>HYPERLINK("http://www.ncbi.nlm.nih.gov/protein/XP_011496960.1","XP_011496960.1")</f>
        <v>XP_011496960.1</v>
      </c>
      <c r="D1227">
        <v>12688</v>
      </c>
      <c r="E1227" t="str">
        <f>HYPERLINK("http://www.ncbi.nlm.nih.gov/Taxonomy/Browser/wwwtax.cgi?mode=Info&amp;id=326594&amp;lvl=3&amp;lin=f&amp;keep=1&amp;srchmode=1&amp;unlock","326594")</f>
        <v>326594</v>
      </c>
      <c r="F1227" t="s">
        <v>760</v>
      </c>
      <c r="G1227" t="str">
        <f>HYPERLINK("http://www.ncbi.nlm.nih.gov/Taxonomy/Browser/wwwtax.cgi?mode=Info&amp;id=326594&amp;lvl=3&amp;lin=f&amp;keep=1&amp;srchmode=1&amp;unlock","Ceratosolen solmsi marchali")</f>
        <v>Ceratosolen solmsi marchali</v>
      </c>
      <c r="H1227" t="s">
        <v>1076</v>
      </c>
      <c r="I1227" t="str">
        <f>HYPERLINK("http://www.ncbi.nlm.nih.gov/protein/XP_011496960.1","PREDICTED: LOW QUALITY PROTEIN: ryanodine receptor 44F")</f>
        <v>PREDICTED: LOW QUALITY PROTEIN: ryanodine receptor 44F</v>
      </c>
      <c r="J1227">
        <v>2425.59</v>
      </c>
      <c r="K1227" t="s">
        <v>22</v>
      </c>
      <c r="L1227">
        <v>276</v>
      </c>
      <c r="M1227">
        <v>9.75</v>
      </c>
      <c r="N1227">
        <v>23.2</v>
      </c>
      <c r="O1227" t="s">
        <v>19</v>
      </c>
      <c r="P1227" t="s">
        <v>20</v>
      </c>
      <c r="Q1227" t="s">
        <v>19</v>
      </c>
      <c r="R1227" t="str">
        <f>HYPERLINK("https://cfpub.epa.gov/ecotox/explore.cfm?ncbi=326594","Explore in ECOTOX")</f>
        <v>Explore in ECOTOX</v>
      </c>
    </row>
    <row r="1228" spans="1:18" x14ac:dyDescent="0.45">
      <c r="A1228" t="s">
        <v>1264</v>
      </c>
      <c r="B1228">
        <v>8</v>
      </c>
      <c r="C1228" t="str">
        <f>HYPERLINK("http://www.ncbi.nlm.nih.gov/protein/XP_044590955.1","XP_044590955.1")</f>
        <v>XP_044590955.1</v>
      </c>
      <c r="D1228">
        <v>44566</v>
      </c>
      <c r="E1228" t="str">
        <f>HYPERLINK("http://www.ncbi.nlm.nih.gov/Taxonomy/Browser/wwwtax.cgi?mode=Info&amp;id=32391&amp;lvl=3&amp;lin=f&amp;keep=1&amp;srchmode=1&amp;unlock","32391")</f>
        <v>32391</v>
      </c>
      <c r="F1228" t="s">
        <v>760</v>
      </c>
      <c r="G1228" t="str">
        <f>HYPERLINK("http://www.ncbi.nlm.nih.gov/Taxonomy/Browser/wwwtax.cgi?mode=Info&amp;id=32391&amp;lvl=3&amp;lin=f&amp;keep=1&amp;srchmode=1&amp;unlock","Cotesia glomerata")</f>
        <v>Cotesia glomerata</v>
      </c>
      <c r="H1228" t="s">
        <v>769</v>
      </c>
      <c r="I1228" t="str">
        <f>HYPERLINK("http://www.ncbi.nlm.nih.gov/protein/XP_044590955.1","ryanodine receptor isoform X8")</f>
        <v>ryanodine receptor isoform X8</v>
      </c>
      <c r="J1228">
        <v>2425.1999999999998</v>
      </c>
      <c r="K1228" t="s">
        <v>22</v>
      </c>
      <c r="L1228">
        <v>276</v>
      </c>
      <c r="M1228">
        <v>9.75</v>
      </c>
      <c r="N1228">
        <v>23.2</v>
      </c>
      <c r="O1228" t="s">
        <v>19</v>
      </c>
      <c r="P1228" t="s">
        <v>20</v>
      </c>
      <c r="Q1228" t="s">
        <v>19</v>
      </c>
      <c r="R1228" t="str">
        <f>HYPERLINK("https://cfpub.epa.gov/ecotox/explore.cfm?ncbi=32391","Explore in ECOTOX")</f>
        <v>Explore in ECOTOX</v>
      </c>
    </row>
    <row r="1229" spans="1:18" x14ac:dyDescent="0.45">
      <c r="A1229" t="s">
        <v>1264</v>
      </c>
      <c r="B1229">
        <v>8</v>
      </c>
      <c r="C1229" t="str">
        <f>HYPERLINK("http://www.ncbi.nlm.nih.gov/protein/XP_037888098.1","XP_037888098.1")</f>
        <v>XP_037888098.1</v>
      </c>
      <c r="D1229">
        <v>38017</v>
      </c>
      <c r="E1229" t="str">
        <f>HYPERLINK("http://www.ncbi.nlm.nih.gov/Taxonomy/Browser/wwwtax.cgi?mode=Info&amp;id=7396&amp;lvl=3&amp;lin=f&amp;keep=1&amp;srchmode=1&amp;unlock","7396")</f>
        <v>7396</v>
      </c>
      <c r="F1229" t="s">
        <v>760</v>
      </c>
      <c r="G1229" t="str">
        <f>HYPERLINK("http://www.ncbi.nlm.nih.gov/Taxonomy/Browser/wwwtax.cgi?mode=Info&amp;id=7396&amp;lvl=3&amp;lin=f&amp;keep=1&amp;srchmode=1&amp;unlock","Glossina fuscipes")</f>
        <v>Glossina fuscipes</v>
      </c>
      <c r="H1229" t="s">
        <v>1077</v>
      </c>
      <c r="I1229" t="str">
        <f>HYPERLINK("http://www.ncbi.nlm.nih.gov/protein/XP_037888098.1","ryanodine receptor isoform X9")</f>
        <v>ryanodine receptor isoform X9</v>
      </c>
      <c r="J1229">
        <v>2425.1999999999998</v>
      </c>
      <c r="K1229" t="s">
        <v>22</v>
      </c>
      <c r="L1229">
        <v>276</v>
      </c>
      <c r="M1229">
        <v>9.75</v>
      </c>
      <c r="N1229">
        <v>23.2</v>
      </c>
      <c r="O1229" t="s">
        <v>19</v>
      </c>
      <c r="P1229" t="s">
        <v>20</v>
      </c>
      <c r="Q1229" t="s">
        <v>19</v>
      </c>
      <c r="R1229" t="str">
        <f>HYPERLINK("https://cfpub.epa.gov/ecotox/explore.cfm?ncbi=7396","Explore in ECOTOX")</f>
        <v>Explore in ECOTOX</v>
      </c>
    </row>
    <row r="1230" spans="1:18" x14ac:dyDescent="0.45">
      <c r="A1230" t="s">
        <v>1264</v>
      </c>
      <c r="B1230">
        <v>8</v>
      </c>
      <c r="C1230" t="str">
        <f>HYPERLINK("http://www.ncbi.nlm.nih.gov/protein/XP_049274432.1","XP_049274432.1")</f>
        <v>XP_049274432.1</v>
      </c>
      <c r="D1230">
        <v>56850</v>
      </c>
      <c r="E1230" t="str">
        <f>HYPERLINK("http://www.ncbi.nlm.nih.gov/Taxonomy/Browser/wwwtax.cgi?mode=Info&amp;id=34632&amp;lvl=3&amp;lin=f&amp;keep=1&amp;srchmode=1&amp;unlock","34632")</f>
        <v>34632</v>
      </c>
      <c r="F1230" t="s">
        <v>904</v>
      </c>
      <c r="G1230" t="str">
        <f>HYPERLINK("http://www.ncbi.nlm.nih.gov/Taxonomy/Browser/wwwtax.cgi?mode=Info&amp;id=34632&amp;lvl=3&amp;lin=f&amp;keep=1&amp;srchmode=1&amp;unlock","Rhipicephalus sanguineus")</f>
        <v>Rhipicephalus sanguineus</v>
      </c>
      <c r="H1230" t="s">
        <v>1078</v>
      </c>
      <c r="I1230" t="str">
        <f>HYPERLINK("http://www.ncbi.nlm.nih.gov/protein/XP_049274432.1","LOW QUALITY PROTEIN: ryanodine receptor-like")</f>
        <v>LOW QUALITY PROTEIN: ryanodine receptor-like</v>
      </c>
      <c r="J1230">
        <v>2424.8200000000002</v>
      </c>
      <c r="K1230" t="s">
        <v>22</v>
      </c>
      <c r="L1230">
        <v>276</v>
      </c>
      <c r="M1230">
        <v>9.75</v>
      </c>
      <c r="N1230">
        <v>23.2</v>
      </c>
      <c r="O1230" t="s">
        <v>19</v>
      </c>
      <c r="P1230" t="s">
        <v>20</v>
      </c>
      <c r="Q1230" t="s">
        <v>19</v>
      </c>
      <c r="R1230" t="str">
        <f>HYPERLINK("https://cfpub.epa.gov/ecotox/explore.cfm?ncbi=34632","Explore in ECOTOX")</f>
        <v>Explore in ECOTOX</v>
      </c>
    </row>
    <row r="1231" spans="1:18" x14ac:dyDescent="0.45">
      <c r="A1231" t="s">
        <v>1264</v>
      </c>
      <c r="B1231">
        <v>8</v>
      </c>
      <c r="C1231" t="str">
        <f>HYPERLINK("http://www.ncbi.nlm.nih.gov/protein/XP_034245295.1","XP_034245295.1")</f>
        <v>XP_034245295.1</v>
      </c>
      <c r="D1231">
        <v>27733</v>
      </c>
      <c r="E1231" t="str">
        <f>HYPERLINK("http://www.ncbi.nlm.nih.gov/Taxonomy/Browser/wwwtax.cgi?mode=Info&amp;id=161013&amp;lvl=3&amp;lin=f&amp;keep=1&amp;srchmode=1&amp;unlock","161013")</f>
        <v>161013</v>
      </c>
      <c r="F1231" t="s">
        <v>760</v>
      </c>
      <c r="G1231" t="str">
        <f>HYPERLINK("http://www.ncbi.nlm.nih.gov/Taxonomy/Browser/wwwtax.cgi?mode=Info&amp;id=161013&amp;lvl=3&amp;lin=f&amp;keep=1&amp;srchmode=1&amp;unlock","Thrips palmi")</f>
        <v>Thrips palmi</v>
      </c>
      <c r="H1231" t="s">
        <v>1037</v>
      </c>
      <c r="I1231" t="str">
        <f>HYPERLINK("http://www.ncbi.nlm.nih.gov/protein/XP_034245295.1","ryanodine receptor")</f>
        <v>ryanodine receptor</v>
      </c>
      <c r="J1231">
        <v>2424.8200000000002</v>
      </c>
      <c r="K1231" t="s">
        <v>22</v>
      </c>
      <c r="L1231">
        <v>276</v>
      </c>
      <c r="M1231">
        <v>9.75</v>
      </c>
      <c r="N1231">
        <v>23.2</v>
      </c>
      <c r="O1231" t="s">
        <v>19</v>
      </c>
      <c r="P1231" t="s">
        <v>20</v>
      </c>
      <c r="Q1231" t="s">
        <v>19</v>
      </c>
      <c r="R1231" t="str">
        <f>HYPERLINK("https://cfpub.epa.gov/ecotox/explore.cfm?ncbi=161013","Explore in ECOTOX")</f>
        <v>Explore in ECOTOX</v>
      </c>
    </row>
    <row r="1232" spans="1:18" x14ac:dyDescent="0.45">
      <c r="A1232" t="s">
        <v>1264</v>
      </c>
      <c r="B1232">
        <v>8</v>
      </c>
      <c r="C1232" t="str">
        <f>HYPERLINK("http://www.ncbi.nlm.nih.gov/protein/KRZ62741.1","KRZ62741.1")</f>
        <v>KRZ62741.1</v>
      </c>
      <c r="D1232">
        <v>27104</v>
      </c>
      <c r="E1232" t="str">
        <f>HYPERLINK("http://www.ncbi.nlm.nih.gov/Taxonomy/Browser/wwwtax.cgi?mode=Info&amp;id=6335&amp;lvl=3&amp;lin=f&amp;keep=1&amp;srchmode=1&amp;unlock","6335")</f>
        <v>6335</v>
      </c>
      <c r="F1232" t="s">
        <v>1060</v>
      </c>
      <c r="G1232" t="str">
        <f>HYPERLINK("http://www.ncbi.nlm.nih.gov/Taxonomy/Browser/wwwtax.cgi?mode=Info&amp;id=6335&amp;lvl=3&amp;lin=f&amp;keep=1&amp;srchmode=1&amp;unlock","Trichinella nativa")</f>
        <v>Trichinella nativa</v>
      </c>
      <c r="H1232" t="s">
        <v>1027</v>
      </c>
      <c r="I1232" t="str">
        <f>HYPERLINK("http://www.ncbi.nlm.nih.gov/protein/KRZ62741.1","Ryanodine receptor 2")</f>
        <v>Ryanodine receptor 2</v>
      </c>
      <c r="J1232">
        <v>2424.4299999999998</v>
      </c>
      <c r="K1232" t="s">
        <v>22</v>
      </c>
      <c r="L1232">
        <v>276</v>
      </c>
      <c r="M1232">
        <v>9.75</v>
      </c>
      <c r="N1232">
        <v>23.19</v>
      </c>
      <c r="O1232" t="s">
        <v>19</v>
      </c>
      <c r="P1232" t="s">
        <v>20</v>
      </c>
      <c r="Q1232" t="s">
        <v>19</v>
      </c>
      <c r="R1232" t="str">
        <f>HYPERLINK("https://cfpub.epa.gov/ecotox/explore.cfm?ncbi=6335","Explore in ECOTOX")</f>
        <v>Explore in ECOTOX</v>
      </c>
    </row>
    <row r="1233" spans="1:18" x14ac:dyDescent="0.45">
      <c r="A1233" t="s">
        <v>1264</v>
      </c>
      <c r="B1233">
        <v>8</v>
      </c>
      <c r="C1233" t="str">
        <f>HYPERLINK("http://www.ncbi.nlm.nih.gov/protein/XP_013145421.1","XP_013145421.1")</f>
        <v>XP_013145421.1</v>
      </c>
      <c r="D1233">
        <v>17972</v>
      </c>
      <c r="E1233" t="str">
        <f>HYPERLINK("http://www.ncbi.nlm.nih.gov/Taxonomy/Browser/wwwtax.cgi?mode=Info&amp;id=76194&amp;lvl=3&amp;lin=f&amp;keep=1&amp;srchmode=1&amp;unlock","76194")</f>
        <v>76194</v>
      </c>
      <c r="F1233" t="s">
        <v>760</v>
      </c>
      <c r="G1233" t="str">
        <f>HYPERLINK("http://www.ncbi.nlm.nih.gov/Taxonomy/Browser/wwwtax.cgi?mode=Info&amp;id=76194&amp;lvl=3&amp;lin=f&amp;keep=1&amp;srchmode=1&amp;unlock","Papilio polytes")</f>
        <v>Papilio polytes</v>
      </c>
      <c r="H1233" t="s">
        <v>1079</v>
      </c>
      <c r="I1233" t="str">
        <f>HYPERLINK("http://www.ncbi.nlm.nih.gov/protein/XP_013145421.1","PREDICTED: ryanodine receptor 44F")</f>
        <v>PREDICTED: ryanodine receptor 44F</v>
      </c>
      <c r="J1233">
        <v>2422.12</v>
      </c>
      <c r="K1233" t="s">
        <v>22</v>
      </c>
      <c r="L1233">
        <v>276</v>
      </c>
      <c r="M1233">
        <v>9.75</v>
      </c>
      <c r="N1233">
        <v>23.17</v>
      </c>
      <c r="O1233" t="s">
        <v>19</v>
      </c>
      <c r="P1233" t="s">
        <v>20</v>
      </c>
      <c r="Q1233" t="s">
        <v>19</v>
      </c>
      <c r="R1233" t="str">
        <f>HYPERLINK("https://cfpub.epa.gov/ecotox/explore.cfm?ncbi=76194","Explore in ECOTOX")</f>
        <v>Explore in ECOTOX</v>
      </c>
    </row>
    <row r="1234" spans="1:18" x14ac:dyDescent="0.45">
      <c r="A1234" t="s">
        <v>1264</v>
      </c>
      <c r="B1234">
        <v>8</v>
      </c>
      <c r="C1234" t="str">
        <f>HYPERLINK("http://www.ncbi.nlm.nih.gov/protein/KRY59582.1","KRY59582.1")</f>
        <v>KRY59582.1</v>
      </c>
      <c r="D1234">
        <v>20916</v>
      </c>
      <c r="E1234" t="str">
        <f>HYPERLINK("http://www.ncbi.nlm.nih.gov/Taxonomy/Browser/wwwtax.cgi?mode=Info&amp;id=45882&amp;lvl=3&amp;lin=f&amp;keep=1&amp;srchmode=1&amp;unlock","45882")</f>
        <v>45882</v>
      </c>
      <c r="F1234" t="s">
        <v>1060</v>
      </c>
      <c r="G1234" t="str">
        <f>HYPERLINK("http://www.ncbi.nlm.nih.gov/Taxonomy/Browser/wwwtax.cgi?mode=Info&amp;id=45882&amp;lvl=3&amp;lin=f&amp;keep=1&amp;srchmode=1&amp;unlock","Trichinella britovi")</f>
        <v>Trichinella britovi</v>
      </c>
      <c r="H1234" t="s">
        <v>1027</v>
      </c>
      <c r="I1234" t="str">
        <f>HYPERLINK("http://www.ncbi.nlm.nih.gov/protein/KRY59582.1","Ryanodine receptor 44F")</f>
        <v>Ryanodine receptor 44F</v>
      </c>
      <c r="J1234">
        <v>2421.7399999999998</v>
      </c>
      <c r="K1234" t="s">
        <v>22</v>
      </c>
      <c r="L1234">
        <v>276</v>
      </c>
      <c r="M1234">
        <v>9.75</v>
      </c>
      <c r="N1234">
        <v>23.17</v>
      </c>
      <c r="O1234" t="s">
        <v>19</v>
      </c>
      <c r="P1234" t="s">
        <v>20</v>
      </c>
      <c r="Q1234" t="s">
        <v>19</v>
      </c>
      <c r="R1234" t="str">
        <f>HYPERLINK("https://cfpub.epa.gov/ecotox/explore.cfm?ncbi=45882","Explore in ECOTOX")</f>
        <v>Explore in ECOTOX</v>
      </c>
    </row>
    <row r="1235" spans="1:18" x14ac:dyDescent="0.45">
      <c r="A1235" t="s">
        <v>1264</v>
      </c>
      <c r="B1235">
        <v>8</v>
      </c>
      <c r="C1235" t="str">
        <f>HYPERLINK("http://www.ncbi.nlm.nih.gov/protein/XP_023290527.1","XP_023290527.1")</f>
        <v>XP_023290527.1</v>
      </c>
      <c r="D1235">
        <v>19714</v>
      </c>
      <c r="E1235" t="str">
        <f>HYPERLINK("http://www.ncbi.nlm.nih.gov/Taxonomy/Browser/wwwtax.cgi?mode=Info&amp;id=222816&amp;lvl=3&amp;lin=f&amp;keep=1&amp;srchmode=1&amp;unlock","222816")</f>
        <v>222816</v>
      </c>
      <c r="F1235" t="s">
        <v>760</v>
      </c>
      <c r="G1235" t="str">
        <f>HYPERLINK("http://www.ncbi.nlm.nih.gov/Taxonomy/Browser/wwwtax.cgi?mode=Info&amp;id=222816&amp;lvl=3&amp;lin=f&amp;keep=1&amp;srchmode=1&amp;unlock","Orussus abietinus")</f>
        <v>Orussus abietinus</v>
      </c>
      <c r="H1235" t="s">
        <v>1080</v>
      </c>
      <c r="I1235" t="str">
        <f>HYPERLINK("http://www.ncbi.nlm.nih.gov/protein/XP_023290527.1","ryanodine receptor")</f>
        <v>ryanodine receptor</v>
      </c>
      <c r="J1235">
        <v>2420.19</v>
      </c>
      <c r="K1235" t="s">
        <v>22</v>
      </c>
      <c r="L1235">
        <v>276</v>
      </c>
      <c r="M1235">
        <v>9.75</v>
      </c>
      <c r="N1235">
        <v>23.15</v>
      </c>
      <c r="O1235" t="s">
        <v>19</v>
      </c>
      <c r="P1235" t="s">
        <v>20</v>
      </c>
      <c r="Q1235" t="s">
        <v>19</v>
      </c>
      <c r="R1235" t="str">
        <f>HYPERLINK("https://cfpub.epa.gov/ecotox/explore.cfm?ncbi=222816","Explore in ECOTOX")</f>
        <v>Explore in ECOTOX</v>
      </c>
    </row>
    <row r="1236" spans="1:18" x14ac:dyDescent="0.45">
      <c r="A1236" t="s">
        <v>1264</v>
      </c>
      <c r="B1236">
        <v>8</v>
      </c>
      <c r="C1236" t="str">
        <f>HYPERLINK("http://www.ncbi.nlm.nih.gov/protein/KAI9557111.1","KAI9557111.1")</f>
        <v>KAI9557111.1</v>
      </c>
      <c r="D1236">
        <v>20141</v>
      </c>
      <c r="E1236" t="str">
        <f>HYPERLINK("http://www.ncbi.nlm.nih.gov/Taxonomy/Browser/wwwtax.cgi?mode=Info&amp;id=1820382&amp;lvl=3&amp;lin=f&amp;keep=1&amp;srchmode=1&amp;unlock","1820382")</f>
        <v>1820382</v>
      </c>
      <c r="F1236" t="s">
        <v>1073</v>
      </c>
      <c r="G1236" t="str">
        <f>HYPERLINK("http://www.ncbi.nlm.nih.gov/Taxonomy/Browser/wwwtax.cgi?mode=Info&amp;id=1820382&amp;lvl=3&amp;lin=f&amp;keep=1&amp;srchmode=1&amp;unlock","Daphnia sinensis")</f>
        <v>Daphnia sinensis</v>
      </c>
      <c r="H1236" t="s">
        <v>1074</v>
      </c>
      <c r="I1236" t="str">
        <f>HYPERLINK("http://www.ncbi.nlm.nih.gov/protein/KAI9557111.1","hypothetical protein GHT06_016909")</f>
        <v>hypothetical protein GHT06_016909</v>
      </c>
      <c r="J1236">
        <v>2419.81</v>
      </c>
      <c r="K1236" t="s">
        <v>22</v>
      </c>
      <c r="L1236">
        <v>276</v>
      </c>
      <c r="M1236">
        <v>9.75</v>
      </c>
      <c r="N1236">
        <v>23.15</v>
      </c>
      <c r="O1236" t="s">
        <v>19</v>
      </c>
      <c r="P1236" t="s">
        <v>20</v>
      </c>
      <c r="Q1236" t="s">
        <v>19</v>
      </c>
      <c r="R1236" t="str">
        <f>HYPERLINK("https://cfpub.epa.gov/ecotox/explore.cfm?ncbi=1820382","Explore in ECOTOX")</f>
        <v>Explore in ECOTOX</v>
      </c>
    </row>
    <row r="1237" spans="1:18" x14ac:dyDescent="0.45">
      <c r="A1237" t="s">
        <v>1264</v>
      </c>
      <c r="B1237">
        <v>8</v>
      </c>
      <c r="C1237" t="str">
        <f>HYPERLINK("http://www.ncbi.nlm.nih.gov/protein/KAK0162053.1","KAK0162053.1")</f>
        <v>KAK0162053.1</v>
      </c>
      <c r="D1237">
        <v>12933</v>
      </c>
      <c r="E1237" t="str">
        <f>HYPERLINK("http://www.ncbi.nlm.nih.gov/Taxonomy/Browser/wwwtax.cgi?mode=Info&amp;id=165561&amp;lvl=3&amp;lin=f&amp;keep=1&amp;srchmode=1&amp;unlock","165561")</f>
        <v>165561</v>
      </c>
      <c r="F1237" t="s">
        <v>760</v>
      </c>
      <c r="G1237" t="str">
        <f>HYPERLINK("http://www.ncbi.nlm.nih.gov/Taxonomy/Browser/wwwtax.cgi?mode=Info&amp;id=165561&amp;lvl=3&amp;lin=f&amp;keep=1&amp;srchmode=1&amp;unlock","Microctonus hyperodae")</f>
        <v>Microctonus hyperodae</v>
      </c>
      <c r="H1237" t="s">
        <v>769</v>
      </c>
      <c r="I1237" t="str">
        <f>HYPERLINK("http://www.ncbi.nlm.nih.gov/protein/KAK0162053.1","hypothetical protein PV327_008421")</f>
        <v>hypothetical protein PV327_008421</v>
      </c>
      <c r="J1237">
        <v>2419.81</v>
      </c>
      <c r="K1237" t="s">
        <v>22</v>
      </c>
      <c r="L1237">
        <v>276</v>
      </c>
      <c r="M1237">
        <v>9.75</v>
      </c>
      <c r="N1237">
        <v>23.15</v>
      </c>
      <c r="O1237" t="s">
        <v>19</v>
      </c>
      <c r="P1237" t="s">
        <v>20</v>
      </c>
      <c r="Q1237" t="s">
        <v>19</v>
      </c>
      <c r="R1237" t="str">
        <f>HYPERLINK("https://cfpub.epa.gov/ecotox/explore.cfm?ncbi=165561","Explore in ECOTOX")</f>
        <v>Explore in ECOTOX</v>
      </c>
    </row>
    <row r="1238" spans="1:18" x14ac:dyDescent="0.45">
      <c r="A1238" t="s">
        <v>1264</v>
      </c>
      <c r="B1238">
        <v>8</v>
      </c>
      <c r="C1238" t="str">
        <f>HYPERLINK("http://www.ncbi.nlm.nih.gov/protein/KAB0792305.1","KAB0792305.1")</f>
        <v>KAB0792305.1</v>
      </c>
      <c r="D1238">
        <v>48178</v>
      </c>
      <c r="E1238" t="str">
        <f>HYPERLINK("http://www.ncbi.nlm.nih.gov/Taxonomy/Browser/wwwtax.cgi?mode=Info&amp;id=7054&amp;lvl=3&amp;lin=f&amp;keep=1&amp;srchmode=1&amp;unlock","7054")</f>
        <v>7054</v>
      </c>
      <c r="F1238" t="s">
        <v>760</v>
      </c>
      <c r="G1238" t="str">
        <f>HYPERLINK("http://www.ncbi.nlm.nih.gov/Taxonomy/Browser/wwwtax.cgi?mode=Info&amp;id=7054&amp;lvl=3&amp;lin=f&amp;keep=1&amp;srchmode=1&amp;unlock","Photinus pyralis")</f>
        <v>Photinus pyralis</v>
      </c>
      <c r="H1238" t="s">
        <v>1081</v>
      </c>
      <c r="I1238" t="str">
        <f>HYPERLINK("http://www.ncbi.nlm.nih.gov/protein/KAB0792305.1","hypothetical protein PPYR_14264")</f>
        <v>hypothetical protein PPYR_14264</v>
      </c>
      <c r="J1238">
        <v>2418.27</v>
      </c>
      <c r="K1238" t="s">
        <v>22</v>
      </c>
      <c r="L1238">
        <v>276</v>
      </c>
      <c r="M1238">
        <v>9.75</v>
      </c>
      <c r="N1238">
        <v>23.13</v>
      </c>
      <c r="O1238" t="s">
        <v>19</v>
      </c>
      <c r="P1238" t="s">
        <v>20</v>
      </c>
      <c r="Q1238" t="s">
        <v>19</v>
      </c>
      <c r="R1238" t="str">
        <f>HYPERLINK("https://cfpub.epa.gov/ecotox/explore.cfm?ncbi=7054","Explore in ECOTOX")</f>
        <v>Explore in ECOTOX</v>
      </c>
    </row>
    <row r="1239" spans="1:18" x14ac:dyDescent="0.45">
      <c r="A1239" t="s">
        <v>1264</v>
      </c>
      <c r="B1239">
        <v>8</v>
      </c>
      <c r="C1239" t="str">
        <f>HYPERLINK("http://www.ncbi.nlm.nih.gov/protein/KAG8184851.1","KAG8184851.1")</f>
        <v>KAG8184851.1</v>
      </c>
      <c r="D1239">
        <v>32264</v>
      </c>
      <c r="E1239" t="str">
        <f>HYPERLINK("http://www.ncbi.nlm.nih.gov/Taxonomy/Browser/wwwtax.cgi?mode=Info&amp;id=931172&amp;lvl=3&amp;lin=f&amp;keep=1&amp;srchmode=1&amp;unlock","931172")</f>
        <v>931172</v>
      </c>
      <c r="F1239" t="s">
        <v>904</v>
      </c>
      <c r="G1239" t="str">
        <f>HYPERLINK("http://www.ncbi.nlm.nih.gov/Taxonomy/Browser/wwwtax.cgi?mode=Info&amp;id=931172&amp;lvl=3&amp;lin=f&amp;keep=1&amp;srchmode=1&amp;unlock","Oedothorax gibbosus")</f>
        <v>Oedothorax gibbosus</v>
      </c>
      <c r="H1239" t="s">
        <v>1082</v>
      </c>
      <c r="I1239" t="str">
        <f>HYPERLINK("http://www.ncbi.nlm.nih.gov/protein/KAG8184851.1","hypothetical protein JTE90_012099")</f>
        <v>hypothetical protein JTE90_012099</v>
      </c>
      <c r="J1239">
        <v>2417.88</v>
      </c>
      <c r="K1239" t="s">
        <v>22</v>
      </c>
      <c r="L1239">
        <v>276</v>
      </c>
      <c r="M1239">
        <v>9.75</v>
      </c>
      <c r="N1239">
        <v>23.13</v>
      </c>
      <c r="O1239" t="s">
        <v>19</v>
      </c>
      <c r="P1239" t="s">
        <v>20</v>
      </c>
      <c r="Q1239" t="s">
        <v>19</v>
      </c>
      <c r="R1239" t="str">
        <f>HYPERLINK("https://cfpub.epa.gov/ecotox/explore.cfm?ncbi=931172","Explore in ECOTOX")</f>
        <v>Explore in ECOTOX</v>
      </c>
    </row>
    <row r="1240" spans="1:18" x14ac:dyDescent="0.45">
      <c r="A1240" t="s">
        <v>1264</v>
      </c>
      <c r="B1240">
        <v>8</v>
      </c>
      <c r="C1240" t="str">
        <f>HYPERLINK("http://www.ncbi.nlm.nih.gov/protein/XP_058809913.1","XP_058809913.1")</f>
        <v>XP_058809913.1</v>
      </c>
      <c r="D1240">
        <v>22374</v>
      </c>
      <c r="E1240" t="str">
        <f>HYPERLINK("http://www.ncbi.nlm.nih.gov/Taxonomy/Browser/wwwtax.cgi?mode=Info&amp;id=108790&amp;lvl=3&amp;lin=f&amp;keep=1&amp;srchmode=1&amp;unlock","108790")</f>
        <v>108790</v>
      </c>
      <c r="F1240" t="s">
        <v>760</v>
      </c>
      <c r="G1240" t="str">
        <f>HYPERLINK("http://www.ncbi.nlm.nih.gov/Taxonomy/Browser/wwwtax.cgi?mode=Info&amp;id=108790&amp;lvl=3&amp;lin=f&amp;keep=1&amp;srchmode=1&amp;unlock","Phymastichus coffea")</f>
        <v>Phymastichus coffea</v>
      </c>
      <c r="H1240" t="s">
        <v>769</v>
      </c>
      <c r="I1240" t="str">
        <f>HYPERLINK("http://www.ncbi.nlm.nih.gov/protein/XP_058809913.1","ryanodine receptor")</f>
        <v>ryanodine receptor</v>
      </c>
      <c r="J1240">
        <v>2417.5</v>
      </c>
      <c r="K1240" t="s">
        <v>22</v>
      </c>
      <c r="L1240">
        <v>276</v>
      </c>
      <c r="M1240">
        <v>9.75</v>
      </c>
      <c r="N1240">
        <v>23.13</v>
      </c>
      <c r="O1240" t="s">
        <v>19</v>
      </c>
      <c r="P1240" t="s">
        <v>20</v>
      </c>
      <c r="Q1240" t="s">
        <v>19</v>
      </c>
      <c r="R1240" t="str">
        <f>HYPERLINK("https://cfpub.epa.gov/ecotox/explore.cfm?ncbi=108790","Explore in ECOTOX")</f>
        <v>Explore in ECOTOX</v>
      </c>
    </row>
    <row r="1241" spans="1:18" x14ac:dyDescent="0.45">
      <c r="A1241" t="s">
        <v>1264</v>
      </c>
      <c r="B1241">
        <v>8</v>
      </c>
      <c r="C1241" t="str">
        <f>HYPERLINK("http://www.ncbi.nlm.nih.gov/protein/OXU23471.1","OXU23471.1")</f>
        <v>OXU23471.1</v>
      </c>
      <c r="D1241">
        <v>16113</v>
      </c>
      <c r="E1241" t="str">
        <f>HYPERLINK("http://www.ncbi.nlm.nih.gov/Taxonomy/Browser/wwwtax.cgi?mode=Info&amp;id=543379&amp;lvl=3&amp;lin=f&amp;keep=1&amp;srchmode=1&amp;unlock","543379")</f>
        <v>543379</v>
      </c>
      <c r="F1241" t="s">
        <v>760</v>
      </c>
      <c r="G1241" t="str">
        <f>HYPERLINK("http://www.ncbi.nlm.nih.gov/Taxonomy/Browser/wwwtax.cgi?mode=Info&amp;id=543379&amp;lvl=3&amp;lin=f&amp;keep=1&amp;srchmode=1&amp;unlock","Trichomalopsis sarcophagae")</f>
        <v>Trichomalopsis sarcophagae</v>
      </c>
      <c r="H1241" t="s">
        <v>769</v>
      </c>
      <c r="I1241" t="str">
        <f>HYPERLINK("http://www.ncbi.nlm.nih.gov/protein/OXU23471.1","hypothetical protein TSAR_011015")</f>
        <v>hypothetical protein TSAR_011015</v>
      </c>
      <c r="J1241">
        <v>2417.11</v>
      </c>
      <c r="K1241" t="s">
        <v>22</v>
      </c>
      <c r="L1241">
        <v>276</v>
      </c>
      <c r="M1241">
        <v>9.75</v>
      </c>
      <c r="N1241">
        <v>23.12</v>
      </c>
      <c r="O1241" t="s">
        <v>19</v>
      </c>
      <c r="P1241" t="s">
        <v>20</v>
      </c>
      <c r="Q1241" t="s">
        <v>19</v>
      </c>
      <c r="R1241" t="str">
        <f>HYPERLINK("https://cfpub.epa.gov/ecotox/explore.cfm?ncbi=543379","Explore in ECOTOX")</f>
        <v>Explore in ECOTOX</v>
      </c>
    </row>
    <row r="1242" spans="1:18" x14ac:dyDescent="0.45">
      <c r="A1242" t="s">
        <v>1264</v>
      </c>
      <c r="B1242">
        <v>8</v>
      </c>
      <c r="C1242" t="str">
        <f>HYPERLINK("http://www.ncbi.nlm.nih.gov/protein/XP_031774553.1","XP_031774553.1")</f>
        <v>XP_031774553.1</v>
      </c>
      <c r="D1242">
        <v>18934</v>
      </c>
      <c r="E1242" t="str">
        <f>HYPERLINK("http://www.ncbi.nlm.nih.gov/Taxonomy/Browser/wwwtax.cgi?mode=Info&amp;id=7463&amp;lvl=3&amp;lin=f&amp;keep=1&amp;srchmode=1&amp;unlock","7463")</f>
        <v>7463</v>
      </c>
      <c r="F1242" t="s">
        <v>760</v>
      </c>
      <c r="G1242" t="str">
        <f>HYPERLINK("http://www.ncbi.nlm.nih.gov/Taxonomy/Browser/wwwtax.cgi?mode=Info&amp;id=7463&amp;lvl=3&amp;lin=f&amp;keep=1&amp;srchmode=1&amp;unlock","Apis florea")</f>
        <v>Apis florea</v>
      </c>
      <c r="H1242" t="s">
        <v>1083</v>
      </c>
      <c r="I1242" t="str">
        <f>HYPERLINK("http://www.ncbi.nlm.nih.gov/protein/XP_031774553.1","LOW QUALITY PROTEIN: ryanodine receptor")</f>
        <v>LOW QUALITY PROTEIN: ryanodine receptor</v>
      </c>
      <c r="J1242">
        <v>2415.5700000000002</v>
      </c>
      <c r="K1242" t="s">
        <v>22</v>
      </c>
      <c r="L1242">
        <v>276</v>
      </c>
      <c r="M1242">
        <v>9.75</v>
      </c>
      <c r="N1242">
        <v>23.11</v>
      </c>
      <c r="O1242" t="s">
        <v>19</v>
      </c>
      <c r="P1242" t="s">
        <v>20</v>
      </c>
      <c r="Q1242" t="s">
        <v>19</v>
      </c>
      <c r="R1242" t="str">
        <f>HYPERLINK("https://cfpub.epa.gov/ecotox/explore.cfm?ncbi=7463","Explore in ECOTOX")</f>
        <v>Explore in ECOTOX</v>
      </c>
    </row>
    <row r="1243" spans="1:18" x14ac:dyDescent="0.45">
      <c r="A1243" t="s">
        <v>1264</v>
      </c>
      <c r="B1243">
        <v>8</v>
      </c>
      <c r="C1243" t="str">
        <f>HYPERLINK("http://www.ncbi.nlm.nih.gov/protein/XP_017766340.1","XP_017766340.1")</f>
        <v>XP_017766340.1</v>
      </c>
      <c r="D1243">
        <v>26863</v>
      </c>
      <c r="E1243" t="str">
        <f>HYPERLINK("http://www.ncbi.nlm.nih.gov/Taxonomy/Browser/wwwtax.cgi?mode=Info&amp;id=516756&amp;lvl=3&amp;lin=f&amp;keep=1&amp;srchmode=1&amp;unlock","516756")</f>
        <v>516756</v>
      </c>
      <c r="F1243" t="s">
        <v>760</v>
      </c>
      <c r="G1243" t="str">
        <f>HYPERLINK("http://www.ncbi.nlm.nih.gov/Taxonomy/Browser/wwwtax.cgi?mode=Info&amp;id=516756&amp;lvl=3&amp;lin=f&amp;keep=1&amp;srchmode=1&amp;unlock","Eufriesea mexicana")</f>
        <v>Eufriesea mexicana</v>
      </c>
      <c r="H1243" t="s">
        <v>1084</v>
      </c>
      <c r="I1243" t="str">
        <f>HYPERLINK("http://www.ncbi.nlm.nih.gov/protein/XP_017766340.1","PREDICTED: LOW QUALITY PROTEIN: ryanodine receptor")</f>
        <v>PREDICTED: LOW QUALITY PROTEIN: ryanodine receptor</v>
      </c>
      <c r="J1243">
        <v>2415.19</v>
      </c>
      <c r="K1243" t="s">
        <v>22</v>
      </c>
      <c r="L1243">
        <v>276</v>
      </c>
      <c r="M1243">
        <v>9.75</v>
      </c>
      <c r="N1243">
        <v>23.1</v>
      </c>
      <c r="O1243" t="s">
        <v>19</v>
      </c>
      <c r="P1243" t="s">
        <v>20</v>
      </c>
      <c r="Q1243" t="s">
        <v>19</v>
      </c>
      <c r="R1243" t="str">
        <f>HYPERLINK("https://cfpub.epa.gov/ecotox/explore.cfm?ncbi=516756","Explore in ECOTOX")</f>
        <v>Explore in ECOTOX</v>
      </c>
    </row>
    <row r="1244" spans="1:18" x14ac:dyDescent="0.45">
      <c r="A1244" t="s">
        <v>1264</v>
      </c>
      <c r="B1244">
        <v>8</v>
      </c>
      <c r="C1244" t="str">
        <f>HYPERLINK("http://www.ncbi.nlm.nih.gov/protein/KZS04686.1","KZS04686.1")</f>
        <v>KZS04686.1</v>
      </c>
      <c r="D1244">
        <v>93103</v>
      </c>
      <c r="E1244" t="str">
        <f>HYPERLINK("http://www.ncbi.nlm.nih.gov/Taxonomy/Browser/wwwtax.cgi?mode=Info&amp;id=35525&amp;lvl=3&amp;lin=f&amp;keep=1&amp;srchmode=1&amp;unlock","35525")</f>
        <v>35525</v>
      </c>
      <c r="F1244" t="s">
        <v>1073</v>
      </c>
      <c r="G1244" t="str">
        <f>HYPERLINK("http://www.ncbi.nlm.nih.gov/Taxonomy/Browser/wwwtax.cgi?mode=Info&amp;id=35525&amp;lvl=3&amp;lin=f&amp;keep=1&amp;srchmode=1&amp;unlock","Daphnia magna")</f>
        <v>Daphnia magna</v>
      </c>
      <c r="H1244" t="s">
        <v>1074</v>
      </c>
      <c r="I1244" t="str">
        <f>HYPERLINK("http://www.ncbi.nlm.nih.gov/protein/KZS04686.1","Ryanodine receptor")</f>
        <v>Ryanodine receptor</v>
      </c>
      <c r="J1244">
        <v>2414.42</v>
      </c>
      <c r="K1244" t="s">
        <v>22</v>
      </c>
      <c r="L1244">
        <v>276</v>
      </c>
      <c r="M1244">
        <v>9.75</v>
      </c>
      <c r="N1244">
        <v>23.1</v>
      </c>
      <c r="O1244" t="s">
        <v>19</v>
      </c>
      <c r="P1244" t="s">
        <v>20</v>
      </c>
      <c r="Q1244" t="s">
        <v>19</v>
      </c>
      <c r="R1244" t="str">
        <f>HYPERLINK("https://cfpub.epa.gov/ecotox/explore.cfm?ncbi=35525","Explore in ECOTOX")</f>
        <v>Explore in ECOTOX</v>
      </c>
    </row>
    <row r="1245" spans="1:18" x14ac:dyDescent="0.45">
      <c r="A1245" t="s">
        <v>1264</v>
      </c>
      <c r="B1245">
        <v>8</v>
      </c>
      <c r="C1245" t="str">
        <f>HYPERLINK("http://www.ncbi.nlm.nih.gov/protein/XP_014249567.1","XP_014249567.1")</f>
        <v>XP_014249567.1</v>
      </c>
      <c r="D1245">
        <v>24343</v>
      </c>
      <c r="E1245" t="str">
        <f>HYPERLINK("http://www.ncbi.nlm.nih.gov/Taxonomy/Browser/wwwtax.cgi?mode=Info&amp;id=79782&amp;lvl=3&amp;lin=f&amp;keep=1&amp;srchmode=1&amp;unlock","79782")</f>
        <v>79782</v>
      </c>
      <c r="F1245" t="s">
        <v>760</v>
      </c>
      <c r="G1245" t="str">
        <f>HYPERLINK("http://www.ncbi.nlm.nih.gov/Taxonomy/Browser/wwwtax.cgi?mode=Info&amp;id=79782&amp;lvl=3&amp;lin=f&amp;keep=1&amp;srchmode=1&amp;unlock","Cimex lectularius")</f>
        <v>Cimex lectularius</v>
      </c>
      <c r="H1245" t="s">
        <v>1085</v>
      </c>
      <c r="I1245" t="str">
        <f>HYPERLINK("http://www.ncbi.nlm.nih.gov/protein/XP_014249567.1","ryanodine receptor isoform X3")</f>
        <v>ryanodine receptor isoform X3</v>
      </c>
      <c r="J1245">
        <v>2413.65</v>
      </c>
      <c r="K1245" t="s">
        <v>22</v>
      </c>
      <c r="L1245">
        <v>276</v>
      </c>
      <c r="M1245">
        <v>9.75</v>
      </c>
      <c r="N1245">
        <v>23.09</v>
      </c>
      <c r="O1245" t="s">
        <v>19</v>
      </c>
      <c r="P1245" t="s">
        <v>20</v>
      </c>
      <c r="Q1245" t="s">
        <v>19</v>
      </c>
      <c r="R1245" t="str">
        <f>HYPERLINK("https://cfpub.epa.gov/ecotox/explore.cfm?ncbi=79782","Explore in ECOTOX")</f>
        <v>Explore in ECOTOX</v>
      </c>
    </row>
    <row r="1246" spans="1:18" x14ac:dyDescent="0.45">
      <c r="A1246" t="s">
        <v>1264</v>
      </c>
      <c r="B1246">
        <v>8</v>
      </c>
      <c r="C1246" t="str">
        <f>HYPERLINK("http://www.ncbi.nlm.nih.gov/protein/KAG6803327.1","KAG6803327.1")</f>
        <v>KAG6803327.1</v>
      </c>
      <c r="D1246">
        <v>10383</v>
      </c>
      <c r="E1246" t="str">
        <f>HYPERLINK("http://www.ncbi.nlm.nih.gov/Taxonomy/Browser/wwwtax.cgi?mode=Info&amp;id=200407&amp;lvl=3&amp;lin=f&amp;keep=1&amp;srchmode=1&amp;unlock","200407")</f>
        <v>200407</v>
      </c>
      <c r="F1246" t="s">
        <v>760</v>
      </c>
      <c r="G1246" t="str">
        <f>HYPERLINK("http://www.ncbi.nlm.nih.gov/Taxonomy/Browser/wwwtax.cgi?mode=Info&amp;id=200407&amp;lvl=3&amp;lin=f&amp;keep=1&amp;srchmode=1&amp;unlock","Apis mellifera caucasica")</f>
        <v>Apis mellifera caucasica</v>
      </c>
      <c r="H1246" t="s">
        <v>1086</v>
      </c>
      <c r="I1246" t="str">
        <f>HYPERLINK("http://www.ncbi.nlm.nih.gov/protein/KAG6803327.1","ryanodine receptor isoform X1")</f>
        <v>ryanodine receptor isoform X1</v>
      </c>
      <c r="J1246">
        <v>2413.2600000000002</v>
      </c>
      <c r="K1246" t="s">
        <v>22</v>
      </c>
      <c r="L1246">
        <v>276</v>
      </c>
      <c r="M1246">
        <v>9.75</v>
      </c>
      <c r="N1246">
        <v>23.08</v>
      </c>
      <c r="O1246" t="s">
        <v>19</v>
      </c>
      <c r="P1246" t="s">
        <v>20</v>
      </c>
      <c r="Q1246" t="s">
        <v>19</v>
      </c>
      <c r="R1246" t="str">
        <f>HYPERLINK("https://cfpub.epa.gov/ecotox/explore.cfm?ncbi=200407","Explore in ECOTOX")</f>
        <v>Explore in ECOTOX</v>
      </c>
    </row>
    <row r="1247" spans="1:18" x14ac:dyDescent="0.45">
      <c r="A1247" t="s">
        <v>1264</v>
      </c>
      <c r="B1247">
        <v>8</v>
      </c>
      <c r="C1247" t="str">
        <f>HYPERLINK("http://www.ncbi.nlm.nih.gov/protein/XP_057319086.1","XP_057319086.1")</f>
        <v>XP_057319086.1</v>
      </c>
      <c r="D1247">
        <v>24802</v>
      </c>
      <c r="E1247" t="str">
        <f>HYPERLINK("http://www.ncbi.nlm.nih.gov/Taxonomy/Browser/wwwtax.cgi?mode=Info&amp;id=375433&amp;lvl=3&amp;lin=f&amp;keep=1&amp;srchmode=1&amp;unlock","375433")</f>
        <v>375433</v>
      </c>
      <c r="F1247" t="s">
        <v>760</v>
      </c>
      <c r="G1247" t="str">
        <f>HYPERLINK("http://www.ncbi.nlm.nih.gov/Taxonomy/Browser/wwwtax.cgi?mode=Info&amp;id=375433&amp;lvl=3&amp;lin=f&amp;keep=1&amp;srchmode=1&amp;unlock","Microplitis mediator")</f>
        <v>Microplitis mediator</v>
      </c>
      <c r="H1247" t="s">
        <v>769</v>
      </c>
      <c r="I1247" t="str">
        <f>HYPERLINK("http://www.ncbi.nlm.nih.gov/protein/XP_057319086.1","ryanodine receptor isoform X7")</f>
        <v>ryanodine receptor isoform X7</v>
      </c>
      <c r="J1247">
        <v>2412.4899999999998</v>
      </c>
      <c r="K1247" t="s">
        <v>22</v>
      </c>
      <c r="L1247">
        <v>276</v>
      </c>
      <c r="M1247">
        <v>9.75</v>
      </c>
      <c r="N1247">
        <v>23.08</v>
      </c>
      <c r="O1247" t="s">
        <v>19</v>
      </c>
      <c r="P1247" t="s">
        <v>20</v>
      </c>
      <c r="Q1247" t="s">
        <v>19</v>
      </c>
      <c r="R1247" t="str">
        <f>HYPERLINK("https://cfpub.epa.gov/ecotox/explore.cfm?ncbi=375433","Explore in ECOTOX")</f>
        <v>Explore in ECOTOX</v>
      </c>
    </row>
    <row r="1248" spans="1:18" x14ac:dyDescent="0.45">
      <c r="A1248" t="s">
        <v>1264</v>
      </c>
      <c r="B1248">
        <v>8</v>
      </c>
      <c r="C1248" t="str">
        <f>HYPERLINK("http://www.ncbi.nlm.nih.gov/protein/KAH8277848.1","KAH8277848.1")</f>
        <v>KAH8277848.1</v>
      </c>
      <c r="D1248">
        <v>12676</v>
      </c>
      <c r="E1248" t="str">
        <f>HYPERLINK("http://www.ncbi.nlm.nih.gov/Taxonomy/Browser/wwwtax.cgi?mode=Info&amp;id=2848634&amp;lvl=3&amp;lin=f&amp;keep=1&amp;srchmode=1&amp;unlock","2848634")</f>
        <v>2848634</v>
      </c>
      <c r="F1248" t="s">
        <v>760</v>
      </c>
      <c r="G1248" t="str">
        <f>HYPERLINK("http://www.ncbi.nlm.nih.gov/Taxonomy/Browser/wwwtax.cgi?mode=Info&amp;id=2848634&amp;lvl=3&amp;lin=f&amp;keep=1&amp;srchmode=1&amp;unlock","Drosophila ironensis")</f>
        <v>Drosophila ironensis</v>
      </c>
      <c r="H1248" t="s">
        <v>953</v>
      </c>
      <c r="I1248" t="str">
        <f>HYPERLINK("http://www.ncbi.nlm.nih.gov/protein/KAH8277848.1","hypothetical protein KR018_008532, partial")</f>
        <v>hypothetical protein KR018_008532, partial</v>
      </c>
      <c r="J1248">
        <v>2412.4899999999998</v>
      </c>
      <c r="K1248" t="s">
        <v>22</v>
      </c>
      <c r="L1248">
        <v>276</v>
      </c>
      <c r="M1248">
        <v>9.75</v>
      </c>
      <c r="N1248">
        <v>23.08</v>
      </c>
      <c r="O1248" t="s">
        <v>19</v>
      </c>
      <c r="P1248" t="s">
        <v>20</v>
      </c>
      <c r="Q1248" t="s">
        <v>19</v>
      </c>
      <c r="R1248" t="str">
        <f>HYPERLINK("https://cfpub.epa.gov/ecotox/explore.cfm?ncbi=2848634","Explore in ECOTOX")</f>
        <v>Explore in ECOTOX</v>
      </c>
    </row>
    <row r="1249" spans="1:18" x14ac:dyDescent="0.45">
      <c r="A1249" t="s">
        <v>1264</v>
      </c>
      <c r="B1249">
        <v>8</v>
      </c>
      <c r="C1249" t="str">
        <f>HYPERLINK("http://www.ncbi.nlm.nih.gov/protein/KAG9435291.1","KAG9435291.1")</f>
        <v>KAG9435291.1</v>
      </c>
      <c r="D1249">
        <v>10750</v>
      </c>
      <c r="E1249" t="str">
        <f>HYPERLINK("http://www.ncbi.nlm.nih.gov/Taxonomy/Browser/wwwtax.cgi?mode=Info&amp;id=88217&amp;lvl=3&amp;lin=f&amp;keep=1&amp;srchmode=1&amp;unlock","88217")</f>
        <v>88217</v>
      </c>
      <c r="F1249" t="s">
        <v>760</v>
      </c>
      <c r="G1249" t="str">
        <f>HYPERLINK("http://www.ncbi.nlm.nih.gov/Taxonomy/Browser/wwwtax.cgi?mode=Info&amp;id=88217&amp;lvl=3&amp;lin=f&amp;keep=1&amp;srchmode=1&amp;unlock","Apis mellifera carnica")</f>
        <v>Apis mellifera carnica</v>
      </c>
      <c r="H1249" t="s">
        <v>1087</v>
      </c>
      <c r="I1249" t="str">
        <f>HYPERLINK("http://www.ncbi.nlm.nih.gov/protein/KAG9435291.1","ryanodine receptor isoform X1")</f>
        <v>ryanodine receptor isoform X1</v>
      </c>
      <c r="J1249">
        <v>2412.4899999999998</v>
      </c>
      <c r="K1249" t="s">
        <v>22</v>
      </c>
      <c r="L1249">
        <v>276</v>
      </c>
      <c r="M1249">
        <v>9.75</v>
      </c>
      <c r="N1249">
        <v>23.08</v>
      </c>
      <c r="O1249" t="s">
        <v>19</v>
      </c>
      <c r="P1249" t="s">
        <v>20</v>
      </c>
      <c r="Q1249" t="s">
        <v>19</v>
      </c>
      <c r="R1249" t="str">
        <f>HYPERLINK("https://cfpub.epa.gov/ecotox/explore.cfm?ncbi=88217","Explore in ECOTOX")</f>
        <v>Explore in ECOTOX</v>
      </c>
    </row>
    <row r="1250" spans="1:18" x14ac:dyDescent="0.45">
      <c r="A1250" t="s">
        <v>1264</v>
      </c>
      <c r="B1250">
        <v>8</v>
      </c>
      <c r="C1250" t="str">
        <f>HYPERLINK("http://www.ncbi.nlm.nih.gov/protein/XP_037582055.1","XP_037582055.1")</f>
        <v>XP_037582055.1</v>
      </c>
      <c r="D1250">
        <v>62995</v>
      </c>
      <c r="E1250" t="str">
        <f>HYPERLINK("http://www.ncbi.nlm.nih.gov/Taxonomy/Browser/wwwtax.cgi?mode=Info&amp;id=543639&amp;lvl=3&amp;lin=f&amp;keep=1&amp;srchmode=1&amp;unlock","543639")</f>
        <v>543639</v>
      </c>
      <c r="F1250" t="s">
        <v>904</v>
      </c>
      <c r="G1250" t="str">
        <f>HYPERLINK("http://www.ncbi.nlm.nih.gov/Taxonomy/Browser/wwwtax.cgi?mode=Info&amp;id=543639&amp;lvl=3&amp;lin=f&amp;keep=1&amp;srchmode=1&amp;unlock","Dermacentor silvarum")</f>
        <v>Dermacentor silvarum</v>
      </c>
      <c r="H1250" t="s">
        <v>951</v>
      </c>
      <c r="I1250" t="str">
        <f>HYPERLINK("http://www.ncbi.nlm.nih.gov/protein/XP_037582055.1","LOW QUALITY PROTEIN: ryanodine receptor-like")</f>
        <v>LOW QUALITY PROTEIN: ryanodine receptor-like</v>
      </c>
      <c r="J1250">
        <v>2411.7199999999998</v>
      </c>
      <c r="K1250" t="s">
        <v>22</v>
      </c>
      <c r="L1250">
        <v>276</v>
      </c>
      <c r="M1250">
        <v>9.75</v>
      </c>
      <c r="N1250">
        <v>23.07</v>
      </c>
      <c r="O1250" t="s">
        <v>19</v>
      </c>
      <c r="P1250" t="s">
        <v>20</v>
      </c>
      <c r="Q1250" t="s">
        <v>19</v>
      </c>
      <c r="R1250" t="str">
        <f>HYPERLINK("https://cfpub.epa.gov/ecotox/explore.cfm?ncbi=543639","Explore in ECOTOX")</f>
        <v>Explore in ECOTOX</v>
      </c>
    </row>
    <row r="1251" spans="1:18" x14ac:dyDescent="0.45">
      <c r="A1251" t="s">
        <v>1264</v>
      </c>
      <c r="B1251">
        <v>8</v>
      </c>
      <c r="C1251" t="str">
        <f>HYPERLINK("http://www.ncbi.nlm.nih.gov/protein/GBP39010.1","GBP39010.1")</f>
        <v>GBP39010.1</v>
      </c>
      <c r="D1251">
        <v>96443</v>
      </c>
      <c r="E1251" t="str">
        <f>HYPERLINK("http://www.ncbi.nlm.nih.gov/Taxonomy/Browser/wwwtax.cgi?mode=Info&amp;id=151549&amp;lvl=3&amp;lin=f&amp;keep=1&amp;srchmode=1&amp;unlock","151549")</f>
        <v>151549</v>
      </c>
      <c r="F1251" t="s">
        <v>760</v>
      </c>
      <c r="G1251" t="str">
        <f>HYPERLINK("http://www.ncbi.nlm.nih.gov/Taxonomy/Browser/wwwtax.cgi?mode=Info&amp;id=151549&amp;lvl=3&amp;lin=f&amp;keep=1&amp;srchmode=1&amp;unlock","Eumeta japonica")</f>
        <v>Eumeta japonica</v>
      </c>
      <c r="H1251" t="s">
        <v>1088</v>
      </c>
      <c r="I1251" t="str">
        <f>HYPERLINK("http://www.ncbi.nlm.nih.gov/protein/GBP39010.1","Ryanodine receptor")</f>
        <v>Ryanodine receptor</v>
      </c>
      <c r="J1251">
        <v>2411.34</v>
      </c>
      <c r="K1251" t="s">
        <v>22</v>
      </c>
      <c r="L1251">
        <v>276</v>
      </c>
      <c r="M1251">
        <v>9.75</v>
      </c>
      <c r="N1251">
        <v>23.07</v>
      </c>
      <c r="O1251" t="s">
        <v>19</v>
      </c>
      <c r="P1251" t="s">
        <v>20</v>
      </c>
      <c r="Q1251" t="s">
        <v>19</v>
      </c>
      <c r="R1251" t="str">
        <f>HYPERLINK("https://cfpub.epa.gov/ecotox/explore.cfm?ncbi=151549","Explore in ECOTOX")</f>
        <v>Explore in ECOTOX</v>
      </c>
    </row>
    <row r="1252" spans="1:18" x14ac:dyDescent="0.45">
      <c r="A1252" t="s">
        <v>1264</v>
      </c>
      <c r="B1252">
        <v>8</v>
      </c>
      <c r="C1252" t="str">
        <f>HYPERLINK("http://www.ncbi.nlm.nih.gov/protein/KRY43475.1","KRY43475.1")</f>
        <v>KRY43475.1</v>
      </c>
      <c r="D1252">
        <v>35995</v>
      </c>
      <c r="E1252" t="str">
        <f>HYPERLINK("http://www.ncbi.nlm.nih.gov/Taxonomy/Browser/wwwtax.cgi?mode=Info&amp;id=6334&amp;lvl=3&amp;lin=f&amp;keep=1&amp;srchmode=1&amp;unlock","6334")</f>
        <v>6334</v>
      </c>
      <c r="F1252" t="s">
        <v>1060</v>
      </c>
      <c r="G1252" t="str">
        <f>HYPERLINK("http://www.ncbi.nlm.nih.gov/Taxonomy/Browser/wwwtax.cgi?mode=Info&amp;id=6334&amp;lvl=3&amp;lin=f&amp;keep=1&amp;srchmode=1&amp;unlock","Trichinella spiralis")</f>
        <v>Trichinella spiralis</v>
      </c>
      <c r="H1252" t="s">
        <v>1027</v>
      </c>
      <c r="I1252" t="str">
        <f>HYPERLINK("http://www.ncbi.nlm.nih.gov/protein/KRY43475.1","Ryanodine receptor 44F")</f>
        <v>Ryanodine receptor 44F</v>
      </c>
      <c r="J1252">
        <v>2410.1799999999998</v>
      </c>
      <c r="K1252" t="s">
        <v>22</v>
      </c>
      <c r="L1252">
        <v>276</v>
      </c>
      <c r="M1252">
        <v>9.75</v>
      </c>
      <c r="N1252">
        <v>23.06</v>
      </c>
      <c r="O1252" t="s">
        <v>19</v>
      </c>
      <c r="P1252" t="s">
        <v>20</v>
      </c>
      <c r="Q1252" t="s">
        <v>19</v>
      </c>
      <c r="R1252" t="str">
        <f>HYPERLINK("https://cfpub.epa.gov/ecotox/explore.cfm?ncbi=6334","Explore in ECOTOX")</f>
        <v>Explore in ECOTOX</v>
      </c>
    </row>
    <row r="1253" spans="1:18" x14ac:dyDescent="0.45">
      <c r="A1253" t="s">
        <v>1264</v>
      </c>
      <c r="B1253">
        <v>8</v>
      </c>
      <c r="C1253" t="str">
        <f>HYPERLINK("http://www.ncbi.nlm.nih.gov/protein/XP_046440041.1","XP_046440041.1")</f>
        <v>XP_046440041.1</v>
      </c>
      <c r="D1253">
        <v>62607</v>
      </c>
      <c r="E1253" t="str">
        <f>HYPERLINK("http://www.ncbi.nlm.nih.gov/Taxonomy/Browser/wwwtax.cgi?mode=Info&amp;id=6669&amp;lvl=3&amp;lin=f&amp;keep=1&amp;srchmode=1&amp;unlock","6669")</f>
        <v>6669</v>
      </c>
      <c r="F1253" t="s">
        <v>1073</v>
      </c>
      <c r="G1253" t="str">
        <f>HYPERLINK("http://www.ncbi.nlm.nih.gov/Taxonomy/Browser/wwwtax.cgi?mode=Info&amp;id=6669&amp;lvl=3&amp;lin=f&amp;keep=1&amp;srchmode=1&amp;unlock","Daphnia pulex")</f>
        <v>Daphnia pulex</v>
      </c>
      <c r="H1253" t="s">
        <v>1089</v>
      </c>
      <c r="I1253" t="str">
        <f>HYPERLINK("http://www.ncbi.nlm.nih.gov/protein/XP_046440041.1","ryanodine receptor-like isoform X6")</f>
        <v>ryanodine receptor-like isoform X6</v>
      </c>
      <c r="J1253">
        <v>2408.25</v>
      </c>
      <c r="K1253" t="s">
        <v>22</v>
      </c>
      <c r="L1253">
        <v>276</v>
      </c>
      <c r="M1253">
        <v>9.75</v>
      </c>
      <c r="N1253">
        <v>23.04</v>
      </c>
      <c r="O1253" t="s">
        <v>19</v>
      </c>
      <c r="P1253" t="s">
        <v>20</v>
      </c>
      <c r="Q1253" t="s">
        <v>19</v>
      </c>
      <c r="R1253" t="str">
        <f>HYPERLINK("https://cfpub.epa.gov/ecotox/explore.cfm?ncbi=6669","Explore in ECOTOX")</f>
        <v>Explore in ECOTOX</v>
      </c>
    </row>
    <row r="1254" spans="1:18" x14ac:dyDescent="0.45">
      <c r="A1254" t="s">
        <v>1264</v>
      </c>
      <c r="B1254">
        <v>8</v>
      </c>
      <c r="C1254" t="str">
        <f>HYPERLINK("http://www.ncbi.nlm.nih.gov/protein/XP_050304093.1","XP_050304093.1")</f>
        <v>XP_050304093.1</v>
      </c>
      <c r="D1254">
        <v>23731</v>
      </c>
      <c r="E1254" t="str">
        <f>HYPERLINK("http://www.ncbi.nlm.nih.gov/Taxonomy/Browser/wwwtax.cgi?mode=Info&amp;id=2921223&amp;lvl=3&amp;lin=f&amp;keep=1&amp;srchmode=1&amp;unlock","2921223")</f>
        <v>2921223</v>
      </c>
      <c r="F1254" t="s">
        <v>760</v>
      </c>
      <c r="G1254" t="str">
        <f>HYPERLINK("http://www.ncbi.nlm.nih.gov/Taxonomy/Browser/wwwtax.cgi?mode=Info&amp;id=2921223&amp;lvl=3&amp;lin=f&amp;keep=1&amp;srchmode=1&amp;unlock","Anthonomus grandis grandis")</f>
        <v>Anthonomus grandis grandis</v>
      </c>
      <c r="H1254" t="s">
        <v>1090</v>
      </c>
      <c r="I1254" t="str">
        <f>HYPERLINK("http://www.ncbi.nlm.nih.gov/protein/XP_050304093.1","ryanodine receptor")</f>
        <v>ryanodine receptor</v>
      </c>
      <c r="J1254">
        <v>2407.87</v>
      </c>
      <c r="K1254" t="s">
        <v>22</v>
      </c>
      <c r="L1254">
        <v>276</v>
      </c>
      <c r="M1254">
        <v>9.75</v>
      </c>
      <c r="N1254">
        <v>23.03</v>
      </c>
      <c r="O1254" t="s">
        <v>19</v>
      </c>
      <c r="P1254" t="s">
        <v>20</v>
      </c>
      <c r="Q1254" t="s">
        <v>19</v>
      </c>
      <c r="R1254" t="str">
        <f>HYPERLINK("https://cfpub.epa.gov/ecotox/explore.cfm?ncbi=2921223","Explore in ECOTOX")</f>
        <v>Explore in ECOTOX</v>
      </c>
    </row>
    <row r="1255" spans="1:18" x14ac:dyDescent="0.45">
      <c r="A1255" t="s">
        <v>1264</v>
      </c>
      <c r="B1255">
        <v>8</v>
      </c>
      <c r="C1255" t="str">
        <f>HYPERLINK("http://www.ncbi.nlm.nih.gov/protein/XP_059350832.1","XP_059350832.1")</f>
        <v>XP_059350832.1</v>
      </c>
      <c r="D1255">
        <v>18551</v>
      </c>
      <c r="E1255" t="str">
        <f>HYPERLINK("http://www.ncbi.nlm.nih.gov/Taxonomy/Browser/wwwtax.cgi?mode=Info&amp;id=120202&amp;lvl=3&amp;lin=f&amp;keep=1&amp;srchmode=1&amp;unlock","120202")</f>
        <v>120202</v>
      </c>
      <c r="F1255" t="s">
        <v>1073</v>
      </c>
      <c r="G1255" t="str">
        <f>HYPERLINK("http://www.ncbi.nlm.nih.gov/Taxonomy/Browser/wwwtax.cgi?mode=Info&amp;id=120202&amp;lvl=3&amp;lin=f&amp;keep=1&amp;srchmode=1&amp;unlock","Daphnia carinata")</f>
        <v>Daphnia carinata</v>
      </c>
      <c r="H1255" t="s">
        <v>1074</v>
      </c>
      <c r="I1255" t="str">
        <f>HYPERLINK("http://www.ncbi.nlm.nih.gov/protein/XP_059350832.1","ryanodine receptor-like")</f>
        <v>ryanodine receptor-like</v>
      </c>
      <c r="J1255">
        <v>2407.48</v>
      </c>
      <c r="K1255" t="s">
        <v>22</v>
      </c>
      <c r="L1255">
        <v>276</v>
      </c>
      <c r="M1255">
        <v>9.75</v>
      </c>
      <c r="N1255">
        <v>23.03</v>
      </c>
      <c r="O1255" t="s">
        <v>19</v>
      </c>
      <c r="P1255" t="s">
        <v>20</v>
      </c>
      <c r="Q1255" t="s">
        <v>19</v>
      </c>
      <c r="R1255" t="str">
        <f>HYPERLINK("https://cfpub.epa.gov/ecotox/explore.cfm?ncbi=120202","Explore in ECOTOX")</f>
        <v>Explore in ECOTOX</v>
      </c>
    </row>
    <row r="1256" spans="1:18" x14ac:dyDescent="0.45">
      <c r="A1256" t="s">
        <v>1264</v>
      </c>
      <c r="B1256">
        <v>8</v>
      </c>
      <c r="C1256" t="str">
        <f>HYPERLINK("http://www.ncbi.nlm.nih.gov/protein/XP_046647485.1","XP_046647485.1")</f>
        <v>XP_046647485.1</v>
      </c>
      <c r="D1256">
        <v>28564</v>
      </c>
      <c r="E1256" t="str">
        <f>HYPERLINK("http://www.ncbi.nlm.nih.gov/Taxonomy/Browser/wwwtax.cgi?mode=Info&amp;id=35523&amp;lvl=3&amp;lin=f&amp;keep=1&amp;srchmode=1&amp;unlock","35523")</f>
        <v>35523</v>
      </c>
      <c r="F1256" t="s">
        <v>1073</v>
      </c>
      <c r="G1256" t="str">
        <f>HYPERLINK("http://www.ncbi.nlm.nih.gov/Taxonomy/Browser/wwwtax.cgi?mode=Info&amp;id=35523&amp;lvl=3&amp;lin=f&amp;keep=1&amp;srchmode=1&amp;unlock","Daphnia pulicaria")</f>
        <v>Daphnia pulicaria</v>
      </c>
      <c r="H1256" t="s">
        <v>1074</v>
      </c>
      <c r="I1256" t="str">
        <f>HYPERLINK("http://www.ncbi.nlm.nih.gov/protein/XP_046647485.1","ryanodine receptor-like isoform X2")</f>
        <v>ryanodine receptor-like isoform X2</v>
      </c>
      <c r="J1256">
        <v>2404.4</v>
      </c>
      <c r="K1256" t="s">
        <v>22</v>
      </c>
      <c r="L1256">
        <v>276</v>
      </c>
      <c r="M1256">
        <v>9.75</v>
      </c>
      <c r="N1256">
        <v>23</v>
      </c>
      <c r="O1256" t="s">
        <v>19</v>
      </c>
      <c r="P1256" t="s">
        <v>20</v>
      </c>
      <c r="Q1256" t="s">
        <v>19</v>
      </c>
      <c r="R1256" t="str">
        <f>HYPERLINK("https://cfpub.epa.gov/ecotox/explore.cfm?ncbi=35523","Explore in ECOTOX")</f>
        <v>Explore in ECOTOX</v>
      </c>
    </row>
    <row r="1257" spans="1:18" x14ac:dyDescent="0.45">
      <c r="A1257" t="s">
        <v>1264</v>
      </c>
      <c r="B1257">
        <v>8</v>
      </c>
      <c r="C1257" t="str">
        <f>HYPERLINK("http://www.ncbi.nlm.nih.gov/protein/CAD7393765.1","CAD7393765.1")</f>
        <v>CAD7393765.1</v>
      </c>
      <c r="D1257">
        <v>14355</v>
      </c>
      <c r="E1257" t="str">
        <f>HYPERLINK("http://www.ncbi.nlm.nih.gov/Taxonomy/Browser/wwwtax.cgi?mode=Info&amp;id=61476&amp;lvl=3&amp;lin=f&amp;keep=1&amp;srchmode=1&amp;unlock","61476")</f>
        <v>61476</v>
      </c>
      <c r="F1257" t="s">
        <v>760</v>
      </c>
      <c r="G1257" t="str">
        <f>HYPERLINK("http://www.ncbi.nlm.nih.gov/Taxonomy/Browser/wwwtax.cgi?mode=Info&amp;id=61476&amp;lvl=3&amp;lin=f&amp;keep=1&amp;srchmode=1&amp;unlock","Timema cristinae")</f>
        <v>Timema cristinae</v>
      </c>
      <c r="H1257" t="s">
        <v>1039</v>
      </c>
      <c r="I1257" t="str">
        <f>HYPERLINK("http://www.ncbi.nlm.nih.gov/protein/CAD7393765.1","unnamed protein product")</f>
        <v>unnamed protein product</v>
      </c>
      <c r="J1257">
        <v>2403.63</v>
      </c>
      <c r="K1257" t="s">
        <v>22</v>
      </c>
      <c r="L1257">
        <v>276</v>
      </c>
      <c r="M1257">
        <v>9.75</v>
      </c>
      <c r="N1257">
        <v>22.99</v>
      </c>
      <c r="O1257" t="s">
        <v>19</v>
      </c>
      <c r="P1257" t="s">
        <v>20</v>
      </c>
      <c r="Q1257" t="s">
        <v>19</v>
      </c>
      <c r="R1257" t="str">
        <f>HYPERLINK("https://cfpub.epa.gov/ecotox/explore.cfm?ncbi=61476","Explore in ECOTOX")</f>
        <v>Explore in ECOTOX</v>
      </c>
    </row>
    <row r="1258" spans="1:18" x14ac:dyDescent="0.45">
      <c r="A1258" t="s">
        <v>1264</v>
      </c>
      <c r="B1258">
        <v>8</v>
      </c>
      <c r="C1258" t="str">
        <f>HYPERLINK("http://www.ncbi.nlm.nih.gov/protein/KAK4295194.1","KAK4295194.1")</f>
        <v>KAK4295194.1</v>
      </c>
      <c r="D1258">
        <v>42854</v>
      </c>
      <c r="E1258" t="str">
        <f>HYPERLINK("http://www.ncbi.nlm.nih.gov/Taxonomy/Browser/wwwtax.cgi?mode=Info&amp;id=1843537&amp;lvl=3&amp;lin=f&amp;keep=1&amp;srchmode=1&amp;unlock","1843537")</f>
        <v>1843537</v>
      </c>
      <c r="F1258" t="s">
        <v>779</v>
      </c>
      <c r="G1258" t="str">
        <f>HYPERLINK("http://www.ncbi.nlm.nih.gov/Taxonomy/Browser/wwwtax.cgi?mode=Info&amp;id=1843537&amp;lvl=3&amp;lin=f&amp;keep=1&amp;srchmode=1&amp;unlock","Petrolisthes manimaculis")</f>
        <v>Petrolisthes manimaculis</v>
      </c>
      <c r="H1258" t="s">
        <v>1091</v>
      </c>
      <c r="I1258" t="str">
        <f>HYPERLINK("http://www.ncbi.nlm.nih.gov/protein/KAK4295194.1","hypothetical protein Pmani_032231, partial")</f>
        <v>hypothetical protein Pmani_032231, partial</v>
      </c>
      <c r="J1258">
        <v>2402.48</v>
      </c>
      <c r="K1258" t="s">
        <v>22</v>
      </c>
      <c r="L1258">
        <v>276</v>
      </c>
      <c r="M1258">
        <v>9.75</v>
      </c>
      <c r="N1258">
        <v>22.98</v>
      </c>
      <c r="O1258" t="s">
        <v>19</v>
      </c>
      <c r="P1258" t="s">
        <v>20</v>
      </c>
      <c r="Q1258" t="s">
        <v>19</v>
      </c>
      <c r="R1258" t="str">
        <f>HYPERLINK("https://cfpub.epa.gov/ecotox/explore.cfm?ncbi=1843537","Explore in ECOTOX")</f>
        <v>Explore in ECOTOX</v>
      </c>
    </row>
    <row r="1259" spans="1:18" x14ac:dyDescent="0.45">
      <c r="A1259" t="s">
        <v>1264</v>
      </c>
      <c r="B1259">
        <v>8</v>
      </c>
      <c r="C1259" t="str">
        <f>HYPERLINK("http://www.ncbi.nlm.nih.gov/protein/KAJ8665342.1","KAJ8665342.1")</f>
        <v>KAJ8665342.1</v>
      </c>
      <c r="D1259">
        <v>24319</v>
      </c>
      <c r="E1259" t="str">
        <f>HYPERLINK("http://www.ncbi.nlm.nih.gov/Taxonomy/Browser/wwwtax.cgi?mode=Info&amp;id=131215&amp;lvl=3&amp;lin=f&amp;keep=1&amp;srchmode=1&amp;unlock","131215")</f>
        <v>131215</v>
      </c>
      <c r="F1259" t="s">
        <v>760</v>
      </c>
      <c r="G1259" t="str">
        <f>HYPERLINK("http://www.ncbi.nlm.nih.gov/Taxonomy/Browser/wwwtax.cgi?mode=Info&amp;id=131215&amp;lvl=3&amp;lin=f&amp;keep=1&amp;srchmode=1&amp;unlock","Eretmocerus hayati")</f>
        <v>Eretmocerus hayati</v>
      </c>
      <c r="H1259" t="s">
        <v>769</v>
      </c>
      <c r="I1259" t="str">
        <f>HYPERLINK("http://www.ncbi.nlm.nih.gov/protein/KAJ8665342.1","hypothetical protein QAD02_007004, partial")</f>
        <v>hypothetical protein QAD02_007004, partial</v>
      </c>
      <c r="J1259">
        <v>2401.71</v>
      </c>
      <c r="K1259" t="s">
        <v>22</v>
      </c>
      <c r="L1259">
        <v>276</v>
      </c>
      <c r="M1259">
        <v>9.75</v>
      </c>
      <c r="N1259">
        <v>22.97</v>
      </c>
      <c r="O1259" t="s">
        <v>19</v>
      </c>
      <c r="P1259" t="s">
        <v>20</v>
      </c>
      <c r="Q1259" t="s">
        <v>19</v>
      </c>
      <c r="R1259" t="str">
        <f>HYPERLINK("https://cfpub.epa.gov/ecotox/explore.cfm?ncbi=131215","Explore in ECOTOX")</f>
        <v>Explore in ECOTOX</v>
      </c>
    </row>
    <row r="1260" spans="1:18" x14ac:dyDescent="0.45">
      <c r="A1260" t="s">
        <v>1264</v>
      </c>
      <c r="B1260">
        <v>8</v>
      </c>
      <c r="C1260" t="str">
        <f>HYPERLINK("http://www.ncbi.nlm.nih.gov/protein/XP_055337213.1","XP_055337213.1")</f>
        <v>XP_055337213.1</v>
      </c>
      <c r="D1260">
        <v>30872</v>
      </c>
      <c r="E1260" t="str">
        <f>HYPERLINK("http://www.ncbi.nlm.nih.gov/Taxonomy/Browser/wwwtax.cgi?mode=Info&amp;id=2943436&amp;lvl=3&amp;lin=f&amp;keep=1&amp;srchmode=1&amp;unlock","2943436")</f>
        <v>2943436</v>
      </c>
      <c r="F1260" t="s">
        <v>1092</v>
      </c>
      <c r="G1260" t="str">
        <f>HYPERLINK("http://www.ncbi.nlm.nih.gov/Taxonomy/Browser/wwwtax.cgi?mode=Info&amp;id=2943436&amp;lvl=3&amp;lin=f&amp;keep=1&amp;srchmode=1&amp;unlock","Paramacrobiotus metropolitanus")</f>
        <v>Paramacrobiotus metropolitanus</v>
      </c>
      <c r="H1260" t="s">
        <v>1093</v>
      </c>
      <c r="I1260" t="str">
        <f>HYPERLINK("http://www.ncbi.nlm.nih.gov/protein/XP_055337213.1","ryanodine receptor-like isoform X2")</f>
        <v>ryanodine receptor-like isoform X2</v>
      </c>
      <c r="J1260">
        <v>2400.9299999999998</v>
      </c>
      <c r="K1260" t="s">
        <v>22</v>
      </c>
      <c r="L1260">
        <v>276</v>
      </c>
      <c r="M1260">
        <v>9.75</v>
      </c>
      <c r="N1260">
        <v>22.97</v>
      </c>
      <c r="O1260" t="s">
        <v>19</v>
      </c>
      <c r="P1260" t="s">
        <v>20</v>
      </c>
      <c r="Q1260" t="s">
        <v>19</v>
      </c>
      <c r="R1260" t="str">
        <f>HYPERLINK("https://cfpub.epa.gov/ecotox/explore.cfm?ncbi=2943436","Explore in ECOTOX")</f>
        <v>Explore in ECOTOX</v>
      </c>
    </row>
    <row r="1261" spans="1:18" x14ac:dyDescent="0.45">
      <c r="A1261" t="s">
        <v>1264</v>
      </c>
      <c r="B1261">
        <v>8</v>
      </c>
      <c r="C1261" t="str">
        <f>HYPERLINK("http://www.ncbi.nlm.nih.gov/protein/KAK3867881.1","KAK3867881.1")</f>
        <v>KAK3867881.1</v>
      </c>
      <c r="D1261">
        <v>47484</v>
      </c>
      <c r="E1261" t="str">
        <f>HYPERLINK("http://www.ncbi.nlm.nih.gov/Taxonomy/Browser/wwwtax.cgi?mode=Info&amp;id=88211&amp;lvl=3&amp;lin=f&amp;keep=1&amp;srchmode=1&amp;unlock","88211")</f>
        <v>88211</v>
      </c>
      <c r="F1261" t="s">
        <v>779</v>
      </c>
      <c r="G1261" t="str">
        <f>HYPERLINK("http://www.ncbi.nlm.nih.gov/Taxonomy/Browser/wwwtax.cgi?mode=Info&amp;id=88211&amp;lvl=3&amp;lin=f&amp;keep=1&amp;srchmode=1&amp;unlock","Petrolisthes cinctipes")</f>
        <v>Petrolisthes cinctipes</v>
      </c>
      <c r="H1261" t="s">
        <v>1094</v>
      </c>
      <c r="I1261" t="str">
        <f>HYPERLINK("http://www.ncbi.nlm.nih.gov/protein/KAK3867881.1","hypothetical protein Pcinc_026695, partial")</f>
        <v>hypothetical protein Pcinc_026695, partial</v>
      </c>
      <c r="J1261">
        <v>2400.5500000000002</v>
      </c>
      <c r="K1261" t="s">
        <v>22</v>
      </c>
      <c r="L1261">
        <v>276</v>
      </c>
      <c r="M1261">
        <v>9.75</v>
      </c>
      <c r="N1261">
        <v>22.96</v>
      </c>
      <c r="O1261" t="s">
        <v>19</v>
      </c>
      <c r="P1261" t="s">
        <v>20</v>
      </c>
      <c r="Q1261" t="s">
        <v>19</v>
      </c>
      <c r="R1261" t="str">
        <f>HYPERLINK("https://cfpub.epa.gov/ecotox/explore.cfm?ncbi=88211","Explore in ECOTOX")</f>
        <v>Explore in ECOTOX</v>
      </c>
    </row>
    <row r="1262" spans="1:18" x14ac:dyDescent="0.45">
      <c r="A1262" t="s">
        <v>1264</v>
      </c>
      <c r="B1262">
        <v>8</v>
      </c>
      <c r="C1262" t="str">
        <f>HYPERLINK("http://www.ncbi.nlm.nih.gov/protein/CAB3362503.1","CAB3362503.1")</f>
        <v>CAB3362503.1</v>
      </c>
      <c r="D1262">
        <v>31111</v>
      </c>
      <c r="E1262" t="str">
        <f>HYPERLINK("http://www.ncbi.nlm.nih.gov/Taxonomy/Browser/wwwtax.cgi?mode=Info&amp;id=197152&amp;lvl=3&amp;lin=f&amp;keep=1&amp;srchmode=1&amp;unlock","197152")</f>
        <v>197152</v>
      </c>
      <c r="F1262" t="s">
        <v>760</v>
      </c>
      <c r="G1262" t="str">
        <f>HYPERLINK("http://www.ncbi.nlm.nih.gov/Taxonomy/Browser/wwwtax.cgi?mode=Info&amp;id=197152&amp;lvl=3&amp;lin=f&amp;keep=1&amp;srchmode=1&amp;unlock","Cloeon dipterum")</f>
        <v>Cloeon dipterum</v>
      </c>
      <c r="H1262" t="s">
        <v>819</v>
      </c>
      <c r="I1262" t="str">
        <f>HYPERLINK("http://www.ncbi.nlm.nih.gov/protein/CAB3362503.1","Hypothetical predicted protein")</f>
        <v>Hypothetical predicted protein</v>
      </c>
      <c r="J1262">
        <v>2399.7800000000002</v>
      </c>
      <c r="K1262" t="s">
        <v>22</v>
      </c>
      <c r="L1262">
        <v>276</v>
      </c>
      <c r="M1262">
        <v>9.75</v>
      </c>
      <c r="N1262">
        <v>22.96</v>
      </c>
      <c r="O1262" t="s">
        <v>19</v>
      </c>
      <c r="P1262" t="s">
        <v>20</v>
      </c>
      <c r="Q1262" t="s">
        <v>19</v>
      </c>
      <c r="R1262" t="str">
        <f>HYPERLINK("https://cfpub.epa.gov/ecotox/explore.cfm?ncbi=197152","Explore in ECOTOX")</f>
        <v>Explore in ECOTOX</v>
      </c>
    </row>
    <row r="1263" spans="1:18" x14ac:dyDescent="0.45">
      <c r="A1263" t="s">
        <v>1264</v>
      </c>
      <c r="B1263">
        <v>8</v>
      </c>
      <c r="C1263" t="str">
        <f>HYPERLINK("http://www.ncbi.nlm.nih.gov/protein/KRY90212.1","KRY90212.1")</f>
        <v>KRY90212.1</v>
      </c>
      <c r="D1263">
        <v>81561</v>
      </c>
      <c r="E1263" t="str">
        <f>HYPERLINK("http://www.ncbi.nlm.nih.gov/Taxonomy/Browser/wwwtax.cgi?mode=Info&amp;id=6337&amp;lvl=3&amp;lin=f&amp;keep=1&amp;srchmode=1&amp;unlock","6337")</f>
        <v>6337</v>
      </c>
      <c r="F1263" t="s">
        <v>1060</v>
      </c>
      <c r="G1263" t="str">
        <f>HYPERLINK("http://www.ncbi.nlm.nih.gov/Taxonomy/Browser/wwwtax.cgi?mode=Info&amp;id=6337&amp;lvl=3&amp;lin=f&amp;keep=1&amp;srchmode=1&amp;unlock","Trichinella pseudospiralis")</f>
        <v>Trichinella pseudospiralis</v>
      </c>
      <c r="H1263" t="s">
        <v>1027</v>
      </c>
      <c r="I1263" t="str">
        <f>HYPERLINK("http://www.ncbi.nlm.nih.gov/protein/KRY90212.1","Ryanodine receptor 44F")</f>
        <v>Ryanodine receptor 44F</v>
      </c>
      <c r="J1263">
        <v>2399.7800000000002</v>
      </c>
      <c r="K1263" t="s">
        <v>22</v>
      </c>
      <c r="L1263">
        <v>276</v>
      </c>
      <c r="M1263">
        <v>9.75</v>
      </c>
      <c r="N1263">
        <v>22.96</v>
      </c>
      <c r="O1263" t="s">
        <v>19</v>
      </c>
      <c r="P1263" t="s">
        <v>20</v>
      </c>
      <c r="Q1263" t="s">
        <v>19</v>
      </c>
      <c r="R1263" t="str">
        <f>HYPERLINK("https://cfpub.epa.gov/ecotox/explore.cfm?ncbi=6337","Explore in ECOTOX")</f>
        <v>Explore in ECOTOX</v>
      </c>
    </row>
    <row r="1264" spans="1:18" x14ac:dyDescent="0.45">
      <c r="A1264" t="s">
        <v>1264</v>
      </c>
      <c r="B1264">
        <v>8</v>
      </c>
      <c r="C1264" t="str">
        <f>HYPERLINK("http://www.ncbi.nlm.nih.gov/protein/KAG5331909.1","KAG5331909.1")</f>
        <v>KAG5331909.1</v>
      </c>
      <c r="D1264">
        <v>8971</v>
      </c>
      <c r="E1264" t="str">
        <f>HYPERLINK("http://www.ncbi.nlm.nih.gov/Taxonomy/Browser/wwwtax.cgi?mode=Info&amp;id=2715315&amp;lvl=3&amp;lin=f&amp;keep=1&amp;srchmode=1&amp;unlock","2715315")</f>
        <v>2715315</v>
      </c>
      <c r="F1264" t="s">
        <v>760</v>
      </c>
      <c r="G1264" t="str">
        <f>HYPERLINK("http://www.ncbi.nlm.nih.gov/Taxonomy/Browser/wwwtax.cgi?mode=Info&amp;id=2715315&amp;lvl=3&amp;lin=f&amp;keep=1&amp;srchmode=1&amp;unlock","Acromyrmex charruanus")</f>
        <v>Acromyrmex charruanus</v>
      </c>
      <c r="H1264" t="s">
        <v>769</v>
      </c>
      <c r="I1264" t="str">
        <f>HYPERLINK("http://www.ncbi.nlm.nih.gov/protein/KAG5331909.1","RYR protein, partial")</f>
        <v>RYR protein, partial</v>
      </c>
      <c r="J1264">
        <v>2398.62</v>
      </c>
      <c r="K1264" t="s">
        <v>22</v>
      </c>
      <c r="L1264">
        <v>276</v>
      </c>
      <c r="M1264">
        <v>9.75</v>
      </c>
      <c r="N1264">
        <v>22.94</v>
      </c>
      <c r="O1264" t="s">
        <v>19</v>
      </c>
      <c r="P1264" t="s">
        <v>20</v>
      </c>
      <c r="Q1264" t="s">
        <v>19</v>
      </c>
      <c r="R1264" t="str">
        <f>HYPERLINK("https://cfpub.epa.gov/ecotox/explore.cfm?ncbi=2715315","Explore in ECOTOX")</f>
        <v>Explore in ECOTOX</v>
      </c>
    </row>
    <row r="1265" spans="1:18" x14ac:dyDescent="0.45">
      <c r="A1265" t="s">
        <v>1264</v>
      </c>
      <c r="B1265">
        <v>8</v>
      </c>
      <c r="C1265" t="str">
        <f>HYPERLINK("http://www.ncbi.nlm.nih.gov/protein/KAG5313865.1","KAG5313865.1")</f>
        <v>KAG5313865.1</v>
      </c>
      <c r="D1265">
        <v>8970</v>
      </c>
      <c r="E1265" t="str">
        <f>HYPERLINK("http://www.ncbi.nlm.nih.gov/Taxonomy/Browser/wwwtax.cgi?mode=Info&amp;id=230686&amp;lvl=3&amp;lin=f&amp;keep=1&amp;srchmode=1&amp;unlock","230686")</f>
        <v>230686</v>
      </c>
      <c r="F1265" t="s">
        <v>760</v>
      </c>
      <c r="G1265" t="str">
        <f>HYPERLINK("http://www.ncbi.nlm.nih.gov/Taxonomy/Browser/wwwtax.cgi?mode=Info&amp;id=230686&amp;lvl=3&amp;lin=f&amp;keep=1&amp;srchmode=1&amp;unlock","Acromyrmex insinuator")</f>
        <v>Acromyrmex insinuator</v>
      </c>
      <c r="H1265" t="s">
        <v>769</v>
      </c>
      <c r="I1265" t="str">
        <f>HYPERLINK("http://www.ncbi.nlm.nih.gov/protein/KAG5313865.1","RYR protein, partial")</f>
        <v>RYR protein, partial</v>
      </c>
      <c r="J1265">
        <v>2397.08</v>
      </c>
      <c r="K1265" t="s">
        <v>22</v>
      </c>
      <c r="L1265">
        <v>276</v>
      </c>
      <c r="M1265">
        <v>9.75</v>
      </c>
      <c r="N1265">
        <v>22.93</v>
      </c>
      <c r="O1265" t="s">
        <v>19</v>
      </c>
      <c r="P1265" t="s">
        <v>20</v>
      </c>
      <c r="Q1265" t="s">
        <v>19</v>
      </c>
      <c r="R1265" t="str">
        <f>HYPERLINK("https://cfpub.epa.gov/ecotox/explore.cfm?ncbi=230686","Explore in ECOTOX")</f>
        <v>Explore in ECOTOX</v>
      </c>
    </row>
    <row r="1266" spans="1:18" x14ac:dyDescent="0.45">
      <c r="A1266" t="s">
        <v>1264</v>
      </c>
      <c r="B1266">
        <v>8</v>
      </c>
      <c r="C1266" t="str">
        <f>HYPERLINK("http://www.ncbi.nlm.nih.gov/protein/KAG7158035.1","KAG7158035.1")</f>
        <v>KAG7158035.1</v>
      </c>
      <c r="D1266">
        <v>65984</v>
      </c>
      <c r="E1266" t="str">
        <f>HYPERLINK("http://www.ncbi.nlm.nih.gov/Taxonomy/Browser/wwwtax.cgi?mode=Info&amp;id=6706&amp;lvl=3&amp;lin=f&amp;keep=1&amp;srchmode=1&amp;unlock","6706")</f>
        <v>6706</v>
      </c>
      <c r="F1266" t="s">
        <v>779</v>
      </c>
      <c r="G1266" t="str">
        <f>HYPERLINK("http://www.ncbi.nlm.nih.gov/Taxonomy/Browser/wwwtax.cgi?mode=Info&amp;id=6706&amp;lvl=3&amp;lin=f&amp;keep=1&amp;srchmode=1&amp;unlock","Homarus americanus")</f>
        <v>Homarus americanus</v>
      </c>
      <c r="H1266" t="s">
        <v>1095</v>
      </c>
      <c r="I1266" t="str">
        <f>HYPERLINK("http://www.ncbi.nlm.nih.gov/protein/KAG7158035.1","Ryanodine receptor-like 3")</f>
        <v>Ryanodine receptor-like 3</v>
      </c>
      <c r="J1266">
        <v>2396.31</v>
      </c>
      <c r="K1266" t="s">
        <v>22</v>
      </c>
      <c r="L1266">
        <v>276</v>
      </c>
      <c r="M1266">
        <v>9.75</v>
      </c>
      <c r="N1266">
        <v>22.92</v>
      </c>
      <c r="O1266" t="s">
        <v>19</v>
      </c>
      <c r="P1266" t="s">
        <v>20</v>
      </c>
      <c r="Q1266" t="s">
        <v>19</v>
      </c>
      <c r="R1266" t="str">
        <f>HYPERLINK("https://cfpub.epa.gov/ecotox/explore.cfm?ncbi=6706","Explore in ECOTOX")</f>
        <v>Explore in ECOTOX</v>
      </c>
    </row>
    <row r="1267" spans="1:18" x14ac:dyDescent="0.45">
      <c r="A1267" t="s">
        <v>1264</v>
      </c>
      <c r="B1267">
        <v>8</v>
      </c>
      <c r="C1267" t="str">
        <f>HYPERLINK("http://www.ncbi.nlm.nih.gov/protein/CAD6204845.1","CAD6204845.1")</f>
        <v>CAD6204845.1</v>
      </c>
      <c r="D1267">
        <v>27936</v>
      </c>
      <c r="E1267" t="str">
        <f>HYPERLINK("http://www.ncbi.nlm.nih.gov/Taxonomy/Browser/wwwtax.cgi?mode=Info&amp;id=51543&amp;lvl=3&amp;lin=f&amp;keep=1&amp;srchmode=1&amp;unlock","51543")</f>
        <v>51543</v>
      </c>
      <c r="F1267" t="s">
        <v>760</v>
      </c>
      <c r="G1267" t="str">
        <f>HYPERLINK("http://www.ncbi.nlm.nih.gov/Taxonomy/Browser/wwwtax.cgi?mode=Info&amp;id=51543&amp;lvl=3&amp;lin=f&amp;keep=1&amp;srchmode=1&amp;unlock","Cotesia congregata")</f>
        <v>Cotesia congregata</v>
      </c>
      <c r="H1267" t="s">
        <v>769</v>
      </c>
      <c r="I1267" t="str">
        <f>HYPERLINK("http://www.ncbi.nlm.nih.gov/protein/CAD6204845.1","GSCOCG00003010001-RA-CDS")</f>
        <v>GSCOCG00003010001-RA-CDS</v>
      </c>
      <c r="J1267">
        <v>2394.39</v>
      </c>
      <c r="K1267" t="s">
        <v>22</v>
      </c>
      <c r="L1267">
        <v>276</v>
      </c>
      <c r="M1267">
        <v>9.75</v>
      </c>
      <c r="N1267">
        <v>22.9</v>
      </c>
      <c r="O1267" t="s">
        <v>19</v>
      </c>
      <c r="P1267" t="s">
        <v>20</v>
      </c>
      <c r="Q1267" t="s">
        <v>19</v>
      </c>
      <c r="R1267" t="str">
        <f>HYPERLINK("https://cfpub.epa.gov/ecotox/explore.cfm?ncbi=51543","Explore in ECOTOX")</f>
        <v>Explore in ECOTOX</v>
      </c>
    </row>
    <row r="1268" spans="1:18" x14ac:dyDescent="0.45">
      <c r="A1268" t="s">
        <v>1264</v>
      </c>
      <c r="B1268">
        <v>8</v>
      </c>
      <c r="C1268" t="str">
        <f>HYPERLINK("http://www.ncbi.nlm.nih.gov/protein/XP_037033206.1","XP_037033206.1")</f>
        <v>XP_037033206.1</v>
      </c>
      <c r="D1268">
        <v>28500</v>
      </c>
      <c r="E1268" t="str">
        <f>HYPERLINK("http://www.ncbi.nlm.nih.gov/Taxonomy/Browser/wwwtax.cgi?mode=Info&amp;id=38358&amp;lvl=3&amp;lin=f&amp;keep=1&amp;srchmode=1&amp;unlock","38358")</f>
        <v>38358</v>
      </c>
      <c r="F1268" t="s">
        <v>760</v>
      </c>
      <c r="G1268" t="str">
        <f>HYPERLINK("http://www.ncbi.nlm.nih.gov/Taxonomy/Browser/wwwtax.cgi?mode=Info&amp;id=38358&amp;lvl=3&amp;lin=f&amp;keep=1&amp;srchmode=1&amp;unlock","Bradysia coprophila")</f>
        <v>Bradysia coprophila</v>
      </c>
      <c r="H1268" t="s">
        <v>1096</v>
      </c>
      <c r="I1268" t="str">
        <f>HYPERLINK("http://www.ncbi.nlm.nih.gov/protein/XP_037033206.1","ryanodine receptor isoform X4")</f>
        <v>ryanodine receptor isoform X4</v>
      </c>
      <c r="J1268">
        <v>2392.85</v>
      </c>
      <c r="K1268" t="s">
        <v>22</v>
      </c>
      <c r="L1268">
        <v>276</v>
      </c>
      <c r="M1268">
        <v>9.75</v>
      </c>
      <c r="N1268">
        <v>22.89</v>
      </c>
      <c r="O1268" t="s">
        <v>19</v>
      </c>
      <c r="P1268" t="s">
        <v>20</v>
      </c>
      <c r="Q1268" t="s">
        <v>19</v>
      </c>
      <c r="R1268" t="str">
        <f>HYPERLINK("https://cfpub.epa.gov/ecotox/explore.cfm?ncbi=38358","Explore in ECOTOX")</f>
        <v>Explore in ECOTOX</v>
      </c>
    </row>
    <row r="1269" spans="1:18" x14ac:dyDescent="0.45">
      <c r="A1269" t="s">
        <v>1264</v>
      </c>
      <c r="B1269">
        <v>8</v>
      </c>
      <c r="C1269" t="str">
        <f>HYPERLINK("http://www.ncbi.nlm.nih.gov/protein/KRZ77567.1","KRZ77567.1")</f>
        <v>KRZ77567.1</v>
      </c>
      <c r="D1269">
        <v>16253</v>
      </c>
      <c r="E1269" t="str">
        <f>HYPERLINK("http://www.ncbi.nlm.nih.gov/Taxonomy/Browser/wwwtax.cgi?mode=Info&amp;id=268474&amp;lvl=3&amp;lin=f&amp;keep=1&amp;srchmode=1&amp;unlock","268474")</f>
        <v>268474</v>
      </c>
      <c r="F1269" t="s">
        <v>1060</v>
      </c>
      <c r="G1269" t="str">
        <f>HYPERLINK("http://www.ncbi.nlm.nih.gov/Taxonomy/Browser/wwwtax.cgi?mode=Info&amp;id=268474&amp;lvl=3&amp;lin=f&amp;keep=1&amp;srchmode=1&amp;unlock","Trichinella papuae")</f>
        <v>Trichinella papuae</v>
      </c>
      <c r="H1269" t="s">
        <v>1027</v>
      </c>
      <c r="I1269" t="str">
        <f>HYPERLINK("http://www.ncbi.nlm.nih.gov/protein/KRZ77567.1","Ryanodine receptor 44F, partial")</f>
        <v>Ryanodine receptor 44F, partial</v>
      </c>
      <c r="J1269">
        <v>2388.9899999999998</v>
      </c>
      <c r="K1269" t="s">
        <v>22</v>
      </c>
      <c r="L1269">
        <v>276</v>
      </c>
      <c r="M1269">
        <v>9.75</v>
      </c>
      <c r="N1269">
        <v>22.85</v>
      </c>
      <c r="O1269" t="s">
        <v>19</v>
      </c>
      <c r="P1269" t="s">
        <v>20</v>
      </c>
      <c r="Q1269" t="s">
        <v>19</v>
      </c>
      <c r="R1269" t="str">
        <f>HYPERLINK("https://cfpub.epa.gov/ecotox/explore.cfm?ncbi=268474","Explore in ECOTOX")</f>
        <v>Explore in ECOTOX</v>
      </c>
    </row>
    <row r="1270" spans="1:18" x14ac:dyDescent="0.45">
      <c r="A1270" t="s">
        <v>1264</v>
      </c>
      <c r="B1270">
        <v>8</v>
      </c>
      <c r="C1270" t="str">
        <f>HYPERLINK("http://www.ncbi.nlm.nih.gov/protein/OXB83885.1","OXB83885.1")</f>
        <v>OXB83885.1</v>
      </c>
      <c r="D1270">
        <v>17234</v>
      </c>
      <c r="E1270" t="str">
        <f>HYPERLINK("http://www.ncbi.nlm.nih.gov/Taxonomy/Browser/wwwtax.cgi?mode=Info&amp;id=9014&amp;lvl=3&amp;lin=f&amp;keep=1&amp;srchmode=1&amp;unlock","9014")</f>
        <v>9014</v>
      </c>
      <c r="F1270" t="s">
        <v>241</v>
      </c>
      <c r="G1270" t="str">
        <f>HYPERLINK("http://www.ncbi.nlm.nih.gov/Taxonomy/Browser/wwwtax.cgi?mode=Info&amp;id=9014&amp;lvl=3&amp;lin=f&amp;keep=1&amp;srchmode=1&amp;unlock","Colinus virginianus")</f>
        <v>Colinus virginianus</v>
      </c>
      <c r="H1270" t="s">
        <v>1097</v>
      </c>
      <c r="I1270" t="str">
        <f>HYPERLINK("http://www.ncbi.nlm.nih.gov/protein/OXB83885.1","hypothetical protein H355_009369")</f>
        <v>hypothetical protein H355_009369</v>
      </c>
      <c r="J1270">
        <v>2388.9899999999998</v>
      </c>
      <c r="K1270" t="s">
        <v>22</v>
      </c>
      <c r="L1270">
        <v>276</v>
      </c>
      <c r="M1270">
        <v>9.75</v>
      </c>
      <c r="N1270">
        <v>22.85</v>
      </c>
      <c r="O1270" t="s">
        <v>19</v>
      </c>
      <c r="P1270" t="s">
        <v>20</v>
      </c>
      <c r="Q1270" t="s">
        <v>19</v>
      </c>
      <c r="R1270" t="str">
        <f>HYPERLINK("https://cfpub.epa.gov/ecotox/explore.cfm?ncbi=9014","Explore in ECOTOX")</f>
        <v>Explore in ECOTOX</v>
      </c>
    </row>
    <row r="1271" spans="1:18" x14ac:dyDescent="0.45">
      <c r="A1271" t="s">
        <v>1264</v>
      </c>
      <c r="B1271">
        <v>8</v>
      </c>
      <c r="C1271" t="str">
        <f>HYPERLINK("http://www.ncbi.nlm.nih.gov/protein/KAG5318438.1","KAG5318438.1")</f>
        <v>KAG5318438.1</v>
      </c>
      <c r="D1271">
        <v>9123</v>
      </c>
      <c r="E1271" t="str">
        <f>HYPERLINK("http://www.ncbi.nlm.nih.gov/Taxonomy/Browser/wwwtax.cgi?mode=Info&amp;id=230685&amp;lvl=3&amp;lin=f&amp;keep=1&amp;srchmode=1&amp;unlock","230685")</f>
        <v>230685</v>
      </c>
      <c r="F1271" t="s">
        <v>760</v>
      </c>
      <c r="G1271" t="str">
        <f>HYPERLINK("http://www.ncbi.nlm.nih.gov/Taxonomy/Browser/wwwtax.cgi?mode=Info&amp;id=230685&amp;lvl=3&amp;lin=f&amp;keep=1&amp;srchmode=1&amp;unlock","Acromyrmex heyeri")</f>
        <v>Acromyrmex heyeri</v>
      </c>
      <c r="H1271" t="s">
        <v>769</v>
      </c>
      <c r="I1271" t="str">
        <f>HYPERLINK("http://www.ncbi.nlm.nih.gov/protein/KAG5318438.1","RYR protein, partial")</f>
        <v>RYR protein, partial</v>
      </c>
      <c r="J1271">
        <v>2388.2199999999998</v>
      </c>
      <c r="K1271" t="s">
        <v>22</v>
      </c>
      <c r="L1271">
        <v>276</v>
      </c>
      <c r="M1271">
        <v>9.75</v>
      </c>
      <c r="N1271">
        <v>22.85</v>
      </c>
      <c r="O1271" t="s">
        <v>19</v>
      </c>
      <c r="P1271" t="s">
        <v>20</v>
      </c>
      <c r="Q1271" t="s">
        <v>19</v>
      </c>
      <c r="R1271" t="str">
        <f>HYPERLINK("https://cfpub.epa.gov/ecotox/explore.cfm?ncbi=230685","Explore in ECOTOX")</f>
        <v>Explore in ECOTOX</v>
      </c>
    </row>
    <row r="1272" spans="1:18" x14ac:dyDescent="0.45">
      <c r="A1272" t="s">
        <v>1264</v>
      </c>
      <c r="B1272">
        <v>8</v>
      </c>
      <c r="C1272" t="str">
        <f>HYPERLINK("http://www.ncbi.nlm.nih.gov/protein/KAF7268962.1","KAF7268962.1")</f>
        <v>KAF7268962.1</v>
      </c>
      <c r="D1272">
        <v>25918</v>
      </c>
      <c r="E1272" t="str">
        <f>HYPERLINK("http://www.ncbi.nlm.nih.gov/Taxonomy/Browser/wwwtax.cgi?mode=Info&amp;id=354439&amp;lvl=3&amp;lin=f&amp;keep=1&amp;srchmode=1&amp;unlock","354439")</f>
        <v>354439</v>
      </c>
      <c r="F1272" t="s">
        <v>760</v>
      </c>
      <c r="G1272" t="str">
        <f>HYPERLINK("http://www.ncbi.nlm.nih.gov/Taxonomy/Browser/wwwtax.cgi?mode=Info&amp;id=354439&amp;lvl=3&amp;lin=f&amp;keep=1&amp;srchmode=1&amp;unlock","Rhynchophorus ferrugineus")</f>
        <v>Rhynchophorus ferrugineus</v>
      </c>
      <c r="H1272" t="s">
        <v>1098</v>
      </c>
      <c r="I1272" t="str">
        <f>HYPERLINK("http://www.ncbi.nlm.nih.gov/protein/KAF7268962.1","hypothetical protein GWI33_017947")</f>
        <v>hypothetical protein GWI33_017947</v>
      </c>
      <c r="J1272">
        <v>2388.2199999999998</v>
      </c>
      <c r="K1272" t="s">
        <v>22</v>
      </c>
      <c r="L1272">
        <v>276</v>
      </c>
      <c r="M1272">
        <v>9.75</v>
      </c>
      <c r="N1272">
        <v>22.85</v>
      </c>
      <c r="O1272" t="s">
        <v>19</v>
      </c>
      <c r="P1272" t="s">
        <v>20</v>
      </c>
      <c r="Q1272" t="s">
        <v>19</v>
      </c>
      <c r="R1272" t="str">
        <f>HYPERLINK("https://cfpub.epa.gov/ecotox/explore.cfm?ncbi=354439","Explore in ECOTOX")</f>
        <v>Explore in ECOTOX</v>
      </c>
    </row>
    <row r="1273" spans="1:18" x14ac:dyDescent="0.45">
      <c r="A1273" t="s">
        <v>1264</v>
      </c>
      <c r="B1273">
        <v>8</v>
      </c>
      <c r="C1273" t="str">
        <f>HYPERLINK("http://www.ncbi.nlm.nih.gov/protein/KOX73585.1","KOX73585.1")</f>
        <v>KOX73585.1</v>
      </c>
      <c r="D1273">
        <v>14310</v>
      </c>
      <c r="E1273" t="str">
        <f>HYPERLINK("http://www.ncbi.nlm.nih.gov/Taxonomy/Browser/wwwtax.cgi?mode=Info&amp;id=166423&amp;lvl=3&amp;lin=f&amp;keep=1&amp;srchmode=1&amp;unlock","166423")</f>
        <v>166423</v>
      </c>
      <c r="F1273" t="s">
        <v>760</v>
      </c>
      <c r="G1273" t="str">
        <f>HYPERLINK("http://www.ncbi.nlm.nih.gov/Taxonomy/Browser/wwwtax.cgi?mode=Info&amp;id=166423&amp;lvl=3&amp;lin=f&amp;keep=1&amp;srchmode=1&amp;unlock","Melipona quadrifasciata")</f>
        <v>Melipona quadrifasciata</v>
      </c>
      <c r="H1273" t="s">
        <v>817</v>
      </c>
      <c r="I1273" t="str">
        <f>HYPERLINK("http://www.ncbi.nlm.nih.gov/protein/KOX73585.1","Ryanodine receptor 44F, partial")</f>
        <v>Ryanodine receptor 44F, partial</v>
      </c>
      <c r="J1273">
        <v>2382.4499999999998</v>
      </c>
      <c r="K1273" t="s">
        <v>22</v>
      </c>
      <c r="L1273">
        <v>276</v>
      </c>
      <c r="M1273">
        <v>9.75</v>
      </c>
      <c r="N1273">
        <v>22.79</v>
      </c>
      <c r="O1273" t="s">
        <v>19</v>
      </c>
      <c r="P1273" t="s">
        <v>20</v>
      </c>
      <c r="Q1273" t="s">
        <v>19</v>
      </c>
      <c r="R1273" t="str">
        <f>HYPERLINK("https://cfpub.epa.gov/ecotox/explore.cfm?ncbi=166423","Explore in ECOTOX")</f>
        <v>Explore in ECOTOX</v>
      </c>
    </row>
    <row r="1274" spans="1:18" x14ac:dyDescent="0.45">
      <c r="A1274" t="s">
        <v>1264</v>
      </c>
      <c r="B1274">
        <v>8</v>
      </c>
      <c r="C1274" t="str">
        <f>HYPERLINK("http://www.ncbi.nlm.nih.gov/protein/XP_025830516.1","XP_025830516.1")</f>
        <v>XP_025830516.1</v>
      </c>
      <c r="D1274">
        <v>22260</v>
      </c>
      <c r="E1274" t="str">
        <f>HYPERLINK("http://www.ncbi.nlm.nih.gov/Taxonomy/Browser/wwwtax.cgi?mode=Info&amp;id=224129&amp;lvl=3&amp;lin=f&amp;keep=1&amp;srchmode=1&amp;unlock","224129")</f>
        <v>224129</v>
      </c>
      <c r="F1274" t="s">
        <v>760</v>
      </c>
      <c r="G1274" t="str">
        <f>HYPERLINK("http://www.ncbi.nlm.nih.gov/Taxonomy/Browser/wwwtax.cgi?mode=Info&amp;id=224129&amp;lvl=3&amp;lin=f&amp;keep=1&amp;srchmode=1&amp;unlock","Agrilus planipennis")</f>
        <v>Agrilus planipennis</v>
      </c>
      <c r="H1274" t="s">
        <v>1099</v>
      </c>
      <c r="I1274" t="str">
        <f>HYPERLINK("http://www.ncbi.nlm.nih.gov/protein/XP_025830516.1","ryanodine receptor")</f>
        <v>ryanodine receptor</v>
      </c>
      <c r="J1274">
        <v>2372.04</v>
      </c>
      <c r="K1274" t="s">
        <v>22</v>
      </c>
      <c r="L1274">
        <v>276</v>
      </c>
      <c r="M1274">
        <v>9.75</v>
      </c>
      <c r="N1274">
        <v>22.69</v>
      </c>
      <c r="O1274" t="s">
        <v>19</v>
      </c>
      <c r="P1274" t="s">
        <v>20</v>
      </c>
      <c r="Q1274" t="s">
        <v>19</v>
      </c>
      <c r="R1274" t="str">
        <f>HYPERLINK("https://cfpub.epa.gov/ecotox/explore.cfm?ncbi=224129","Explore in ECOTOX")</f>
        <v>Explore in ECOTOX</v>
      </c>
    </row>
    <row r="1275" spans="1:18" x14ac:dyDescent="0.45">
      <c r="A1275" t="s">
        <v>1264</v>
      </c>
      <c r="B1275">
        <v>8</v>
      </c>
      <c r="C1275" t="str">
        <f>HYPERLINK("http://www.ncbi.nlm.nih.gov/protein/KAG6935681.1","KAG6935681.1")</f>
        <v>KAG6935681.1</v>
      </c>
      <c r="D1275">
        <v>21178</v>
      </c>
      <c r="E1275" t="str">
        <f>HYPERLINK("http://www.ncbi.nlm.nih.gov/Taxonomy/Browser/wwwtax.cgi?mode=Info&amp;id=8475&amp;lvl=3&amp;lin=f&amp;keep=1&amp;srchmode=1&amp;unlock","8475")</f>
        <v>8475</v>
      </c>
      <c r="F1275" t="s">
        <v>203</v>
      </c>
      <c r="G1275" t="str">
        <f>HYPERLINK("http://www.ncbi.nlm.nih.gov/Taxonomy/Browser/wwwtax.cgi?mode=Info&amp;id=8475&amp;lvl=3&amp;lin=f&amp;keep=1&amp;srchmode=1&amp;unlock","Chelydra serpentina")</f>
        <v>Chelydra serpentina</v>
      </c>
      <c r="H1275" t="s">
        <v>1100</v>
      </c>
      <c r="I1275" t="str">
        <f>HYPERLINK("http://www.ncbi.nlm.nih.gov/protein/KAG6935681.1","ryanodine receptor 3, partial")</f>
        <v>ryanodine receptor 3, partial</v>
      </c>
      <c r="J1275">
        <v>2362.0300000000002</v>
      </c>
      <c r="K1275" t="s">
        <v>22</v>
      </c>
      <c r="L1275">
        <v>276</v>
      </c>
      <c r="M1275">
        <v>9.75</v>
      </c>
      <c r="N1275">
        <v>22.59</v>
      </c>
      <c r="O1275" t="s">
        <v>19</v>
      </c>
      <c r="P1275" t="s">
        <v>20</v>
      </c>
      <c r="Q1275" t="s">
        <v>19</v>
      </c>
      <c r="R1275" t="str">
        <f>HYPERLINK("https://cfpub.epa.gov/ecotox/explore.cfm?ncbi=8475","Explore in ECOTOX")</f>
        <v>Explore in ECOTOX</v>
      </c>
    </row>
    <row r="1276" spans="1:18" x14ac:dyDescent="0.45">
      <c r="A1276" t="s">
        <v>1264</v>
      </c>
      <c r="B1276">
        <v>8</v>
      </c>
      <c r="C1276" t="str">
        <f>HYPERLINK("http://www.ncbi.nlm.nih.gov/protein/XP_022694949.1","XP_022694949.1")</f>
        <v>XP_022694949.1</v>
      </c>
      <c r="D1276">
        <v>26020</v>
      </c>
      <c r="E1276" t="str">
        <f>HYPERLINK("http://www.ncbi.nlm.nih.gov/Taxonomy/Browser/wwwtax.cgi?mode=Info&amp;id=62625&amp;lvl=3&amp;lin=f&amp;keep=1&amp;srchmode=1&amp;unlock","62625")</f>
        <v>62625</v>
      </c>
      <c r="F1276" t="s">
        <v>904</v>
      </c>
      <c r="G1276" t="str">
        <f>HYPERLINK("http://www.ncbi.nlm.nih.gov/Taxonomy/Browser/wwwtax.cgi?mode=Info&amp;id=62625&amp;lvl=3&amp;lin=f&amp;keep=1&amp;srchmode=1&amp;unlock","Varroa jacobsoni")</f>
        <v>Varroa jacobsoni</v>
      </c>
      <c r="H1276" t="s">
        <v>992</v>
      </c>
      <c r="I1276" t="str">
        <f>HYPERLINK("http://www.ncbi.nlm.nih.gov/protein/XP_022694949.1","LOW QUALITY PROTEIN: ryanodine receptor-like")</f>
        <v>LOW QUALITY PROTEIN: ryanodine receptor-like</v>
      </c>
      <c r="J1276">
        <v>2341.23</v>
      </c>
      <c r="K1276" t="s">
        <v>22</v>
      </c>
      <c r="L1276">
        <v>276</v>
      </c>
      <c r="M1276">
        <v>9.75</v>
      </c>
      <c r="N1276">
        <v>22.4</v>
      </c>
      <c r="O1276" t="s">
        <v>19</v>
      </c>
      <c r="P1276" t="s">
        <v>20</v>
      </c>
      <c r="Q1276" t="s">
        <v>19</v>
      </c>
      <c r="R1276" t="str">
        <f>HYPERLINK("https://cfpub.epa.gov/ecotox/explore.cfm?ncbi=62625","Explore in ECOTOX")</f>
        <v>Explore in ECOTOX</v>
      </c>
    </row>
    <row r="1277" spans="1:18" x14ac:dyDescent="0.45">
      <c r="A1277" t="s">
        <v>1264</v>
      </c>
      <c r="B1277">
        <v>8</v>
      </c>
      <c r="C1277" t="str">
        <f>HYPERLINK("http://www.ncbi.nlm.nih.gov/protein/XP_022665128.1","XP_022665128.1")</f>
        <v>XP_022665128.1</v>
      </c>
      <c r="D1277">
        <v>30713</v>
      </c>
      <c r="E1277" t="str">
        <f>HYPERLINK("http://www.ncbi.nlm.nih.gov/Taxonomy/Browser/wwwtax.cgi?mode=Info&amp;id=109461&amp;lvl=3&amp;lin=f&amp;keep=1&amp;srchmode=1&amp;unlock","109461")</f>
        <v>109461</v>
      </c>
      <c r="F1277" t="s">
        <v>904</v>
      </c>
      <c r="G1277" t="str">
        <f>HYPERLINK("http://www.ncbi.nlm.nih.gov/Taxonomy/Browser/wwwtax.cgi?mode=Info&amp;id=109461&amp;lvl=3&amp;lin=f&amp;keep=1&amp;srchmode=1&amp;unlock","Varroa destructor")</f>
        <v>Varroa destructor</v>
      </c>
      <c r="H1277" t="s">
        <v>1101</v>
      </c>
      <c r="I1277" t="str">
        <f>HYPERLINK("http://www.ncbi.nlm.nih.gov/protein/XP_022665128.1","LOW QUALITY PROTEIN: ryanodine receptor-like")</f>
        <v>LOW QUALITY PROTEIN: ryanodine receptor-like</v>
      </c>
      <c r="J1277">
        <v>2341.23</v>
      </c>
      <c r="K1277" t="s">
        <v>22</v>
      </c>
      <c r="L1277">
        <v>276</v>
      </c>
      <c r="M1277">
        <v>9.75</v>
      </c>
      <c r="N1277">
        <v>22.4</v>
      </c>
      <c r="O1277" t="s">
        <v>19</v>
      </c>
      <c r="P1277" t="s">
        <v>20</v>
      </c>
      <c r="Q1277" t="s">
        <v>19</v>
      </c>
      <c r="R1277" t="str">
        <f>HYPERLINK("https://cfpub.epa.gov/ecotox/explore.cfm?ncbi=109461","Explore in ECOTOX")</f>
        <v>Explore in ECOTOX</v>
      </c>
    </row>
    <row r="1278" spans="1:18" x14ac:dyDescent="0.45">
      <c r="A1278" t="s">
        <v>1264</v>
      </c>
      <c r="B1278">
        <v>8</v>
      </c>
      <c r="C1278" t="str">
        <f>HYPERLINK("http://www.ncbi.nlm.nih.gov/protein/KAF2367666.1","KAF2367666.1")</f>
        <v>KAF2367666.1</v>
      </c>
      <c r="D1278">
        <v>26121</v>
      </c>
      <c r="E1278" t="str">
        <f>HYPERLINK("http://www.ncbi.nlm.nih.gov/Taxonomy/Browser/wwwtax.cgi?mode=Info&amp;id=1923959&amp;lvl=3&amp;lin=f&amp;keep=1&amp;srchmode=1&amp;unlock","1923959")</f>
        <v>1923959</v>
      </c>
      <c r="F1278" t="s">
        <v>779</v>
      </c>
      <c r="G1278" t="str">
        <f>HYPERLINK("http://www.ncbi.nlm.nih.gov/Taxonomy/Browser/wwwtax.cgi?mode=Info&amp;id=1923959&amp;lvl=3&amp;lin=f&amp;keep=1&amp;srchmode=1&amp;unlock","Trinorchestia longiramus")</f>
        <v>Trinorchestia longiramus</v>
      </c>
      <c r="H1278" t="s">
        <v>1102</v>
      </c>
      <c r="I1278" t="str">
        <f>HYPERLINK("http://www.ncbi.nlm.nih.gov/protein/KAF2367666.1","Ryanodine receptor Ryr")</f>
        <v>Ryanodine receptor Ryr</v>
      </c>
      <c r="J1278">
        <v>2325.8200000000002</v>
      </c>
      <c r="K1278" t="s">
        <v>22</v>
      </c>
      <c r="L1278">
        <v>276</v>
      </c>
      <c r="M1278">
        <v>9.75</v>
      </c>
      <c r="N1278">
        <v>22.25</v>
      </c>
      <c r="O1278" t="s">
        <v>19</v>
      </c>
      <c r="P1278" t="s">
        <v>20</v>
      </c>
      <c r="Q1278" t="s">
        <v>19</v>
      </c>
      <c r="R1278" t="str">
        <f>HYPERLINK("https://cfpub.epa.gov/ecotox/explore.cfm?ncbi=1923959","Explore in ECOTOX")</f>
        <v>Explore in ECOTOX</v>
      </c>
    </row>
    <row r="1279" spans="1:18" x14ac:dyDescent="0.45">
      <c r="A1279" t="s">
        <v>1264</v>
      </c>
      <c r="B1279">
        <v>8</v>
      </c>
      <c r="C1279" t="str">
        <f>HYPERLINK("http://www.ncbi.nlm.nih.gov/protein/XP_027204614.1","XP_027204614.1")</f>
        <v>XP_027204614.1</v>
      </c>
      <c r="D1279">
        <v>27767</v>
      </c>
      <c r="E1279" t="str">
        <f>HYPERLINK("http://www.ncbi.nlm.nih.gov/Taxonomy/Browser/wwwtax.cgi?mode=Info&amp;id=6956&amp;lvl=3&amp;lin=f&amp;keep=1&amp;srchmode=1&amp;unlock","6956")</f>
        <v>6956</v>
      </c>
      <c r="F1279" t="s">
        <v>904</v>
      </c>
      <c r="G1279" t="str">
        <f>HYPERLINK("http://www.ncbi.nlm.nih.gov/Taxonomy/Browser/wwwtax.cgi?mode=Info&amp;id=6956&amp;lvl=3&amp;lin=f&amp;keep=1&amp;srchmode=1&amp;unlock","Dermatophagoides pteronyssinus")</f>
        <v>Dermatophagoides pteronyssinus</v>
      </c>
      <c r="H1279" t="s">
        <v>1103</v>
      </c>
      <c r="I1279" t="str">
        <f>HYPERLINK("http://www.ncbi.nlm.nih.gov/protein/XP_027204614.1","ryanodine receptor-like")</f>
        <v>ryanodine receptor-like</v>
      </c>
      <c r="J1279">
        <v>2321.9699999999998</v>
      </c>
      <c r="K1279" t="s">
        <v>22</v>
      </c>
      <c r="L1279">
        <v>276</v>
      </c>
      <c r="M1279">
        <v>9.75</v>
      </c>
      <c r="N1279">
        <v>22.21</v>
      </c>
      <c r="O1279" t="s">
        <v>19</v>
      </c>
      <c r="P1279" t="s">
        <v>20</v>
      </c>
      <c r="Q1279" t="s">
        <v>19</v>
      </c>
      <c r="R1279" t="str">
        <f>HYPERLINK("https://cfpub.epa.gov/ecotox/explore.cfm?ncbi=6956","Explore in ECOTOX")</f>
        <v>Explore in ECOTOX</v>
      </c>
    </row>
    <row r="1280" spans="1:18" x14ac:dyDescent="0.45">
      <c r="A1280" t="s">
        <v>1264</v>
      </c>
      <c r="B1280">
        <v>8</v>
      </c>
      <c r="C1280" t="str">
        <f>HYPERLINK("http://www.ncbi.nlm.nih.gov/protein/XP_010124680.1","XP_010124680.1")</f>
        <v>XP_010124680.1</v>
      </c>
      <c r="D1280">
        <v>26947</v>
      </c>
      <c r="E1280" t="str">
        <f>HYPERLINK("http://www.ncbi.nlm.nih.gov/Taxonomy/Browser/wwwtax.cgi?mode=Info&amp;id=187382&amp;lvl=3&amp;lin=f&amp;keep=1&amp;srchmode=1&amp;unlock","187382")</f>
        <v>187382</v>
      </c>
      <c r="F1280" t="s">
        <v>241</v>
      </c>
      <c r="G1280" t="str">
        <f>HYPERLINK("http://www.ncbi.nlm.nih.gov/Taxonomy/Browser/wwwtax.cgi?mode=Info&amp;id=187382&amp;lvl=3&amp;lin=f&amp;keep=1&amp;srchmode=1&amp;unlock","Chlamydotis macqueenii")</f>
        <v>Chlamydotis macqueenii</v>
      </c>
      <c r="H1280" t="s">
        <v>1104</v>
      </c>
      <c r="I1280" t="str">
        <f>HYPERLINK("http://www.ncbi.nlm.nih.gov/protein/XP_010124680.1","PREDICTED: ryanodine receptor 2, partial")</f>
        <v>PREDICTED: ryanodine receptor 2, partial</v>
      </c>
      <c r="J1280">
        <v>2272.2800000000002</v>
      </c>
      <c r="K1280" t="s">
        <v>22</v>
      </c>
      <c r="L1280">
        <v>276</v>
      </c>
      <c r="M1280">
        <v>9.75</v>
      </c>
      <c r="N1280">
        <v>21.74</v>
      </c>
      <c r="O1280" t="s">
        <v>19</v>
      </c>
      <c r="P1280" t="s">
        <v>20</v>
      </c>
      <c r="Q1280" t="s">
        <v>19</v>
      </c>
      <c r="R1280" t="str">
        <f>HYPERLINK("https://cfpub.epa.gov/ecotox/explore.cfm?ncbi=187382","Explore in ECOTOX")</f>
        <v>Explore in ECOTOX</v>
      </c>
    </row>
    <row r="1281" spans="1:18" x14ac:dyDescent="0.45">
      <c r="A1281" t="s">
        <v>1264</v>
      </c>
      <c r="B1281">
        <v>8</v>
      </c>
      <c r="C1281" t="str">
        <f>HYPERLINK("http://www.ncbi.nlm.nih.gov/protein/CAF2384875.1","CAF2384875.1")</f>
        <v>CAF2384875.1</v>
      </c>
      <c r="D1281">
        <v>379546</v>
      </c>
      <c r="E1281" t="str">
        <f>HYPERLINK("http://www.ncbi.nlm.nih.gov/Taxonomy/Browser/wwwtax.cgi?mode=Info&amp;id=2762512&amp;lvl=3&amp;lin=f&amp;keep=1&amp;srchmode=1&amp;unlock","2762512")</f>
        <v>2762512</v>
      </c>
      <c r="F1281" t="s">
        <v>811</v>
      </c>
      <c r="G1281" t="str">
        <f>HYPERLINK("http://www.ncbi.nlm.nih.gov/Taxonomy/Browser/wwwtax.cgi?mode=Info&amp;id=2762512&amp;lvl=3&amp;lin=f&amp;keep=1&amp;srchmode=1&amp;unlock","Rotaria sp. Silwood2")</f>
        <v>Rotaria sp. Silwood2</v>
      </c>
      <c r="H1281" t="s">
        <v>812</v>
      </c>
      <c r="I1281" t="str">
        <f>HYPERLINK("http://www.ncbi.nlm.nih.gov/protein/CAF2384875.1","unnamed protein product")</f>
        <v>unnamed protein product</v>
      </c>
      <c r="J1281">
        <v>2238.38</v>
      </c>
      <c r="K1281" t="s">
        <v>22</v>
      </c>
      <c r="L1281">
        <v>276</v>
      </c>
      <c r="M1281">
        <v>9.75</v>
      </c>
      <c r="N1281">
        <v>21.41</v>
      </c>
      <c r="O1281" t="s">
        <v>19</v>
      </c>
      <c r="P1281" t="s">
        <v>20</v>
      </c>
      <c r="Q1281" t="s">
        <v>19</v>
      </c>
      <c r="R1281" t="str">
        <f>HYPERLINK("https://cfpub.epa.gov/ecotox/explore.cfm?ncbi=2762512","Explore in ECOTOX")</f>
        <v>Explore in ECOTOX</v>
      </c>
    </row>
    <row r="1282" spans="1:18" x14ac:dyDescent="0.45">
      <c r="A1282" t="s">
        <v>1264</v>
      </c>
      <c r="B1282">
        <v>8</v>
      </c>
      <c r="C1282" t="str">
        <f>HYPERLINK("http://www.ncbi.nlm.nih.gov/protein/CAD7240925.1","CAD7240925.1")</f>
        <v>CAD7240925.1</v>
      </c>
      <c r="D1282">
        <v>31318</v>
      </c>
      <c r="E1282" t="str">
        <f>HYPERLINK("http://www.ncbi.nlm.nih.gov/Taxonomy/Browser/wwwtax.cgi?mode=Info&amp;id=69355&amp;lvl=3&amp;lin=f&amp;keep=1&amp;srchmode=1&amp;unlock","69355")</f>
        <v>69355</v>
      </c>
      <c r="F1282" t="s">
        <v>1105</v>
      </c>
      <c r="G1282" t="str">
        <f>HYPERLINK("http://www.ncbi.nlm.nih.gov/Taxonomy/Browser/wwwtax.cgi?mode=Info&amp;id=69355&amp;lvl=3&amp;lin=f&amp;keep=1&amp;srchmode=1&amp;unlock","Darwinula stevensoni")</f>
        <v>Darwinula stevensoni</v>
      </c>
      <c r="H1282" t="s">
        <v>1106</v>
      </c>
      <c r="I1282" t="str">
        <f>HYPERLINK("http://www.ncbi.nlm.nih.gov/protein/CAD7240925.1","unnamed protein product")</f>
        <v>unnamed protein product</v>
      </c>
      <c r="J1282">
        <v>2231.4499999999998</v>
      </c>
      <c r="K1282" t="s">
        <v>22</v>
      </c>
      <c r="L1282">
        <v>276</v>
      </c>
      <c r="M1282">
        <v>9.75</v>
      </c>
      <c r="N1282">
        <v>21.35</v>
      </c>
      <c r="O1282" t="s">
        <v>19</v>
      </c>
      <c r="P1282" t="s">
        <v>20</v>
      </c>
      <c r="Q1282" t="s">
        <v>19</v>
      </c>
      <c r="R1282" t="str">
        <f>HYPERLINK("https://cfpub.epa.gov/ecotox/explore.cfm?ncbi=69355","Explore in ECOTOX")</f>
        <v>Explore in ECOTOX</v>
      </c>
    </row>
    <row r="1283" spans="1:18" x14ac:dyDescent="0.45">
      <c r="A1283" t="s">
        <v>1264</v>
      </c>
      <c r="B1283">
        <v>8</v>
      </c>
      <c r="C1283" t="str">
        <f>HYPERLINK("http://www.ncbi.nlm.nih.gov/protein/CAF0917258.1","CAF0917258.1")</f>
        <v>CAF0917258.1</v>
      </c>
      <c r="D1283">
        <v>441127</v>
      </c>
      <c r="E1283" t="str">
        <f>HYPERLINK("http://www.ncbi.nlm.nih.gov/Taxonomy/Browser/wwwtax.cgi?mode=Info&amp;id=2762511&amp;lvl=3&amp;lin=f&amp;keep=1&amp;srchmode=1&amp;unlock","2762511")</f>
        <v>2762511</v>
      </c>
      <c r="F1283" t="s">
        <v>811</v>
      </c>
      <c r="G1283" t="str">
        <f>HYPERLINK("http://www.ncbi.nlm.nih.gov/Taxonomy/Browser/wwwtax.cgi?mode=Info&amp;id=2762511&amp;lvl=3&amp;lin=f&amp;keep=1&amp;srchmode=1&amp;unlock","Rotaria sp. Silwood1")</f>
        <v>Rotaria sp. Silwood1</v>
      </c>
      <c r="H1283" t="s">
        <v>812</v>
      </c>
      <c r="I1283" t="str">
        <f>HYPERLINK("http://www.ncbi.nlm.nih.gov/protein/CAF0917258.1","unnamed protein product")</f>
        <v>unnamed protein product</v>
      </c>
      <c r="J1283">
        <v>2216.04</v>
      </c>
      <c r="K1283" t="s">
        <v>22</v>
      </c>
      <c r="L1283">
        <v>276</v>
      </c>
      <c r="M1283">
        <v>9.75</v>
      </c>
      <c r="N1283">
        <v>21.2</v>
      </c>
      <c r="O1283" t="s">
        <v>19</v>
      </c>
      <c r="P1283" t="s">
        <v>20</v>
      </c>
      <c r="Q1283" t="s">
        <v>19</v>
      </c>
      <c r="R1283" t="str">
        <f>HYPERLINK("https://cfpub.epa.gov/ecotox/explore.cfm?ncbi=2762511","Explore in ECOTOX")</f>
        <v>Explore in ECOTOX</v>
      </c>
    </row>
    <row r="1284" spans="1:18" x14ac:dyDescent="0.45">
      <c r="A1284" t="s">
        <v>1264</v>
      </c>
      <c r="B1284">
        <v>8</v>
      </c>
      <c r="C1284" t="str">
        <f>HYPERLINK("http://www.ncbi.nlm.nih.gov/protein/KFD64964.1","KFD64964.1")</f>
        <v>KFD64964.1</v>
      </c>
      <c r="D1284">
        <v>38524</v>
      </c>
      <c r="E1284" t="str">
        <f>HYPERLINK("http://www.ncbi.nlm.nih.gov/Taxonomy/Browser/wwwtax.cgi?mode=Info&amp;id=68888&amp;lvl=3&amp;lin=f&amp;keep=1&amp;srchmode=1&amp;unlock","68888")</f>
        <v>68888</v>
      </c>
      <c r="F1284" t="s">
        <v>1060</v>
      </c>
      <c r="G1284" t="str">
        <f>HYPERLINK("http://www.ncbi.nlm.nih.gov/Taxonomy/Browser/wwwtax.cgi?mode=Info&amp;id=68888&amp;lvl=3&amp;lin=f&amp;keep=1&amp;srchmode=1&amp;unlock","Trichuris suis")</f>
        <v>Trichuris suis</v>
      </c>
      <c r="H1284" t="s">
        <v>1107</v>
      </c>
      <c r="I1284" t="str">
        <f>HYPERLINK("http://www.ncbi.nlm.nih.gov/protein/KFD64964.1","hypothetical protein M514_11549")</f>
        <v>hypothetical protein M514_11549</v>
      </c>
      <c r="J1284">
        <v>2197.5500000000002</v>
      </c>
      <c r="K1284" t="s">
        <v>22</v>
      </c>
      <c r="L1284">
        <v>276</v>
      </c>
      <c r="M1284">
        <v>9.75</v>
      </c>
      <c r="N1284">
        <v>21.02</v>
      </c>
      <c r="O1284" t="s">
        <v>19</v>
      </c>
      <c r="P1284" t="s">
        <v>20</v>
      </c>
      <c r="Q1284" t="s">
        <v>19</v>
      </c>
      <c r="R1284" t="str">
        <f>HYPERLINK("https://cfpub.epa.gov/ecotox/explore.cfm?ncbi=68888","Explore in ECOTOX")</f>
        <v>Explore in ECOTOX</v>
      </c>
    </row>
    <row r="1285" spans="1:18" x14ac:dyDescent="0.45">
      <c r="A1285" t="s">
        <v>1264</v>
      </c>
      <c r="B1285">
        <v>8</v>
      </c>
      <c r="C1285" t="str">
        <f>HYPERLINK("http://www.ncbi.nlm.nih.gov/protein/CAF0738255.1","CAF0738255.1")</f>
        <v>CAF0738255.1</v>
      </c>
      <c r="D1285">
        <v>194812</v>
      </c>
      <c r="E1285" t="str">
        <f>HYPERLINK("http://www.ncbi.nlm.nih.gov/Taxonomy/Browser/wwwtax.cgi?mode=Info&amp;id=1234261&amp;lvl=3&amp;lin=f&amp;keep=1&amp;srchmode=1&amp;unlock","1234261")</f>
        <v>1234261</v>
      </c>
      <c r="F1285" t="s">
        <v>811</v>
      </c>
      <c r="G1285" t="str">
        <f>HYPERLINK("http://www.ncbi.nlm.nih.gov/Taxonomy/Browser/wwwtax.cgi?mode=Info&amp;id=1234261&amp;lvl=3&amp;lin=f&amp;keep=1&amp;srchmode=1&amp;unlock","Didymodactylos carnosus")</f>
        <v>Didymodactylos carnosus</v>
      </c>
      <c r="H1285" t="s">
        <v>812</v>
      </c>
      <c r="I1285" t="str">
        <f>HYPERLINK("http://www.ncbi.nlm.nih.gov/protein/CAF0738255.1","unnamed protein product")</f>
        <v>unnamed protein product</v>
      </c>
      <c r="J1285">
        <v>2196.7800000000002</v>
      </c>
      <c r="K1285" t="s">
        <v>22</v>
      </c>
      <c r="L1285">
        <v>276</v>
      </c>
      <c r="M1285">
        <v>9.75</v>
      </c>
      <c r="N1285">
        <v>21.01</v>
      </c>
      <c r="O1285" t="s">
        <v>19</v>
      </c>
      <c r="P1285" t="s">
        <v>20</v>
      </c>
      <c r="Q1285" t="s">
        <v>19</v>
      </c>
      <c r="R1285" t="str">
        <f>HYPERLINK("https://cfpub.epa.gov/ecotox/explore.cfm?ncbi=1234261","Explore in ECOTOX")</f>
        <v>Explore in ECOTOX</v>
      </c>
    </row>
    <row r="1286" spans="1:18" x14ac:dyDescent="0.45">
      <c r="A1286" t="s">
        <v>1264</v>
      </c>
      <c r="B1286">
        <v>8</v>
      </c>
      <c r="C1286" t="str">
        <f>HYPERLINK("http://www.ncbi.nlm.nih.gov/protein/CAF0715298.1","CAF0715298.1")</f>
        <v>CAF0715298.1</v>
      </c>
      <c r="D1286">
        <v>25519</v>
      </c>
      <c r="E1286" t="str">
        <f>HYPERLINK("http://www.ncbi.nlm.nih.gov/Taxonomy/Browser/wwwtax.cgi?mode=Info&amp;id=104777&amp;lvl=3&amp;lin=f&amp;keep=1&amp;srchmode=1&amp;unlock","104777")</f>
        <v>104777</v>
      </c>
      <c r="F1286" t="s">
        <v>811</v>
      </c>
      <c r="G1286" t="str">
        <f>HYPERLINK("http://www.ncbi.nlm.nih.gov/Taxonomy/Browser/wwwtax.cgi?mode=Info&amp;id=104777&amp;lvl=3&amp;lin=f&amp;keep=1&amp;srchmode=1&amp;unlock","Brachionus calyciflorus")</f>
        <v>Brachionus calyciflorus</v>
      </c>
      <c r="H1286" t="s">
        <v>812</v>
      </c>
      <c r="I1286" t="str">
        <f>HYPERLINK("http://www.ncbi.nlm.nih.gov/protein/CAF0715298.1","unnamed protein product")</f>
        <v>unnamed protein product</v>
      </c>
      <c r="J1286">
        <v>2196.7800000000002</v>
      </c>
      <c r="K1286" t="s">
        <v>22</v>
      </c>
      <c r="L1286">
        <v>276</v>
      </c>
      <c r="M1286">
        <v>9.75</v>
      </c>
      <c r="N1286">
        <v>21.01</v>
      </c>
      <c r="O1286" t="s">
        <v>19</v>
      </c>
      <c r="P1286" t="s">
        <v>20</v>
      </c>
      <c r="Q1286" t="s">
        <v>19</v>
      </c>
      <c r="R1286" t="str">
        <f>HYPERLINK("https://cfpub.epa.gov/ecotox/explore.cfm?ncbi=104777","Explore in ECOTOX")</f>
        <v>Explore in ECOTOX</v>
      </c>
    </row>
    <row r="1287" spans="1:18" x14ac:dyDescent="0.45">
      <c r="A1287" t="s">
        <v>1264</v>
      </c>
      <c r="B1287">
        <v>8</v>
      </c>
      <c r="C1287" t="str">
        <f>HYPERLINK("http://www.ncbi.nlm.nih.gov/protein/XP_042933032.1","XP_042933032.1")</f>
        <v>XP_042933032.1</v>
      </c>
      <c r="D1287">
        <v>46363</v>
      </c>
      <c r="E1287" t="str">
        <f>HYPERLINK("http://www.ncbi.nlm.nih.gov/Taxonomy/Browser/wwwtax.cgi?mode=Info&amp;id=6279&amp;lvl=3&amp;lin=f&amp;keep=1&amp;srchmode=1&amp;unlock","6279")</f>
        <v>6279</v>
      </c>
      <c r="F1287" t="s">
        <v>1024</v>
      </c>
      <c r="G1287" t="str">
        <f>HYPERLINK("http://www.ncbi.nlm.nih.gov/Taxonomy/Browser/wwwtax.cgi?mode=Info&amp;id=6279&amp;lvl=3&amp;lin=f&amp;keep=1&amp;srchmode=1&amp;unlock","Brugia malayi")</f>
        <v>Brugia malayi</v>
      </c>
      <c r="H1287" t="s">
        <v>1108</v>
      </c>
      <c r="I1287" t="str">
        <f>HYPERLINK("http://www.ncbi.nlm.nih.gov/protein/XP_042933032.1","Uncharacterized protein BM_BM4999")</f>
        <v>Uncharacterized protein BM_BM4999</v>
      </c>
      <c r="J1287">
        <v>2177.9</v>
      </c>
      <c r="K1287" t="s">
        <v>22</v>
      </c>
      <c r="L1287">
        <v>276</v>
      </c>
      <c r="M1287">
        <v>9.75</v>
      </c>
      <c r="N1287">
        <v>20.83</v>
      </c>
      <c r="O1287" t="s">
        <v>19</v>
      </c>
      <c r="P1287" t="s">
        <v>20</v>
      </c>
      <c r="Q1287" t="s">
        <v>19</v>
      </c>
      <c r="R1287" t="str">
        <f>HYPERLINK("https://cfpub.epa.gov/ecotox/explore.cfm?ncbi=6279","Explore in ECOTOX")</f>
        <v>Explore in ECOTOX</v>
      </c>
    </row>
    <row r="1288" spans="1:18" x14ac:dyDescent="0.45">
      <c r="A1288" t="s">
        <v>1264</v>
      </c>
      <c r="B1288">
        <v>8</v>
      </c>
      <c r="C1288" t="str">
        <f>HYPERLINK("http://www.ncbi.nlm.nih.gov/protein/XP_020307100.1","XP_020307100.1")</f>
        <v>XP_020307100.1</v>
      </c>
      <c r="D1288">
        <v>30905</v>
      </c>
      <c r="E1288" t="str">
        <f>HYPERLINK("http://www.ncbi.nlm.nih.gov/Taxonomy/Browser/wwwtax.cgi?mode=Info&amp;id=7209&amp;lvl=3&amp;lin=f&amp;keep=1&amp;srchmode=1&amp;unlock","7209")</f>
        <v>7209</v>
      </c>
      <c r="F1288" t="s">
        <v>1024</v>
      </c>
      <c r="G1288" t="str">
        <f>HYPERLINK("http://www.ncbi.nlm.nih.gov/Taxonomy/Browser/wwwtax.cgi?mode=Info&amp;id=7209&amp;lvl=3&amp;lin=f&amp;keep=1&amp;srchmode=1&amp;unlock","Loa loa")</f>
        <v>Loa loa</v>
      </c>
      <c r="H1288" t="s">
        <v>1109</v>
      </c>
      <c r="I1288" t="str">
        <f>HYPERLINK("http://www.ncbi.nlm.nih.gov/protein/XP_020307100.1","ryanodine Receptor TM 4-6 family protein")</f>
        <v>ryanodine Receptor TM 4-6 family protein</v>
      </c>
      <c r="J1288">
        <v>2173.2800000000002</v>
      </c>
      <c r="K1288" t="s">
        <v>22</v>
      </c>
      <c r="L1288">
        <v>276</v>
      </c>
      <c r="M1288">
        <v>9.75</v>
      </c>
      <c r="N1288">
        <v>20.79</v>
      </c>
      <c r="O1288" t="s">
        <v>19</v>
      </c>
      <c r="P1288" t="s">
        <v>20</v>
      </c>
      <c r="Q1288" t="s">
        <v>19</v>
      </c>
      <c r="R1288" t="str">
        <f>HYPERLINK("https://cfpub.epa.gov/ecotox/explore.cfm?ncbi=7209","Explore in ECOTOX")</f>
        <v>Explore in ECOTOX</v>
      </c>
    </row>
    <row r="1289" spans="1:18" x14ac:dyDescent="0.45">
      <c r="A1289" t="s">
        <v>1264</v>
      </c>
      <c r="B1289">
        <v>8</v>
      </c>
      <c r="C1289" t="str">
        <f>HYPERLINK("http://www.ncbi.nlm.nih.gov/protein/OWK16374.1","OWK16374.1")</f>
        <v>OWK16374.1</v>
      </c>
      <c r="D1289">
        <v>19276</v>
      </c>
      <c r="E1289" t="str">
        <f>HYPERLINK("http://www.ncbi.nlm.nih.gov/Taxonomy/Browser/wwwtax.cgi?mode=Info&amp;id=46360&amp;lvl=3&amp;lin=f&amp;keep=1&amp;srchmode=1&amp;unlock","46360")</f>
        <v>46360</v>
      </c>
      <c r="F1289" t="s">
        <v>96</v>
      </c>
      <c r="G1289" t="str">
        <f>HYPERLINK("http://www.ncbi.nlm.nih.gov/Taxonomy/Browser/wwwtax.cgi?mode=Info&amp;id=46360&amp;lvl=3&amp;lin=f&amp;keep=1&amp;srchmode=1&amp;unlock","Cervus elaphus hippelaphus")</f>
        <v>Cervus elaphus hippelaphus</v>
      </c>
      <c r="H1289" t="s">
        <v>576</v>
      </c>
      <c r="I1289" t="str">
        <f>HYPERLINK("http://www.ncbi.nlm.nih.gov/protein/OWK16374.1","RYR1")</f>
        <v>RYR1</v>
      </c>
      <c r="J1289">
        <v>2161.73</v>
      </c>
      <c r="K1289" t="s">
        <v>22</v>
      </c>
      <c r="L1289">
        <v>276</v>
      </c>
      <c r="M1289">
        <v>9.75</v>
      </c>
      <c r="N1289">
        <v>20.68</v>
      </c>
      <c r="O1289" t="s">
        <v>19</v>
      </c>
      <c r="P1289" t="s">
        <v>20</v>
      </c>
      <c r="Q1289" t="s">
        <v>19</v>
      </c>
      <c r="R1289" t="str">
        <f>HYPERLINK("https://cfpub.epa.gov/ecotox/explore.cfm?ncbi=46360","Explore in ECOTOX")</f>
        <v>Explore in ECOTOX</v>
      </c>
    </row>
    <row r="1290" spans="1:18" x14ac:dyDescent="0.45">
      <c r="A1290" t="s">
        <v>1264</v>
      </c>
      <c r="B1290">
        <v>8</v>
      </c>
      <c r="C1290" t="str">
        <f>HYPERLINK("http://www.ncbi.nlm.nih.gov/protein/NP_001343819.1","NP_001343819.1")</f>
        <v>NP_001343819.1</v>
      </c>
      <c r="D1290">
        <v>68094</v>
      </c>
      <c r="E1290" t="str">
        <f>HYPERLINK("http://www.ncbi.nlm.nih.gov/Taxonomy/Browser/wwwtax.cgi?mode=Info&amp;id=6239&amp;lvl=3&amp;lin=f&amp;keep=1&amp;srchmode=1&amp;unlock","6239")</f>
        <v>6239</v>
      </c>
      <c r="F1290" t="s">
        <v>1024</v>
      </c>
      <c r="G1290" t="str">
        <f>HYPERLINK("http://www.ncbi.nlm.nih.gov/Taxonomy/Browser/wwwtax.cgi?mode=Info&amp;id=6239&amp;lvl=3&amp;lin=f&amp;keep=1&amp;srchmode=1&amp;unlock","Caenorhabditis elegans")</f>
        <v>Caenorhabditis elegans</v>
      </c>
      <c r="H1290" t="s">
        <v>1027</v>
      </c>
      <c r="I1290" t="str">
        <f>HYPERLINK("http://www.ncbi.nlm.nih.gov/protein/NP_001343819.1","Ryanodine receptor")</f>
        <v>Ryanodine receptor</v>
      </c>
      <c r="J1290">
        <v>2152.1</v>
      </c>
      <c r="K1290" t="s">
        <v>22</v>
      </c>
      <c r="L1290">
        <v>276</v>
      </c>
      <c r="M1290">
        <v>9.75</v>
      </c>
      <c r="N1290">
        <v>20.59</v>
      </c>
      <c r="O1290" t="s">
        <v>19</v>
      </c>
      <c r="P1290" t="s">
        <v>20</v>
      </c>
      <c r="Q1290" t="s">
        <v>19</v>
      </c>
      <c r="R1290" t="str">
        <f>HYPERLINK("https://cfpub.epa.gov/ecotox/explore.cfm?ncbi=6239","Explore in ECOTOX")</f>
        <v>Explore in ECOTOX</v>
      </c>
    </row>
    <row r="1291" spans="1:18" x14ac:dyDescent="0.45">
      <c r="A1291" t="s">
        <v>1264</v>
      </c>
      <c r="B1291">
        <v>8</v>
      </c>
      <c r="C1291" t="str">
        <f>HYPERLINK("http://www.ncbi.nlm.nih.gov/protein/CAJ0581878.1","CAJ0581878.1")</f>
        <v>CAJ0581878.1</v>
      </c>
      <c r="D1291">
        <v>26771</v>
      </c>
      <c r="E1291" t="str">
        <f>HYPERLINK("http://www.ncbi.nlm.nih.gov/Taxonomy/Browser/wwwtax.cgi?mode=Info&amp;id=96644&amp;lvl=3&amp;lin=f&amp;keep=1&amp;srchmode=1&amp;unlock","96644")</f>
        <v>96644</v>
      </c>
      <c r="F1291" t="s">
        <v>1024</v>
      </c>
      <c r="G1291" t="str">
        <f>HYPERLINK("http://www.ncbi.nlm.nih.gov/Taxonomy/Browser/wwwtax.cgi?mode=Info&amp;id=96644&amp;lvl=3&amp;lin=f&amp;keep=1&amp;srchmode=1&amp;unlock","Mesorhabditis spiculigera")</f>
        <v>Mesorhabditis spiculigera</v>
      </c>
      <c r="H1291" t="s">
        <v>1027</v>
      </c>
      <c r="I1291" t="str">
        <f>HYPERLINK("http://www.ncbi.nlm.nih.gov/protein/CAJ0581878.1","unnamed protein product, partial")</f>
        <v>unnamed protein product, partial</v>
      </c>
      <c r="J1291">
        <v>2150.94</v>
      </c>
      <c r="K1291" t="s">
        <v>22</v>
      </c>
      <c r="L1291">
        <v>276</v>
      </c>
      <c r="M1291">
        <v>9.75</v>
      </c>
      <c r="N1291">
        <v>20.58</v>
      </c>
      <c r="O1291" t="s">
        <v>19</v>
      </c>
      <c r="P1291" t="s">
        <v>20</v>
      </c>
      <c r="Q1291" t="s">
        <v>19</v>
      </c>
      <c r="R1291" t="str">
        <f>HYPERLINK("https://cfpub.epa.gov/ecotox/explore.cfm?ncbi=96644","Explore in ECOTOX")</f>
        <v>Explore in ECOTOX</v>
      </c>
    </row>
    <row r="1292" spans="1:18" x14ac:dyDescent="0.45">
      <c r="A1292" t="s">
        <v>1264</v>
      </c>
      <c r="B1292">
        <v>8</v>
      </c>
      <c r="C1292" t="str">
        <f>HYPERLINK("http://www.ncbi.nlm.nih.gov/protein/GAV02139.1","GAV02139.1")</f>
        <v>GAV02139.1</v>
      </c>
      <c r="D1292">
        <v>23078</v>
      </c>
      <c r="E1292" t="str">
        <f>HYPERLINK("http://www.ncbi.nlm.nih.gov/Taxonomy/Browser/wwwtax.cgi?mode=Info&amp;id=947166&amp;lvl=3&amp;lin=f&amp;keep=1&amp;srchmode=1&amp;unlock","947166")</f>
        <v>947166</v>
      </c>
      <c r="F1292" t="s">
        <v>1092</v>
      </c>
      <c r="G1292" t="str">
        <f>HYPERLINK("http://www.ncbi.nlm.nih.gov/Taxonomy/Browser/wwwtax.cgi?mode=Info&amp;id=947166&amp;lvl=3&amp;lin=f&amp;keep=1&amp;srchmode=1&amp;unlock","Ramazzottius varieornatus")</f>
        <v>Ramazzottius varieornatus</v>
      </c>
      <c r="H1292" t="s">
        <v>1093</v>
      </c>
      <c r="I1292" t="str">
        <f>HYPERLINK("http://www.ncbi.nlm.nih.gov/protein/GAV02139.1","hypothetical protein RvY_12740")</f>
        <v>hypothetical protein RvY_12740</v>
      </c>
      <c r="J1292">
        <v>2146.6999999999998</v>
      </c>
      <c r="K1292" t="s">
        <v>22</v>
      </c>
      <c r="L1292">
        <v>276</v>
      </c>
      <c r="M1292">
        <v>9.75</v>
      </c>
      <c r="N1292">
        <v>20.53</v>
      </c>
      <c r="O1292" t="s">
        <v>19</v>
      </c>
      <c r="P1292" t="s">
        <v>20</v>
      </c>
      <c r="Q1292" t="s">
        <v>19</v>
      </c>
      <c r="R1292" t="str">
        <f>HYPERLINK("https://cfpub.epa.gov/ecotox/explore.cfm?ncbi=947166","Explore in ECOTOX")</f>
        <v>Explore in ECOTOX</v>
      </c>
    </row>
    <row r="1293" spans="1:18" x14ac:dyDescent="0.45">
      <c r="A1293" t="s">
        <v>1264</v>
      </c>
      <c r="B1293">
        <v>8</v>
      </c>
      <c r="C1293" t="str">
        <f>HYPERLINK("http://www.ncbi.nlm.nih.gov/protein/NWR53052.1","NWR53052.1")</f>
        <v>NWR53052.1</v>
      </c>
      <c r="D1293">
        <v>13149</v>
      </c>
      <c r="E1293" t="str">
        <f>HYPERLINK("http://www.ncbi.nlm.nih.gov/Taxonomy/Browser/wwwtax.cgi?mode=Info&amp;id=13245&amp;lvl=3&amp;lin=f&amp;keep=1&amp;srchmode=1&amp;unlock","13245")</f>
        <v>13245</v>
      </c>
      <c r="F1293" t="s">
        <v>241</v>
      </c>
      <c r="G1293" t="str">
        <f>HYPERLINK("http://www.ncbi.nlm.nih.gov/Taxonomy/Browser/wwwtax.cgi?mode=Info&amp;id=13245&amp;lvl=3&amp;lin=f&amp;keep=1&amp;srchmode=1&amp;unlock","Regulus satrapa")</f>
        <v>Regulus satrapa</v>
      </c>
      <c r="H1293" t="s">
        <v>1110</v>
      </c>
      <c r="I1293" t="str">
        <f>HYPERLINK("http://www.ncbi.nlm.nih.gov/protein/NWR53052.1","RYR3 protein")</f>
        <v>RYR3 protein</v>
      </c>
      <c r="J1293">
        <v>2140.15</v>
      </c>
      <c r="K1293" t="s">
        <v>22</v>
      </c>
      <c r="L1293">
        <v>276</v>
      </c>
      <c r="M1293">
        <v>9.75</v>
      </c>
      <c r="N1293">
        <v>20.47</v>
      </c>
      <c r="O1293" t="s">
        <v>19</v>
      </c>
      <c r="P1293" t="s">
        <v>20</v>
      </c>
      <c r="Q1293" t="s">
        <v>19</v>
      </c>
      <c r="R1293" t="str">
        <f>HYPERLINK("https://cfpub.epa.gov/ecotox/explore.cfm?ncbi=13245","Explore in ECOTOX")</f>
        <v>Explore in ECOTOX</v>
      </c>
    </row>
    <row r="1294" spans="1:18" x14ac:dyDescent="0.45">
      <c r="A1294" t="s">
        <v>1264</v>
      </c>
      <c r="B1294">
        <v>8</v>
      </c>
      <c r="C1294" t="str">
        <f>HYPERLINK("http://www.ncbi.nlm.nih.gov/protein/CAG9530379.1","CAG9530379.1")</f>
        <v>CAG9530379.1</v>
      </c>
      <c r="D1294">
        <v>11549</v>
      </c>
      <c r="E1294" t="str">
        <f>HYPERLINK("http://www.ncbi.nlm.nih.gov/Taxonomy/Browser/wwwtax.cgi?mode=Info&amp;id=2874296&amp;lvl=3&amp;lin=f&amp;keep=1&amp;srchmode=1&amp;unlock","2874296")</f>
        <v>2874296</v>
      </c>
      <c r="F1294" t="s">
        <v>1024</v>
      </c>
      <c r="G1294" t="str">
        <f>HYPERLINK("http://www.ncbi.nlm.nih.gov/Taxonomy/Browser/wwwtax.cgi?mode=Info&amp;id=2874296&amp;lvl=3&amp;lin=f&amp;keep=1&amp;srchmode=1&amp;unlock","Cercopithifilaria johnstoni")</f>
        <v>Cercopithifilaria johnstoni</v>
      </c>
      <c r="H1294" t="s">
        <v>1027</v>
      </c>
      <c r="I1294" t="str">
        <f>HYPERLINK("http://www.ncbi.nlm.nih.gov/protein/CAG9530379.1","unnamed protein product")</f>
        <v>unnamed protein product</v>
      </c>
      <c r="J1294">
        <v>2138.23</v>
      </c>
      <c r="K1294" t="s">
        <v>22</v>
      </c>
      <c r="L1294">
        <v>276</v>
      </c>
      <c r="M1294">
        <v>9.75</v>
      </c>
      <c r="N1294">
        <v>20.45</v>
      </c>
      <c r="O1294" t="s">
        <v>19</v>
      </c>
      <c r="P1294" t="s">
        <v>20</v>
      </c>
      <c r="Q1294" t="s">
        <v>19</v>
      </c>
      <c r="R1294" t="str">
        <f>HYPERLINK("https://cfpub.epa.gov/ecotox/explore.cfm?ncbi=2874296","Explore in ECOTOX")</f>
        <v>Explore in ECOTOX</v>
      </c>
    </row>
    <row r="1295" spans="1:18" x14ac:dyDescent="0.45">
      <c r="A1295" t="s">
        <v>1264</v>
      </c>
      <c r="B1295">
        <v>8</v>
      </c>
      <c r="C1295" t="str">
        <f>HYPERLINK("http://www.ncbi.nlm.nih.gov/protein/CAF3411211.1","CAF3411211.1")</f>
        <v>CAF3411211.1</v>
      </c>
      <c r="D1295">
        <v>331663</v>
      </c>
      <c r="E1295" t="str">
        <f>HYPERLINK("http://www.ncbi.nlm.nih.gov/Taxonomy/Browser/wwwtax.cgi?mode=Info&amp;id=392032&amp;lvl=3&amp;lin=f&amp;keep=1&amp;srchmode=1&amp;unlock","392032")</f>
        <v>392032</v>
      </c>
      <c r="F1295" t="s">
        <v>811</v>
      </c>
      <c r="G1295" t="str">
        <f>HYPERLINK("http://www.ncbi.nlm.nih.gov/Taxonomy/Browser/wwwtax.cgi?mode=Info&amp;id=392032&amp;lvl=3&amp;lin=f&amp;keep=1&amp;srchmode=1&amp;unlock","Rotaria socialis")</f>
        <v>Rotaria socialis</v>
      </c>
      <c r="H1295" t="s">
        <v>812</v>
      </c>
      <c r="I1295" t="str">
        <f>HYPERLINK("http://www.ncbi.nlm.nih.gov/protein/CAF3411211.1","unnamed protein product")</f>
        <v>unnamed protein product</v>
      </c>
      <c r="J1295">
        <v>2133.2199999999998</v>
      </c>
      <c r="K1295" t="s">
        <v>22</v>
      </c>
      <c r="L1295">
        <v>276</v>
      </c>
      <c r="M1295">
        <v>9.75</v>
      </c>
      <c r="N1295">
        <v>20.41</v>
      </c>
      <c r="O1295" t="s">
        <v>19</v>
      </c>
      <c r="P1295" t="s">
        <v>20</v>
      </c>
      <c r="Q1295" t="s">
        <v>19</v>
      </c>
      <c r="R1295" t="str">
        <f>HYPERLINK("https://cfpub.epa.gov/ecotox/explore.cfm?ncbi=392032","Explore in ECOTOX")</f>
        <v>Explore in ECOTOX</v>
      </c>
    </row>
    <row r="1296" spans="1:18" x14ac:dyDescent="0.45">
      <c r="A1296" t="s">
        <v>1264</v>
      </c>
      <c r="B1296">
        <v>8</v>
      </c>
      <c r="C1296" t="str">
        <f>HYPERLINK("http://www.ncbi.nlm.nih.gov/protein/XP_040569169.1","XP_040569169.1")</f>
        <v>XP_040569169.1</v>
      </c>
      <c r="D1296">
        <v>58277</v>
      </c>
      <c r="E1296" t="str">
        <f>HYPERLINK("http://www.ncbi.nlm.nih.gov/Taxonomy/Browser/wwwtax.cgi?mode=Info&amp;id=72036&amp;lvl=3&amp;lin=f&amp;keep=1&amp;srchmode=1&amp;unlock","72036")</f>
        <v>72036</v>
      </c>
      <c r="F1296" t="s">
        <v>794</v>
      </c>
      <c r="G1296" t="str">
        <f>HYPERLINK("http://www.ncbi.nlm.nih.gov/Taxonomy/Browser/wwwtax.cgi?mode=Info&amp;id=72036&amp;lvl=3&amp;lin=f&amp;keep=1&amp;srchmode=1&amp;unlock","Lepeophtheirus salmonis")</f>
        <v>Lepeophtheirus salmonis</v>
      </c>
      <c r="H1296" t="s">
        <v>1111</v>
      </c>
      <c r="I1296" t="str">
        <f>HYPERLINK("http://www.ncbi.nlm.nih.gov/protein/XP_040569169.1","LOW QUALITY PROTEIN: ryanodine receptor-like")</f>
        <v>LOW QUALITY PROTEIN: ryanodine receptor-like</v>
      </c>
      <c r="J1296">
        <v>2133.2199999999998</v>
      </c>
      <c r="K1296" t="s">
        <v>22</v>
      </c>
      <c r="L1296">
        <v>276</v>
      </c>
      <c r="M1296">
        <v>9.75</v>
      </c>
      <c r="N1296">
        <v>20.41</v>
      </c>
      <c r="O1296" t="s">
        <v>19</v>
      </c>
      <c r="P1296" t="s">
        <v>20</v>
      </c>
      <c r="Q1296" t="s">
        <v>19</v>
      </c>
      <c r="R1296" t="str">
        <f>HYPERLINK("https://cfpub.epa.gov/ecotox/explore.cfm?ncbi=72036","Explore in ECOTOX")</f>
        <v>Explore in ECOTOX</v>
      </c>
    </row>
    <row r="1297" spans="1:18" x14ac:dyDescent="0.45">
      <c r="A1297" t="s">
        <v>1264</v>
      </c>
      <c r="B1297">
        <v>8</v>
      </c>
      <c r="C1297" t="str">
        <f>HYPERLINK("http://www.ncbi.nlm.nih.gov/protein/XP_033127881.1","XP_033127881.1")</f>
        <v>XP_033127881.1</v>
      </c>
      <c r="D1297">
        <v>32797</v>
      </c>
      <c r="E1297" t="str">
        <f>HYPERLINK("http://www.ncbi.nlm.nih.gov/Taxonomy/Browser/wwwtax.cgi?mode=Info&amp;id=1529436&amp;lvl=3&amp;lin=f&amp;keep=1&amp;srchmode=1&amp;unlock","1529436")</f>
        <v>1529436</v>
      </c>
      <c r="F1297" t="s">
        <v>1112</v>
      </c>
      <c r="G1297" t="str">
        <f>HYPERLINK("http://www.ncbi.nlm.nih.gov/Taxonomy/Browser/wwwtax.cgi?mode=Info&amp;id=1529436&amp;lvl=3&amp;lin=f&amp;keep=1&amp;srchmode=1&amp;unlock","Anneissia japonica")</f>
        <v>Anneissia japonica</v>
      </c>
      <c r="H1297" t="s">
        <v>1113</v>
      </c>
      <c r="I1297" t="str">
        <f>HYPERLINK("http://www.ncbi.nlm.nih.gov/protein/XP_033127881.1","ryanodine receptor 2-like")</f>
        <v>ryanodine receptor 2-like</v>
      </c>
      <c r="J1297">
        <v>2118.1999999999998</v>
      </c>
      <c r="K1297" t="s">
        <v>22</v>
      </c>
      <c r="L1297">
        <v>276</v>
      </c>
      <c r="M1297">
        <v>9.75</v>
      </c>
      <c r="N1297">
        <v>20.260000000000002</v>
      </c>
      <c r="O1297" t="s">
        <v>19</v>
      </c>
      <c r="P1297" t="s">
        <v>20</v>
      </c>
      <c r="Q1297" t="s">
        <v>19</v>
      </c>
      <c r="R1297" t="str">
        <f>HYPERLINK("https://cfpub.epa.gov/ecotox/explore.cfm?ncbi=1529436","Explore in ECOTOX")</f>
        <v>Explore in ECOTOX</v>
      </c>
    </row>
    <row r="1298" spans="1:18" x14ac:dyDescent="0.45">
      <c r="A1298" t="s">
        <v>1264</v>
      </c>
      <c r="B1298">
        <v>8</v>
      </c>
      <c r="C1298" t="str">
        <f>HYPERLINK("http://www.ncbi.nlm.nih.gov/protein/UMM36210.1","UMM36210.1")</f>
        <v>UMM36210.1</v>
      </c>
      <c r="D1298">
        <v>104019</v>
      </c>
      <c r="E1298" t="str">
        <f>HYPERLINK("http://www.ncbi.nlm.nih.gov/Taxonomy/Browser/wwwtax.cgi?mode=Info&amp;id=6238&amp;lvl=3&amp;lin=f&amp;keep=1&amp;srchmode=1&amp;unlock","6238")</f>
        <v>6238</v>
      </c>
      <c r="F1298" t="s">
        <v>1024</v>
      </c>
      <c r="G1298" t="str">
        <f>HYPERLINK("http://www.ncbi.nlm.nih.gov/Taxonomy/Browser/wwwtax.cgi?mode=Info&amp;id=6238&amp;lvl=3&amp;lin=f&amp;keep=1&amp;srchmode=1&amp;unlock","Caenorhabditis briggsae")</f>
        <v>Caenorhabditis briggsae</v>
      </c>
      <c r="H1298" t="s">
        <v>1027</v>
      </c>
      <c r="I1298" t="str">
        <f>HYPERLINK("http://www.ncbi.nlm.nih.gov/protein/UMM36210.1","hypothetical protein L5515_008471")</f>
        <v>hypothetical protein L5515_008471</v>
      </c>
      <c r="J1298">
        <v>2105.1</v>
      </c>
      <c r="K1298" t="s">
        <v>22</v>
      </c>
      <c r="L1298">
        <v>276</v>
      </c>
      <c r="M1298">
        <v>9.75</v>
      </c>
      <c r="N1298">
        <v>20.14</v>
      </c>
      <c r="O1298" t="s">
        <v>19</v>
      </c>
      <c r="P1298" t="s">
        <v>20</v>
      </c>
      <c r="Q1298" t="s">
        <v>19</v>
      </c>
      <c r="R1298" t="str">
        <f>HYPERLINK("https://cfpub.epa.gov/ecotox/explore.cfm?ncbi=6238","Explore in ECOTOX")</f>
        <v>Explore in ECOTOX</v>
      </c>
    </row>
    <row r="1299" spans="1:18" x14ac:dyDescent="0.45">
      <c r="A1299" t="s">
        <v>1264</v>
      </c>
      <c r="B1299">
        <v>8</v>
      </c>
      <c r="C1299" t="str">
        <f>HYPERLINK("http://www.ncbi.nlm.nih.gov/protein/VDM37968.1","VDM37968.1")</f>
        <v>VDM37968.1</v>
      </c>
      <c r="D1299">
        <v>39069</v>
      </c>
      <c r="E1299" t="str">
        <f>HYPERLINK("http://www.ncbi.nlm.nih.gov/Taxonomy/Browser/wwwtax.cgi?mode=Info&amp;id=6265&amp;lvl=3&amp;lin=f&amp;keep=1&amp;srchmode=1&amp;unlock","6265")</f>
        <v>6265</v>
      </c>
      <c r="F1299" t="s">
        <v>1024</v>
      </c>
      <c r="G1299" t="str">
        <f>HYPERLINK("http://www.ncbi.nlm.nih.gov/Taxonomy/Browser/wwwtax.cgi?mode=Info&amp;id=6265&amp;lvl=3&amp;lin=f&amp;keep=1&amp;srchmode=1&amp;unlock","Toxocara canis")</f>
        <v>Toxocara canis</v>
      </c>
      <c r="H1299" t="s">
        <v>1114</v>
      </c>
      <c r="I1299" t="str">
        <f>HYPERLINK("http://www.ncbi.nlm.nih.gov/protein/VDM37968.1","unnamed protein product")</f>
        <v>unnamed protein product</v>
      </c>
      <c r="J1299">
        <v>2104.33</v>
      </c>
      <c r="K1299" t="s">
        <v>22</v>
      </c>
      <c r="L1299">
        <v>276</v>
      </c>
      <c r="M1299">
        <v>9.75</v>
      </c>
      <c r="N1299">
        <v>20.13</v>
      </c>
      <c r="O1299" t="s">
        <v>19</v>
      </c>
      <c r="P1299" t="s">
        <v>20</v>
      </c>
      <c r="Q1299" t="s">
        <v>19</v>
      </c>
      <c r="R1299" t="str">
        <f>HYPERLINK("https://cfpub.epa.gov/ecotox/explore.cfm?ncbi=6265","Explore in ECOTOX")</f>
        <v>Explore in ECOTOX</v>
      </c>
    </row>
    <row r="1300" spans="1:18" x14ac:dyDescent="0.45">
      <c r="A1300" t="s">
        <v>1264</v>
      </c>
      <c r="B1300">
        <v>8</v>
      </c>
      <c r="C1300" t="str">
        <f>HYPERLINK("http://www.ncbi.nlm.nih.gov/protein/CAD7279292.1","CAD7279292.1")</f>
        <v>CAD7279292.1</v>
      </c>
      <c r="D1300">
        <v>28124</v>
      </c>
      <c r="E1300" t="str">
        <f>HYPERLINK("http://www.ncbi.nlm.nih.gov/Taxonomy/Browser/wwwtax.cgi?mode=Info&amp;id=399045&amp;lvl=3&amp;lin=f&amp;keep=1&amp;srchmode=1&amp;unlock","399045")</f>
        <v>399045</v>
      </c>
      <c r="F1300" t="s">
        <v>1105</v>
      </c>
      <c r="G1300" t="str">
        <f>HYPERLINK("http://www.ncbi.nlm.nih.gov/Taxonomy/Browser/wwwtax.cgi?mode=Info&amp;id=399045&amp;lvl=3&amp;lin=f&amp;keep=1&amp;srchmode=1&amp;unlock","Notodromas monacha")</f>
        <v>Notodromas monacha</v>
      </c>
      <c r="H1300" t="s">
        <v>1106</v>
      </c>
      <c r="I1300" t="str">
        <f>HYPERLINK("http://www.ncbi.nlm.nih.gov/protein/CAD7279292.1","unnamed protein product")</f>
        <v>unnamed protein product</v>
      </c>
      <c r="J1300">
        <v>2099.3200000000002</v>
      </c>
      <c r="K1300" t="s">
        <v>22</v>
      </c>
      <c r="L1300">
        <v>276</v>
      </c>
      <c r="M1300">
        <v>9.75</v>
      </c>
      <c r="N1300">
        <v>20.079999999999998</v>
      </c>
      <c r="O1300" t="s">
        <v>19</v>
      </c>
      <c r="P1300" t="s">
        <v>20</v>
      </c>
      <c r="Q1300" t="s">
        <v>19</v>
      </c>
      <c r="R1300" t="str">
        <f>HYPERLINK("https://cfpub.epa.gov/ecotox/explore.cfm?ncbi=399045","Explore in ECOTOX")</f>
        <v>Explore in ECOTOX</v>
      </c>
    </row>
    <row r="1301" spans="1:18" x14ac:dyDescent="0.45">
      <c r="A1301" t="s">
        <v>1264</v>
      </c>
      <c r="B1301">
        <v>8</v>
      </c>
      <c r="C1301" t="str">
        <f>HYPERLINK("http://www.ncbi.nlm.nih.gov/protein/GMT12570.1","GMT12570.1")</f>
        <v>GMT12570.1</v>
      </c>
      <c r="D1301">
        <v>29171</v>
      </c>
      <c r="E1301" t="str">
        <f>HYPERLINK("http://www.ncbi.nlm.nih.gov/Taxonomy/Browser/wwwtax.cgi?mode=Info&amp;id=1538716&amp;lvl=3&amp;lin=f&amp;keep=1&amp;srchmode=1&amp;unlock","1538716")</f>
        <v>1538716</v>
      </c>
      <c r="F1301" t="s">
        <v>1024</v>
      </c>
      <c r="G1301" t="str">
        <f>HYPERLINK("http://www.ncbi.nlm.nih.gov/Taxonomy/Browser/wwwtax.cgi?mode=Info&amp;id=1538716&amp;lvl=3&amp;lin=f&amp;keep=1&amp;srchmode=1&amp;unlock","Pristionchus fissidentatus")</f>
        <v>Pristionchus fissidentatus</v>
      </c>
      <c r="H1301" t="s">
        <v>1027</v>
      </c>
      <c r="I1301" t="str">
        <f>HYPERLINK("http://www.ncbi.nlm.nih.gov/protein/GMT12570.1","hypothetical protein PFISCL1PPCAC_3867, partial")</f>
        <v>hypothetical protein PFISCL1PPCAC_3867, partial</v>
      </c>
      <c r="J1301">
        <v>2087.77</v>
      </c>
      <c r="K1301" t="s">
        <v>22</v>
      </c>
      <c r="L1301">
        <v>276</v>
      </c>
      <c r="M1301">
        <v>9.75</v>
      </c>
      <c r="N1301">
        <v>19.97</v>
      </c>
      <c r="O1301" t="s">
        <v>19</v>
      </c>
      <c r="P1301" t="s">
        <v>20</v>
      </c>
      <c r="Q1301" t="s">
        <v>19</v>
      </c>
      <c r="R1301" t="str">
        <f>HYPERLINK("https://cfpub.epa.gov/ecotox/explore.cfm?ncbi=1538716","Explore in ECOTOX")</f>
        <v>Explore in ECOTOX</v>
      </c>
    </row>
    <row r="1302" spans="1:18" x14ac:dyDescent="0.45">
      <c r="A1302" t="s">
        <v>1264</v>
      </c>
      <c r="B1302">
        <v>8</v>
      </c>
      <c r="C1302" t="str">
        <f>HYPERLINK("http://www.ncbi.nlm.nih.gov/protein/KAJ8920013.1","KAJ8920013.1")</f>
        <v>KAJ8920013.1</v>
      </c>
      <c r="D1302">
        <v>16919</v>
      </c>
      <c r="E1302" t="str">
        <f>HYPERLINK("http://www.ncbi.nlm.nih.gov/Taxonomy/Browser/wwwtax.cgi?mode=Info&amp;id=1586481&amp;lvl=3&amp;lin=f&amp;keep=1&amp;srchmode=1&amp;unlock","1586481")</f>
        <v>1586481</v>
      </c>
      <c r="F1302" t="s">
        <v>760</v>
      </c>
      <c r="G1302" t="str">
        <f>HYPERLINK("http://www.ncbi.nlm.nih.gov/Taxonomy/Browser/wwwtax.cgi?mode=Info&amp;id=1586481&amp;lvl=3&amp;lin=f&amp;keep=1&amp;srchmode=1&amp;unlock","Exocentrus adspersus")</f>
        <v>Exocentrus adspersus</v>
      </c>
      <c r="H1302" t="s">
        <v>1115</v>
      </c>
      <c r="I1302" t="str">
        <f>HYPERLINK("http://www.ncbi.nlm.nih.gov/protein/KAJ8920013.1","hypothetical protein NQ315_006544")</f>
        <v>hypothetical protein NQ315_006544</v>
      </c>
      <c r="J1302">
        <v>2087</v>
      </c>
      <c r="K1302" t="s">
        <v>22</v>
      </c>
      <c r="L1302">
        <v>276</v>
      </c>
      <c r="M1302">
        <v>9.75</v>
      </c>
      <c r="N1302">
        <v>19.96</v>
      </c>
      <c r="O1302" t="s">
        <v>19</v>
      </c>
      <c r="P1302" t="s">
        <v>20</v>
      </c>
      <c r="Q1302" t="s">
        <v>19</v>
      </c>
      <c r="R1302" t="str">
        <f>HYPERLINK("https://cfpub.epa.gov/ecotox/explore.cfm?ncbi=1586481","Explore in ECOTOX")</f>
        <v>Explore in ECOTOX</v>
      </c>
    </row>
    <row r="1303" spans="1:18" x14ac:dyDescent="0.45">
      <c r="A1303" t="s">
        <v>1264</v>
      </c>
      <c r="B1303">
        <v>8</v>
      </c>
      <c r="C1303" t="str">
        <f>HYPERLINK("http://www.ncbi.nlm.nih.gov/protein/KAI1309033.1","KAI1309033.1")</f>
        <v>KAI1309033.1</v>
      </c>
      <c r="D1303">
        <v>14608</v>
      </c>
      <c r="E1303" t="str">
        <f>HYPERLINK("http://www.ncbi.nlm.nih.gov/Taxonomy/Browser/wwwtax.cgi?mode=Info&amp;id=2874060&amp;lvl=3&amp;lin=f&amp;keep=1&amp;srchmode=1&amp;unlock","2874060")</f>
        <v>2874060</v>
      </c>
      <c r="F1303" t="s">
        <v>904</v>
      </c>
      <c r="G1303" t="str">
        <f>HYPERLINK("http://www.ncbi.nlm.nih.gov/Taxonomy/Browser/wwwtax.cgi?mode=Info&amp;id=2874060&amp;lvl=3&amp;lin=f&amp;keep=1&amp;srchmode=1&amp;unlock","Halotydeus destructor")</f>
        <v>Halotydeus destructor</v>
      </c>
      <c r="H1303" t="s">
        <v>992</v>
      </c>
      <c r="I1303" t="str">
        <f>HYPERLINK("http://www.ncbi.nlm.nih.gov/protein/KAI1309033.1","Ryanodine receptor")</f>
        <v>Ryanodine receptor</v>
      </c>
      <c r="J1303">
        <v>2080.83</v>
      </c>
      <c r="K1303" t="s">
        <v>19</v>
      </c>
      <c r="L1303">
        <v>276</v>
      </c>
      <c r="M1303">
        <v>9.75</v>
      </c>
      <c r="N1303">
        <v>19.899999999999999</v>
      </c>
      <c r="O1303" t="s">
        <v>19</v>
      </c>
      <c r="P1303" t="s">
        <v>20</v>
      </c>
      <c r="Q1303" t="s">
        <v>19</v>
      </c>
      <c r="R1303" t="str">
        <f>HYPERLINK("https://cfpub.epa.gov/ecotox/explore.cfm?ncbi=2874060","Explore in ECOTOX")</f>
        <v>Explore in ECOTOX</v>
      </c>
    </row>
    <row r="1304" spans="1:18" x14ac:dyDescent="0.45">
      <c r="A1304" t="s">
        <v>1264</v>
      </c>
      <c r="B1304">
        <v>8</v>
      </c>
      <c r="C1304" t="str">
        <f>HYPERLINK("http://www.ncbi.nlm.nih.gov/protein/KAK1328041.1","KAK1328041.1")</f>
        <v>KAK1328041.1</v>
      </c>
      <c r="D1304">
        <v>19863</v>
      </c>
      <c r="E1304" t="str">
        <f>HYPERLINK("http://www.ncbi.nlm.nih.gov/Taxonomy/Browser/wwwtax.cgi?mode=Info&amp;id=59451&amp;lvl=3&amp;lin=f&amp;keep=1&amp;srchmode=1&amp;unlock","59451")</f>
        <v>59451</v>
      </c>
      <c r="F1304" t="s">
        <v>96</v>
      </c>
      <c r="G1304" t="str">
        <f>HYPERLINK("http://www.ncbi.nlm.nih.gov/Taxonomy/Browser/wwwtax.cgi?mode=Info&amp;id=59451&amp;lvl=3&amp;lin=f&amp;keep=1&amp;srchmode=1&amp;unlock","Eptesicus nilssonii")</f>
        <v>Eptesicus nilssonii</v>
      </c>
      <c r="H1304" t="s">
        <v>1116</v>
      </c>
      <c r="I1304" t="str">
        <f>HYPERLINK("http://www.ncbi.nlm.nih.gov/protein/KAK1328041.1","hypothetical protein QTO34_012463")</f>
        <v>hypothetical protein QTO34_012463</v>
      </c>
      <c r="J1304">
        <v>2066.1999999999998</v>
      </c>
      <c r="K1304" t="s">
        <v>22</v>
      </c>
      <c r="L1304">
        <v>276</v>
      </c>
      <c r="M1304">
        <v>9.75</v>
      </c>
      <c r="N1304">
        <v>19.760000000000002</v>
      </c>
      <c r="O1304" t="s">
        <v>19</v>
      </c>
      <c r="P1304" t="s">
        <v>20</v>
      </c>
      <c r="Q1304" t="s">
        <v>19</v>
      </c>
      <c r="R1304" t="str">
        <f>HYPERLINK("https://cfpub.epa.gov/ecotox/explore.cfm?ncbi=59451","Explore in ECOTOX")</f>
        <v>Explore in ECOTOX</v>
      </c>
    </row>
    <row r="1305" spans="1:18" x14ac:dyDescent="0.45">
      <c r="A1305" t="s">
        <v>1264</v>
      </c>
      <c r="B1305">
        <v>8</v>
      </c>
      <c r="C1305" t="str">
        <f>HYPERLINK("http://www.ncbi.nlm.nih.gov/protein/XP_037272500.1","XP_037272500.1")</f>
        <v>XP_037272500.1</v>
      </c>
      <c r="D1305">
        <v>55948</v>
      </c>
      <c r="E1305" t="str">
        <f>HYPERLINK("http://www.ncbi.nlm.nih.gov/Taxonomy/Browser/wwwtax.cgi?mode=Info&amp;id=6941&amp;lvl=3&amp;lin=f&amp;keep=1&amp;srchmode=1&amp;unlock","6941")</f>
        <v>6941</v>
      </c>
      <c r="F1305" t="s">
        <v>904</v>
      </c>
      <c r="G1305" t="str">
        <f>HYPERLINK("http://www.ncbi.nlm.nih.gov/Taxonomy/Browser/wwwtax.cgi?mode=Info&amp;id=6941&amp;lvl=3&amp;lin=f&amp;keep=1&amp;srchmode=1&amp;unlock","Rhipicephalus microplus")</f>
        <v>Rhipicephalus microplus</v>
      </c>
      <c r="H1305" t="s">
        <v>1117</v>
      </c>
      <c r="I1305" t="str">
        <f>HYPERLINK("http://www.ncbi.nlm.nih.gov/protein/XP_037272500.1","ryanodine receptor-like")</f>
        <v>ryanodine receptor-like</v>
      </c>
      <c r="J1305">
        <v>2058.11</v>
      </c>
      <c r="K1305" t="s">
        <v>22</v>
      </c>
      <c r="L1305">
        <v>276</v>
      </c>
      <c r="M1305">
        <v>9.75</v>
      </c>
      <c r="N1305">
        <v>19.690000000000001</v>
      </c>
      <c r="O1305" t="s">
        <v>19</v>
      </c>
      <c r="P1305" t="s">
        <v>20</v>
      </c>
      <c r="Q1305" t="s">
        <v>19</v>
      </c>
      <c r="R1305" t="str">
        <f>HYPERLINK("https://cfpub.epa.gov/ecotox/explore.cfm?ncbi=6941","Explore in ECOTOX")</f>
        <v>Explore in ECOTOX</v>
      </c>
    </row>
    <row r="1306" spans="1:18" x14ac:dyDescent="0.45">
      <c r="A1306" t="s">
        <v>1264</v>
      </c>
      <c r="B1306">
        <v>8</v>
      </c>
      <c r="C1306" t="str">
        <f>HYPERLINK("http://www.ncbi.nlm.nih.gov/protein/VEN56411.1","VEN56411.1")</f>
        <v>VEN56411.1</v>
      </c>
      <c r="D1306">
        <v>31489</v>
      </c>
      <c r="E1306" t="str">
        <f>HYPERLINK("http://www.ncbi.nlm.nih.gov/Taxonomy/Browser/wwwtax.cgi?mode=Info&amp;id=64391&amp;lvl=3&amp;lin=f&amp;keep=1&amp;srchmode=1&amp;unlock","64391")</f>
        <v>64391</v>
      </c>
      <c r="F1306" t="s">
        <v>760</v>
      </c>
      <c r="G1306" t="str">
        <f>HYPERLINK("http://www.ncbi.nlm.nih.gov/Taxonomy/Browser/wwwtax.cgi?mode=Info&amp;id=64391&amp;lvl=3&amp;lin=f&amp;keep=1&amp;srchmode=1&amp;unlock","Callosobruchus maculatus")</f>
        <v>Callosobruchus maculatus</v>
      </c>
      <c r="H1306" t="s">
        <v>1118</v>
      </c>
      <c r="I1306" t="str">
        <f>HYPERLINK("http://www.ncbi.nlm.nih.gov/protein/VEN56411.1","unnamed protein product, partial")</f>
        <v>unnamed protein product, partial</v>
      </c>
      <c r="J1306">
        <v>2012.27</v>
      </c>
      <c r="K1306" t="s">
        <v>22</v>
      </c>
      <c r="L1306">
        <v>276</v>
      </c>
      <c r="M1306">
        <v>9.75</v>
      </c>
      <c r="N1306">
        <v>19.25</v>
      </c>
      <c r="O1306" t="s">
        <v>19</v>
      </c>
      <c r="P1306" t="s">
        <v>20</v>
      </c>
      <c r="Q1306" t="s">
        <v>19</v>
      </c>
      <c r="R1306" t="str">
        <f>HYPERLINK("https://cfpub.epa.gov/ecotox/explore.cfm?ncbi=64391","Explore in ECOTOX")</f>
        <v>Explore in ECOTOX</v>
      </c>
    </row>
    <row r="1307" spans="1:18" x14ac:dyDescent="0.45">
      <c r="A1307" t="s">
        <v>1264</v>
      </c>
      <c r="B1307">
        <v>8</v>
      </c>
      <c r="C1307" t="str">
        <f>HYPERLINK("http://www.ncbi.nlm.nih.gov/protein/CDW52896.1","CDW52896.1")</f>
        <v>CDW52896.1</v>
      </c>
      <c r="D1307">
        <v>9912</v>
      </c>
      <c r="E1307" t="str">
        <f>HYPERLINK("http://www.ncbi.nlm.nih.gov/Taxonomy/Browser/wwwtax.cgi?mode=Info&amp;id=36087&amp;lvl=3&amp;lin=f&amp;keep=1&amp;srchmode=1&amp;unlock","36087")</f>
        <v>36087</v>
      </c>
      <c r="F1307" t="s">
        <v>1060</v>
      </c>
      <c r="G1307" t="str">
        <f>HYPERLINK("http://www.ncbi.nlm.nih.gov/Taxonomy/Browser/wwwtax.cgi?mode=Info&amp;id=36087&amp;lvl=3&amp;lin=f&amp;keep=1&amp;srchmode=1&amp;unlock","Trichuris trichiura")</f>
        <v>Trichuris trichiura</v>
      </c>
      <c r="H1307" t="s">
        <v>1119</v>
      </c>
      <c r="I1307" t="str">
        <f>HYPERLINK("http://www.ncbi.nlm.nih.gov/protein/CDW52896.1","ryanodine receptor")</f>
        <v>ryanodine receptor</v>
      </c>
      <c r="J1307">
        <v>2002.64</v>
      </c>
      <c r="K1307" t="s">
        <v>22</v>
      </c>
      <c r="L1307">
        <v>276</v>
      </c>
      <c r="M1307">
        <v>9.75</v>
      </c>
      <c r="N1307">
        <v>19.16</v>
      </c>
      <c r="O1307" t="s">
        <v>19</v>
      </c>
      <c r="P1307" t="s">
        <v>20</v>
      </c>
      <c r="Q1307" t="s">
        <v>19</v>
      </c>
      <c r="R1307" t="str">
        <f>HYPERLINK("https://cfpub.epa.gov/ecotox/explore.cfm?ncbi=36087","Explore in ECOTOX")</f>
        <v>Explore in ECOTOX</v>
      </c>
    </row>
    <row r="1308" spans="1:18" x14ac:dyDescent="0.45">
      <c r="A1308" t="s">
        <v>1264</v>
      </c>
      <c r="B1308">
        <v>8</v>
      </c>
      <c r="C1308" t="str">
        <f>HYPERLINK("http://www.ncbi.nlm.nih.gov/protein/XP_045590946.1","XP_045590946.1")</f>
        <v>XP_045590946.1</v>
      </c>
      <c r="D1308">
        <v>46758</v>
      </c>
      <c r="E1308" t="str">
        <f>HYPERLINK("http://www.ncbi.nlm.nih.gov/Taxonomy/Browser/wwwtax.cgi?mode=Info&amp;id=6728&amp;lvl=3&amp;lin=f&amp;keep=1&amp;srchmode=1&amp;unlock","6728")</f>
        <v>6728</v>
      </c>
      <c r="F1308" t="s">
        <v>779</v>
      </c>
      <c r="G1308" t="str">
        <f>HYPERLINK("http://www.ncbi.nlm.nih.gov/Taxonomy/Browser/wwwtax.cgi?mode=Info&amp;id=6728&amp;lvl=3&amp;lin=f&amp;keep=1&amp;srchmode=1&amp;unlock","Procambarus clarkii")</f>
        <v>Procambarus clarkii</v>
      </c>
      <c r="H1308" t="s">
        <v>1120</v>
      </c>
      <c r="I1308" t="str">
        <f>HYPERLINK("http://www.ncbi.nlm.nih.gov/protein/XP_045590946.1","ryanodine receptor-like")</f>
        <v>ryanodine receptor-like</v>
      </c>
      <c r="J1308">
        <v>1991.08</v>
      </c>
      <c r="K1308" t="s">
        <v>22</v>
      </c>
      <c r="L1308">
        <v>276</v>
      </c>
      <c r="M1308">
        <v>9.75</v>
      </c>
      <c r="N1308">
        <v>19.05</v>
      </c>
      <c r="O1308" t="s">
        <v>19</v>
      </c>
      <c r="P1308" t="s">
        <v>20</v>
      </c>
      <c r="Q1308" t="s">
        <v>19</v>
      </c>
      <c r="R1308" t="str">
        <f>HYPERLINK("https://cfpub.epa.gov/ecotox/explore.cfm?ncbi=6728","Explore in ECOTOX")</f>
        <v>Explore in ECOTOX</v>
      </c>
    </row>
    <row r="1309" spans="1:18" x14ac:dyDescent="0.45">
      <c r="A1309" t="s">
        <v>1264</v>
      </c>
      <c r="B1309">
        <v>8</v>
      </c>
      <c r="C1309" t="str">
        <f>HYPERLINK("http://www.ncbi.nlm.nih.gov/protein/XP_021938337.1","XP_021938337.1")</f>
        <v>XP_021938337.1</v>
      </c>
      <c r="D1309">
        <v>44851</v>
      </c>
      <c r="E1309" t="str">
        <f>HYPERLINK("http://www.ncbi.nlm.nih.gov/Taxonomy/Browser/wwwtax.cgi?mode=Info&amp;id=136037&amp;lvl=3&amp;lin=f&amp;keep=1&amp;srchmode=1&amp;unlock","136037")</f>
        <v>136037</v>
      </c>
      <c r="F1309" t="s">
        <v>760</v>
      </c>
      <c r="G1309" t="str">
        <f>HYPERLINK("http://www.ncbi.nlm.nih.gov/Taxonomy/Browser/wwwtax.cgi?mode=Info&amp;id=136037&amp;lvl=3&amp;lin=f&amp;keep=1&amp;srchmode=1&amp;unlock","Zootermopsis nevadensis")</f>
        <v>Zootermopsis nevadensis</v>
      </c>
      <c r="H1309" t="s">
        <v>1121</v>
      </c>
      <c r="I1309" t="str">
        <f>HYPERLINK("http://www.ncbi.nlm.nih.gov/protein/XP_021938337.1","ryanodine receptor-like")</f>
        <v>ryanodine receptor-like</v>
      </c>
      <c r="J1309">
        <v>1952.56</v>
      </c>
      <c r="K1309" t="s">
        <v>22</v>
      </c>
      <c r="L1309">
        <v>276</v>
      </c>
      <c r="M1309">
        <v>9.75</v>
      </c>
      <c r="N1309">
        <v>18.68</v>
      </c>
      <c r="O1309" t="s">
        <v>19</v>
      </c>
      <c r="P1309" t="s">
        <v>20</v>
      </c>
      <c r="Q1309" t="s">
        <v>19</v>
      </c>
      <c r="R1309" t="str">
        <f>HYPERLINK("https://cfpub.epa.gov/ecotox/explore.cfm?ncbi=136037","Explore in ECOTOX")</f>
        <v>Explore in ECOTOX</v>
      </c>
    </row>
    <row r="1310" spans="1:18" x14ac:dyDescent="0.45">
      <c r="A1310" t="s">
        <v>1264</v>
      </c>
      <c r="B1310">
        <v>8</v>
      </c>
      <c r="C1310" t="str">
        <f>HYPERLINK("http://www.ncbi.nlm.nih.gov/protein/XP_033352160.1","XP_033352160.1")</f>
        <v>XP_033352160.1</v>
      </c>
      <c r="D1310">
        <v>24094</v>
      </c>
      <c r="E1310" t="str">
        <f>HYPERLINK("http://www.ncbi.nlm.nih.gov/Taxonomy/Browser/wwwtax.cgi?mode=Info&amp;id=207650&amp;lvl=3&amp;lin=f&amp;keep=1&amp;srchmode=1&amp;unlock","207650")</f>
        <v>207650</v>
      </c>
      <c r="F1310" t="s">
        <v>760</v>
      </c>
      <c r="G1310" t="str">
        <f>HYPERLINK("http://www.ncbi.nlm.nih.gov/Taxonomy/Browser/wwwtax.cgi?mode=Info&amp;id=207650&amp;lvl=3&amp;lin=f&amp;keep=1&amp;srchmode=1&amp;unlock","Bombus vosnesenskii")</f>
        <v>Bombus vosnesenskii</v>
      </c>
      <c r="H1310" t="s">
        <v>928</v>
      </c>
      <c r="I1310" t="str">
        <f>HYPERLINK("http://www.ncbi.nlm.nih.gov/protein/XP_033352160.1","ryanodine receptor isoform X9")</f>
        <v>ryanodine receptor isoform X9</v>
      </c>
      <c r="J1310">
        <v>1942.93</v>
      </c>
      <c r="K1310" t="s">
        <v>22</v>
      </c>
      <c r="L1310">
        <v>276</v>
      </c>
      <c r="M1310">
        <v>9.75</v>
      </c>
      <c r="N1310">
        <v>18.59</v>
      </c>
      <c r="O1310" t="s">
        <v>19</v>
      </c>
      <c r="P1310" t="s">
        <v>20</v>
      </c>
      <c r="Q1310" t="s">
        <v>19</v>
      </c>
      <c r="R1310" t="str">
        <f>HYPERLINK("https://cfpub.epa.gov/ecotox/explore.cfm?ncbi=207650","Explore in ECOTOX")</f>
        <v>Explore in ECOTOX</v>
      </c>
    </row>
    <row r="1311" spans="1:18" x14ac:dyDescent="0.45">
      <c r="A1311" t="s">
        <v>1264</v>
      </c>
      <c r="B1311">
        <v>8</v>
      </c>
      <c r="C1311" t="str">
        <f>HYPERLINK("http://www.ncbi.nlm.nih.gov/protein/KAJ8044966.1","KAJ8044966.1")</f>
        <v>KAJ8044966.1</v>
      </c>
      <c r="D1311">
        <v>33969</v>
      </c>
      <c r="E1311" t="str">
        <f>HYPERLINK("http://www.ncbi.nlm.nih.gov/Taxonomy/Browser/wwwtax.cgi?mode=Info&amp;id=206669&amp;lvl=3&amp;lin=f&amp;keep=1&amp;srchmode=1&amp;unlock","206669")</f>
        <v>206669</v>
      </c>
      <c r="F1311" t="s">
        <v>1122</v>
      </c>
      <c r="G1311" t="str">
        <f>HYPERLINK("http://www.ncbi.nlm.nih.gov/Taxonomy/Browser/wwwtax.cgi?mode=Info&amp;id=206669&amp;lvl=3&amp;lin=f&amp;keep=1&amp;srchmode=1&amp;unlock","Holothuria leucospilota")</f>
        <v>Holothuria leucospilota</v>
      </c>
      <c r="H1311" t="s">
        <v>1123</v>
      </c>
      <c r="I1311" t="str">
        <f>HYPERLINK("http://www.ncbi.nlm.nih.gov/protein/KAJ8044966.1","Ryanodine receptor 2")</f>
        <v>Ryanodine receptor 2</v>
      </c>
      <c r="J1311">
        <v>1908.65</v>
      </c>
      <c r="K1311" t="s">
        <v>22</v>
      </c>
      <c r="L1311">
        <v>276</v>
      </c>
      <c r="M1311">
        <v>9.75</v>
      </c>
      <c r="N1311">
        <v>18.260000000000002</v>
      </c>
      <c r="O1311" t="s">
        <v>19</v>
      </c>
      <c r="P1311" t="s">
        <v>20</v>
      </c>
      <c r="Q1311" t="s">
        <v>19</v>
      </c>
      <c r="R1311" t="str">
        <f>HYPERLINK("https://cfpub.epa.gov/ecotox/explore.cfm?ncbi=206669","Explore in ECOTOX")</f>
        <v>Explore in ECOTOX</v>
      </c>
    </row>
    <row r="1312" spans="1:18" x14ac:dyDescent="0.45">
      <c r="A1312" t="s">
        <v>1264</v>
      </c>
      <c r="B1312">
        <v>8</v>
      </c>
      <c r="C1312" t="str">
        <f>HYPERLINK("http://www.ncbi.nlm.nih.gov/protein/KAH9519510.1","KAH9519510.1")</f>
        <v>KAH9519510.1</v>
      </c>
      <c r="D1312">
        <v>26550</v>
      </c>
      <c r="E1312" t="str">
        <f>HYPERLINK("http://www.ncbi.nlm.nih.gov/Taxonomy/Browser/wwwtax.cgi?mode=Info&amp;id=55810&amp;lvl=3&amp;lin=f&amp;keep=1&amp;srchmode=1&amp;unlock","55810")</f>
        <v>55810</v>
      </c>
      <c r="F1312" t="s">
        <v>757</v>
      </c>
      <c r="G1312" t="str">
        <f>HYPERLINK("http://www.ncbi.nlm.nih.gov/Taxonomy/Browser/wwwtax.cgi?mode=Info&amp;id=55810&amp;lvl=3&amp;lin=f&amp;keep=1&amp;srchmode=1&amp;unlock","Bulinus truncatus")</f>
        <v>Bulinus truncatus</v>
      </c>
      <c r="H1312" t="s">
        <v>832</v>
      </c>
      <c r="I1312" t="str">
        <f>HYPERLINK("http://www.ncbi.nlm.nih.gov/protein/KAH9519510.1","hypothetical protein Btru_002898, partial")</f>
        <v>hypothetical protein Btru_002898, partial</v>
      </c>
      <c r="J1312">
        <v>1897.09</v>
      </c>
      <c r="K1312" t="s">
        <v>19</v>
      </c>
      <c r="L1312">
        <v>276</v>
      </c>
      <c r="M1312">
        <v>9.75</v>
      </c>
      <c r="N1312">
        <v>18.149999999999999</v>
      </c>
      <c r="O1312" t="s">
        <v>19</v>
      </c>
      <c r="P1312" t="s">
        <v>20</v>
      </c>
      <c r="Q1312" t="s">
        <v>19</v>
      </c>
      <c r="R1312" t="str">
        <f>HYPERLINK("https://cfpub.epa.gov/ecotox/explore.cfm?ncbi=55810","Explore in ECOTOX")</f>
        <v>Explore in ECOTOX</v>
      </c>
    </row>
    <row r="1313" spans="1:18" x14ac:dyDescent="0.45">
      <c r="A1313" t="s">
        <v>1264</v>
      </c>
      <c r="B1313">
        <v>8</v>
      </c>
      <c r="C1313" t="str">
        <f>HYPERLINK("http://www.ncbi.nlm.nih.gov/protein/CAI9554169.1","CAI9554169.1")</f>
        <v>CAI9554169.1</v>
      </c>
      <c r="D1313">
        <v>92601</v>
      </c>
      <c r="E1313" t="str">
        <f>HYPERLINK("http://www.ncbi.nlm.nih.gov/Taxonomy/Browser/wwwtax.cgi?mode=Info&amp;id=386267&amp;lvl=3&amp;lin=f&amp;keep=1&amp;srchmode=1&amp;unlock","386267")</f>
        <v>386267</v>
      </c>
      <c r="F1313" t="s">
        <v>177</v>
      </c>
      <c r="G1313" t="str">
        <f>HYPERLINK("http://www.ncbi.nlm.nih.gov/Taxonomy/Browser/wwwtax.cgi?mode=Info&amp;id=386267&amp;lvl=3&amp;lin=f&amp;keep=1&amp;srchmode=1&amp;unlock","Staurois parvus")</f>
        <v>Staurois parvus</v>
      </c>
      <c r="H1313" t="s">
        <v>1124</v>
      </c>
      <c r="I1313" t="str">
        <f>HYPERLINK("http://www.ncbi.nlm.nih.gov/protein/CAI9554169.1","unnamed protein product")</f>
        <v>unnamed protein product</v>
      </c>
      <c r="J1313">
        <v>1887.85</v>
      </c>
      <c r="K1313" t="s">
        <v>19</v>
      </c>
      <c r="L1313">
        <v>276</v>
      </c>
      <c r="M1313">
        <v>9.75</v>
      </c>
      <c r="N1313">
        <v>18.059999999999999</v>
      </c>
      <c r="O1313" t="s">
        <v>19</v>
      </c>
      <c r="P1313" t="s">
        <v>20</v>
      </c>
      <c r="Q1313" t="s">
        <v>19</v>
      </c>
      <c r="R1313" t="str">
        <f>HYPERLINK("https://cfpub.epa.gov/ecotox/explore.cfm?ncbi=386267","Explore in ECOTOX")</f>
        <v>Explore in ECOTOX</v>
      </c>
    </row>
    <row r="1314" spans="1:18" x14ac:dyDescent="0.45">
      <c r="A1314" t="s">
        <v>1264</v>
      </c>
      <c r="B1314">
        <v>8</v>
      </c>
      <c r="C1314" t="str">
        <f>HYPERLINK("http://www.ncbi.nlm.nih.gov/protein/XP_034326370.1","XP_034326370.1")</f>
        <v>XP_034326370.1</v>
      </c>
      <c r="D1314">
        <v>64679</v>
      </c>
      <c r="E1314" t="str">
        <f>HYPERLINK("http://www.ncbi.nlm.nih.gov/Taxonomy/Browser/wwwtax.cgi?mode=Info&amp;id=29159&amp;lvl=3&amp;lin=f&amp;keep=1&amp;srchmode=1&amp;unlock","29159")</f>
        <v>29159</v>
      </c>
      <c r="F1314" t="s">
        <v>833</v>
      </c>
      <c r="G1314" t="str">
        <f>HYPERLINK("http://www.ncbi.nlm.nih.gov/Taxonomy/Browser/wwwtax.cgi?mode=Info&amp;id=29159&amp;lvl=3&amp;lin=f&amp;keep=1&amp;srchmode=1&amp;unlock","Crassostrea gigas")</f>
        <v>Crassostrea gigas</v>
      </c>
      <c r="H1314" t="s">
        <v>1125</v>
      </c>
      <c r="I1314" t="str">
        <f>HYPERLINK("http://www.ncbi.nlm.nih.gov/protein/XP_034326370.1","ryanodine receptor isoform X8")</f>
        <v>ryanodine receptor isoform X8</v>
      </c>
      <c r="J1314">
        <v>1873.6</v>
      </c>
      <c r="K1314" t="s">
        <v>22</v>
      </c>
      <c r="L1314">
        <v>276</v>
      </c>
      <c r="M1314">
        <v>9.75</v>
      </c>
      <c r="N1314">
        <v>17.920000000000002</v>
      </c>
      <c r="O1314" t="s">
        <v>19</v>
      </c>
      <c r="P1314" t="s">
        <v>20</v>
      </c>
      <c r="Q1314" t="s">
        <v>19</v>
      </c>
      <c r="R1314" t="str">
        <f>HYPERLINK("https://cfpub.epa.gov/ecotox/explore.cfm?ncbi=29159","Explore in ECOTOX")</f>
        <v>Explore in ECOTOX</v>
      </c>
    </row>
    <row r="1315" spans="1:18" x14ac:dyDescent="0.45">
      <c r="A1315" t="s">
        <v>1264</v>
      </c>
      <c r="B1315">
        <v>8</v>
      </c>
      <c r="C1315" t="str">
        <f>HYPERLINK("http://www.ncbi.nlm.nih.gov/protein/KAK0411655.1","KAK0411655.1")</f>
        <v>KAK0411655.1</v>
      </c>
      <c r="D1315">
        <v>36282</v>
      </c>
      <c r="E1315" t="str">
        <f>HYPERLINK("http://www.ncbi.nlm.nih.gov/Taxonomy/Browser/wwwtax.cgi?mode=Info&amp;id=289476&amp;lvl=3&amp;lin=f&amp;keep=1&amp;srchmode=1&amp;unlock","289476")</f>
        <v>289476</v>
      </c>
      <c r="F1315" t="s">
        <v>1024</v>
      </c>
      <c r="G1315" t="str">
        <f>HYPERLINK("http://www.ncbi.nlm.nih.gov/Taxonomy/Browser/wwwtax.cgi?mode=Info&amp;id=289476&amp;lvl=3&amp;lin=f&amp;keep=1&amp;srchmode=1&amp;unlock","Steinernema hermaphroditum")</f>
        <v>Steinernema hermaphroditum</v>
      </c>
      <c r="H1315" t="s">
        <v>1027</v>
      </c>
      <c r="I1315" t="str">
        <f>HYPERLINK("http://www.ncbi.nlm.nih.gov/protein/KAK0411655.1","hypothetical protein QR680_005766")</f>
        <v>hypothetical protein QR680_005766</v>
      </c>
      <c r="J1315">
        <v>1848.17</v>
      </c>
      <c r="K1315" t="s">
        <v>22</v>
      </c>
      <c r="L1315">
        <v>276</v>
      </c>
      <c r="M1315">
        <v>9.75</v>
      </c>
      <c r="N1315">
        <v>17.68</v>
      </c>
      <c r="O1315" t="s">
        <v>19</v>
      </c>
      <c r="P1315" t="s">
        <v>20</v>
      </c>
      <c r="Q1315" t="s">
        <v>19</v>
      </c>
      <c r="R1315" t="str">
        <f>HYPERLINK("https://cfpub.epa.gov/ecotox/explore.cfm?ncbi=289476","Explore in ECOTOX")</f>
        <v>Explore in ECOTOX</v>
      </c>
    </row>
    <row r="1316" spans="1:18" x14ac:dyDescent="0.45">
      <c r="A1316" t="s">
        <v>1264</v>
      </c>
      <c r="B1316">
        <v>8</v>
      </c>
      <c r="C1316" t="str">
        <f>HYPERLINK("http://www.ncbi.nlm.nih.gov/protein/KAH9399924.1","KAH9399924.1")</f>
        <v>KAH9399924.1</v>
      </c>
      <c r="D1316">
        <v>23349</v>
      </c>
      <c r="E1316" t="str">
        <f>HYPERLINK("http://www.ncbi.nlm.nih.gov/Taxonomy/Browser/wwwtax.cgi?mode=Info&amp;id=59818&amp;lvl=3&amp;lin=f&amp;keep=1&amp;srchmode=1&amp;unlock","59818")</f>
        <v>59818</v>
      </c>
      <c r="F1316" t="s">
        <v>904</v>
      </c>
      <c r="G1316" t="str">
        <f>HYPERLINK("http://www.ncbi.nlm.nih.gov/Taxonomy/Browser/wwwtax.cgi?mode=Info&amp;id=59818&amp;lvl=3&amp;lin=f&amp;keep=1&amp;srchmode=1&amp;unlock","Tyrophagus putrescentiae")</f>
        <v>Tyrophagus putrescentiae</v>
      </c>
      <c r="H1316" t="s">
        <v>1126</v>
      </c>
      <c r="I1316" t="str">
        <f>HYPERLINK("http://www.ncbi.nlm.nih.gov/protein/KAH9399924.1","Ryanodine receptor 2")</f>
        <v>Ryanodine receptor 2</v>
      </c>
      <c r="J1316">
        <v>1830.07</v>
      </c>
      <c r="K1316" t="s">
        <v>22</v>
      </c>
      <c r="L1316">
        <v>276</v>
      </c>
      <c r="M1316">
        <v>9.75</v>
      </c>
      <c r="N1316">
        <v>17.510000000000002</v>
      </c>
      <c r="O1316" t="s">
        <v>19</v>
      </c>
      <c r="P1316" t="s">
        <v>20</v>
      </c>
      <c r="Q1316" t="s">
        <v>19</v>
      </c>
      <c r="R1316" t="str">
        <f>HYPERLINK("https://cfpub.epa.gov/ecotox/explore.cfm?ncbi=59818","Explore in ECOTOX")</f>
        <v>Explore in ECOTOX</v>
      </c>
    </row>
    <row r="1317" spans="1:18" x14ac:dyDescent="0.45">
      <c r="A1317" t="s">
        <v>1264</v>
      </c>
      <c r="B1317">
        <v>8</v>
      </c>
      <c r="C1317" t="str">
        <f>HYPERLINK("http://www.ncbi.nlm.nih.gov/protein/XP_013300378.1","XP_013300378.1")</f>
        <v>XP_013300378.1</v>
      </c>
      <c r="D1317">
        <v>38507</v>
      </c>
      <c r="E1317" t="str">
        <f>HYPERLINK("http://www.ncbi.nlm.nih.gov/Taxonomy/Browser/wwwtax.cgi?mode=Info&amp;id=51031&amp;lvl=3&amp;lin=f&amp;keep=1&amp;srchmode=1&amp;unlock","51031")</f>
        <v>51031</v>
      </c>
      <c r="F1317" t="s">
        <v>1024</v>
      </c>
      <c r="G1317" t="str">
        <f>HYPERLINK("http://www.ncbi.nlm.nih.gov/Taxonomy/Browser/wwwtax.cgi?mode=Info&amp;id=51031&amp;lvl=3&amp;lin=f&amp;keep=1&amp;srchmode=1&amp;unlock","Necator americanus")</f>
        <v>Necator americanus</v>
      </c>
      <c r="H1317" t="s">
        <v>1127</v>
      </c>
      <c r="I1317" t="str">
        <f>HYPERLINK("http://www.ncbi.nlm.nih.gov/protein/XP_013300378.1","hypothetical protein NECAME_10550")</f>
        <v>hypothetical protein NECAME_10550</v>
      </c>
      <c r="J1317">
        <v>1825.83</v>
      </c>
      <c r="K1317" t="s">
        <v>22</v>
      </c>
      <c r="L1317">
        <v>276</v>
      </c>
      <c r="M1317">
        <v>9.75</v>
      </c>
      <c r="N1317">
        <v>17.47</v>
      </c>
      <c r="O1317" t="s">
        <v>19</v>
      </c>
      <c r="P1317" t="s">
        <v>20</v>
      </c>
      <c r="Q1317" t="s">
        <v>19</v>
      </c>
      <c r="R1317" t="str">
        <f>HYPERLINK("https://cfpub.epa.gov/ecotox/explore.cfm?ncbi=51031","Explore in ECOTOX")</f>
        <v>Explore in ECOTOX</v>
      </c>
    </row>
    <row r="1318" spans="1:18" x14ac:dyDescent="0.45">
      <c r="A1318" t="s">
        <v>1264</v>
      </c>
      <c r="B1318">
        <v>8</v>
      </c>
      <c r="C1318" t="str">
        <f>HYPERLINK("http://www.ncbi.nlm.nih.gov/protein/XP_033625850.1","XP_033625850.1")</f>
        <v>XP_033625850.1</v>
      </c>
      <c r="D1318">
        <v>24240</v>
      </c>
      <c r="E1318" t="str">
        <f>HYPERLINK("http://www.ncbi.nlm.nih.gov/Taxonomy/Browser/wwwtax.cgi?mode=Info&amp;id=7604&amp;lvl=3&amp;lin=f&amp;keep=1&amp;srchmode=1&amp;unlock","7604")</f>
        <v>7604</v>
      </c>
      <c r="F1318" t="s">
        <v>1022</v>
      </c>
      <c r="G1318" t="str">
        <f>HYPERLINK("http://www.ncbi.nlm.nih.gov/Taxonomy/Browser/wwwtax.cgi?mode=Info&amp;id=7604&amp;lvl=3&amp;lin=f&amp;keep=1&amp;srchmode=1&amp;unlock","Asterias rubens")</f>
        <v>Asterias rubens</v>
      </c>
      <c r="H1318" t="s">
        <v>1128</v>
      </c>
      <c r="I1318" t="str">
        <f>HYPERLINK("http://www.ncbi.nlm.nih.gov/protein/XP_033625850.1","ryanodine receptor 2-like")</f>
        <v>ryanodine receptor 2-like</v>
      </c>
      <c r="J1318">
        <v>1812.74</v>
      </c>
      <c r="K1318" t="s">
        <v>22</v>
      </c>
      <c r="L1318">
        <v>276</v>
      </c>
      <c r="M1318">
        <v>9.75</v>
      </c>
      <c r="N1318">
        <v>17.34</v>
      </c>
      <c r="O1318" t="s">
        <v>19</v>
      </c>
      <c r="P1318" t="s">
        <v>20</v>
      </c>
      <c r="Q1318" t="s">
        <v>19</v>
      </c>
      <c r="R1318" t="str">
        <f>HYPERLINK("https://cfpub.epa.gov/ecotox/explore.cfm?ncbi=7604","Explore in ECOTOX")</f>
        <v>Explore in ECOTOX</v>
      </c>
    </row>
    <row r="1319" spans="1:18" x14ac:dyDescent="0.45">
      <c r="A1319" t="s">
        <v>1264</v>
      </c>
      <c r="B1319">
        <v>8</v>
      </c>
      <c r="C1319" t="str">
        <f>HYPERLINK("http://www.ncbi.nlm.nih.gov/protein/CAI4225083.1","CAI4225083.1")</f>
        <v>CAI4225083.1</v>
      </c>
      <c r="D1319">
        <v>13146</v>
      </c>
      <c r="E1319" t="str">
        <f>HYPERLINK("http://www.ncbi.nlm.nih.gov/Taxonomy/Browser/wwwtax.cgi?mode=Info&amp;id=2878363&amp;lvl=3&amp;lin=f&amp;keep=1&amp;srchmode=1&amp;unlock","2878363")</f>
        <v>2878363</v>
      </c>
      <c r="F1319" t="s">
        <v>1024</v>
      </c>
      <c r="G1319" t="str">
        <f>HYPERLINK("http://www.ncbi.nlm.nih.gov/Taxonomy/Browser/wwwtax.cgi?mode=Info&amp;id=2878363&amp;lvl=3&amp;lin=f&amp;keep=1&amp;srchmode=1&amp;unlock","Auanema sp. JU1783")</f>
        <v>Auanema sp. JU1783</v>
      </c>
      <c r="H1319" t="s">
        <v>1027</v>
      </c>
      <c r="I1319" t="str">
        <f>HYPERLINK("http://www.ncbi.nlm.nih.gov/protein/CAI4225083.1","unnamed protein product")</f>
        <v>unnamed protein product</v>
      </c>
      <c r="J1319">
        <v>1801.95</v>
      </c>
      <c r="K1319" t="s">
        <v>22</v>
      </c>
      <c r="L1319">
        <v>276</v>
      </c>
      <c r="M1319">
        <v>9.75</v>
      </c>
      <c r="N1319">
        <v>17.239999999999998</v>
      </c>
      <c r="O1319" t="s">
        <v>19</v>
      </c>
      <c r="P1319" t="s">
        <v>20</v>
      </c>
      <c r="Q1319" t="s">
        <v>19</v>
      </c>
      <c r="R1319" t="str">
        <f>HYPERLINK("https://cfpub.epa.gov/ecotox/explore.cfm?ncbi=2878363","Explore in ECOTOX")</f>
        <v>Explore in ECOTOX</v>
      </c>
    </row>
    <row r="1320" spans="1:18" x14ac:dyDescent="0.45">
      <c r="A1320" t="s">
        <v>1264</v>
      </c>
      <c r="B1320">
        <v>8</v>
      </c>
      <c r="C1320" t="str">
        <f>HYPERLINK("http://www.ncbi.nlm.nih.gov/protein/CAJ0957143.1","CAJ0957143.1")</f>
        <v>CAJ0957143.1</v>
      </c>
      <c r="D1320">
        <v>23205</v>
      </c>
      <c r="E1320" t="str">
        <f>HYPERLINK("http://www.ncbi.nlm.nih.gov/Taxonomy/Browser/wwwtax.cgi?mode=Info&amp;id=2138241&amp;lvl=3&amp;lin=f&amp;keep=1&amp;srchmode=1&amp;unlock","2138241")</f>
        <v>2138241</v>
      </c>
      <c r="F1320" t="s">
        <v>1024</v>
      </c>
      <c r="G1320" t="str">
        <f>HYPERLINK("http://www.ncbi.nlm.nih.gov/Taxonomy/Browser/wwwtax.cgi?mode=Info&amp;id=2138241&amp;lvl=3&amp;lin=f&amp;keep=1&amp;srchmode=1&amp;unlock","Mesorhabditis belari")</f>
        <v>Mesorhabditis belari</v>
      </c>
      <c r="H1320" t="s">
        <v>1027</v>
      </c>
      <c r="I1320" t="str">
        <f>HYPERLINK("http://www.ncbi.nlm.nih.gov/protein/CAJ0957143.1","unnamed protein product, partial")</f>
        <v>unnamed protein product, partial</v>
      </c>
      <c r="J1320">
        <v>1794.63</v>
      </c>
      <c r="K1320" t="s">
        <v>22</v>
      </c>
      <c r="L1320">
        <v>276</v>
      </c>
      <c r="M1320">
        <v>9.75</v>
      </c>
      <c r="N1320">
        <v>17.170000000000002</v>
      </c>
      <c r="O1320" t="s">
        <v>19</v>
      </c>
      <c r="P1320" t="s">
        <v>20</v>
      </c>
      <c r="Q1320" t="s">
        <v>19</v>
      </c>
      <c r="R1320" t="str">
        <f>HYPERLINK("https://cfpub.epa.gov/ecotox/explore.cfm?ncbi=2138241","Explore in ECOTOX")</f>
        <v>Explore in ECOTOX</v>
      </c>
    </row>
    <row r="1321" spans="1:18" x14ac:dyDescent="0.45">
      <c r="A1321" t="s">
        <v>1264</v>
      </c>
      <c r="B1321">
        <v>8</v>
      </c>
      <c r="C1321" t="str">
        <f>HYPERLINK("http://www.ncbi.nlm.nih.gov/protein/CAD5230370.1","CAD5230370.1")</f>
        <v>CAD5230370.1</v>
      </c>
      <c r="D1321">
        <v>32147</v>
      </c>
      <c r="E1321" t="str">
        <f>HYPERLINK("http://www.ncbi.nlm.nih.gov/Taxonomy/Browser/wwwtax.cgi?mode=Info&amp;id=6326&amp;lvl=3&amp;lin=f&amp;keep=1&amp;srchmode=1&amp;unlock","6326")</f>
        <v>6326</v>
      </c>
      <c r="F1321" t="s">
        <v>1024</v>
      </c>
      <c r="G1321" t="str">
        <f>HYPERLINK("http://www.ncbi.nlm.nih.gov/Taxonomy/Browser/wwwtax.cgi?mode=Info&amp;id=6326&amp;lvl=3&amp;lin=f&amp;keep=1&amp;srchmode=1&amp;unlock","Bursaphelenchus xylophilus")</f>
        <v>Bursaphelenchus xylophilus</v>
      </c>
      <c r="H1321" t="s">
        <v>1129</v>
      </c>
      <c r="I1321" t="str">
        <f>HYPERLINK("http://www.ncbi.nlm.nih.gov/protein/CAD5230370.1","unnamed protein product")</f>
        <v>unnamed protein product</v>
      </c>
      <c r="J1321">
        <v>1793.86</v>
      </c>
      <c r="K1321" t="s">
        <v>22</v>
      </c>
      <c r="L1321">
        <v>276</v>
      </c>
      <c r="M1321">
        <v>9.75</v>
      </c>
      <c r="N1321">
        <v>17.16</v>
      </c>
      <c r="O1321" t="s">
        <v>19</v>
      </c>
      <c r="P1321" t="s">
        <v>20</v>
      </c>
      <c r="Q1321" t="s">
        <v>19</v>
      </c>
      <c r="R1321" t="str">
        <f>HYPERLINK("https://cfpub.epa.gov/ecotox/explore.cfm?ncbi=6326","Explore in ECOTOX")</f>
        <v>Explore in ECOTOX</v>
      </c>
    </row>
    <row r="1322" spans="1:18" x14ac:dyDescent="0.45">
      <c r="A1322" t="s">
        <v>1264</v>
      </c>
      <c r="B1322">
        <v>8</v>
      </c>
      <c r="C1322" t="str">
        <f>HYPERLINK("http://www.ncbi.nlm.nih.gov/protein/VDK67515.1","VDK67515.1")</f>
        <v>VDK67515.1</v>
      </c>
      <c r="D1322">
        <v>13787</v>
      </c>
      <c r="E1322" t="str">
        <f>HYPERLINK("http://www.ncbi.nlm.nih.gov/Taxonomy/Browser/wwwtax.cgi?mode=Info&amp;id=42157&amp;lvl=3&amp;lin=f&amp;keep=1&amp;srchmode=1&amp;unlock","42157")</f>
        <v>42157</v>
      </c>
      <c r="F1322" t="s">
        <v>1024</v>
      </c>
      <c r="G1322" t="str">
        <f>HYPERLINK("http://www.ncbi.nlm.nih.gov/Taxonomy/Browser/wwwtax.cgi?mode=Info&amp;id=42157&amp;lvl=3&amp;lin=f&amp;keep=1&amp;srchmode=1&amp;unlock","Onchocerca ochengi")</f>
        <v>Onchocerca ochengi</v>
      </c>
      <c r="H1322" t="s">
        <v>1027</v>
      </c>
      <c r="I1322" t="str">
        <f>HYPERLINK("http://www.ncbi.nlm.nih.gov/protein/VDK67515.1","unnamed protein product, partial")</f>
        <v>unnamed protein product, partial</v>
      </c>
      <c r="J1322">
        <v>1792.7</v>
      </c>
      <c r="K1322" t="s">
        <v>22</v>
      </c>
      <c r="L1322">
        <v>276</v>
      </c>
      <c r="M1322">
        <v>9.75</v>
      </c>
      <c r="N1322">
        <v>17.149999999999999</v>
      </c>
      <c r="O1322" t="s">
        <v>19</v>
      </c>
      <c r="P1322" t="s">
        <v>20</v>
      </c>
      <c r="Q1322" t="s">
        <v>19</v>
      </c>
      <c r="R1322" t="str">
        <f>HYPERLINK("https://cfpub.epa.gov/ecotox/explore.cfm?ncbi=42157","Explore in ECOTOX")</f>
        <v>Explore in ECOTOX</v>
      </c>
    </row>
    <row r="1323" spans="1:18" x14ac:dyDescent="0.45">
      <c r="A1323" t="s">
        <v>1264</v>
      </c>
      <c r="B1323">
        <v>8</v>
      </c>
      <c r="C1323" t="str">
        <f>HYPERLINK("http://www.ncbi.nlm.nih.gov/protein/BAB84714.1","BAB84714.1")</f>
        <v>BAB84714.1</v>
      </c>
      <c r="D1323">
        <v>224</v>
      </c>
      <c r="E1323" t="str">
        <f>HYPERLINK("http://www.ncbi.nlm.nih.gov/Taxonomy/Browser/wwwtax.cgi?mode=Info&amp;id=7650&amp;lvl=3&amp;lin=f&amp;keep=1&amp;srchmode=1&amp;unlock","7650")</f>
        <v>7650</v>
      </c>
      <c r="F1323" t="s">
        <v>1020</v>
      </c>
      <c r="G1323" t="str">
        <f>HYPERLINK("http://www.ncbi.nlm.nih.gov/Taxonomy/Browser/wwwtax.cgi?mode=Info&amp;id=7650&amp;lvl=3&amp;lin=f&amp;keep=1&amp;srchmode=1&amp;unlock","Hemicentrotus pulcherrimus")</f>
        <v>Hemicentrotus pulcherrimus</v>
      </c>
      <c r="H1323" t="s">
        <v>1130</v>
      </c>
      <c r="I1323" t="str">
        <f>HYPERLINK("http://www.ncbi.nlm.nih.gov/protein/BAB84714.1","ryanodine receptor")</f>
        <v>ryanodine receptor</v>
      </c>
      <c r="J1323">
        <v>1789.62</v>
      </c>
      <c r="K1323" t="s">
        <v>22</v>
      </c>
      <c r="L1323">
        <v>276</v>
      </c>
      <c r="M1323">
        <v>9.75</v>
      </c>
      <c r="N1323">
        <v>17.12</v>
      </c>
      <c r="O1323" t="s">
        <v>19</v>
      </c>
      <c r="P1323" t="s">
        <v>20</v>
      </c>
      <c r="Q1323" t="s">
        <v>19</v>
      </c>
      <c r="R1323" t="str">
        <f>HYPERLINK("https://cfpub.epa.gov/ecotox/explore.cfm?ncbi=7650","Explore in ECOTOX")</f>
        <v>Explore in ECOTOX</v>
      </c>
    </row>
    <row r="1324" spans="1:18" x14ac:dyDescent="0.45">
      <c r="A1324" t="s">
        <v>1264</v>
      </c>
      <c r="B1324">
        <v>8</v>
      </c>
      <c r="C1324" t="str">
        <f>HYPERLINK("http://www.ncbi.nlm.nih.gov/protein/XP_024501315.1","XP_024501315.1")</f>
        <v>XP_024501315.1</v>
      </c>
      <c r="D1324">
        <v>24981</v>
      </c>
      <c r="E1324" t="str">
        <f>HYPERLINK("http://www.ncbi.nlm.nih.gov/Taxonomy/Browser/wwwtax.cgi?mode=Info&amp;id=34506&amp;lvl=3&amp;lin=f&amp;keep=1&amp;srchmode=1&amp;unlock","34506")</f>
        <v>34506</v>
      </c>
      <c r="F1324" t="s">
        <v>1024</v>
      </c>
      <c r="G1324" t="str">
        <f>HYPERLINK("http://www.ncbi.nlm.nih.gov/Taxonomy/Browser/wwwtax.cgi?mode=Info&amp;id=34506&amp;lvl=3&amp;lin=f&amp;keep=1&amp;srchmode=1&amp;unlock","Strongyloides ratti")</f>
        <v>Strongyloides ratti</v>
      </c>
      <c r="H1324" t="s">
        <v>1027</v>
      </c>
      <c r="I1324" t="str">
        <f>HYPERLINK("http://www.ncbi.nlm.nih.gov/protein/XP_024501315.1","Ryanodine receptor 1")</f>
        <v>Ryanodine receptor 1</v>
      </c>
      <c r="J1324">
        <v>1789.24</v>
      </c>
      <c r="K1324" t="s">
        <v>22</v>
      </c>
      <c r="L1324">
        <v>276</v>
      </c>
      <c r="M1324">
        <v>9.75</v>
      </c>
      <c r="N1324">
        <v>17.12</v>
      </c>
      <c r="O1324" t="s">
        <v>19</v>
      </c>
      <c r="P1324" t="s">
        <v>20</v>
      </c>
      <c r="Q1324" t="s">
        <v>19</v>
      </c>
      <c r="R1324" t="str">
        <f>HYPERLINK("https://cfpub.epa.gov/ecotox/explore.cfm?ncbi=34506","Explore in ECOTOX")</f>
        <v>Explore in ECOTOX</v>
      </c>
    </row>
    <row r="1325" spans="1:18" x14ac:dyDescent="0.45">
      <c r="A1325" t="s">
        <v>1264</v>
      </c>
      <c r="B1325">
        <v>8</v>
      </c>
      <c r="C1325" t="str">
        <f>HYPERLINK("http://www.ncbi.nlm.nih.gov/protein/GFU98107.1","GFU98107.1")</f>
        <v>GFU98107.1</v>
      </c>
      <c r="D1325">
        <v>515731</v>
      </c>
      <c r="E1325" t="str">
        <f>HYPERLINK("http://www.ncbi.nlm.nih.gov/Taxonomy/Browser/wwwtax.cgi?mode=Info&amp;id=2585209&amp;lvl=3&amp;lin=f&amp;keep=1&amp;srchmode=1&amp;unlock","2585209")</f>
        <v>2585209</v>
      </c>
      <c r="F1325" t="s">
        <v>904</v>
      </c>
      <c r="G1325" t="str">
        <f>HYPERLINK("http://www.ncbi.nlm.nih.gov/Taxonomy/Browser/wwwtax.cgi?mode=Info&amp;id=2585209&amp;lvl=3&amp;lin=f&amp;keep=1&amp;srchmode=1&amp;unlock","Trichonephila clavipes")</f>
        <v>Trichonephila clavipes</v>
      </c>
      <c r="H1325" t="s">
        <v>905</v>
      </c>
      <c r="I1325" t="str">
        <f>HYPERLINK("http://www.ncbi.nlm.nih.gov/protein/GFU98107.1","ryanodine receptor")</f>
        <v>ryanodine receptor</v>
      </c>
      <c r="J1325">
        <v>1787.31</v>
      </c>
      <c r="K1325" t="s">
        <v>22</v>
      </c>
      <c r="L1325">
        <v>276</v>
      </c>
      <c r="M1325">
        <v>9.75</v>
      </c>
      <c r="N1325">
        <v>17.100000000000001</v>
      </c>
      <c r="O1325" t="s">
        <v>19</v>
      </c>
      <c r="P1325" t="s">
        <v>20</v>
      </c>
      <c r="Q1325" t="s">
        <v>19</v>
      </c>
      <c r="R1325" t="str">
        <f>HYPERLINK("https://cfpub.epa.gov/ecotox/explore.cfm?ncbi=2585209","Explore in ECOTOX")</f>
        <v>Explore in ECOTOX</v>
      </c>
    </row>
    <row r="1326" spans="1:18" x14ac:dyDescent="0.45">
      <c r="A1326" t="s">
        <v>1264</v>
      </c>
      <c r="B1326">
        <v>8</v>
      </c>
      <c r="C1326" t="str">
        <f>HYPERLINK("http://www.ncbi.nlm.nih.gov/protein/KAK2088355.1","KAK2088355.1")</f>
        <v>KAK2088355.1</v>
      </c>
      <c r="D1326">
        <v>41200</v>
      </c>
      <c r="E1326" t="str">
        <f>HYPERLINK("http://www.ncbi.nlm.nih.gov/Taxonomy/Browser/wwwtax.cgi?mode=Info&amp;id=9490&amp;lvl=3&amp;lin=f&amp;keep=1&amp;srchmode=1&amp;unlock","9490")</f>
        <v>9490</v>
      </c>
      <c r="F1326" t="s">
        <v>96</v>
      </c>
      <c r="G1326" t="str">
        <f>HYPERLINK("http://www.ncbi.nlm.nih.gov/Taxonomy/Browser/wwwtax.cgi?mode=Info&amp;id=9490&amp;lvl=3&amp;lin=f&amp;keep=1&amp;srchmode=1&amp;unlock","Saguinus oedipus")</f>
        <v>Saguinus oedipus</v>
      </c>
      <c r="H1326" t="s">
        <v>1131</v>
      </c>
      <c r="I1326" t="str">
        <f>HYPERLINK("http://www.ncbi.nlm.nih.gov/protein/KAK2088355.1","Ryanodine receptor 1")</f>
        <v>Ryanodine receptor 1</v>
      </c>
      <c r="J1326">
        <v>1781.92</v>
      </c>
      <c r="K1326" t="s">
        <v>19</v>
      </c>
      <c r="L1326">
        <v>276</v>
      </c>
      <c r="M1326">
        <v>9.75</v>
      </c>
      <c r="N1326">
        <v>17.05</v>
      </c>
      <c r="O1326" t="s">
        <v>19</v>
      </c>
      <c r="P1326" t="s">
        <v>20</v>
      </c>
      <c r="Q1326" t="s">
        <v>19</v>
      </c>
      <c r="R1326" t="str">
        <f>HYPERLINK("https://cfpub.epa.gov/ecotox/explore.cfm?ncbi=9490","Explore in ECOTOX")</f>
        <v>Explore in ECOTOX</v>
      </c>
    </row>
    <row r="1327" spans="1:18" x14ac:dyDescent="0.45">
      <c r="A1327" t="s">
        <v>1264</v>
      </c>
      <c r="B1327">
        <v>8</v>
      </c>
      <c r="C1327" t="str">
        <f>HYPERLINK("http://www.ncbi.nlm.nih.gov/protein/CAD5225935.1","CAD5225935.1")</f>
        <v>CAD5225935.1</v>
      </c>
      <c r="D1327">
        <v>29034</v>
      </c>
      <c r="E1327" t="str">
        <f>HYPERLINK("http://www.ncbi.nlm.nih.gov/Taxonomy/Browser/wwwtax.cgi?mode=Info&amp;id=465554&amp;lvl=3&amp;lin=f&amp;keep=1&amp;srchmode=1&amp;unlock","465554")</f>
        <v>465554</v>
      </c>
      <c r="F1327" t="s">
        <v>1024</v>
      </c>
      <c r="G1327" t="str">
        <f>HYPERLINK("http://www.ncbi.nlm.nih.gov/Taxonomy/Browser/wwwtax.cgi?mode=Info&amp;id=465554&amp;lvl=3&amp;lin=f&amp;keep=1&amp;srchmode=1&amp;unlock","Bursaphelenchus okinawaensis")</f>
        <v>Bursaphelenchus okinawaensis</v>
      </c>
      <c r="H1327" t="s">
        <v>1132</v>
      </c>
      <c r="I1327" t="str">
        <f>HYPERLINK("http://www.ncbi.nlm.nih.gov/protein/CAD5225935.1","unnamed protein product")</f>
        <v>unnamed protein product</v>
      </c>
      <c r="J1327">
        <v>1780.76</v>
      </c>
      <c r="K1327" t="s">
        <v>22</v>
      </c>
      <c r="L1327">
        <v>276</v>
      </c>
      <c r="M1327">
        <v>9.75</v>
      </c>
      <c r="N1327">
        <v>17.03</v>
      </c>
      <c r="O1327" t="s">
        <v>19</v>
      </c>
      <c r="P1327" t="s">
        <v>20</v>
      </c>
      <c r="Q1327" t="s">
        <v>19</v>
      </c>
      <c r="R1327" t="str">
        <f>HYPERLINK("https://cfpub.epa.gov/ecotox/explore.cfm?ncbi=465554","Explore in ECOTOX")</f>
        <v>Explore in ECOTOX</v>
      </c>
    </row>
    <row r="1328" spans="1:18" x14ac:dyDescent="0.45">
      <c r="A1328" t="s">
        <v>1264</v>
      </c>
      <c r="B1328">
        <v>8</v>
      </c>
      <c r="C1328" t="str">
        <f>HYPERLINK("http://www.ncbi.nlm.nih.gov/protein/KAH7730344.1","KAH7730344.1")</f>
        <v>KAH7730344.1</v>
      </c>
      <c r="D1328">
        <v>43195</v>
      </c>
      <c r="E1328" t="str">
        <f>HYPERLINK("http://www.ncbi.nlm.nih.gov/Taxonomy/Browser/wwwtax.cgi?mode=Info&amp;id=70226&amp;lvl=3&amp;lin=f&amp;keep=1&amp;srchmode=1&amp;unlock","70226")</f>
        <v>70226</v>
      </c>
      <c r="F1328" t="s">
        <v>1024</v>
      </c>
      <c r="G1328" t="str">
        <f>HYPERLINK("http://www.ncbi.nlm.nih.gov/Taxonomy/Browser/wwwtax.cgi?mode=Info&amp;id=70226&amp;lvl=3&amp;lin=f&amp;keep=1&amp;srchmode=1&amp;unlock","Aphelenchus avenae")</f>
        <v>Aphelenchus avenae</v>
      </c>
      <c r="H1328" t="s">
        <v>1027</v>
      </c>
      <c r="I1328" t="str">
        <f>HYPERLINK("http://www.ncbi.nlm.nih.gov/protein/KAH7730344.1","skeletal muscle ryanodine receptor isoform alpha")</f>
        <v>skeletal muscle ryanodine receptor isoform alpha</v>
      </c>
      <c r="J1328">
        <v>1777.3</v>
      </c>
      <c r="K1328" t="s">
        <v>22</v>
      </c>
      <c r="L1328">
        <v>276</v>
      </c>
      <c r="M1328">
        <v>9.75</v>
      </c>
      <c r="N1328">
        <v>17</v>
      </c>
      <c r="O1328" t="s">
        <v>19</v>
      </c>
      <c r="P1328" t="s">
        <v>20</v>
      </c>
      <c r="Q1328" t="s">
        <v>19</v>
      </c>
      <c r="R1328" t="str">
        <f>HYPERLINK("https://cfpub.epa.gov/ecotox/explore.cfm?ncbi=70226","Explore in ECOTOX")</f>
        <v>Explore in ECOTOX</v>
      </c>
    </row>
    <row r="1329" spans="1:18" x14ac:dyDescent="0.45">
      <c r="A1329" t="s">
        <v>1264</v>
      </c>
      <c r="B1329">
        <v>8</v>
      </c>
      <c r="C1329" t="str">
        <f>HYPERLINK("http://www.ncbi.nlm.nih.gov/protein/KAI6237110.1","KAI6237110.1")</f>
        <v>KAI6237110.1</v>
      </c>
      <c r="D1329">
        <v>46386</v>
      </c>
      <c r="E1329" t="str">
        <f>HYPERLINK("http://www.ncbi.nlm.nih.gov/Taxonomy/Browser/wwwtax.cgi?mode=Info&amp;id=269767&amp;lvl=3&amp;lin=f&amp;keep=1&amp;srchmode=1&amp;unlock","269767")</f>
        <v>269767</v>
      </c>
      <c r="F1329" t="s">
        <v>1024</v>
      </c>
      <c r="G1329" t="str">
        <f>HYPERLINK("http://www.ncbi.nlm.nih.gov/Taxonomy/Browser/wwwtax.cgi?mode=Info&amp;id=269767&amp;lvl=3&amp;lin=f&amp;keep=1&amp;srchmode=1&amp;unlock","Aphelenchoides besseyi")</f>
        <v>Aphelenchoides besseyi</v>
      </c>
      <c r="H1329" t="s">
        <v>1027</v>
      </c>
      <c r="I1329" t="str">
        <f>HYPERLINK("http://www.ncbi.nlm.nih.gov/protein/KAI6237110.1","hypothetical protein M3Y95_00230500")</f>
        <v>hypothetical protein M3Y95_00230500</v>
      </c>
      <c r="J1329">
        <v>1776.53</v>
      </c>
      <c r="K1329" t="s">
        <v>19</v>
      </c>
      <c r="L1329">
        <v>276</v>
      </c>
      <c r="M1329">
        <v>9.75</v>
      </c>
      <c r="N1329">
        <v>16.989999999999998</v>
      </c>
      <c r="O1329" t="s">
        <v>19</v>
      </c>
      <c r="P1329" t="s">
        <v>20</v>
      </c>
      <c r="Q1329" t="s">
        <v>19</v>
      </c>
      <c r="R1329" t="str">
        <f>HYPERLINK("https://cfpub.epa.gov/ecotox/explore.cfm?ncbi=269767","Explore in ECOTOX")</f>
        <v>Explore in ECOTOX</v>
      </c>
    </row>
    <row r="1330" spans="1:18" x14ac:dyDescent="0.45">
      <c r="A1330" t="s">
        <v>1264</v>
      </c>
      <c r="B1330">
        <v>8</v>
      </c>
      <c r="C1330" t="str">
        <f>HYPERLINK("http://www.ncbi.nlm.nih.gov/protein/XP_030855111.1","XP_030855111.1")</f>
        <v>XP_030855111.1</v>
      </c>
      <c r="D1330">
        <v>40843</v>
      </c>
      <c r="E1330" t="str">
        <f>HYPERLINK("http://www.ncbi.nlm.nih.gov/Taxonomy/Browser/wwwtax.cgi?mode=Info&amp;id=7668&amp;lvl=3&amp;lin=f&amp;keep=1&amp;srchmode=1&amp;unlock","7668")</f>
        <v>7668</v>
      </c>
      <c r="F1330" t="s">
        <v>1020</v>
      </c>
      <c r="G1330" t="str">
        <f>HYPERLINK("http://www.ncbi.nlm.nih.gov/Taxonomy/Browser/wwwtax.cgi?mode=Info&amp;id=7668&amp;lvl=3&amp;lin=f&amp;keep=1&amp;srchmode=1&amp;unlock","Strongylocentrotus purpuratus")</f>
        <v>Strongylocentrotus purpuratus</v>
      </c>
      <c r="H1330" t="s">
        <v>1133</v>
      </c>
      <c r="I1330" t="str">
        <f>HYPERLINK("http://www.ncbi.nlm.nih.gov/protein/XP_030855111.1","ryanodine receptor 2")</f>
        <v>ryanodine receptor 2</v>
      </c>
      <c r="J1330">
        <v>1775.37</v>
      </c>
      <c r="K1330" t="s">
        <v>22</v>
      </c>
      <c r="L1330">
        <v>276</v>
      </c>
      <c r="M1330">
        <v>9.75</v>
      </c>
      <c r="N1330">
        <v>16.98</v>
      </c>
      <c r="O1330" t="s">
        <v>19</v>
      </c>
      <c r="P1330" t="s">
        <v>20</v>
      </c>
      <c r="Q1330" t="s">
        <v>19</v>
      </c>
      <c r="R1330" t="str">
        <f>HYPERLINK("https://cfpub.epa.gov/ecotox/explore.cfm?ncbi=7668","Explore in ECOTOX")</f>
        <v>Explore in ECOTOX</v>
      </c>
    </row>
    <row r="1331" spans="1:18" x14ac:dyDescent="0.45">
      <c r="A1331" t="s">
        <v>1264</v>
      </c>
      <c r="B1331">
        <v>8</v>
      </c>
      <c r="C1331" t="str">
        <f>HYPERLINK("http://www.ncbi.nlm.nih.gov/protein/KAJ3662240.1","KAJ3662240.1")</f>
        <v>KAJ3662240.1</v>
      </c>
      <c r="D1331">
        <v>30307</v>
      </c>
      <c r="E1331" t="str">
        <f>HYPERLINK("http://www.ncbi.nlm.nih.gov/Taxonomy/Browser/wwwtax.cgi?mode=Info&amp;id=2755281&amp;lvl=3&amp;lin=f&amp;keep=1&amp;srchmode=1&amp;unlock","2755281")</f>
        <v>2755281</v>
      </c>
      <c r="F1331" t="s">
        <v>760</v>
      </c>
      <c r="G1331" t="str">
        <f>HYPERLINK("http://www.ncbi.nlm.nih.gov/Taxonomy/Browser/wwwtax.cgi?mode=Info&amp;id=2755281&amp;lvl=3&amp;lin=f&amp;keep=1&amp;srchmode=1&amp;unlock","Zophobas morio")</f>
        <v>Zophobas morio</v>
      </c>
      <c r="H1331" t="s">
        <v>1134</v>
      </c>
      <c r="I1331" t="str">
        <f>HYPERLINK("http://www.ncbi.nlm.nih.gov/protein/KAJ3662240.1","hypothetical protein Zmor_006596")</f>
        <v>hypothetical protein Zmor_006596</v>
      </c>
      <c r="J1331">
        <v>1770.75</v>
      </c>
      <c r="K1331" t="s">
        <v>22</v>
      </c>
      <c r="L1331">
        <v>276</v>
      </c>
      <c r="M1331">
        <v>9.75</v>
      </c>
      <c r="N1331">
        <v>16.940000000000001</v>
      </c>
      <c r="O1331" t="s">
        <v>19</v>
      </c>
      <c r="P1331" t="s">
        <v>20</v>
      </c>
      <c r="Q1331" t="s">
        <v>19</v>
      </c>
      <c r="R1331" t="str">
        <f>HYPERLINK("https://cfpub.epa.gov/ecotox/explore.cfm?ncbi=2755281","Explore in ECOTOX")</f>
        <v>Explore in ECOTOX</v>
      </c>
    </row>
    <row r="1332" spans="1:18" x14ac:dyDescent="0.45">
      <c r="A1332" t="s">
        <v>1264</v>
      </c>
      <c r="B1332">
        <v>8</v>
      </c>
      <c r="C1332" t="str">
        <f>HYPERLINK("http://www.ncbi.nlm.nih.gov/protein/KAI1723322.1","KAI1723322.1")</f>
        <v>KAI1723322.1</v>
      </c>
      <c r="D1332">
        <v>42965</v>
      </c>
      <c r="E1332" t="str">
        <f>HYPERLINK("http://www.ncbi.nlm.nih.gov/Taxonomy/Browser/wwwtax.cgi?mode=Info&amp;id=166010&amp;lvl=3&amp;lin=f&amp;keep=1&amp;srchmode=1&amp;unlock","166010")</f>
        <v>166010</v>
      </c>
      <c r="F1332" t="s">
        <v>1024</v>
      </c>
      <c r="G1332" t="str">
        <f>HYPERLINK("http://www.ncbi.nlm.nih.gov/Taxonomy/Browser/wwwtax.cgi?mode=Info&amp;id=166010&amp;lvl=3&amp;lin=f&amp;keep=1&amp;srchmode=1&amp;unlock","Ditylenchus destructor")</f>
        <v>Ditylenchus destructor</v>
      </c>
      <c r="H1332" t="s">
        <v>1027</v>
      </c>
      <c r="I1332" t="str">
        <f>HYPERLINK("http://www.ncbi.nlm.nih.gov/protein/KAI1723322.1","RIH domain-containing protein")</f>
        <v>RIH domain-containing protein</v>
      </c>
      <c r="J1332">
        <v>1754.57</v>
      </c>
      <c r="K1332" t="s">
        <v>22</v>
      </c>
      <c r="L1332">
        <v>276</v>
      </c>
      <c r="M1332">
        <v>9.75</v>
      </c>
      <c r="N1332">
        <v>16.78</v>
      </c>
      <c r="O1332" t="s">
        <v>19</v>
      </c>
      <c r="P1332" t="s">
        <v>20</v>
      </c>
      <c r="Q1332" t="s">
        <v>19</v>
      </c>
      <c r="R1332" t="str">
        <f>HYPERLINK("https://cfpub.epa.gov/ecotox/explore.cfm?ncbi=166010","Explore in ECOTOX")</f>
        <v>Explore in ECOTOX</v>
      </c>
    </row>
    <row r="1333" spans="1:18" x14ac:dyDescent="0.45">
      <c r="A1333" t="s">
        <v>1264</v>
      </c>
      <c r="B1333">
        <v>8</v>
      </c>
      <c r="C1333" t="str">
        <f>HYPERLINK("http://www.ncbi.nlm.nih.gov/protein/KAI6190070.1","KAI6190070.1")</f>
        <v>KAI6190070.1</v>
      </c>
      <c r="D1333">
        <v>10670</v>
      </c>
      <c r="E1333" t="str">
        <f>HYPERLINK("http://www.ncbi.nlm.nih.gov/Taxonomy/Browser/wwwtax.cgi?mode=Info&amp;id=293665&amp;lvl=3&amp;lin=f&amp;keep=1&amp;srchmode=1&amp;unlock","293665")</f>
        <v>293665</v>
      </c>
      <c r="F1333" t="s">
        <v>1024</v>
      </c>
      <c r="G1333" t="str">
        <f>HYPERLINK("http://www.ncbi.nlm.nih.gov/Taxonomy/Browser/wwwtax.cgi?mode=Info&amp;id=293665&amp;lvl=3&amp;lin=f&amp;keep=1&amp;srchmode=1&amp;unlock","Aphelenchoides bicaudatus")</f>
        <v>Aphelenchoides bicaudatus</v>
      </c>
      <c r="H1333" t="s">
        <v>1027</v>
      </c>
      <c r="I1333" t="str">
        <f>HYPERLINK("http://www.ncbi.nlm.nih.gov/protein/KAI6190070.1","hypothetical protein M3Y97_00077000")</f>
        <v>hypothetical protein M3Y97_00077000</v>
      </c>
      <c r="J1333">
        <v>1744.17</v>
      </c>
      <c r="K1333" t="s">
        <v>22</v>
      </c>
      <c r="L1333">
        <v>276</v>
      </c>
      <c r="M1333">
        <v>9.75</v>
      </c>
      <c r="N1333">
        <v>16.68</v>
      </c>
      <c r="O1333" t="s">
        <v>19</v>
      </c>
      <c r="P1333" t="s">
        <v>20</v>
      </c>
      <c r="Q1333" t="s">
        <v>19</v>
      </c>
      <c r="R1333" t="str">
        <f>HYPERLINK("https://cfpub.epa.gov/ecotox/explore.cfm?ncbi=293665","Explore in ECOTOX")</f>
        <v>Explore in ECOTOX</v>
      </c>
    </row>
    <row r="1334" spans="1:18" x14ac:dyDescent="0.45">
      <c r="A1334" t="s">
        <v>1264</v>
      </c>
      <c r="B1334">
        <v>8</v>
      </c>
      <c r="C1334" t="str">
        <f>HYPERLINK("http://www.ncbi.nlm.nih.gov/protein/XP_026324427.1","XP_026324427.1")</f>
        <v>XP_026324427.1</v>
      </c>
      <c r="D1334">
        <v>20440</v>
      </c>
      <c r="E1334" t="str">
        <f>HYPERLINK("http://www.ncbi.nlm.nih.gov/Taxonomy/Browser/wwwtax.cgi?mode=Info&amp;id=1477025&amp;lvl=3&amp;lin=f&amp;keep=1&amp;srchmode=1&amp;unlock","1477025")</f>
        <v>1477025</v>
      </c>
      <c r="F1334" t="s">
        <v>760</v>
      </c>
      <c r="G1334" t="str">
        <f>HYPERLINK("http://www.ncbi.nlm.nih.gov/Taxonomy/Browser/wwwtax.cgi?mode=Info&amp;id=1477025&amp;lvl=3&amp;lin=f&amp;keep=1&amp;srchmode=1&amp;unlock","Hyposmocoma kahamanoa")</f>
        <v>Hyposmocoma kahamanoa</v>
      </c>
      <c r="H1334" t="s">
        <v>1135</v>
      </c>
      <c r="I1334" t="str">
        <f>HYPERLINK("http://www.ncbi.nlm.nih.gov/protein/XP_026324427.1","ryanodine receptor")</f>
        <v>ryanodine receptor</v>
      </c>
      <c r="J1334">
        <v>1732.61</v>
      </c>
      <c r="K1334" t="s">
        <v>22</v>
      </c>
      <c r="L1334">
        <v>276</v>
      </c>
      <c r="M1334">
        <v>9.75</v>
      </c>
      <c r="N1334">
        <v>16.57</v>
      </c>
      <c r="O1334" t="s">
        <v>19</v>
      </c>
      <c r="P1334" t="s">
        <v>20</v>
      </c>
      <c r="Q1334" t="s">
        <v>19</v>
      </c>
      <c r="R1334" t="str">
        <f>HYPERLINK("https://cfpub.epa.gov/ecotox/explore.cfm?ncbi=1477025","Explore in ECOTOX")</f>
        <v>Explore in ECOTOX</v>
      </c>
    </row>
    <row r="1335" spans="1:18" x14ac:dyDescent="0.45">
      <c r="A1335" t="s">
        <v>1264</v>
      </c>
      <c r="B1335">
        <v>8</v>
      </c>
      <c r="C1335" t="str">
        <f>HYPERLINK("http://www.ncbi.nlm.nih.gov/protein/KAG8317291.1","KAG8317291.1")</f>
        <v>KAG8317291.1</v>
      </c>
      <c r="D1335">
        <v>129479</v>
      </c>
      <c r="E1335" t="str">
        <f>HYPERLINK("http://www.ncbi.nlm.nih.gov/Taxonomy/Browser/wwwtax.cgi?mode=Info&amp;id=197043&amp;lvl=3&amp;lin=f&amp;keep=1&amp;srchmode=1&amp;unlock","197043")</f>
        <v>197043</v>
      </c>
      <c r="F1335" t="s">
        <v>760</v>
      </c>
      <c r="G1335" t="str">
        <f>HYPERLINK("http://www.ncbi.nlm.nih.gov/Taxonomy/Browser/wwwtax.cgi?mode=Info&amp;id=197043&amp;lvl=3&amp;lin=f&amp;keep=1&amp;srchmode=1&amp;unlock","Homalodisca vitripennis")</f>
        <v>Homalodisca vitripennis</v>
      </c>
      <c r="H1335" t="s">
        <v>1136</v>
      </c>
      <c r="I1335" t="str">
        <f>HYPERLINK("http://www.ncbi.nlm.nih.gov/protein/KAG8317291.1","Ryanodine receptor 2")</f>
        <v>Ryanodine receptor 2</v>
      </c>
      <c r="J1335">
        <v>1727.99</v>
      </c>
      <c r="K1335" t="s">
        <v>22</v>
      </c>
      <c r="L1335">
        <v>276</v>
      </c>
      <c r="M1335">
        <v>9.75</v>
      </c>
      <c r="N1335">
        <v>16.53</v>
      </c>
      <c r="O1335" t="s">
        <v>19</v>
      </c>
      <c r="P1335" t="s">
        <v>20</v>
      </c>
      <c r="Q1335" t="s">
        <v>19</v>
      </c>
      <c r="R1335" t="str">
        <f>HYPERLINK("https://cfpub.epa.gov/ecotox/explore.cfm?ncbi=197043","Explore in ECOTOX")</f>
        <v>Explore in ECOTOX</v>
      </c>
    </row>
    <row r="1336" spans="1:18" x14ac:dyDescent="0.45">
      <c r="A1336" t="s">
        <v>1264</v>
      </c>
      <c r="B1336">
        <v>8</v>
      </c>
      <c r="C1336" t="str">
        <f>HYPERLINK("http://www.ncbi.nlm.nih.gov/protein/KAK2532204.1","KAK2532204.1")</f>
        <v>KAK2532204.1</v>
      </c>
      <c r="D1336">
        <v>17823</v>
      </c>
      <c r="E1336" t="str">
        <f>HYPERLINK("http://www.ncbi.nlm.nih.gov/Taxonomy/Browser/wwwtax.cgi?mode=Info&amp;id=135627&amp;lvl=3&amp;lin=f&amp;keep=1&amp;srchmode=1&amp;unlock","135627")</f>
        <v>135627</v>
      </c>
      <c r="F1336" t="s">
        <v>241</v>
      </c>
      <c r="G1336" t="str">
        <f>HYPERLINK("http://www.ncbi.nlm.nih.gov/Taxonomy/Browser/wwwtax.cgi?mode=Info&amp;id=135627&amp;lvl=3&amp;lin=f&amp;keep=1&amp;srchmode=1&amp;unlock","Columba guinea")</f>
        <v>Columba guinea</v>
      </c>
      <c r="H1336" t="s">
        <v>1137</v>
      </c>
      <c r="I1336" t="str">
        <f>HYPERLINK("http://www.ncbi.nlm.nih.gov/protein/KAK2532204.1","Ryr3")</f>
        <v>Ryr3</v>
      </c>
      <c r="J1336">
        <v>1722.6</v>
      </c>
      <c r="K1336" t="s">
        <v>22</v>
      </c>
      <c r="L1336">
        <v>276</v>
      </c>
      <c r="M1336">
        <v>9.75</v>
      </c>
      <c r="N1336">
        <v>16.48</v>
      </c>
      <c r="O1336" t="s">
        <v>19</v>
      </c>
      <c r="P1336" t="s">
        <v>20</v>
      </c>
      <c r="Q1336" t="s">
        <v>19</v>
      </c>
      <c r="R1336" t="str">
        <f>HYPERLINK("https://cfpub.epa.gov/ecotox/explore.cfm?ncbi=135627","Explore in ECOTOX")</f>
        <v>Explore in ECOTOX</v>
      </c>
    </row>
    <row r="1337" spans="1:18" x14ac:dyDescent="0.45">
      <c r="A1337" t="s">
        <v>1264</v>
      </c>
      <c r="B1337">
        <v>8</v>
      </c>
      <c r="C1337" t="str">
        <f>HYPERLINK("http://www.ncbi.nlm.nih.gov/protein/KAI6242082.1","KAI6242082.1")</f>
        <v>KAI6242082.1</v>
      </c>
      <c r="D1337">
        <v>17490</v>
      </c>
      <c r="E1337" t="str">
        <f>HYPERLINK("http://www.ncbi.nlm.nih.gov/Taxonomy/Browser/wwwtax.cgi?mode=Info&amp;id=1052528&amp;lvl=3&amp;lin=f&amp;keep=1&amp;srchmode=1&amp;unlock","1052528")</f>
        <v>1052528</v>
      </c>
      <c r="F1337" t="s">
        <v>1024</v>
      </c>
      <c r="G1337" t="str">
        <f>HYPERLINK("http://www.ncbi.nlm.nih.gov/Taxonomy/Browser/wwwtax.cgi?mode=Info&amp;id=1052528&amp;lvl=3&amp;lin=f&amp;keep=1&amp;srchmode=1&amp;unlock","Aphelenchoides fujianensis")</f>
        <v>Aphelenchoides fujianensis</v>
      </c>
      <c r="H1337" t="s">
        <v>1027</v>
      </c>
      <c r="I1337" t="str">
        <f>HYPERLINK("http://www.ncbi.nlm.nih.gov/protein/KAI6242082.1","Ryanodine receptor 1")</f>
        <v>Ryanodine receptor 1</v>
      </c>
      <c r="J1337">
        <v>1720.67</v>
      </c>
      <c r="K1337" t="s">
        <v>19</v>
      </c>
      <c r="L1337">
        <v>276</v>
      </c>
      <c r="M1337">
        <v>9.75</v>
      </c>
      <c r="N1337">
        <v>16.46</v>
      </c>
      <c r="O1337" t="s">
        <v>19</v>
      </c>
      <c r="P1337" t="s">
        <v>20</v>
      </c>
      <c r="Q1337" t="s">
        <v>19</v>
      </c>
      <c r="R1337" t="str">
        <f>HYPERLINK("https://cfpub.epa.gov/ecotox/explore.cfm?ncbi=1052528","Explore in ECOTOX")</f>
        <v>Explore in ECOTOX</v>
      </c>
    </row>
    <row r="1338" spans="1:18" x14ac:dyDescent="0.45">
      <c r="A1338" t="s">
        <v>1264</v>
      </c>
      <c r="B1338">
        <v>8</v>
      </c>
      <c r="C1338" t="str">
        <f>HYPERLINK("http://www.ncbi.nlm.nih.gov/protein/TNN66594.1","TNN66594.1")</f>
        <v>TNN66594.1</v>
      </c>
      <c r="D1338">
        <v>68319</v>
      </c>
      <c r="E1338" t="str">
        <f>HYPERLINK("http://www.ncbi.nlm.nih.gov/Taxonomy/Browser/wwwtax.cgi?mode=Info&amp;id=230148&amp;lvl=3&amp;lin=f&amp;keep=1&amp;srchmode=1&amp;unlock","230148")</f>
        <v>230148</v>
      </c>
      <c r="F1338" t="s">
        <v>17</v>
      </c>
      <c r="G1338" t="str">
        <f>HYPERLINK("http://www.ncbi.nlm.nih.gov/Taxonomy/Browser/wwwtax.cgi?mode=Info&amp;id=230148&amp;lvl=3&amp;lin=f&amp;keep=1&amp;srchmode=1&amp;unlock","Liparis tanakae")</f>
        <v>Liparis tanakae</v>
      </c>
      <c r="H1338" t="s">
        <v>1138</v>
      </c>
      <c r="I1338" t="str">
        <f>HYPERLINK("http://www.ncbi.nlm.nih.gov/protein/TNN66594.1","Ryanodine receptor 1")</f>
        <v>Ryanodine receptor 1</v>
      </c>
      <c r="J1338">
        <v>1719.13</v>
      </c>
      <c r="K1338" t="s">
        <v>19</v>
      </c>
      <c r="L1338">
        <v>276</v>
      </c>
      <c r="M1338">
        <v>9.75</v>
      </c>
      <c r="N1338">
        <v>16.440000000000001</v>
      </c>
      <c r="O1338" t="s">
        <v>19</v>
      </c>
      <c r="P1338" t="s">
        <v>20</v>
      </c>
      <c r="Q1338" t="s">
        <v>19</v>
      </c>
      <c r="R1338" t="str">
        <f>HYPERLINK("https://cfpub.epa.gov/ecotox/explore.cfm?ncbi=230148","Explore in ECOTOX")</f>
        <v>Explore in ECOTOX</v>
      </c>
    </row>
    <row r="1339" spans="1:18" x14ac:dyDescent="0.45">
      <c r="A1339" t="s">
        <v>1264</v>
      </c>
      <c r="B1339">
        <v>8</v>
      </c>
      <c r="C1339" t="str">
        <f>HYPERLINK("http://www.ncbi.nlm.nih.gov/protein/KAK2153791.1","KAK2153791.1")</f>
        <v>KAK2153791.1</v>
      </c>
      <c r="D1339">
        <v>24702</v>
      </c>
      <c r="E1339" t="str">
        <f>HYPERLINK("http://www.ncbi.nlm.nih.gov/Taxonomy/Browser/wwwtax.cgi?mode=Info&amp;id=53620&amp;lvl=3&amp;lin=f&amp;keep=1&amp;srchmode=1&amp;unlock","53620")</f>
        <v>53620</v>
      </c>
      <c r="F1339" t="s">
        <v>862</v>
      </c>
      <c r="G1339" t="str">
        <f>HYPERLINK("http://www.ncbi.nlm.nih.gov/Taxonomy/Browser/wwwtax.cgi?mode=Info&amp;id=53620&amp;lvl=3&amp;lin=f&amp;keep=1&amp;srchmode=1&amp;unlock","Paralvinella palmiformis")</f>
        <v>Paralvinella palmiformis</v>
      </c>
      <c r="H1339" t="s">
        <v>1139</v>
      </c>
      <c r="I1339" t="str">
        <f>HYPERLINK("http://www.ncbi.nlm.nih.gov/protein/KAK2153791.1","hypothetical protein LSH36_286g03070")</f>
        <v>hypothetical protein LSH36_286g03070</v>
      </c>
      <c r="J1339">
        <v>1716.44</v>
      </c>
      <c r="K1339" t="s">
        <v>22</v>
      </c>
      <c r="L1339">
        <v>276</v>
      </c>
      <c r="M1339">
        <v>9.75</v>
      </c>
      <c r="N1339">
        <v>16.420000000000002</v>
      </c>
      <c r="O1339" t="s">
        <v>19</v>
      </c>
      <c r="P1339" t="s">
        <v>20</v>
      </c>
      <c r="Q1339" t="s">
        <v>19</v>
      </c>
      <c r="R1339" t="str">
        <f>HYPERLINK("https://cfpub.epa.gov/ecotox/explore.cfm?ncbi=53620","Explore in ECOTOX")</f>
        <v>Explore in ECOTOX</v>
      </c>
    </row>
    <row r="1340" spans="1:18" x14ac:dyDescent="0.45">
      <c r="A1340" t="s">
        <v>1264</v>
      </c>
      <c r="B1340">
        <v>8</v>
      </c>
      <c r="C1340" t="str">
        <f>HYPERLINK("http://www.ncbi.nlm.nih.gov/protein/VDP02284.1","VDP02284.1")</f>
        <v>VDP02284.1</v>
      </c>
      <c r="D1340">
        <v>13207</v>
      </c>
      <c r="E1340" t="str">
        <f>HYPERLINK("http://www.ncbi.nlm.nih.gov/Taxonomy/Browser/wwwtax.cgi?mode=Info&amp;id=241478&amp;lvl=3&amp;lin=f&amp;keep=1&amp;srchmode=1&amp;unlock","241478")</f>
        <v>241478</v>
      </c>
      <c r="F1340" t="s">
        <v>1060</v>
      </c>
      <c r="G1340" t="str">
        <f>HYPERLINK("http://www.ncbi.nlm.nih.gov/Taxonomy/Browser/wwwtax.cgi?mode=Info&amp;id=241478&amp;lvl=3&amp;lin=f&amp;keep=1&amp;srchmode=1&amp;unlock","Soboliphyme baturini")</f>
        <v>Soboliphyme baturini</v>
      </c>
      <c r="H1340" t="s">
        <v>1027</v>
      </c>
      <c r="I1340" t="str">
        <f>HYPERLINK("http://www.ncbi.nlm.nih.gov/protein/VDP02284.1","unnamed protein product")</f>
        <v>unnamed protein product</v>
      </c>
      <c r="J1340">
        <v>1709.12</v>
      </c>
      <c r="K1340" t="s">
        <v>22</v>
      </c>
      <c r="L1340">
        <v>276</v>
      </c>
      <c r="M1340">
        <v>9.75</v>
      </c>
      <c r="N1340">
        <v>16.350000000000001</v>
      </c>
      <c r="O1340" t="s">
        <v>19</v>
      </c>
      <c r="P1340" t="s">
        <v>20</v>
      </c>
      <c r="Q1340" t="s">
        <v>19</v>
      </c>
      <c r="R1340" t="str">
        <f>HYPERLINK("https://cfpub.epa.gov/ecotox/explore.cfm?ncbi=241478","Explore in ECOTOX")</f>
        <v>Explore in ECOTOX</v>
      </c>
    </row>
    <row r="1341" spans="1:18" x14ac:dyDescent="0.45">
      <c r="A1341" t="s">
        <v>1264</v>
      </c>
      <c r="B1341">
        <v>8</v>
      </c>
      <c r="C1341" t="str">
        <f>HYPERLINK("http://www.ncbi.nlm.nih.gov/protein/XP_018645937.1","XP_018645937.1")</f>
        <v>XP_018645937.1</v>
      </c>
      <c r="D1341">
        <v>14775</v>
      </c>
      <c r="E1341" t="str">
        <f>HYPERLINK("http://www.ncbi.nlm.nih.gov/Taxonomy/Browser/wwwtax.cgi?mode=Info&amp;id=6183&amp;lvl=3&amp;lin=f&amp;keep=1&amp;srchmode=1&amp;unlock","6183")</f>
        <v>6183</v>
      </c>
      <c r="F1341" t="s">
        <v>1140</v>
      </c>
      <c r="G1341" t="str">
        <f>HYPERLINK("http://www.ncbi.nlm.nih.gov/Taxonomy/Browser/wwwtax.cgi?mode=Info&amp;id=6183&amp;lvl=3&amp;lin=f&amp;keep=1&amp;srchmode=1&amp;unlock","Schistosoma mansoni")</f>
        <v>Schistosoma mansoni</v>
      </c>
      <c r="H1341" t="s">
        <v>1141</v>
      </c>
      <c r="I1341" t="str">
        <f>HYPERLINK("http://www.ncbi.nlm.nih.gov/protein/XP_018645937.1","ryanodine receptor related")</f>
        <v>ryanodine receptor related</v>
      </c>
      <c r="J1341">
        <v>1699.87</v>
      </c>
      <c r="K1341" t="s">
        <v>22</v>
      </c>
      <c r="L1341">
        <v>276</v>
      </c>
      <c r="M1341">
        <v>9.75</v>
      </c>
      <c r="N1341">
        <v>16.260000000000002</v>
      </c>
      <c r="O1341" t="s">
        <v>19</v>
      </c>
      <c r="P1341" t="s">
        <v>20</v>
      </c>
      <c r="Q1341" t="s">
        <v>19</v>
      </c>
      <c r="R1341" t="str">
        <f>HYPERLINK("https://cfpub.epa.gov/ecotox/explore.cfm?ncbi=6183","Explore in ECOTOX")</f>
        <v>Explore in ECOTOX</v>
      </c>
    </row>
    <row r="1342" spans="1:18" x14ac:dyDescent="0.45">
      <c r="A1342" t="s">
        <v>1264</v>
      </c>
      <c r="B1342">
        <v>8</v>
      </c>
      <c r="C1342" t="str">
        <f>HYPERLINK("http://www.ncbi.nlm.nih.gov/protein/KAG4070342.1","KAG4070342.1")</f>
        <v>KAG4070342.1</v>
      </c>
      <c r="D1342">
        <v>16503</v>
      </c>
      <c r="E1342" t="str">
        <f>HYPERLINK("http://www.ncbi.nlm.nih.gov/Taxonomy/Browser/wwwtax.cgi?mode=Info&amp;id=1564500&amp;lvl=3&amp;lin=f&amp;keep=1&amp;srchmode=1&amp;unlock","1564500")</f>
        <v>1564500</v>
      </c>
      <c r="F1342" t="s">
        <v>760</v>
      </c>
      <c r="G1342" t="str">
        <f>HYPERLINK("http://www.ncbi.nlm.nih.gov/Taxonomy/Browser/wwwtax.cgi?mode=Info&amp;id=1564500&amp;lvl=3&amp;lin=f&amp;keep=1&amp;srchmode=1&amp;unlock","Bradysia odoriphaga")</f>
        <v>Bradysia odoriphaga</v>
      </c>
      <c r="H1342" t="s">
        <v>1096</v>
      </c>
      <c r="I1342" t="str">
        <f>HYPERLINK("http://www.ncbi.nlm.nih.gov/protein/KAG4070342.1","hypothetical protein HA402_006484, partial")</f>
        <v>hypothetical protein HA402_006484, partial</v>
      </c>
      <c r="J1342">
        <v>1699.49</v>
      </c>
      <c r="K1342" t="s">
        <v>22</v>
      </c>
      <c r="L1342">
        <v>276</v>
      </c>
      <c r="M1342">
        <v>9.75</v>
      </c>
      <c r="N1342">
        <v>16.260000000000002</v>
      </c>
      <c r="O1342" t="s">
        <v>19</v>
      </c>
      <c r="P1342" t="s">
        <v>20</v>
      </c>
      <c r="Q1342" t="s">
        <v>19</v>
      </c>
      <c r="R1342" t="str">
        <f>HYPERLINK("https://cfpub.epa.gov/ecotox/explore.cfm?ncbi=1564500","Explore in ECOTOX")</f>
        <v>Explore in ECOTOX</v>
      </c>
    </row>
    <row r="1343" spans="1:18" x14ac:dyDescent="0.45">
      <c r="A1343" t="s">
        <v>1264</v>
      </c>
      <c r="B1343">
        <v>8</v>
      </c>
      <c r="C1343" t="str">
        <f>HYPERLINK("http://www.ncbi.nlm.nih.gov/protein/VDM52160.1","VDM52160.1")</f>
        <v>VDM52160.1</v>
      </c>
      <c r="D1343">
        <v>13409</v>
      </c>
      <c r="E1343" t="str">
        <f>HYPERLINK("http://www.ncbi.nlm.nih.gov/Taxonomy/Browser/wwwtax.cgi?mode=Info&amp;id=334426&amp;lvl=3&amp;lin=f&amp;keep=1&amp;srchmode=1&amp;unlock","334426")</f>
        <v>334426</v>
      </c>
      <c r="F1343" t="s">
        <v>1024</v>
      </c>
      <c r="G1343" t="str">
        <f>HYPERLINK("http://www.ncbi.nlm.nih.gov/Taxonomy/Browser/wwwtax.cgi?mode=Info&amp;id=334426&amp;lvl=3&amp;lin=f&amp;keep=1&amp;srchmode=1&amp;unlock","Angiostrongylus costaricensis")</f>
        <v>Angiostrongylus costaricensis</v>
      </c>
      <c r="H1343" t="s">
        <v>1142</v>
      </c>
      <c r="I1343" t="str">
        <f>HYPERLINK("http://www.ncbi.nlm.nih.gov/protein/VDM52160.1","unnamed protein product")</f>
        <v>unnamed protein product</v>
      </c>
      <c r="J1343">
        <v>1698.33</v>
      </c>
      <c r="K1343" t="s">
        <v>22</v>
      </c>
      <c r="L1343">
        <v>276</v>
      </c>
      <c r="M1343">
        <v>9.75</v>
      </c>
      <c r="N1343">
        <v>16.25</v>
      </c>
      <c r="O1343" t="s">
        <v>19</v>
      </c>
      <c r="P1343" t="s">
        <v>20</v>
      </c>
      <c r="Q1343" t="s">
        <v>19</v>
      </c>
      <c r="R1343" t="str">
        <f>HYPERLINK("https://cfpub.epa.gov/ecotox/explore.cfm?ncbi=334426","Explore in ECOTOX")</f>
        <v>Explore in ECOTOX</v>
      </c>
    </row>
    <row r="1344" spans="1:18" x14ac:dyDescent="0.45">
      <c r="A1344" t="s">
        <v>1264</v>
      </c>
      <c r="B1344">
        <v>8</v>
      </c>
      <c r="C1344" t="str">
        <f>HYPERLINK("http://www.ncbi.nlm.nih.gov/protein/KAF6037198.1","KAF6037198.1")</f>
        <v>KAF6037198.1</v>
      </c>
      <c r="D1344">
        <v>25611</v>
      </c>
      <c r="E1344" t="str">
        <f>HYPERLINK("http://www.ncbi.nlm.nih.gov/Taxonomy/Browser/wwwtax.cgi?mode=Info&amp;id=10212&amp;lvl=3&amp;lin=f&amp;keep=1&amp;srchmode=1&amp;unlock","10212")</f>
        <v>10212</v>
      </c>
      <c r="F1344" t="s">
        <v>1143</v>
      </c>
      <c r="G1344" t="str">
        <f>HYPERLINK("http://www.ncbi.nlm.nih.gov/Taxonomy/Browser/wwwtax.cgi?mode=Info&amp;id=10212&amp;lvl=3&amp;lin=f&amp;keep=1&amp;srchmode=1&amp;unlock","Bugula neritina")</f>
        <v>Bugula neritina</v>
      </c>
      <c r="H1344" t="s">
        <v>1144</v>
      </c>
      <c r="I1344" t="str">
        <f>HYPERLINK("http://www.ncbi.nlm.nih.gov/protein/KAF6037198.1","RyR")</f>
        <v>RyR</v>
      </c>
      <c r="J1344">
        <v>1694.09</v>
      </c>
      <c r="K1344" t="s">
        <v>22</v>
      </c>
      <c r="L1344">
        <v>276</v>
      </c>
      <c r="M1344">
        <v>9.75</v>
      </c>
      <c r="N1344">
        <v>16.21</v>
      </c>
      <c r="O1344" t="s">
        <v>19</v>
      </c>
      <c r="P1344" t="s">
        <v>20</v>
      </c>
      <c r="Q1344" t="s">
        <v>19</v>
      </c>
      <c r="R1344" t="str">
        <f>HYPERLINK("https://cfpub.epa.gov/ecotox/explore.cfm?ncbi=10212","Explore in ECOTOX")</f>
        <v>Explore in ECOTOX</v>
      </c>
    </row>
    <row r="1345" spans="1:18" x14ac:dyDescent="0.45">
      <c r="A1345" t="s">
        <v>1264</v>
      </c>
      <c r="B1345">
        <v>8</v>
      </c>
      <c r="C1345" t="str">
        <f>HYPERLINK("http://www.ncbi.nlm.nih.gov/protein/KAK2706504.1","KAK2706504.1")</f>
        <v>KAK2706504.1</v>
      </c>
      <c r="D1345">
        <v>28048</v>
      </c>
      <c r="E1345" t="str">
        <f>HYPERLINK("http://www.ncbi.nlm.nih.gov/Taxonomy/Browser/wwwtax.cgi?mode=Info&amp;id=6661&amp;lvl=3&amp;lin=f&amp;keep=1&amp;srchmode=1&amp;unlock","6661")</f>
        <v>6661</v>
      </c>
      <c r="F1345" t="s">
        <v>1073</v>
      </c>
      <c r="G1345" t="str">
        <f>HYPERLINK("http://www.ncbi.nlm.nih.gov/Taxonomy/Browser/wwwtax.cgi?mode=Info&amp;id=6661&amp;lvl=3&amp;lin=f&amp;keep=1&amp;srchmode=1&amp;unlock","Artemia franciscana")</f>
        <v>Artemia franciscana</v>
      </c>
      <c r="H1345" t="s">
        <v>1145</v>
      </c>
      <c r="I1345" t="str">
        <f>HYPERLINK("http://www.ncbi.nlm.nih.gov/protein/KAK2706504.1","hypothetical protein QYM36_016514, partial")</f>
        <v>hypothetical protein QYM36_016514, partial</v>
      </c>
      <c r="J1345">
        <v>1653.65</v>
      </c>
      <c r="K1345" t="s">
        <v>22</v>
      </c>
      <c r="L1345">
        <v>276</v>
      </c>
      <c r="M1345">
        <v>9.75</v>
      </c>
      <c r="N1345">
        <v>15.82</v>
      </c>
      <c r="O1345" t="s">
        <v>19</v>
      </c>
      <c r="P1345" t="s">
        <v>20</v>
      </c>
      <c r="Q1345" t="s">
        <v>19</v>
      </c>
      <c r="R1345" t="str">
        <f>HYPERLINK("https://cfpub.epa.gov/ecotox/explore.cfm?ncbi=6661","Explore in ECOTOX")</f>
        <v>Explore in ECOTOX</v>
      </c>
    </row>
    <row r="1346" spans="1:18" x14ac:dyDescent="0.45">
      <c r="A1346" t="s">
        <v>1264</v>
      </c>
      <c r="B1346">
        <v>8</v>
      </c>
      <c r="C1346" t="str">
        <f>HYPERLINK("http://www.ncbi.nlm.nih.gov/protein/KAI8433758.1","KAI8433758.1")</f>
        <v>KAI8433758.1</v>
      </c>
      <c r="D1346">
        <v>23130</v>
      </c>
      <c r="E1346" t="str">
        <f>HYPERLINK("http://www.ncbi.nlm.nih.gov/Taxonomy/Browser/wwwtax.cgi?mode=Info&amp;id=7141&amp;lvl=3&amp;lin=f&amp;keep=1&amp;srchmode=1&amp;unlock","7141")</f>
        <v>7141</v>
      </c>
      <c r="F1346" t="s">
        <v>760</v>
      </c>
      <c r="G1346" t="str">
        <f>HYPERLINK("http://www.ncbi.nlm.nih.gov/Taxonomy/Browser/wwwtax.cgi?mode=Info&amp;id=7141&amp;lvl=3&amp;lin=f&amp;keep=1&amp;srchmode=1&amp;unlock","Choristoneura fumiferana")</f>
        <v>Choristoneura fumiferana</v>
      </c>
      <c r="H1346" t="s">
        <v>1146</v>
      </c>
      <c r="I1346" t="str">
        <f>HYPERLINK("http://www.ncbi.nlm.nih.gov/protein/KAI8433758.1","hypothetical protein MSG28_015736")</f>
        <v>hypothetical protein MSG28_015736</v>
      </c>
      <c r="J1346">
        <v>1651.34</v>
      </c>
      <c r="K1346" t="s">
        <v>22</v>
      </c>
      <c r="L1346">
        <v>276</v>
      </c>
      <c r="M1346">
        <v>9.75</v>
      </c>
      <c r="N1346">
        <v>15.8</v>
      </c>
      <c r="O1346" t="s">
        <v>19</v>
      </c>
      <c r="P1346" t="s">
        <v>20</v>
      </c>
      <c r="Q1346" t="s">
        <v>19</v>
      </c>
      <c r="R1346" t="str">
        <f>HYPERLINK("https://cfpub.epa.gov/ecotox/explore.cfm?ncbi=7141","Explore in ECOTOX")</f>
        <v>Explore in ECOTOX</v>
      </c>
    </row>
    <row r="1347" spans="1:18" x14ac:dyDescent="0.45">
      <c r="A1347" t="s">
        <v>1264</v>
      </c>
      <c r="B1347">
        <v>8</v>
      </c>
      <c r="C1347" t="str">
        <f>HYPERLINK("http://www.ncbi.nlm.nih.gov/protein/ODN01392.1","ODN01392.1")</f>
        <v>ODN01392.1</v>
      </c>
      <c r="D1347">
        <v>20402</v>
      </c>
      <c r="E1347" t="str">
        <f>HYPERLINK("http://www.ncbi.nlm.nih.gov/Taxonomy/Browser/wwwtax.cgi?mode=Info&amp;id=48709&amp;lvl=3&amp;lin=f&amp;keep=1&amp;srchmode=1&amp;unlock","48709")</f>
        <v>48709</v>
      </c>
      <c r="F1347" t="s">
        <v>999</v>
      </c>
      <c r="G1347" t="str">
        <f>HYPERLINK("http://www.ncbi.nlm.nih.gov/Taxonomy/Browser/wwwtax.cgi?mode=Info&amp;id=48709&amp;lvl=3&amp;lin=f&amp;keep=1&amp;srchmode=1&amp;unlock","Orchesella cincta")</f>
        <v>Orchesella cincta</v>
      </c>
      <c r="H1347" t="s">
        <v>1147</v>
      </c>
      <c r="I1347" t="str">
        <f>HYPERLINK("http://www.ncbi.nlm.nih.gov/protein/ODN01392.1","Ryanodine receptor 44F")</f>
        <v>Ryanodine receptor 44F</v>
      </c>
      <c r="J1347">
        <v>1647.1</v>
      </c>
      <c r="K1347" t="s">
        <v>22</v>
      </c>
      <c r="L1347">
        <v>276</v>
      </c>
      <c r="M1347">
        <v>9.75</v>
      </c>
      <c r="N1347">
        <v>15.76</v>
      </c>
      <c r="O1347" t="s">
        <v>19</v>
      </c>
      <c r="P1347" t="s">
        <v>20</v>
      </c>
      <c r="Q1347" t="s">
        <v>19</v>
      </c>
      <c r="R1347" t="str">
        <f>HYPERLINK("https://cfpub.epa.gov/ecotox/explore.cfm?ncbi=48709","Explore in ECOTOX")</f>
        <v>Explore in ECOTOX</v>
      </c>
    </row>
    <row r="1348" spans="1:18" x14ac:dyDescent="0.45">
      <c r="A1348" t="s">
        <v>1264</v>
      </c>
      <c r="B1348">
        <v>8</v>
      </c>
      <c r="C1348" t="str">
        <f>HYPERLINK("http://www.ncbi.nlm.nih.gov/protein/CAF4905992.1","CAF4905992.1")</f>
        <v>CAF4905992.1</v>
      </c>
      <c r="D1348">
        <v>18656</v>
      </c>
      <c r="E1348" t="str">
        <f>HYPERLINK("http://www.ncbi.nlm.nih.gov/Taxonomy/Browser/wwwtax.cgi?mode=Info&amp;id=345717&amp;lvl=3&amp;lin=f&amp;keep=1&amp;srchmode=1&amp;unlock","345717")</f>
        <v>345717</v>
      </c>
      <c r="F1348" t="s">
        <v>760</v>
      </c>
      <c r="G1348" t="str">
        <f>HYPERLINK("http://www.ncbi.nlm.nih.gov/Taxonomy/Browser/wwwtax.cgi?mode=Info&amp;id=345717&amp;lvl=3&amp;lin=f&amp;keep=1&amp;srchmode=1&amp;unlock","Pieris macdunnoughi")</f>
        <v>Pieris macdunnoughi</v>
      </c>
      <c r="H1348" t="s">
        <v>891</v>
      </c>
      <c r="I1348" t="str">
        <f>HYPERLINK("http://www.ncbi.nlm.nih.gov/protein/CAF4905992.1","unnamed protein product")</f>
        <v>unnamed protein product</v>
      </c>
      <c r="J1348">
        <v>1631.31</v>
      </c>
      <c r="K1348" t="s">
        <v>22</v>
      </c>
      <c r="L1348">
        <v>276</v>
      </c>
      <c r="M1348">
        <v>9.75</v>
      </c>
      <c r="N1348">
        <v>15.6</v>
      </c>
      <c r="O1348" t="s">
        <v>19</v>
      </c>
      <c r="P1348" t="s">
        <v>20</v>
      </c>
      <c r="Q1348" t="s">
        <v>19</v>
      </c>
      <c r="R1348" t="str">
        <f>HYPERLINK("https://cfpub.epa.gov/ecotox/explore.cfm?ncbi=345717","Explore in ECOTOX")</f>
        <v>Explore in ECOTOX</v>
      </c>
    </row>
    <row r="1349" spans="1:18" x14ac:dyDescent="0.45">
      <c r="A1349" t="s">
        <v>1264</v>
      </c>
      <c r="B1349">
        <v>8</v>
      </c>
      <c r="C1349" t="str">
        <f>HYPERLINK("http://www.ncbi.nlm.nih.gov/protein/OTF76149.1","OTF76149.1")</f>
        <v>OTF76149.1</v>
      </c>
      <c r="D1349">
        <v>15267</v>
      </c>
      <c r="E1349" t="str">
        <f>HYPERLINK("http://www.ncbi.nlm.nih.gov/Taxonomy/Browser/wwwtax.cgi?mode=Info&amp;id=6958&amp;lvl=3&amp;lin=f&amp;keep=1&amp;srchmode=1&amp;unlock","6958")</f>
        <v>6958</v>
      </c>
      <c r="F1349" t="s">
        <v>904</v>
      </c>
      <c r="G1349" t="str">
        <f>HYPERLINK("http://www.ncbi.nlm.nih.gov/Taxonomy/Browser/wwwtax.cgi?mode=Info&amp;id=6958&amp;lvl=3&amp;lin=f&amp;keep=1&amp;srchmode=1&amp;unlock","Euroglyphus maynei")</f>
        <v>Euroglyphus maynei</v>
      </c>
      <c r="H1349" t="s">
        <v>1148</v>
      </c>
      <c r="I1349" t="str">
        <f>HYPERLINK("http://www.ncbi.nlm.nih.gov/protein/OTF76149.1","hypothetical protein BLA29_000325")</f>
        <v>hypothetical protein BLA29_000325</v>
      </c>
      <c r="J1349">
        <v>1619.75</v>
      </c>
      <c r="K1349" t="s">
        <v>22</v>
      </c>
      <c r="L1349">
        <v>276</v>
      </c>
      <c r="M1349">
        <v>9.75</v>
      </c>
      <c r="N1349">
        <v>15.49</v>
      </c>
      <c r="O1349" t="s">
        <v>19</v>
      </c>
      <c r="P1349" t="s">
        <v>20</v>
      </c>
      <c r="Q1349" t="s">
        <v>19</v>
      </c>
      <c r="R1349" t="str">
        <f>HYPERLINK("https://cfpub.epa.gov/ecotox/explore.cfm?ncbi=6958","Explore in ECOTOX")</f>
        <v>Explore in ECOTOX</v>
      </c>
    </row>
    <row r="1350" spans="1:18" x14ac:dyDescent="0.45">
      <c r="A1350" t="s">
        <v>1264</v>
      </c>
      <c r="B1350">
        <v>8</v>
      </c>
      <c r="C1350" t="str">
        <f>HYPERLINK("http://www.ncbi.nlm.nih.gov/protein/KRT85744.1","KRT85744.1")</f>
        <v>KRT85744.1</v>
      </c>
      <c r="D1350">
        <v>8838</v>
      </c>
      <c r="E1350" t="str">
        <f>HYPERLINK("http://www.ncbi.nlm.nih.gov/Taxonomy/Browser/wwwtax.cgi?mode=Info&amp;id=1629725&amp;lvl=3&amp;lin=f&amp;keep=1&amp;srchmode=1&amp;unlock","1629725")</f>
        <v>1629725</v>
      </c>
      <c r="F1350" t="s">
        <v>760</v>
      </c>
      <c r="G1350" t="str">
        <f>HYPERLINK("http://www.ncbi.nlm.nih.gov/Taxonomy/Browser/wwwtax.cgi?mode=Info&amp;id=1629725&amp;lvl=3&amp;lin=f&amp;keep=1&amp;srchmode=1&amp;unlock","Oryctes borbonicus")</f>
        <v>Oryctes borbonicus</v>
      </c>
      <c r="H1350" t="s">
        <v>1149</v>
      </c>
      <c r="I1350" t="str">
        <f>HYPERLINK("http://www.ncbi.nlm.nih.gov/protein/KRT85744.1","hypothetical protein AMK59_1464")</f>
        <v>hypothetical protein AMK59_1464</v>
      </c>
      <c r="J1350">
        <v>1611.66</v>
      </c>
      <c r="K1350" t="s">
        <v>22</v>
      </c>
      <c r="L1350">
        <v>276</v>
      </c>
      <c r="M1350">
        <v>9.75</v>
      </c>
      <c r="N1350">
        <v>15.42</v>
      </c>
      <c r="O1350" t="s">
        <v>19</v>
      </c>
      <c r="P1350" t="s">
        <v>20</v>
      </c>
      <c r="Q1350" t="s">
        <v>19</v>
      </c>
      <c r="R1350" t="str">
        <f>HYPERLINK("https://cfpub.epa.gov/ecotox/explore.cfm?ncbi=1629725","Explore in ECOTOX")</f>
        <v>Explore in ECOTOX</v>
      </c>
    </row>
    <row r="1351" spans="1:18" x14ac:dyDescent="0.45">
      <c r="A1351" t="s">
        <v>1264</v>
      </c>
      <c r="B1351">
        <v>8</v>
      </c>
      <c r="C1351" t="str">
        <f>HYPERLINK("http://www.ncbi.nlm.nih.gov/protein/KAF2882575.1","KAF2882575.1")</f>
        <v>KAF2882575.1</v>
      </c>
      <c r="D1351">
        <v>27570</v>
      </c>
      <c r="E1351" t="str">
        <f>HYPERLINK("http://www.ncbi.nlm.nih.gov/Taxonomy/Browser/wwwtax.cgi?mode=Info&amp;id=2038154&amp;lvl=3&amp;lin=f&amp;keep=1&amp;srchmode=1&amp;unlock","2038154")</f>
        <v>2038154</v>
      </c>
      <c r="F1351" t="s">
        <v>760</v>
      </c>
      <c r="G1351" t="str">
        <f>HYPERLINK("http://www.ncbi.nlm.nih.gov/Taxonomy/Browser/wwwtax.cgi?mode=Info&amp;id=2038154&amp;lvl=3&amp;lin=f&amp;keep=1&amp;srchmode=1&amp;unlock","Ignelater luminosus")</f>
        <v>Ignelater luminosus</v>
      </c>
      <c r="H1351" t="s">
        <v>1150</v>
      </c>
      <c r="I1351" t="str">
        <f>HYPERLINK("http://www.ncbi.nlm.nih.gov/protein/KAF2882575.1","hypothetical protein ILUMI_23592")</f>
        <v>hypothetical protein ILUMI_23592</v>
      </c>
      <c r="J1351">
        <v>1609.73</v>
      </c>
      <c r="K1351" t="s">
        <v>22</v>
      </c>
      <c r="L1351">
        <v>276</v>
      </c>
      <c r="M1351">
        <v>9.75</v>
      </c>
      <c r="N1351">
        <v>15.4</v>
      </c>
      <c r="O1351" t="s">
        <v>19</v>
      </c>
      <c r="P1351" t="s">
        <v>20</v>
      </c>
      <c r="Q1351" t="s">
        <v>19</v>
      </c>
      <c r="R1351" t="str">
        <f>HYPERLINK("https://cfpub.epa.gov/ecotox/explore.cfm?ncbi=2038154","Explore in ECOTOX")</f>
        <v>Explore in ECOTOX</v>
      </c>
    </row>
    <row r="1352" spans="1:18" x14ac:dyDescent="0.45">
      <c r="A1352" t="s">
        <v>1264</v>
      </c>
      <c r="B1352">
        <v>8</v>
      </c>
      <c r="C1352" t="str">
        <f>HYPERLINK("http://www.ncbi.nlm.nih.gov/protein/XP_002109077.1","XP_002109077.1")</f>
        <v>XP_002109077.1</v>
      </c>
      <c r="D1352">
        <v>23212</v>
      </c>
      <c r="E1352" t="str">
        <f>HYPERLINK("http://www.ncbi.nlm.nih.gov/Taxonomy/Browser/wwwtax.cgi?mode=Info&amp;id=10228&amp;lvl=3&amp;lin=f&amp;keep=1&amp;srchmode=1&amp;unlock","10228")</f>
        <v>10228</v>
      </c>
      <c r="F1352" t="s">
        <v>1151</v>
      </c>
      <c r="G1352" t="str">
        <f>HYPERLINK("http://www.ncbi.nlm.nih.gov/Taxonomy/Browser/wwwtax.cgi?mode=Info&amp;id=10228&amp;lvl=3&amp;lin=f&amp;keep=1&amp;srchmode=1&amp;unlock","Trichoplax adhaerens")</f>
        <v>Trichoplax adhaerens</v>
      </c>
      <c r="H1352" t="s">
        <v>1152</v>
      </c>
      <c r="I1352" t="str">
        <f>HYPERLINK("http://www.ncbi.nlm.nih.gov/protein/XP_002109077.1","hypothetical protein TRIADDRAFT_52741")</f>
        <v>hypothetical protein TRIADDRAFT_52741</v>
      </c>
      <c r="J1352">
        <v>1608.19</v>
      </c>
      <c r="K1352" t="s">
        <v>22</v>
      </c>
      <c r="L1352">
        <v>276</v>
      </c>
      <c r="M1352">
        <v>9.75</v>
      </c>
      <c r="N1352">
        <v>15.38</v>
      </c>
      <c r="O1352" t="s">
        <v>19</v>
      </c>
      <c r="P1352" t="s">
        <v>20</v>
      </c>
      <c r="Q1352" t="s">
        <v>19</v>
      </c>
      <c r="R1352" t="str">
        <f>HYPERLINK("https://cfpub.epa.gov/ecotox/explore.cfm?ncbi=10228","Explore in ECOTOX")</f>
        <v>Explore in ECOTOX</v>
      </c>
    </row>
    <row r="1353" spans="1:18" x14ac:dyDescent="0.45">
      <c r="A1353" t="s">
        <v>1264</v>
      </c>
      <c r="B1353">
        <v>8</v>
      </c>
      <c r="C1353" t="str">
        <f>HYPERLINK("http://www.ncbi.nlm.nih.gov/protein/CAB3245101.1","CAB3245101.1")</f>
        <v>CAB3245101.1</v>
      </c>
      <c r="D1353">
        <v>38591</v>
      </c>
      <c r="E1353" t="str">
        <f>HYPERLINK("http://www.ncbi.nlm.nih.gov/Taxonomy/Browser/wwwtax.cgi?mode=Info&amp;id=874455&amp;lvl=3&amp;lin=f&amp;keep=1&amp;srchmode=1&amp;unlock","874455")</f>
        <v>874455</v>
      </c>
      <c r="F1353" t="s">
        <v>760</v>
      </c>
      <c r="G1353" t="str">
        <f>HYPERLINK("http://www.ncbi.nlm.nih.gov/Taxonomy/Browser/wwwtax.cgi?mode=Info&amp;id=874455&amp;lvl=3&amp;lin=f&amp;keep=1&amp;srchmode=1&amp;unlock","Arctia plantaginis")</f>
        <v>Arctia plantaginis</v>
      </c>
      <c r="H1353" t="s">
        <v>1153</v>
      </c>
      <c r="I1353" t="str">
        <f>HYPERLINK("http://www.ncbi.nlm.nih.gov/protein/CAB3245101.1","unnamed protein product")</f>
        <v>unnamed protein product</v>
      </c>
      <c r="J1353">
        <v>1606.65</v>
      </c>
      <c r="K1353" t="s">
        <v>22</v>
      </c>
      <c r="L1353">
        <v>276</v>
      </c>
      <c r="M1353">
        <v>9.75</v>
      </c>
      <c r="N1353">
        <v>15.37</v>
      </c>
      <c r="O1353" t="s">
        <v>19</v>
      </c>
      <c r="P1353" t="s">
        <v>20</v>
      </c>
      <c r="Q1353" t="s">
        <v>19</v>
      </c>
      <c r="R1353" t="str">
        <f>HYPERLINK("https://cfpub.epa.gov/ecotox/explore.cfm?ncbi=874455","Explore in ECOTOX")</f>
        <v>Explore in ECOTOX</v>
      </c>
    </row>
    <row r="1354" spans="1:18" x14ac:dyDescent="0.45">
      <c r="A1354" t="s">
        <v>1264</v>
      </c>
      <c r="B1354">
        <v>8</v>
      </c>
      <c r="C1354" t="str">
        <f>HYPERLINK("http://www.ncbi.nlm.nih.gov/protein/RDD40882.1","RDD40882.1")</f>
        <v>RDD40882.1</v>
      </c>
      <c r="D1354">
        <v>12207</v>
      </c>
      <c r="E1354" t="str">
        <f>HYPERLINK("http://www.ncbi.nlm.nih.gov/Taxonomy/Browser/wwwtax.cgi?mode=Info&amp;id=287889&amp;lvl=3&amp;lin=f&amp;keep=1&amp;srchmode=1&amp;unlock","287889")</f>
        <v>287889</v>
      </c>
      <c r="F1354" t="s">
        <v>1151</v>
      </c>
      <c r="G1354" t="str">
        <f>HYPERLINK("http://www.ncbi.nlm.nih.gov/Taxonomy/Browser/wwwtax.cgi?mode=Info&amp;id=287889&amp;lvl=3&amp;lin=f&amp;keep=1&amp;srchmode=1&amp;unlock","Trichoplax sp. H2")</f>
        <v>Trichoplax sp. H2</v>
      </c>
      <c r="H1354" t="s">
        <v>1152</v>
      </c>
      <c r="I1354" t="str">
        <f>HYPERLINK("http://www.ncbi.nlm.nih.gov/protein/RDD40882.1","Ryanodine receptor 3")</f>
        <v>Ryanodine receptor 3</v>
      </c>
      <c r="J1354">
        <v>1606.65</v>
      </c>
      <c r="K1354" t="s">
        <v>22</v>
      </c>
      <c r="L1354">
        <v>276</v>
      </c>
      <c r="M1354">
        <v>9.75</v>
      </c>
      <c r="N1354">
        <v>15.37</v>
      </c>
      <c r="O1354" t="s">
        <v>19</v>
      </c>
      <c r="P1354" t="s">
        <v>20</v>
      </c>
      <c r="Q1354" t="s">
        <v>19</v>
      </c>
      <c r="R1354" t="str">
        <f>HYPERLINK("https://cfpub.epa.gov/ecotox/explore.cfm?ncbi=287889","Explore in ECOTOX")</f>
        <v>Explore in ECOTOX</v>
      </c>
    </row>
    <row r="1355" spans="1:18" x14ac:dyDescent="0.45">
      <c r="A1355" t="s">
        <v>1264</v>
      </c>
      <c r="B1355">
        <v>8</v>
      </c>
      <c r="C1355" t="str">
        <f>HYPERLINK("http://www.ncbi.nlm.nih.gov/protein/CAG9572904.1","CAG9572904.1")</f>
        <v>CAG9572904.1</v>
      </c>
      <c r="D1355">
        <v>19579</v>
      </c>
      <c r="E1355" t="str">
        <f>HYPERLINK("http://www.ncbi.nlm.nih.gov/Taxonomy/Browser/wwwtax.cgi?mode=Info&amp;id=151541&amp;lvl=3&amp;lin=f&amp;keep=1&amp;srchmode=1&amp;unlock","151541")</f>
        <v>151541</v>
      </c>
      <c r="F1355" t="s">
        <v>760</v>
      </c>
      <c r="G1355" t="str">
        <f>HYPERLINK("http://www.ncbi.nlm.nih.gov/Taxonomy/Browser/wwwtax.cgi?mode=Info&amp;id=151541&amp;lvl=3&amp;lin=f&amp;keep=1&amp;srchmode=1&amp;unlock","Danaus chrysippus")</f>
        <v>Danaus chrysippus</v>
      </c>
      <c r="H1355" t="s">
        <v>1154</v>
      </c>
      <c r="I1355" t="str">
        <f>HYPERLINK("http://www.ncbi.nlm.nih.gov/protein/CAG9572904.1","unnamed protein product")</f>
        <v>unnamed protein product</v>
      </c>
      <c r="J1355">
        <v>1598.56</v>
      </c>
      <c r="K1355" t="s">
        <v>22</v>
      </c>
      <c r="L1355">
        <v>276</v>
      </c>
      <c r="M1355">
        <v>9.75</v>
      </c>
      <c r="N1355">
        <v>15.29</v>
      </c>
      <c r="O1355" t="s">
        <v>19</v>
      </c>
      <c r="P1355" t="s">
        <v>20</v>
      </c>
      <c r="Q1355" t="s">
        <v>19</v>
      </c>
      <c r="R1355" t="str">
        <f>HYPERLINK("https://cfpub.epa.gov/ecotox/explore.cfm?ncbi=151541","Explore in ECOTOX")</f>
        <v>Explore in ECOTOX</v>
      </c>
    </row>
    <row r="1356" spans="1:18" x14ac:dyDescent="0.45">
      <c r="A1356" t="s">
        <v>1264</v>
      </c>
      <c r="B1356">
        <v>8</v>
      </c>
      <c r="C1356" t="str">
        <f>HYPERLINK("http://www.ncbi.nlm.nih.gov/protein/XP_023248075.1","XP_023248075.1")</f>
        <v>XP_023248075.1</v>
      </c>
      <c r="D1356">
        <v>17647</v>
      </c>
      <c r="E1356" t="str">
        <f>HYPERLINK("http://www.ncbi.nlm.nih.gov/Taxonomy/Browser/wwwtax.cgi?mode=Info&amp;id=29053&amp;lvl=3&amp;lin=f&amp;keep=1&amp;srchmode=1&amp;unlock","29053")</f>
        <v>29053</v>
      </c>
      <c r="F1356" t="s">
        <v>760</v>
      </c>
      <c r="G1356" t="str">
        <f>HYPERLINK("http://www.ncbi.nlm.nih.gov/Taxonomy/Browser/wwwtax.cgi?mode=Info&amp;id=29053&amp;lvl=3&amp;lin=f&amp;keep=1&amp;srchmode=1&amp;unlock","Copidosoma floridanum")</f>
        <v>Copidosoma floridanum</v>
      </c>
      <c r="H1356" t="s">
        <v>769</v>
      </c>
      <c r="I1356" t="str">
        <f>HYPERLINK("http://www.ncbi.nlm.nih.gov/protein/XP_023248075.1","ryanodine receptor")</f>
        <v>ryanodine receptor</v>
      </c>
      <c r="J1356">
        <v>1559.66</v>
      </c>
      <c r="K1356" t="s">
        <v>22</v>
      </c>
      <c r="L1356">
        <v>276</v>
      </c>
      <c r="M1356">
        <v>9.75</v>
      </c>
      <c r="N1356">
        <v>14.92</v>
      </c>
      <c r="O1356" t="s">
        <v>19</v>
      </c>
      <c r="P1356" t="s">
        <v>20</v>
      </c>
      <c r="Q1356" t="s">
        <v>19</v>
      </c>
      <c r="R1356" t="str">
        <f>HYPERLINK("https://cfpub.epa.gov/ecotox/explore.cfm?ncbi=29053","Explore in ECOTOX")</f>
        <v>Explore in ECOTOX</v>
      </c>
    </row>
    <row r="1357" spans="1:18" x14ac:dyDescent="0.45">
      <c r="A1357" t="s">
        <v>1264</v>
      </c>
      <c r="B1357">
        <v>8</v>
      </c>
      <c r="C1357" t="str">
        <f>HYPERLINK("http://www.ncbi.nlm.nih.gov/protein/KAF6201051.1","KAF6201051.1")</f>
        <v>KAF6201051.1</v>
      </c>
      <c r="D1357">
        <v>20547</v>
      </c>
      <c r="E1357" t="str">
        <f>HYPERLINK("http://www.ncbi.nlm.nih.gov/Taxonomy/Browser/wwwtax.cgi?mode=Info&amp;id=248454&amp;lvl=3&amp;lin=f&amp;keep=1&amp;srchmode=1&amp;unlock","248454")</f>
        <v>248454</v>
      </c>
      <c r="F1357" t="s">
        <v>760</v>
      </c>
      <c r="G1357" t="str">
        <f>HYPERLINK("http://www.ncbi.nlm.nih.gov/Taxonomy/Browser/wwwtax.cgi?mode=Info&amp;id=248454&amp;lvl=3&amp;lin=f&amp;keep=1&amp;srchmode=1&amp;unlock","Apolygus lucorum")</f>
        <v>Apolygus lucorum</v>
      </c>
      <c r="H1357" t="s">
        <v>1062</v>
      </c>
      <c r="I1357" t="str">
        <f>HYPERLINK("http://www.ncbi.nlm.nih.gov/protein/KAF6201051.1","hypothetical protein GE061_005498, partial")</f>
        <v>hypothetical protein GE061_005498, partial</v>
      </c>
      <c r="J1357">
        <v>1545.41</v>
      </c>
      <c r="K1357" t="s">
        <v>19</v>
      </c>
      <c r="L1357">
        <v>276</v>
      </c>
      <c r="M1357">
        <v>9.75</v>
      </c>
      <c r="N1357">
        <v>14.78</v>
      </c>
      <c r="O1357" t="s">
        <v>19</v>
      </c>
      <c r="P1357" t="s">
        <v>20</v>
      </c>
      <c r="Q1357" t="s">
        <v>19</v>
      </c>
      <c r="R1357" t="str">
        <f>HYPERLINK("https://cfpub.epa.gov/ecotox/explore.cfm?ncbi=248454","Explore in ECOTOX")</f>
        <v>Explore in ECOTOX</v>
      </c>
    </row>
    <row r="1358" spans="1:18" x14ac:dyDescent="0.45">
      <c r="A1358" t="s">
        <v>1264</v>
      </c>
      <c r="B1358">
        <v>8</v>
      </c>
      <c r="C1358" t="str">
        <f>HYPERLINK("http://www.ncbi.nlm.nih.gov/protein/XP_037796492.1","XP_037796492.1")</f>
        <v>XP_037796492.1</v>
      </c>
      <c r="D1358">
        <v>33837</v>
      </c>
      <c r="E1358" t="str">
        <f>HYPERLINK("http://www.ncbi.nlm.nih.gov/Taxonomy/Browser/wwwtax.cgi?mode=Info&amp;id=6687&amp;lvl=3&amp;lin=f&amp;keep=1&amp;srchmode=1&amp;unlock","6687")</f>
        <v>6687</v>
      </c>
      <c r="F1358" t="s">
        <v>779</v>
      </c>
      <c r="G1358" t="str">
        <f>HYPERLINK("http://www.ncbi.nlm.nih.gov/Taxonomy/Browser/wwwtax.cgi?mode=Info&amp;id=6687&amp;lvl=3&amp;lin=f&amp;keep=1&amp;srchmode=1&amp;unlock","Penaeus monodon")</f>
        <v>Penaeus monodon</v>
      </c>
      <c r="H1358" t="s">
        <v>1155</v>
      </c>
      <c r="I1358" t="str">
        <f>HYPERLINK("http://www.ncbi.nlm.nih.gov/protein/XP_037796492.1","ryanodine receptor-like")</f>
        <v>ryanodine receptor-like</v>
      </c>
      <c r="J1358">
        <v>1545.02</v>
      </c>
      <c r="K1358" t="s">
        <v>22</v>
      </c>
      <c r="L1358">
        <v>276</v>
      </c>
      <c r="M1358">
        <v>9.75</v>
      </c>
      <c r="N1358">
        <v>14.78</v>
      </c>
      <c r="O1358" t="s">
        <v>19</v>
      </c>
      <c r="P1358" t="s">
        <v>20</v>
      </c>
      <c r="Q1358" t="s">
        <v>19</v>
      </c>
      <c r="R1358" t="str">
        <f>HYPERLINK("https://cfpub.epa.gov/ecotox/explore.cfm?ncbi=6687","Explore in ECOTOX")</f>
        <v>Explore in ECOTOX</v>
      </c>
    </row>
    <row r="1359" spans="1:18" x14ac:dyDescent="0.45">
      <c r="A1359" t="s">
        <v>1264</v>
      </c>
      <c r="B1359">
        <v>8</v>
      </c>
      <c r="C1359" t="str">
        <f>HYPERLINK("http://www.ncbi.nlm.nih.gov/protein/VDM18808.1","VDM18808.1")</f>
        <v>VDM18808.1</v>
      </c>
      <c r="D1359">
        <v>32682</v>
      </c>
      <c r="E1359" t="str">
        <f>HYPERLINK("http://www.ncbi.nlm.nih.gov/Taxonomy/Browser/wwwtax.cgi?mode=Info&amp;id=6293&amp;lvl=3&amp;lin=f&amp;keep=1&amp;srchmode=1&amp;unlock","6293")</f>
        <v>6293</v>
      </c>
      <c r="F1359" t="s">
        <v>1024</v>
      </c>
      <c r="G1359" t="str">
        <f>HYPERLINK("http://www.ncbi.nlm.nih.gov/Taxonomy/Browser/wwwtax.cgi?mode=Info&amp;id=6293&amp;lvl=3&amp;lin=f&amp;keep=1&amp;srchmode=1&amp;unlock","Wuchereria bancrofti")</f>
        <v>Wuchereria bancrofti</v>
      </c>
      <c r="H1359" t="s">
        <v>1108</v>
      </c>
      <c r="I1359" t="str">
        <f>HYPERLINK("http://www.ncbi.nlm.nih.gov/protein/VDM18808.1","unnamed protein product")</f>
        <v>unnamed protein product</v>
      </c>
      <c r="J1359">
        <v>1543.87</v>
      </c>
      <c r="K1359" t="s">
        <v>22</v>
      </c>
      <c r="L1359">
        <v>276</v>
      </c>
      <c r="M1359">
        <v>9.75</v>
      </c>
      <c r="N1359">
        <v>14.77</v>
      </c>
      <c r="O1359" t="s">
        <v>19</v>
      </c>
      <c r="P1359" t="s">
        <v>20</v>
      </c>
      <c r="Q1359" t="s">
        <v>19</v>
      </c>
      <c r="R1359" t="str">
        <f>HYPERLINK("https://cfpub.epa.gov/ecotox/explore.cfm?ncbi=6293","Explore in ECOTOX")</f>
        <v>Explore in ECOTOX</v>
      </c>
    </row>
    <row r="1360" spans="1:18" x14ac:dyDescent="0.45">
      <c r="A1360" t="s">
        <v>1264</v>
      </c>
      <c r="B1360">
        <v>8</v>
      </c>
      <c r="C1360" t="str">
        <f>HYPERLINK("http://www.ncbi.nlm.nih.gov/protein/PIC27807.1","PIC27807.1")</f>
        <v>PIC27807.1</v>
      </c>
      <c r="D1360">
        <v>44575</v>
      </c>
      <c r="E1360" t="str">
        <f>HYPERLINK("http://www.ncbi.nlm.nih.gov/Taxonomy/Browser/wwwtax.cgi?mode=Info&amp;id=1611254&amp;lvl=3&amp;lin=f&amp;keep=1&amp;srchmode=1&amp;unlock","1611254")</f>
        <v>1611254</v>
      </c>
      <c r="F1360" t="s">
        <v>1024</v>
      </c>
      <c r="G1360" t="str">
        <f>HYPERLINK("http://www.ncbi.nlm.nih.gov/Taxonomy/Browser/wwwtax.cgi?mode=Info&amp;id=1611254&amp;lvl=3&amp;lin=f&amp;keep=1&amp;srchmode=1&amp;unlock","Caenorhabditis nigoni")</f>
        <v>Caenorhabditis nigoni</v>
      </c>
      <c r="H1360" t="s">
        <v>1027</v>
      </c>
      <c r="I1360" t="str">
        <f>HYPERLINK("http://www.ncbi.nlm.nih.gov/protein/PIC27807.1","hypothetical protein B9Z55_019948")</f>
        <v>hypothetical protein B9Z55_019948</v>
      </c>
      <c r="J1360">
        <v>1516.13</v>
      </c>
      <c r="K1360" t="s">
        <v>22</v>
      </c>
      <c r="L1360">
        <v>276</v>
      </c>
      <c r="M1360">
        <v>9.75</v>
      </c>
      <c r="N1360">
        <v>14.5</v>
      </c>
      <c r="O1360" t="s">
        <v>19</v>
      </c>
      <c r="P1360" t="s">
        <v>20</v>
      </c>
      <c r="Q1360" t="s">
        <v>19</v>
      </c>
      <c r="R1360" t="str">
        <f>HYPERLINK("https://cfpub.epa.gov/ecotox/explore.cfm?ncbi=1611254","Explore in ECOTOX")</f>
        <v>Explore in ECOTOX</v>
      </c>
    </row>
    <row r="1361" spans="1:18" x14ac:dyDescent="0.45">
      <c r="A1361" t="s">
        <v>1264</v>
      </c>
      <c r="B1361">
        <v>8</v>
      </c>
      <c r="C1361" t="str">
        <f>HYPERLINK("http://www.ncbi.nlm.nih.gov/protein/XP_037072504.1","XP_037072504.1")</f>
        <v>XP_037072504.1</v>
      </c>
      <c r="D1361">
        <v>27129</v>
      </c>
      <c r="E1361" t="str">
        <f>HYPERLINK("http://www.ncbi.nlm.nih.gov/Taxonomy/Browser/wwwtax.cgi?mode=Info&amp;id=41117&amp;lvl=3&amp;lin=f&amp;keep=1&amp;srchmode=1&amp;unlock","41117")</f>
        <v>41117</v>
      </c>
      <c r="F1361" t="s">
        <v>997</v>
      </c>
      <c r="G1361" t="str">
        <f>HYPERLINK("http://www.ncbi.nlm.nih.gov/Taxonomy/Browser/wwwtax.cgi?mode=Info&amp;id=41117&amp;lvl=3&amp;lin=f&amp;keep=1&amp;srchmode=1&amp;unlock","Pollicipes pollicipes")</f>
        <v>Pollicipes pollicipes</v>
      </c>
      <c r="H1361" t="s">
        <v>1156</v>
      </c>
      <c r="I1361" t="str">
        <f>HYPERLINK("http://www.ncbi.nlm.nih.gov/protein/XP_037072504.1","ryanodine receptor-like isoform X3")</f>
        <v>ryanodine receptor-like isoform X3</v>
      </c>
      <c r="J1361">
        <v>1515.36</v>
      </c>
      <c r="K1361" t="s">
        <v>22</v>
      </c>
      <c r="L1361">
        <v>276</v>
      </c>
      <c r="M1361">
        <v>9.75</v>
      </c>
      <c r="N1361">
        <v>14.5</v>
      </c>
      <c r="O1361" t="s">
        <v>19</v>
      </c>
      <c r="P1361" t="s">
        <v>20</v>
      </c>
      <c r="Q1361" t="s">
        <v>19</v>
      </c>
      <c r="R1361" t="str">
        <f>HYPERLINK("https://cfpub.epa.gov/ecotox/explore.cfm?ncbi=41117","Explore in ECOTOX")</f>
        <v>Explore in ECOTOX</v>
      </c>
    </row>
    <row r="1362" spans="1:18" x14ac:dyDescent="0.45">
      <c r="A1362" t="s">
        <v>1264</v>
      </c>
      <c r="B1362">
        <v>8</v>
      </c>
      <c r="C1362" t="str">
        <f>HYPERLINK("http://www.ncbi.nlm.nih.gov/protein/KAG1707004.1","KAG1707004.1")</f>
        <v>KAG1707004.1</v>
      </c>
      <c r="D1362">
        <v>28507</v>
      </c>
      <c r="E1362" t="str">
        <f>HYPERLINK("http://www.ncbi.nlm.nih.gov/Taxonomy/Browser/wwwtax.cgi?mode=Info&amp;id=424472&amp;lvl=3&amp;lin=f&amp;keep=1&amp;srchmode=1&amp;unlock","424472")</f>
        <v>424472</v>
      </c>
      <c r="F1362" t="s">
        <v>1157</v>
      </c>
      <c r="G1362" t="str">
        <f>HYPERLINK("http://www.ncbi.nlm.nih.gov/Taxonomy/Browser/wwwtax.cgi?mode=Info&amp;id=424472&amp;lvl=3&amp;lin=f&amp;keep=1&amp;srchmode=1&amp;unlock","Nymphon striatum")</f>
        <v>Nymphon striatum</v>
      </c>
      <c r="H1362" t="s">
        <v>1158</v>
      </c>
      <c r="I1362" t="str">
        <f>HYPERLINK("http://www.ncbi.nlm.nih.gov/protein/KAG1707004.1","Ryanodine receptor")</f>
        <v>Ryanodine receptor</v>
      </c>
      <c r="J1362">
        <v>1514.21</v>
      </c>
      <c r="K1362" t="s">
        <v>22</v>
      </c>
      <c r="L1362">
        <v>276</v>
      </c>
      <c r="M1362">
        <v>9.75</v>
      </c>
      <c r="N1362">
        <v>14.48</v>
      </c>
      <c r="O1362" t="s">
        <v>19</v>
      </c>
      <c r="P1362" t="s">
        <v>20</v>
      </c>
      <c r="Q1362" t="s">
        <v>19</v>
      </c>
      <c r="R1362" t="str">
        <f>HYPERLINK("https://cfpub.epa.gov/ecotox/explore.cfm?ncbi=424472","Explore in ECOTOX")</f>
        <v>Explore in ECOTOX</v>
      </c>
    </row>
    <row r="1363" spans="1:18" x14ac:dyDescent="0.45">
      <c r="A1363" t="s">
        <v>1264</v>
      </c>
      <c r="B1363">
        <v>8</v>
      </c>
      <c r="C1363" t="str">
        <f>HYPERLINK("http://www.ncbi.nlm.nih.gov/protein/KAK2180258.1","KAK2180258.1")</f>
        <v>KAK2180258.1</v>
      </c>
      <c r="D1363">
        <v>31499</v>
      </c>
      <c r="E1363" t="str">
        <f>HYPERLINK("http://www.ncbi.nlm.nih.gov/Taxonomy/Browser/wwwtax.cgi?mode=Info&amp;id=27915&amp;lvl=3&amp;lin=f&amp;keep=1&amp;srchmode=1&amp;unlock","27915")</f>
        <v>27915</v>
      </c>
      <c r="F1363" t="s">
        <v>862</v>
      </c>
      <c r="G1363" t="str">
        <f>HYPERLINK("http://www.ncbi.nlm.nih.gov/Taxonomy/Browser/wwwtax.cgi?mode=Info&amp;id=27915&amp;lvl=3&amp;lin=f&amp;keep=1&amp;srchmode=1&amp;unlock","Ridgeia piscesae")</f>
        <v>Ridgeia piscesae</v>
      </c>
      <c r="H1363" t="s">
        <v>1159</v>
      </c>
      <c r="I1363" t="str">
        <f>HYPERLINK("http://www.ncbi.nlm.nih.gov/protein/KAK2180258.1","hypothetical protein NP493_449g01004")</f>
        <v>hypothetical protein NP493_449g01004</v>
      </c>
      <c r="J1363">
        <v>1499.18</v>
      </c>
      <c r="K1363" t="s">
        <v>19</v>
      </c>
      <c r="L1363">
        <v>276</v>
      </c>
      <c r="M1363">
        <v>9.75</v>
      </c>
      <c r="N1363">
        <v>14.34</v>
      </c>
      <c r="O1363" t="s">
        <v>19</v>
      </c>
      <c r="P1363" t="s">
        <v>20</v>
      </c>
      <c r="Q1363" t="s">
        <v>19</v>
      </c>
      <c r="R1363" t="str">
        <f>HYPERLINK("https://cfpub.epa.gov/ecotox/explore.cfm?ncbi=27915","Explore in ECOTOX")</f>
        <v>Explore in ECOTOX</v>
      </c>
    </row>
    <row r="1364" spans="1:18" x14ac:dyDescent="0.45">
      <c r="A1364" t="s">
        <v>1264</v>
      </c>
      <c r="B1364">
        <v>8</v>
      </c>
      <c r="C1364" t="str">
        <f>HYPERLINK("http://www.ncbi.nlm.nih.gov/protein/CAD7645150.1","CAD7645150.1")</f>
        <v>CAD7645150.1</v>
      </c>
      <c r="D1364">
        <v>47472</v>
      </c>
      <c r="E1364" t="str">
        <f>HYPERLINK("http://www.ncbi.nlm.nih.gov/Taxonomy/Browser/wwwtax.cgi?mode=Info&amp;id=334625&amp;lvl=3&amp;lin=f&amp;keep=1&amp;srchmode=1&amp;unlock","334625")</f>
        <v>334625</v>
      </c>
      <c r="F1364" t="s">
        <v>904</v>
      </c>
      <c r="G1364" t="str">
        <f>HYPERLINK("http://www.ncbi.nlm.nih.gov/Taxonomy/Browser/wwwtax.cgi?mode=Info&amp;id=334625&amp;lvl=3&amp;lin=f&amp;keep=1&amp;srchmode=1&amp;unlock","Oppiella nova")</f>
        <v>Oppiella nova</v>
      </c>
      <c r="H1364" t="s">
        <v>995</v>
      </c>
      <c r="I1364" t="str">
        <f>HYPERLINK("http://www.ncbi.nlm.nih.gov/protein/CAD7645150.1","unnamed protein product")</f>
        <v>unnamed protein product</v>
      </c>
      <c r="J1364">
        <v>1491.86</v>
      </c>
      <c r="K1364" t="s">
        <v>22</v>
      </c>
      <c r="L1364">
        <v>276</v>
      </c>
      <c r="M1364">
        <v>9.75</v>
      </c>
      <c r="N1364">
        <v>14.27</v>
      </c>
      <c r="O1364" t="s">
        <v>19</v>
      </c>
      <c r="P1364" t="s">
        <v>20</v>
      </c>
      <c r="Q1364" t="s">
        <v>19</v>
      </c>
      <c r="R1364" t="str">
        <f>HYPERLINK("https://cfpub.epa.gov/ecotox/explore.cfm?ncbi=334625","Explore in ECOTOX")</f>
        <v>Explore in ECOTOX</v>
      </c>
    </row>
    <row r="1365" spans="1:18" x14ac:dyDescent="0.45">
      <c r="A1365" t="s">
        <v>1264</v>
      </c>
      <c r="B1365">
        <v>8</v>
      </c>
      <c r="C1365" t="str">
        <f>HYPERLINK("http://www.ncbi.nlm.nih.gov/protein/XP_036363619.1","XP_036363619.1")</f>
        <v>XP_036363619.1</v>
      </c>
      <c r="D1365">
        <v>36138</v>
      </c>
      <c r="E1365" t="str">
        <f>HYPERLINK("http://www.ncbi.nlm.nih.gov/Taxonomy/Browser/wwwtax.cgi?mode=Info&amp;id=2607531&amp;lvl=3&amp;lin=f&amp;keep=1&amp;srchmode=1&amp;unlock","2607531")</f>
        <v>2607531</v>
      </c>
      <c r="F1365" t="s">
        <v>1010</v>
      </c>
      <c r="G1365" t="str">
        <f>HYPERLINK("http://www.ncbi.nlm.nih.gov/Taxonomy/Browser/wwwtax.cgi?mode=Info&amp;id=2607531&amp;lvl=3&amp;lin=f&amp;keep=1&amp;srchmode=1&amp;unlock","Octopus sinensis")</f>
        <v>Octopus sinensis</v>
      </c>
      <c r="H1365" t="s">
        <v>1160</v>
      </c>
      <c r="I1365" t="str">
        <f>HYPERLINK("http://www.ncbi.nlm.nih.gov/protein/XP_036363619.1","ryanodine receptor isoform X1")</f>
        <v>ryanodine receptor isoform X1</v>
      </c>
      <c r="J1365">
        <v>1488.78</v>
      </c>
      <c r="K1365" t="s">
        <v>22</v>
      </c>
      <c r="L1365">
        <v>276</v>
      </c>
      <c r="M1365">
        <v>9.75</v>
      </c>
      <c r="N1365">
        <v>14.24</v>
      </c>
      <c r="O1365" t="s">
        <v>19</v>
      </c>
      <c r="P1365" t="s">
        <v>20</v>
      </c>
      <c r="Q1365" t="s">
        <v>19</v>
      </c>
      <c r="R1365" t="str">
        <f>HYPERLINK("https://cfpub.epa.gov/ecotox/explore.cfm?ncbi=2607531","Explore in ECOTOX")</f>
        <v>Explore in ECOTOX</v>
      </c>
    </row>
    <row r="1366" spans="1:18" x14ac:dyDescent="0.45">
      <c r="A1366" t="s">
        <v>1264</v>
      </c>
      <c r="B1366">
        <v>8</v>
      </c>
      <c r="C1366" t="str">
        <f>HYPERLINK("http://www.ncbi.nlm.nih.gov/protein/VDK79751.1","VDK79751.1")</f>
        <v>VDK79751.1</v>
      </c>
      <c r="D1366">
        <v>10062</v>
      </c>
      <c r="E1366" t="str">
        <f>HYPERLINK("http://www.ncbi.nlm.nih.gov/Taxonomy/Browser/wwwtax.cgi?mode=Info&amp;id=42156&amp;lvl=3&amp;lin=f&amp;keep=1&amp;srchmode=1&amp;unlock","42156")</f>
        <v>42156</v>
      </c>
      <c r="F1366" t="s">
        <v>1024</v>
      </c>
      <c r="G1366" t="str">
        <f>HYPERLINK("http://www.ncbi.nlm.nih.gov/Taxonomy/Browser/wwwtax.cgi?mode=Info&amp;id=42156&amp;lvl=3&amp;lin=f&amp;keep=1&amp;srchmode=1&amp;unlock","Litomosoides sigmodontis")</f>
        <v>Litomosoides sigmodontis</v>
      </c>
      <c r="H1366" t="s">
        <v>1027</v>
      </c>
      <c r="I1366" t="str">
        <f>HYPERLINK("http://www.ncbi.nlm.nih.gov/protein/VDK79751.1","unnamed protein product")</f>
        <v>unnamed protein product</v>
      </c>
      <c r="J1366">
        <v>1486.09</v>
      </c>
      <c r="K1366" t="s">
        <v>22</v>
      </c>
      <c r="L1366">
        <v>276</v>
      </c>
      <c r="M1366">
        <v>9.75</v>
      </c>
      <c r="N1366">
        <v>14.22</v>
      </c>
      <c r="O1366" t="s">
        <v>19</v>
      </c>
      <c r="P1366" t="s">
        <v>20</v>
      </c>
      <c r="Q1366" t="s">
        <v>19</v>
      </c>
      <c r="R1366" t="str">
        <f>HYPERLINK("https://cfpub.epa.gov/ecotox/explore.cfm?ncbi=42156","Explore in ECOTOX")</f>
        <v>Explore in ECOTOX</v>
      </c>
    </row>
    <row r="1367" spans="1:18" x14ac:dyDescent="0.45">
      <c r="A1367" t="s">
        <v>1264</v>
      </c>
      <c r="B1367">
        <v>8</v>
      </c>
      <c r="C1367" t="str">
        <f>HYPERLINK("http://www.ncbi.nlm.nih.gov/protein/PKU46315.1","PKU46315.1")</f>
        <v>PKU46315.1</v>
      </c>
      <c r="D1367">
        <v>23022</v>
      </c>
      <c r="E1367" t="str">
        <f>HYPERLINK("http://www.ncbi.nlm.nih.gov/Taxonomy/Browser/wwwtax.cgi?mode=Info&amp;id=1758121&amp;lvl=3&amp;lin=f&amp;keep=1&amp;srchmode=1&amp;unlock","1758121")</f>
        <v>1758121</v>
      </c>
      <c r="F1367" t="s">
        <v>241</v>
      </c>
      <c r="G1367" t="str">
        <f>HYPERLINK("http://www.ncbi.nlm.nih.gov/Taxonomy/Browser/wwwtax.cgi?mode=Info&amp;id=1758121&amp;lvl=3&amp;lin=f&amp;keep=1&amp;srchmode=1&amp;unlock","Limosa lapponica baueri")</f>
        <v>Limosa lapponica baueri</v>
      </c>
      <c r="H1367" t="s">
        <v>1161</v>
      </c>
      <c r="I1367" t="str">
        <f>HYPERLINK("http://www.ncbi.nlm.nih.gov/protein/PKU46315.1","ryanodine receptor 3")</f>
        <v>ryanodine receptor 3</v>
      </c>
      <c r="J1367">
        <v>1477.61</v>
      </c>
      <c r="K1367" t="s">
        <v>22</v>
      </c>
      <c r="L1367">
        <v>276</v>
      </c>
      <c r="M1367">
        <v>9.75</v>
      </c>
      <c r="N1367">
        <v>14.13</v>
      </c>
      <c r="O1367" t="s">
        <v>19</v>
      </c>
      <c r="P1367" t="s">
        <v>20</v>
      </c>
      <c r="Q1367" t="s">
        <v>19</v>
      </c>
      <c r="R1367" t="str">
        <f>HYPERLINK("https://cfpub.epa.gov/ecotox/explore.cfm?ncbi=1758121","Explore in ECOTOX")</f>
        <v>Explore in ECOTOX</v>
      </c>
    </row>
    <row r="1368" spans="1:18" x14ac:dyDescent="0.45">
      <c r="A1368" t="s">
        <v>1264</v>
      </c>
      <c r="B1368">
        <v>8</v>
      </c>
      <c r="C1368" t="str">
        <f>HYPERLINK("http://www.ncbi.nlm.nih.gov/protein/GFO35387.1","GFO35387.1")</f>
        <v>GFO35387.1</v>
      </c>
      <c r="D1368">
        <v>77250</v>
      </c>
      <c r="E1368" t="str">
        <f>HYPERLINK("http://www.ncbi.nlm.nih.gov/Taxonomy/Browser/wwwtax.cgi?mode=Info&amp;id=259542&amp;lvl=3&amp;lin=f&amp;keep=1&amp;srchmode=1&amp;unlock","259542")</f>
        <v>259542</v>
      </c>
      <c r="F1368" t="s">
        <v>757</v>
      </c>
      <c r="G1368" t="str">
        <f>HYPERLINK("http://www.ncbi.nlm.nih.gov/Taxonomy/Browser/wwwtax.cgi?mode=Info&amp;id=259542&amp;lvl=3&amp;lin=f&amp;keep=1&amp;srchmode=1&amp;unlock","Plakobranchus ocellatus")</f>
        <v>Plakobranchus ocellatus</v>
      </c>
      <c r="H1368" t="s">
        <v>832</v>
      </c>
      <c r="I1368" t="str">
        <f>HYPERLINK("http://www.ncbi.nlm.nih.gov/protein/GFO35387.1","ryanodine receptor")</f>
        <v>ryanodine receptor</v>
      </c>
      <c r="J1368">
        <v>1466.06</v>
      </c>
      <c r="K1368" t="s">
        <v>22</v>
      </c>
      <c r="L1368">
        <v>276</v>
      </c>
      <c r="M1368">
        <v>9.75</v>
      </c>
      <c r="N1368">
        <v>14.02</v>
      </c>
      <c r="O1368" t="s">
        <v>19</v>
      </c>
      <c r="P1368" t="s">
        <v>20</v>
      </c>
      <c r="Q1368" t="s">
        <v>19</v>
      </c>
      <c r="R1368" t="str">
        <f>HYPERLINK("https://cfpub.epa.gov/ecotox/explore.cfm?ncbi=259542","Explore in ECOTOX")</f>
        <v>Explore in ECOTOX</v>
      </c>
    </row>
    <row r="1369" spans="1:18" x14ac:dyDescent="0.45">
      <c r="A1369" t="s">
        <v>1264</v>
      </c>
      <c r="B1369">
        <v>8</v>
      </c>
      <c r="C1369" t="str">
        <f>HYPERLINK("http://www.ncbi.nlm.nih.gov/protein/PIK56122.1","PIK56122.1")</f>
        <v>PIK56122.1</v>
      </c>
      <c r="D1369">
        <v>30963</v>
      </c>
      <c r="E1369" t="str">
        <f>HYPERLINK("http://www.ncbi.nlm.nih.gov/Taxonomy/Browser/wwwtax.cgi?mode=Info&amp;id=307972&amp;lvl=3&amp;lin=f&amp;keep=1&amp;srchmode=1&amp;unlock","307972")</f>
        <v>307972</v>
      </c>
      <c r="F1369" t="s">
        <v>1122</v>
      </c>
      <c r="G1369" t="str">
        <f>HYPERLINK("http://www.ncbi.nlm.nih.gov/Taxonomy/Browser/wwwtax.cgi?mode=Info&amp;id=307972&amp;lvl=3&amp;lin=f&amp;keep=1&amp;srchmode=1&amp;unlock","Apostichopus japonicus")</f>
        <v>Apostichopus japonicus</v>
      </c>
      <c r="H1369" t="s">
        <v>1162</v>
      </c>
      <c r="I1369" t="str">
        <f>HYPERLINK("http://www.ncbi.nlm.nih.gov/protein/PIK56122.1","putative ryanodine receptor 2")</f>
        <v>putative ryanodine receptor 2</v>
      </c>
      <c r="J1369">
        <v>1460.28</v>
      </c>
      <c r="K1369" t="s">
        <v>22</v>
      </c>
      <c r="L1369">
        <v>276</v>
      </c>
      <c r="M1369">
        <v>9.75</v>
      </c>
      <c r="N1369">
        <v>13.97</v>
      </c>
      <c r="O1369" t="s">
        <v>19</v>
      </c>
      <c r="P1369" t="s">
        <v>20</v>
      </c>
      <c r="Q1369" t="s">
        <v>19</v>
      </c>
      <c r="R1369" t="str">
        <f>HYPERLINK("https://cfpub.epa.gov/ecotox/explore.cfm?ncbi=307972","Explore in ECOTOX")</f>
        <v>Explore in ECOTOX</v>
      </c>
    </row>
    <row r="1370" spans="1:18" x14ac:dyDescent="0.45">
      <c r="A1370" t="s">
        <v>1264</v>
      </c>
      <c r="B1370">
        <v>8</v>
      </c>
      <c r="C1370" t="str">
        <f>HYPERLINK("http://www.ncbi.nlm.nih.gov/protein/KAF0766242.1","KAF0766242.1")</f>
        <v>KAF0766242.1</v>
      </c>
      <c r="D1370">
        <v>32418</v>
      </c>
      <c r="E1370" t="str">
        <f>HYPERLINK("http://www.ncbi.nlm.nih.gov/Taxonomy/Browser/wwwtax.cgi?mode=Info&amp;id=307492&amp;lvl=3&amp;lin=f&amp;keep=1&amp;srchmode=1&amp;unlock","307492")</f>
        <v>307492</v>
      </c>
      <c r="F1370" t="s">
        <v>760</v>
      </c>
      <c r="G1370" t="str">
        <f>HYPERLINK("http://www.ncbi.nlm.nih.gov/Taxonomy/Browser/wwwtax.cgi?mode=Info&amp;id=307492&amp;lvl=3&amp;lin=f&amp;keep=1&amp;srchmode=1&amp;unlock","Aphis craccivora")</f>
        <v>Aphis craccivora</v>
      </c>
      <c r="H1370" t="s">
        <v>1163</v>
      </c>
      <c r="I1370" t="str">
        <f>HYPERLINK("http://www.ncbi.nlm.nih.gov/protein/KAF0766242.1","Uncharacterized protein FWK35_00003306, partial")</f>
        <v>Uncharacterized protein FWK35_00003306, partial</v>
      </c>
      <c r="J1370">
        <v>1460.28</v>
      </c>
      <c r="K1370" t="s">
        <v>22</v>
      </c>
      <c r="L1370">
        <v>276</v>
      </c>
      <c r="M1370">
        <v>9.75</v>
      </c>
      <c r="N1370">
        <v>13.97</v>
      </c>
      <c r="O1370" t="s">
        <v>19</v>
      </c>
      <c r="P1370" t="s">
        <v>20</v>
      </c>
      <c r="Q1370" t="s">
        <v>19</v>
      </c>
      <c r="R1370" t="str">
        <f>HYPERLINK("https://cfpub.epa.gov/ecotox/explore.cfm?ncbi=307492","Explore in ECOTOX")</f>
        <v>Explore in ECOTOX</v>
      </c>
    </row>
    <row r="1371" spans="1:18" x14ac:dyDescent="0.45">
      <c r="A1371" t="s">
        <v>1264</v>
      </c>
      <c r="B1371">
        <v>8</v>
      </c>
      <c r="C1371" t="str">
        <f>HYPERLINK("http://www.ncbi.nlm.nih.gov/protein/KAI0239121.1","KAI0239121.1")</f>
        <v>KAI0239121.1</v>
      </c>
      <c r="D1371">
        <v>32517</v>
      </c>
      <c r="E1371" t="str">
        <f>HYPERLINK("http://www.ncbi.nlm.nih.gov/Taxonomy/Browser/wwwtax.cgi?mode=Info&amp;id=104711&amp;lvl=3&amp;lin=f&amp;keep=1&amp;srchmode=1&amp;unlock","104711")</f>
        <v>104711</v>
      </c>
      <c r="F1371" t="s">
        <v>862</v>
      </c>
      <c r="G1371" t="str">
        <f>HYPERLINK("http://www.ncbi.nlm.nih.gov/Taxonomy/Browser/wwwtax.cgi?mode=Info&amp;id=104711&amp;lvl=3&amp;lin=f&amp;keep=1&amp;srchmode=1&amp;unlock","Lamellibrachia satsuma")</f>
        <v>Lamellibrachia satsuma</v>
      </c>
      <c r="H1371" t="s">
        <v>1159</v>
      </c>
      <c r="I1371" t="str">
        <f>HYPERLINK("http://www.ncbi.nlm.nih.gov/protein/KAI0239121.1","Ryanodine receptor")</f>
        <v>Ryanodine receptor</v>
      </c>
      <c r="J1371">
        <v>1449.11</v>
      </c>
      <c r="K1371" t="s">
        <v>22</v>
      </c>
      <c r="L1371">
        <v>276</v>
      </c>
      <c r="M1371">
        <v>9.75</v>
      </c>
      <c r="N1371">
        <v>13.86</v>
      </c>
      <c r="O1371" t="s">
        <v>19</v>
      </c>
      <c r="P1371" t="s">
        <v>20</v>
      </c>
      <c r="Q1371" t="s">
        <v>19</v>
      </c>
      <c r="R1371" t="str">
        <f>HYPERLINK("https://cfpub.epa.gov/ecotox/explore.cfm?ncbi=104711","Explore in ECOTOX")</f>
        <v>Explore in ECOTOX</v>
      </c>
    </row>
    <row r="1372" spans="1:18" x14ac:dyDescent="0.45">
      <c r="A1372" t="s">
        <v>1264</v>
      </c>
      <c r="B1372">
        <v>8</v>
      </c>
      <c r="C1372" t="str">
        <f>HYPERLINK("http://www.ncbi.nlm.nih.gov/protein/KAJ8982736.1","KAJ8982736.1")</f>
        <v>KAJ8982736.1</v>
      </c>
      <c r="D1372">
        <v>18609</v>
      </c>
      <c r="E1372" t="str">
        <f>HYPERLINK("http://www.ncbi.nlm.nih.gov/Taxonomy/Browser/wwwtax.cgi?mode=Info&amp;id=1323400&amp;lvl=3&amp;lin=f&amp;keep=1&amp;srchmode=1&amp;unlock","1323400")</f>
        <v>1323400</v>
      </c>
      <c r="F1372" t="s">
        <v>760</v>
      </c>
      <c r="G1372" t="str">
        <f>HYPERLINK("http://www.ncbi.nlm.nih.gov/Taxonomy/Browser/wwwtax.cgi?mode=Info&amp;id=1323400&amp;lvl=3&amp;lin=f&amp;keep=1&amp;srchmode=1&amp;unlock","Molorchus minor")</f>
        <v>Molorchus minor</v>
      </c>
      <c r="H1372" t="s">
        <v>1115</v>
      </c>
      <c r="I1372" t="str">
        <f>HYPERLINK("http://www.ncbi.nlm.nih.gov/protein/KAJ8982736.1","hypothetical protein NQ317_014034")</f>
        <v>hypothetical protein NQ317_014034</v>
      </c>
      <c r="J1372">
        <v>1441.02</v>
      </c>
      <c r="K1372" t="s">
        <v>22</v>
      </c>
      <c r="L1372">
        <v>276</v>
      </c>
      <c r="M1372">
        <v>9.75</v>
      </c>
      <c r="N1372">
        <v>13.78</v>
      </c>
      <c r="O1372" t="s">
        <v>19</v>
      </c>
      <c r="P1372" t="s">
        <v>20</v>
      </c>
      <c r="Q1372" t="s">
        <v>19</v>
      </c>
      <c r="R1372" t="str">
        <f>HYPERLINK("https://cfpub.epa.gov/ecotox/explore.cfm?ncbi=1323400","Explore in ECOTOX")</f>
        <v>Explore in ECOTOX</v>
      </c>
    </row>
    <row r="1373" spans="1:18" x14ac:dyDescent="0.45">
      <c r="A1373" t="s">
        <v>1264</v>
      </c>
      <c r="B1373">
        <v>8</v>
      </c>
      <c r="C1373" t="str">
        <f>HYPERLINK("http://www.ncbi.nlm.nih.gov/protein/KAE9549703.1","KAE9549703.1")</f>
        <v>KAE9549703.1</v>
      </c>
      <c r="D1373">
        <v>10997</v>
      </c>
      <c r="E1373" t="str">
        <f>HYPERLINK("http://www.ncbi.nlm.nih.gov/Taxonomy/Browser/wwwtax.cgi?mode=Info&amp;id=2598192&amp;lvl=3&amp;lin=f&amp;keep=1&amp;srchmode=1&amp;unlock","2598192")</f>
        <v>2598192</v>
      </c>
      <c r="F1373" t="s">
        <v>1024</v>
      </c>
      <c r="G1373" t="str">
        <f>HYPERLINK("http://www.ncbi.nlm.nih.gov/Taxonomy/Browser/wwwtax.cgi?mode=Info&amp;id=2598192&amp;lvl=3&amp;lin=f&amp;keep=1&amp;srchmode=1&amp;unlock","Halicephalobus sp. NKZ332")</f>
        <v>Halicephalobus sp. NKZ332</v>
      </c>
      <c r="H1373" t="s">
        <v>1027</v>
      </c>
      <c r="I1373" t="str">
        <f>HYPERLINK("http://www.ncbi.nlm.nih.gov/protein/KAE9549703.1","hypothetical protein FO519_007091")</f>
        <v>hypothetical protein FO519_007091</v>
      </c>
      <c r="J1373">
        <v>1425.99</v>
      </c>
      <c r="K1373" t="s">
        <v>19</v>
      </c>
      <c r="L1373">
        <v>276</v>
      </c>
      <c r="M1373">
        <v>9.75</v>
      </c>
      <c r="N1373">
        <v>13.64</v>
      </c>
      <c r="O1373" t="s">
        <v>19</v>
      </c>
      <c r="P1373" t="s">
        <v>20</v>
      </c>
      <c r="Q1373" t="s">
        <v>19</v>
      </c>
      <c r="R1373" t="str">
        <f>HYPERLINK("https://cfpub.epa.gov/ecotox/explore.cfm?ncbi=2598192","Explore in ECOTOX")</f>
        <v>Explore in ECOTOX</v>
      </c>
    </row>
    <row r="1374" spans="1:18" x14ac:dyDescent="0.45">
      <c r="A1374" t="s">
        <v>1264</v>
      </c>
      <c r="B1374">
        <v>8</v>
      </c>
      <c r="C1374" t="str">
        <f>HYPERLINK("http://www.ncbi.nlm.nih.gov/protein/CAB3399075.1","CAB3399075.1")</f>
        <v>CAB3399075.1</v>
      </c>
      <c r="D1374">
        <v>15165</v>
      </c>
      <c r="E1374" t="str">
        <f>HYPERLINK("http://www.ncbi.nlm.nih.gov/Taxonomy/Browser/wwwtax.cgi?mode=Info&amp;id=2654633&amp;lvl=3&amp;lin=f&amp;keep=1&amp;srchmode=1&amp;unlock","2654633")</f>
        <v>2654633</v>
      </c>
      <c r="F1374" t="s">
        <v>1024</v>
      </c>
      <c r="G1374" t="str">
        <f>HYPERLINK("http://www.ncbi.nlm.nih.gov/Taxonomy/Browser/wwwtax.cgi?mode=Info&amp;id=2654633&amp;lvl=3&amp;lin=f&amp;keep=1&amp;srchmode=1&amp;unlock","Caenorhabditis bovis")</f>
        <v>Caenorhabditis bovis</v>
      </c>
      <c r="H1374" t="s">
        <v>1027</v>
      </c>
      <c r="I1374" t="str">
        <f>HYPERLINK("http://www.ncbi.nlm.nih.gov/protein/CAB3399075.1","unnamed protein product")</f>
        <v>unnamed protein product</v>
      </c>
      <c r="J1374">
        <v>1422.14</v>
      </c>
      <c r="K1374" t="s">
        <v>22</v>
      </c>
      <c r="L1374">
        <v>276</v>
      </c>
      <c r="M1374">
        <v>9.75</v>
      </c>
      <c r="N1374">
        <v>13.6</v>
      </c>
      <c r="O1374" t="s">
        <v>19</v>
      </c>
      <c r="P1374" t="s">
        <v>20</v>
      </c>
      <c r="Q1374" t="s">
        <v>19</v>
      </c>
      <c r="R1374" t="str">
        <f>HYPERLINK("https://cfpub.epa.gov/ecotox/explore.cfm?ncbi=2654633","Explore in ECOTOX")</f>
        <v>Explore in ECOTOX</v>
      </c>
    </row>
    <row r="1375" spans="1:18" x14ac:dyDescent="0.45">
      <c r="A1375" t="s">
        <v>1264</v>
      </c>
      <c r="B1375">
        <v>8</v>
      </c>
      <c r="C1375" t="str">
        <f>HYPERLINK("http://www.ncbi.nlm.nih.gov/protein/EFP05547.1","EFP05547.1")</f>
        <v>EFP05547.1</v>
      </c>
      <c r="D1375">
        <v>85594</v>
      </c>
      <c r="E1375" t="str">
        <f>HYPERLINK("http://www.ncbi.nlm.nih.gov/Taxonomy/Browser/wwwtax.cgi?mode=Info&amp;id=31234&amp;lvl=3&amp;lin=f&amp;keep=1&amp;srchmode=1&amp;unlock","31234")</f>
        <v>31234</v>
      </c>
      <c r="F1375" t="s">
        <v>1024</v>
      </c>
      <c r="G1375" t="str">
        <f>HYPERLINK("http://www.ncbi.nlm.nih.gov/Taxonomy/Browser/wwwtax.cgi?mode=Info&amp;id=31234&amp;lvl=3&amp;lin=f&amp;keep=1&amp;srchmode=1&amp;unlock","Caenorhabditis remanei")</f>
        <v>Caenorhabditis remanei</v>
      </c>
      <c r="H1375" t="s">
        <v>1027</v>
      </c>
      <c r="I1375" t="str">
        <f>HYPERLINK("http://www.ncbi.nlm.nih.gov/protein/EFP05547.1","CRE-UNC-68 protein")</f>
        <v>CRE-UNC-68 protein</v>
      </c>
      <c r="J1375">
        <v>1412.51</v>
      </c>
      <c r="K1375" t="s">
        <v>22</v>
      </c>
      <c r="L1375">
        <v>276</v>
      </c>
      <c r="M1375">
        <v>9.75</v>
      </c>
      <c r="N1375">
        <v>13.51</v>
      </c>
      <c r="O1375" t="s">
        <v>19</v>
      </c>
      <c r="P1375" t="s">
        <v>20</v>
      </c>
      <c r="Q1375" t="s">
        <v>19</v>
      </c>
      <c r="R1375" t="str">
        <f>HYPERLINK("https://cfpub.epa.gov/ecotox/explore.cfm?ncbi=31234","Explore in ECOTOX")</f>
        <v>Explore in ECOTOX</v>
      </c>
    </row>
    <row r="1376" spans="1:18" x14ac:dyDescent="0.45">
      <c r="A1376" t="s">
        <v>1264</v>
      </c>
      <c r="B1376">
        <v>8</v>
      </c>
      <c r="C1376" t="str">
        <f>HYPERLINK("http://www.ncbi.nlm.nih.gov/protein/CAH2061839.1","CAH2061839.1")</f>
        <v>CAH2061839.1</v>
      </c>
      <c r="D1376">
        <v>20252</v>
      </c>
      <c r="E1376" t="str">
        <f>HYPERLINK("http://www.ncbi.nlm.nih.gov/Taxonomy/Browser/wwwtax.cgi?mode=Info&amp;id=110791&amp;lvl=3&amp;lin=f&amp;keep=1&amp;srchmode=1&amp;unlock","110791")</f>
        <v>110791</v>
      </c>
      <c r="F1376" t="s">
        <v>760</v>
      </c>
      <c r="G1376" t="str">
        <f>HYPERLINK("http://www.ncbi.nlm.nih.gov/Taxonomy/Browser/wwwtax.cgi?mode=Info&amp;id=110791&amp;lvl=3&amp;lin=f&amp;keep=1&amp;srchmode=1&amp;unlock","Iphiclides podalirius")</f>
        <v>Iphiclides podalirius</v>
      </c>
      <c r="H1376" t="s">
        <v>1164</v>
      </c>
      <c r="I1376" t="str">
        <f>HYPERLINK("http://www.ncbi.nlm.nih.gov/protein/CAH2061839.1","unnamed protein product, partial")</f>
        <v>unnamed protein product, partial</v>
      </c>
      <c r="J1376">
        <v>1410.2</v>
      </c>
      <c r="K1376" t="s">
        <v>22</v>
      </c>
      <c r="L1376">
        <v>276</v>
      </c>
      <c r="M1376">
        <v>9.75</v>
      </c>
      <c r="N1376">
        <v>13.49</v>
      </c>
      <c r="O1376" t="s">
        <v>19</v>
      </c>
      <c r="P1376" t="s">
        <v>20</v>
      </c>
      <c r="Q1376" t="s">
        <v>19</v>
      </c>
      <c r="R1376" t="str">
        <f>HYPERLINK("https://cfpub.epa.gov/ecotox/explore.cfm?ncbi=110791","Explore in ECOTOX")</f>
        <v>Explore in ECOTOX</v>
      </c>
    </row>
    <row r="1377" spans="1:18" x14ac:dyDescent="0.45">
      <c r="A1377" t="s">
        <v>1264</v>
      </c>
      <c r="B1377">
        <v>8</v>
      </c>
      <c r="C1377" t="str">
        <f>HYPERLINK("http://www.ncbi.nlm.nih.gov/protein/CAH2098709.1","CAH2098709.1")</f>
        <v>CAH2098709.1</v>
      </c>
      <c r="D1377">
        <v>26296</v>
      </c>
      <c r="E1377" t="str">
        <f>HYPERLINK("http://www.ncbi.nlm.nih.gov/Taxonomy/Browser/wwwtax.cgi?mode=Info&amp;id=104508&amp;lvl=3&amp;lin=f&amp;keep=1&amp;srchmode=1&amp;unlock","104508")</f>
        <v>104508</v>
      </c>
      <c r="F1377" t="s">
        <v>760</v>
      </c>
      <c r="G1377" t="str">
        <f>HYPERLINK("http://www.ncbi.nlm.nih.gov/Taxonomy/Browser/wwwtax.cgi?mode=Info&amp;id=104508&amp;lvl=3&amp;lin=f&amp;keep=1&amp;srchmode=1&amp;unlock","Euphydryas editha")</f>
        <v>Euphydryas editha</v>
      </c>
      <c r="H1377" t="s">
        <v>1165</v>
      </c>
      <c r="I1377" t="str">
        <f>HYPERLINK("http://www.ncbi.nlm.nih.gov/protein/CAH2098709.1","unnamed protein product")</f>
        <v>unnamed protein product</v>
      </c>
      <c r="J1377">
        <v>1406.73</v>
      </c>
      <c r="K1377" t="s">
        <v>22</v>
      </c>
      <c r="L1377">
        <v>276</v>
      </c>
      <c r="M1377">
        <v>9.75</v>
      </c>
      <c r="N1377">
        <v>13.46</v>
      </c>
      <c r="O1377" t="s">
        <v>19</v>
      </c>
      <c r="P1377" t="s">
        <v>20</v>
      </c>
      <c r="Q1377" t="s">
        <v>19</v>
      </c>
      <c r="R1377" t="str">
        <f>HYPERLINK("https://cfpub.epa.gov/ecotox/explore.cfm?ncbi=104508","Explore in ECOTOX")</f>
        <v>Explore in ECOTOX</v>
      </c>
    </row>
    <row r="1378" spans="1:18" x14ac:dyDescent="0.45">
      <c r="A1378" t="s">
        <v>1264</v>
      </c>
      <c r="B1378">
        <v>8</v>
      </c>
      <c r="C1378" t="str">
        <f>HYPERLINK("http://www.ncbi.nlm.nih.gov/protein/VDN59926.1","VDN59926.1")</f>
        <v>VDN59926.1</v>
      </c>
      <c r="D1378">
        <v>11827</v>
      </c>
      <c r="E1378" t="str">
        <f>HYPERLINK("http://www.ncbi.nlm.nih.gov/Taxonomy/Browser/wwwtax.cgi?mode=Info&amp;id=318479&amp;lvl=3&amp;lin=f&amp;keep=1&amp;srchmode=1&amp;unlock","318479")</f>
        <v>318479</v>
      </c>
      <c r="F1378" t="s">
        <v>1024</v>
      </c>
      <c r="G1378" t="str">
        <f>HYPERLINK("http://www.ncbi.nlm.nih.gov/Taxonomy/Browser/wwwtax.cgi?mode=Info&amp;id=318479&amp;lvl=3&amp;lin=f&amp;keep=1&amp;srchmode=1&amp;unlock","Dracunculus medinensis")</f>
        <v>Dracunculus medinensis</v>
      </c>
      <c r="H1378" t="s">
        <v>1166</v>
      </c>
      <c r="I1378" t="str">
        <f>HYPERLINK("http://www.ncbi.nlm.nih.gov/protein/VDN59926.1","unnamed protein product")</f>
        <v>unnamed protein product</v>
      </c>
      <c r="J1378">
        <v>1398.65</v>
      </c>
      <c r="K1378" t="s">
        <v>22</v>
      </c>
      <c r="L1378">
        <v>276</v>
      </c>
      <c r="M1378">
        <v>9.75</v>
      </c>
      <c r="N1378">
        <v>13.38</v>
      </c>
      <c r="O1378" t="s">
        <v>19</v>
      </c>
      <c r="P1378" t="s">
        <v>20</v>
      </c>
      <c r="Q1378" t="s">
        <v>19</v>
      </c>
      <c r="R1378" t="str">
        <f>HYPERLINK("https://cfpub.epa.gov/ecotox/explore.cfm?ncbi=318479","Explore in ECOTOX")</f>
        <v>Explore in ECOTOX</v>
      </c>
    </row>
    <row r="1379" spans="1:18" x14ac:dyDescent="0.45">
      <c r="A1379" t="s">
        <v>1264</v>
      </c>
      <c r="B1379">
        <v>8</v>
      </c>
      <c r="C1379" t="str">
        <f>HYPERLINK("http://www.ncbi.nlm.nih.gov/protein/XP_050406916.2","XP_050406916.2")</f>
        <v>XP_050406916.2</v>
      </c>
      <c r="D1379">
        <v>27850</v>
      </c>
      <c r="E1379" t="str">
        <f>HYPERLINK("http://www.ncbi.nlm.nih.gov/Taxonomy/Browser/wwwtax.cgi?mode=Info&amp;id=6465&amp;lvl=3&amp;lin=f&amp;keep=1&amp;srchmode=1&amp;unlock","6465")</f>
        <v>6465</v>
      </c>
      <c r="F1379" t="s">
        <v>757</v>
      </c>
      <c r="G1379" t="str">
        <f>HYPERLINK("http://www.ncbi.nlm.nih.gov/Taxonomy/Browser/wwwtax.cgi?mode=Info&amp;id=6465&amp;lvl=3&amp;lin=f&amp;keep=1&amp;srchmode=1&amp;unlock","Patella vulgata")</f>
        <v>Patella vulgata</v>
      </c>
      <c r="H1379" t="s">
        <v>1167</v>
      </c>
      <c r="I1379" t="str">
        <f>HYPERLINK("http://www.ncbi.nlm.nih.gov/protein/XP_050406916.2","ryanodine receptor")</f>
        <v>ryanodine receptor</v>
      </c>
      <c r="J1379">
        <v>1393.25</v>
      </c>
      <c r="K1379" t="s">
        <v>19</v>
      </c>
      <c r="L1379">
        <v>276</v>
      </c>
      <c r="M1379">
        <v>9.75</v>
      </c>
      <c r="N1379">
        <v>13.33</v>
      </c>
      <c r="O1379" t="s">
        <v>19</v>
      </c>
      <c r="P1379" t="s">
        <v>20</v>
      </c>
      <c r="Q1379" t="s">
        <v>19</v>
      </c>
      <c r="R1379" t="str">
        <f>HYPERLINK("https://cfpub.epa.gov/ecotox/explore.cfm?ncbi=6465","Explore in ECOTOX")</f>
        <v>Explore in ECOTOX</v>
      </c>
    </row>
    <row r="1380" spans="1:18" x14ac:dyDescent="0.45">
      <c r="A1380" t="s">
        <v>1264</v>
      </c>
      <c r="B1380">
        <v>8</v>
      </c>
      <c r="C1380" t="str">
        <f>HYPERLINK("http://www.ncbi.nlm.nih.gov/protein/CAJ0592099.1","CAJ0592099.1")</f>
        <v>CAJ0592099.1</v>
      </c>
      <c r="D1380">
        <v>22772</v>
      </c>
      <c r="E1380" t="str">
        <f>HYPERLINK("http://www.ncbi.nlm.nih.gov/Taxonomy/Browser/wwwtax.cgi?mode=Info&amp;id=53992&amp;lvl=3&amp;lin=f&amp;keep=1&amp;srchmode=1&amp;unlock","53992")</f>
        <v>53992</v>
      </c>
      <c r="F1380" t="s">
        <v>1024</v>
      </c>
      <c r="G1380" t="str">
        <f>HYPERLINK("http://www.ncbi.nlm.nih.gov/Taxonomy/Browser/wwwtax.cgi?mode=Info&amp;id=53992&amp;lvl=3&amp;lin=f&amp;keep=1&amp;srchmode=1&amp;unlock","Cylicocyclus nassatus")</f>
        <v>Cylicocyclus nassatus</v>
      </c>
      <c r="H1380" t="s">
        <v>1025</v>
      </c>
      <c r="I1380" t="str">
        <f>HYPERLINK("http://www.ncbi.nlm.nih.gov/protein/CAJ0592099.1","unnamed protein product")</f>
        <v>unnamed protein product</v>
      </c>
      <c r="J1380">
        <v>1389.02</v>
      </c>
      <c r="K1380" t="s">
        <v>22</v>
      </c>
      <c r="L1380">
        <v>276</v>
      </c>
      <c r="M1380">
        <v>9.75</v>
      </c>
      <c r="N1380">
        <v>13.29</v>
      </c>
      <c r="O1380" t="s">
        <v>19</v>
      </c>
      <c r="P1380" t="s">
        <v>20</v>
      </c>
      <c r="Q1380" t="s">
        <v>19</v>
      </c>
      <c r="R1380" t="str">
        <f>HYPERLINK("https://cfpub.epa.gov/ecotox/explore.cfm?ncbi=53992","Explore in ECOTOX")</f>
        <v>Explore in ECOTOX</v>
      </c>
    </row>
    <row r="1381" spans="1:18" x14ac:dyDescent="0.45">
      <c r="A1381" t="s">
        <v>1264</v>
      </c>
      <c r="B1381">
        <v>8</v>
      </c>
      <c r="C1381" t="str">
        <f>HYPERLINK("http://www.ncbi.nlm.nih.gov/protein/VDO20009.1","VDO20009.1")</f>
        <v>VDO20009.1</v>
      </c>
      <c r="D1381">
        <v>15879</v>
      </c>
      <c r="E1381" t="str">
        <f>HYPERLINK("http://www.ncbi.nlm.nih.gov/Taxonomy/Browser/wwwtax.cgi?mode=Info&amp;id=42155&amp;lvl=3&amp;lin=f&amp;keep=1&amp;srchmode=1&amp;unlock","42155")</f>
        <v>42155</v>
      </c>
      <c r="F1381" t="s">
        <v>1024</v>
      </c>
      <c r="G1381" t="str">
        <f>HYPERLINK("http://www.ncbi.nlm.nih.gov/Taxonomy/Browser/wwwtax.cgi?mode=Info&amp;id=42155&amp;lvl=3&amp;lin=f&amp;keep=1&amp;srchmode=1&amp;unlock","Brugia timori")</f>
        <v>Brugia timori</v>
      </c>
      <c r="H1381" t="s">
        <v>1027</v>
      </c>
      <c r="I1381" t="str">
        <f>HYPERLINK("http://www.ncbi.nlm.nih.gov/protein/VDO20009.1","unnamed protein product")</f>
        <v>unnamed protein product</v>
      </c>
      <c r="J1381">
        <v>1383.24</v>
      </c>
      <c r="K1381" t="s">
        <v>22</v>
      </c>
      <c r="L1381">
        <v>276</v>
      </c>
      <c r="M1381">
        <v>9.75</v>
      </c>
      <c r="N1381">
        <v>13.23</v>
      </c>
      <c r="O1381" t="s">
        <v>19</v>
      </c>
      <c r="P1381" t="s">
        <v>20</v>
      </c>
      <c r="Q1381" t="s">
        <v>19</v>
      </c>
      <c r="R1381" t="str">
        <f>HYPERLINK("https://cfpub.epa.gov/ecotox/explore.cfm?ncbi=42155","Explore in ECOTOX")</f>
        <v>Explore in ECOTOX</v>
      </c>
    </row>
    <row r="1382" spans="1:18" x14ac:dyDescent="0.45">
      <c r="A1382" t="s">
        <v>1264</v>
      </c>
      <c r="B1382">
        <v>8</v>
      </c>
      <c r="C1382" t="str">
        <f>HYPERLINK("http://www.ncbi.nlm.nih.gov/protein/GMR59737.1","GMR59737.1")</f>
        <v>GMR59737.1</v>
      </c>
      <c r="D1382">
        <v>33456</v>
      </c>
      <c r="E1382" t="str">
        <f>HYPERLINK("http://www.ncbi.nlm.nih.gov/Taxonomy/Browser/wwwtax.cgi?mode=Info&amp;id=1317129&amp;lvl=3&amp;lin=f&amp;keep=1&amp;srchmode=1&amp;unlock","1317129")</f>
        <v>1317129</v>
      </c>
      <c r="F1382" t="s">
        <v>1024</v>
      </c>
      <c r="G1382" t="str">
        <f>HYPERLINK("http://www.ncbi.nlm.nih.gov/Taxonomy/Browser/wwwtax.cgi?mode=Info&amp;id=1317129&amp;lvl=3&amp;lin=f&amp;keep=1&amp;srchmode=1&amp;unlock","Pristionchus mayeri")</f>
        <v>Pristionchus mayeri</v>
      </c>
      <c r="H1382" t="s">
        <v>1027</v>
      </c>
      <c r="I1382" t="str">
        <f>HYPERLINK("http://www.ncbi.nlm.nih.gov/protein/GMR59737.1","hypothetical protein PMAYCL1PPCAC_29932, partial")</f>
        <v>hypothetical protein PMAYCL1PPCAC_29932, partial</v>
      </c>
      <c r="J1382">
        <v>1379.77</v>
      </c>
      <c r="K1382" t="s">
        <v>22</v>
      </c>
      <c r="L1382">
        <v>276</v>
      </c>
      <c r="M1382">
        <v>9.75</v>
      </c>
      <c r="N1382">
        <v>13.2</v>
      </c>
      <c r="O1382" t="s">
        <v>19</v>
      </c>
      <c r="P1382" t="s">
        <v>20</v>
      </c>
      <c r="Q1382" t="s">
        <v>19</v>
      </c>
      <c r="R1382" t="str">
        <f>HYPERLINK("https://cfpub.epa.gov/ecotox/explore.cfm?ncbi=1317129","Explore in ECOTOX")</f>
        <v>Explore in ECOTOX</v>
      </c>
    </row>
    <row r="1383" spans="1:18" x14ac:dyDescent="0.45">
      <c r="A1383" t="s">
        <v>1264</v>
      </c>
      <c r="B1383">
        <v>8</v>
      </c>
      <c r="C1383" t="str">
        <f>HYPERLINK("http://www.ncbi.nlm.nih.gov/protein/CAH2243740.1","CAH2243740.1")</f>
        <v>CAH2243740.1</v>
      </c>
      <c r="D1383">
        <v>28895</v>
      </c>
      <c r="E1383" t="str">
        <f>HYPERLINK("http://www.ncbi.nlm.nih.gov/Taxonomy/Browser/wwwtax.cgi?mode=Info&amp;id=348720&amp;lvl=3&amp;lin=f&amp;keep=1&amp;srchmode=1&amp;unlock","348720")</f>
        <v>348720</v>
      </c>
      <c r="F1383" t="s">
        <v>760</v>
      </c>
      <c r="G1383" t="str">
        <f>HYPERLINK("http://www.ncbi.nlm.nih.gov/Taxonomy/Browser/wwwtax.cgi?mode=Info&amp;id=348720&amp;lvl=3&amp;lin=f&amp;keep=1&amp;srchmode=1&amp;unlock","Pararge aegeria aegeria")</f>
        <v>Pararge aegeria aegeria</v>
      </c>
      <c r="H1383" t="s">
        <v>894</v>
      </c>
      <c r="I1383" t="str">
        <f>HYPERLINK("http://www.ncbi.nlm.nih.gov/protein/CAH2243740.1","jg7116")</f>
        <v>jg7116</v>
      </c>
      <c r="J1383">
        <v>1379</v>
      </c>
      <c r="K1383" t="s">
        <v>22</v>
      </c>
      <c r="L1383">
        <v>276</v>
      </c>
      <c r="M1383">
        <v>9.75</v>
      </c>
      <c r="N1383">
        <v>13.19</v>
      </c>
      <c r="O1383" t="s">
        <v>19</v>
      </c>
      <c r="P1383" t="s">
        <v>20</v>
      </c>
      <c r="Q1383" t="s">
        <v>19</v>
      </c>
      <c r="R1383" t="str">
        <f>HYPERLINK("https://cfpub.epa.gov/ecotox/explore.cfm?ncbi=348720","Explore in ECOTOX")</f>
        <v>Explore in ECOTOX</v>
      </c>
    </row>
    <row r="1384" spans="1:18" x14ac:dyDescent="0.45">
      <c r="A1384" t="s">
        <v>1264</v>
      </c>
      <c r="B1384">
        <v>8</v>
      </c>
      <c r="C1384" t="str">
        <f>HYPERLINK("http://www.ncbi.nlm.nih.gov/protein/OZC09631.1","OZC09631.1")</f>
        <v>OZC09631.1</v>
      </c>
      <c r="D1384">
        <v>24246</v>
      </c>
      <c r="E1384" t="str">
        <f>HYPERLINK("http://www.ncbi.nlm.nih.gov/Taxonomy/Browser/wwwtax.cgi?mode=Info&amp;id=387005&amp;lvl=3&amp;lin=f&amp;keep=1&amp;srchmode=1&amp;unlock","387005")</f>
        <v>387005</v>
      </c>
      <c r="F1384" t="s">
        <v>1024</v>
      </c>
      <c r="G1384" t="str">
        <f>HYPERLINK("http://www.ncbi.nlm.nih.gov/Taxonomy/Browser/wwwtax.cgi?mode=Info&amp;id=387005&amp;lvl=3&amp;lin=f&amp;keep=1&amp;srchmode=1&amp;unlock","Onchocerca flexuosa")</f>
        <v>Onchocerca flexuosa</v>
      </c>
      <c r="H1384" t="s">
        <v>1027</v>
      </c>
      <c r="I1384" t="str">
        <f>HYPERLINK("http://www.ncbi.nlm.nih.gov/protein/OZC09631.1","RIH domain protein")</f>
        <v>RIH domain protein</v>
      </c>
      <c r="J1384">
        <v>1361.28</v>
      </c>
      <c r="K1384" t="s">
        <v>22</v>
      </c>
      <c r="L1384">
        <v>276</v>
      </c>
      <c r="M1384">
        <v>9.75</v>
      </c>
      <c r="N1384">
        <v>13.02</v>
      </c>
      <c r="O1384" t="s">
        <v>19</v>
      </c>
      <c r="P1384" t="s">
        <v>20</v>
      </c>
      <c r="Q1384" t="s">
        <v>19</v>
      </c>
      <c r="R1384" t="str">
        <f>HYPERLINK("https://cfpub.epa.gov/ecotox/explore.cfm?ncbi=387005","Explore in ECOTOX")</f>
        <v>Explore in ECOTOX</v>
      </c>
    </row>
    <row r="1385" spans="1:18" x14ac:dyDescent="0.45">
      <c r="A1385" t="s">
        <v>1264</v>
      </c>
      <c r="B1385">
        <v>8</v>
      </c>
      <c r="C1385" t="str">
        <f>HYPERLINK("http://www.ncbi.nlm.nih.gov/protein/EGT47004.1","EGT47004.1")</f>
        <v>EGT47004.1</v>
      </c>
      <c r="D1385">
        <v>31593</v>
      </c>
      <c r="E1385" t="str">
        <f>HYPERLINK("http://www.ncbi.nlm.nih.gov/Taxonomy/Browser/wwwtax.cgi?mode=Info&amp;id=135651&amp;lvl=3&amp;lin=f&amp;keep=1&amp;srchmode=1&amp;unlock","135651")</f>
        <v>135651</v>
      </c>
      <c r="F1385" t="s">
        <v>1024</v>
      </c>
      <c r="G1385" t="str">
        <f>HYPERLINK("http://www.ncbi.nlm.nih.gov/Taxonomy/Browser/wwwtax.cgi?mode=Info&amp;id=135651&amp;lvl=3&amp;lin=f&amp;keep=1&amp;srchmode=1&amp;unlock","Caenorhabditis brenneri")</f>
        <v>Caenorhabditis brenneri</v>
      </c>
      <c r="H1385" t="s">
        <v>1027</v>
      </c>
      <c r="I1385" t="str">
        <f>HYPERLINK("http://www.ncbi.nlm.nih.gov/protein/EGT47004.1","CBN-UNC-68 protein")</f>
        <v>CBN-UNC-68 protein</v>
      </c>
      <c r="J1385">
        <v>1353.58</v>
      </c>
      <c r="K1385" t="s">
        <v>22</v>
      </c>
      <c r="L1385">
        <v>276</v>
      </c>
      <c r="M1385">
        <v>9.75</v>
      </c>
      <c r="N1385">
        <v>12.95</v>
      </c>
      <c r="O1385" t="s">
        <v>19</v>
      </c>
      <c r="P1385" t="s">
        <v>20</v>
      </c>
      <c r="Q1385" t="s">
        <v>19</v>
      </c>
      <c r="R1385" t="str">
        <f>HYPERLINK("https://cfpub.epa.gov/ecotox/explore.cfm?ncbi=135651","Explore in ECOTOX")</f>
        <v>Explore in ECOTOX</v>
      </c>
    </row>
    <row r="1386" spans="1:18" x14ac:dyDescent="0.45">
      <c r="A1386" t="s">
        <v>1264</v>
      </c>
      <c r="B1386">
        <v>8</v>
      </c>
      <c r="C1386" t="str">
        <f>HYPERLINK("http://www.ncbi.nlm.nih.gov/protein/XP_014664678.1","XP_014664678.1")</f>
        <v>XP_014664678.1</v>
      </c>
      <c r="D1386">
        <v>20882</v>
      </c>
      <c r="E1386" t="str">
        <f>HYPERLINK("http://www.ncbi.nlm.nih.gov/Taxonomy/Browser/wwwtax.cgi?mode=Info&amp;id=37621&amp;lvl=3&amp;lin=f&amp;keep=1&amp;srchmode=1&amp;unlock","37621")</f>
        <v>37621</v>
      </c>
      <c r="F1386" t="s">
        <v>1168</v>
      </c>
      <c r="G1386" t="str">
        <f>HYPERLINK("http://www.ncbi.nlm.nih.gov/Taxonomy/Browser/wwwtax.cgi?mode=Info&amp;id=37621&amp;lvl=3&amp;lin=f&amp;keep=1&amp;srchmode=1&amp;unlock","Priapulus caudatus")</f>
        <v>Priapulus caudatus</v>
      </c>
      <c r="H1386" t="s">
        <v>1169</v>
      </c>
      <c r="I1386" t="str">
        <f>HYPERLINK("http://www.ncbi.nlm.nih.gov/protein/XP_014664678.1","PREDICTED: ryanodine receptor-like isoform X1")</f>
        <v>PREDICTED: ryanodine receptor-like isoform X1</v>
      </c>
      <c r="J1386">
        <v>1343.18</v>
      </c>
      <c r="K1386" t="s">
        <v>22</v>
      </c>
      <c r="L1386">
        <v>276</v>
      </c>
      <c r="M1386">
        <v>9.75</v>
      </c>
      <c r="N1386">
        <v>12.85</v>
      </c>
      <c r="O1386" t="s">
        <v>19</v>
      </c>
      <c r="P1386" t="s">
        <v>20</v>
      </c>
      <c r="Q1386" t="s">
        <v>19</v>
      </c>
      <c r="R1386" t="str">
        <f>HYPERLINK("https://cfpub.epa.gov/ecotox/explore.cfm?ncbi=37621","Explore in ECOTOX")</f>
        <v>Explore in ECOTOX</v>
      </c>
    </row>
    <row r="1387" spans="1:18" x14ac:dyDescent="0.45">
      <c r="A1387" t="s">
        <v>1264</v>
      </c>
      <c r="B1387">
        <v>8</v>
      </c>
      <c r="C1387" t="str">
        <f>HYPERLINK("http://www.ncbi.nlm.nih.gov/protein/CAH1792831.1","CAH1792831.1")</f>
        <v>CAH1792831.1</v>
      </c>
      <c r="D1387">
        <v>30867</v>
      </c>
      <c r="E1387" t="str">
        <f>HYPERLINK("http://www.ncbi.nlm.nih.gov/Taxonomy/Browser/wwwtax.cgi?mode=Info&amp;id=6347&amp;lvl=3&amp;lin=f&amp;keep=1&amp;srchmode=1&amp;unlock","6347")</f>
        <v>6347</v>
      </c>
      <c r="F1387" t="s">
        <v>862</v>
      </c>
      <c r="G1387" t="str">
        <f>HYPERLINK("http://www.ncbi.nlm.nih.gov/Taxonomy/Browser/wwwtax.cgi?mode=Info&amp;id=6347&amp;lvl=3&amp;lin=f&amp;keep=1&amp;srchmode=1&amp;unlock","Owenia fusiformis")</f>
        <v>Owenia fusiformis</v>
      </c>
      <c r="H1387" t="s">
        <v>863</v>
      </c>
      <c r="I1387" t="str">
        <f>HYPERLINK("http://www.ncbi.nlm.nih.gov/protein/CAH1792831.1","unnamed protein product")</f>
        <v>unnamed protein product</v>
      </c>
      <c r="J1387">
        <v>1340.87</v>
      </c>
      <c r="K1387" t="s">
        <v>22</v>
      </c>
      <c r="L1387">
        <v>276</v>
      </c>
      <c r="M1387">
        <v>9.75</v>
      </c>
      <c r="N1387">
        <v>12.83</v>
      </c>
      <c r="O1387" t="s">
        <v>19</v>
      </c>
      <c r="P1387" t="s">
        <v>20</v>
      </c>
      <c r="Q1387" t="s">
        <v>19</v>
      </c>
      <c r="R1387" t="str">
        <f>HYPERLINK("https://cfpub.epa.gov/ecotox/explore.cfm?ncbi=6347","Explore in ECOTOX")</f>
        <v>Explore in ECOTOX</v>
      </c>
    </row>
    <row r="1388" spans="1:18" x14ac:dyDescent="0.45">
      <c r="A1388" t="s">
        <v>1264</v>
      </c>
      <c r="B1388">
        <v>8</v>
      </c>
      <c r="C1388" t="str">
        <f>HYPERLINK("http://www.ncbi.nlm.nih.gov/protein/CAD7256110.1","CAD7256110.1")</f>
        <v>CAD7256110.1</v>
      </c>
      <c r="D1388">
        <v>14260</v>
      </c>
      <c r="E1388" t="str">
        <f>HYPERLINK("http://www.ncbi.nlm.nih.gov/Taxonomy/Browser/wwwtax.cgi?mode=Info&amp;id=629360&amp;lvl=3&amp;lin=f&amp;keep=1&amp;srchmode=1&amp;unlock","629360")</f>
        <v>629360</v>
      </c>
      <c r="F1388" t="s">
        <v>760</v>
      </c>
      <c r="G1388" t="str">
        <f>HYPERLINK("http://www.ncbi.nlm.nih.gov/Taxonomy/Browser/wwwtax.cgi?mode=Info&amp;id=629360&amp;lvl=3&amp;lin=f&amp;keep=1&amp;srchmode=1&amp;unlock","Timema shepardi")</f>
        <v>Timema shepardi</v>
      </c>
      <c r="H1388" t="s">
        <v>1039</v>
      </c>
      <c r="I1388" t="str">
        <f>HYPERLINK("http://www.ncbi.nlm.nih.gov/protein/CAD7256110.1","unnamed protein product")</f>
        <v>unnamed protein product</v>
      </c>
      <c r="J1388">
        <v>1339.71</v>
      </c>
      <c r="K1388" t="s">
        <v>22</v>
      </c>
      <c r="L1388">
        <v>276</v>
      </c>
      <c r="M1388">
        <v>9.75</v>
      </c>
      <c r="N1388">
        <v>12.82</v>
      </c>
      <c r="O1388" t="s">
        <v>19</v>
      </c>
      <c r="P1388" t="s">
        <v>20</v>
      </c>
      <c r="Q1388" t="s">
        <v>19</v>
      </c>
      <c r="R1388" t="str">
        <f>HYPERLINK("https://cfpub.epa.gov/ecotox/explore.cfm?ncbi=629360","Explore in ECOTOX")</f>
        <v>Explore in ECOTOX</v>
      </c>
    </row>
    <row r="1389" spans="1:18" x14ac:dyDescent="0.45">
      <c r="A1389" t="s">
        <v>1264</v>
      </c>
      <c r="B1389">
        <v>8</v>
      </c>
      <c r="C1389" t="str">
        <f>HYPERLINK("http://www.ncbi.nlm.nih.gov/protein/KAF8381623.1","KAF8381623.1")</f>
        <v>KAF8381623.1</v>
      </c>
      <c r="D1389">
        <v>28590</v>
      </c>
      <c r="E1389" t="str">
        <f>HYPERLINK("http://www.ncbi.nlm.nih.gov/Taxonomy/Browser/wwwtax.cgi?mode=Info&amp;id=54126&amp;lvl=3&amp;lin=f&amp;keep=1&amp;srchmode=1&amp;unlock","54126")</f>
        <v>54126</v>
      </c>
      <c r="F1389" t="s">
        <v>1024</v>
      </c>
      <c r="G1389" t="str">
        <f>HYPERLINK("http://www.ncbi.nlm.nih.gov/Taxonomy/Browser/wwwtax.cgi?mode=Info&amp;id=54126&amp;lvl=3&amp;lin=f&amp;keep=1&amp;srchmode=1&amp;unlock","Pristionchus pacificus")</f>
        <v>Pristionchus pacificus</v>
      </c>
      <c r="H1389" t="s">
        <v>1027</v>
      </c>
      <c r="I1389" t="str">
        <f>HYPERLINK("http://www.ncbi.nlm.nih.gov/protein/KAF8381623.1","unc-68")</f>
        <v>unc-68</v>
      </c>
      <c r="J1389">
        <v>1336.63</v>
      </c>
      <c r="K1389" t="s">
        <v>22</v>
      </c>
      <c r="L1389">
        <v>276</v>
      </c>
      <c r="M1389">
        <v>9.75</v>
      </c>
      <c r="N1389">
        <v>12.79</v>
      </c>
      <c r="O1389" t="s">
        <v>19</v>
      </c>
      <c r="P1389" t="s">
        <v>20</v>
      </c>
      <c r="Q1389" t="s">
        <v>19</v>
      </c>
      <c r="R1389" t="str">
        <f>HYPERLINK("https://cfpub.epa.gov/ecotox/explore.cfm?ncbi=54126","Explore in ECOTOX")</f>
        <v>Explore in ECOTOX</v>
      </c>
    </row>
    <row r="1390" spans="1:18" x14ac:dyDescent="0.45">
      <c r="A1390" t="s">
        <v>1264</v>
      </c>
      <c r="B1390">
        <v>8</v>
      </c>
      <c r="C1390" t="str">
        <f>HYPERLINK("http://www.ncbi.nlm.nih.gov/protein/KAB0390862.1","KAB0390862.1")</f>
        <v>KAB0390862.1</v>
      </c>
      <c r="D1390">
        <v>20276</v>
      </c>
      <c r="E1390" t="str">
        <f>HYPERLINK("http://www.ncbi.nlm.nih.gov/Taxonomy/Browser/wwwtax.cgi?mode=Info&amp;id=9770&amp;lvl=3&amp;lin=f&amp;keep=1&amp;srchmode=1&amp;unlock","9770")</f>
        <v>9770</v>
      </c>
      <c r="F1390" t="s">
        <v>96</v>
      </c>
      <c r="G1390" t="str">
        <f>HYPERLINK("http://www.ncbi.nlm.nih.gov/Taxonomy/Browser/wwwtax.cgi?mode=Info&amp;id=9770&amp;lvl=3&amp;lin=f&amp;keep=1&amp;srchmode=1&amp;unlock","Balaenoptera physalus")</f>
        <v>Balaenoptera physalus</v>
      </c>
      <c r="H1390" t="s">
        <v>1170</v>
      </c>
      <c r="I1390" t="str">
        <f>HYPERLINK("http://www.ncbi.nlm.nih.gov/protein/KAB0390862.1","hypothetical protein E2I00_001100, partial")</f>
        <v>hypothetical protein E2I00_001100, partial</v>
      </c>
      <c r="J1390">
        <v>1334.32</v>
      </c>
      <c r="K1390" t="s">
        <v>22</v>
      </c>
      <c r="L1390">
        <v>276</v>
      </c>
      <c r="M1390">
        <v>9.75</v>
      </c>
      <c r="N1390">
        <v>12.76</v>
      </c>
      <c r="O1390" t="s">
        <v>19</v>
      </c>
      <c r="P1390" t="s">
        <v>20</v>
      </c>
      <c r="Q1390" t="s">
        <v>19</v>
      </c>
      <c r="R1390" t="str">
        <f>HYPERLINK("https://cfpub.epa.gov/ecotox/explore.cfm?ncbi=9770","Explore in ECOTOX")</f>
        <v>Explore in ECOTOX</v>
      </c>
    </row>
    <row r="1391" spans="1:18" x14ac:dyDescent="0.45">
      <c r="A1391" t="s">
        <v>1264</v>
      </c>
      <c r="B1391">
        <v>8</v>
      </c>
      <c r="C1391" t="str">
        <f>HYPERLINK("http://www.ncbi.nlm.nih.gov/protein/CAI5451931.1","CAI5451931.1")</f>
        <v>CAI5451931.1</v>
      </c>
      <c r="D1391">
        <v>19530</v>
      </c>
      <c r="E1391" t="str">
        <f>HYPERLINK("http://www.ncbi.nlm.nih.gov/Taxonomy/Browser/wwwtax.cgi?mode=Info&amp;id=860376&amp;lvl=3&amp;lin=f&amp;keep=1&amp;srchmode=1&amp;unlock","860376")</f>
        <v>860376</v>
      </c>
      <c r="F1391" t="s">
        <v>1024</v>
      </c>
      <c r="G1391" t="str">
        <f>HYPERLINK("http://www.ncbi.nlm.nih.gov/Taxonomy/Browser/wwwtax.cgi?mode=Info&amp;id=860376&amp;lvl=3&amp;lin=f&amp;keep=1&amp;srchmode=1&amp;unlock","Caenorhabditis angaria")</f>
        <v>Caenorhabditis angaria</v>
      </c>
      <c r="H1391" t="s">
        <v>1027</v>
      </c>
      <c r="I1391" t="str">
        <f>HYPERLINK("http://www.ncbi.nlm.nih.gov/protein/CAI5451931.1","unnamed protein product")</f>
        <v>unnamed protein product</v>
      </c>
      <c r="J1391">
        <v>1330.85</v>
      </c>
      <c r="K1391" t="s">
        <v>22</v>
      </c>
      <c r="L1391">
        <v>276</v>
      </c>
      <c r="M1391">
        <v>9.75</v>
      </c>
      <c r="N1391">
        <v>12.73</v>
      </c>
      <c r="O1391" t="s">
        <v>19</v>
      </c>
      <c r="P1391" t="s">
        <v>20</v>
      </c>
      <c r="Q1391" t="s">
        <v>19</v>
      </c>
      <c r="R1391" t="str">
        <f>HYPERLINK("https://cfpub.epa.gov/ecotox/explore.cfm?ncbi=860376","Explore in ECOTOX")</f>
        <v>Explore in ECOTOX</v>
      </c>
    </row>
    <row r="1392" spans="1:18" x14ac:dyDescent="0.45">
      <c r="A1392" t="s">
        <v>1264</v>
      </c>
      <c r="B1392">
        <v>8</v>
      </c>
      <c r="C1392" t="str">
        <f>HYPERLINK("http://www.ncbi.nlm.nih.gov/protein/CAD5123938.1","CAD5123938.1")</f>
        <v>CAD5123938.1</v>
      </c>
      <c r="D1392">
        <v>16184</v>
      </c>
      <c r="E1392" t="str">
        <f>HYPERLINK("http://www.ncbi.nlm.nih.gov/Taxonomy/Browser/wwwtax.cgi?mode=Info&amp;id=2664684&amp;lvl=3&amp;lin=f&amp;keep=1&amp;srchmode=1&amp;unlock","2664684")</f>
        <v>2664684</v>
      </c>
      <c r="F1392" t="s">
        <v>862</v>
      </c>
      <c r="G1392" t="str">
        <f>HYPERLINK("http://www.ncbi.nlm.nih.gov/Taxonomy/Browser/wwwtax.cgi?mode=Info&amp;id=2664684&amp;lvl=3&amp;lin=f&amp;keep=1&amp;srchmode=1&amp;unlock","Dimorphilus gyrociliatus")</f>
        <v>Dimorphilus gyrociliatus</v>
      </c>
      <c r="H1392" t="s">
        <v>863</v>
      </c>
      <c r="I1392" t="str">
        <f>HYPERLINK("http://www.ncbi.nlm.nih.gov/protein/CAD5123938.1","DgyrCDS12246")</f>
        <v>DgyrCDS12246</v>
      </c>
      <c r="J1392">
        <v>1311.98</v>
      </c>
      <c r="K1392" t="s">
        <v>19</v>
      </c>
      <c r="L1392">
        <v>276</v>
      </c>
      <c r="M1392">
        <v>9.75</v>
      </c>
      <c r="N1392">
        <v>12.55</v>
      </c>
      <c r="O1392" t="s">
        <v>19</v>
      </c>
      <c r="P1392" t="s">
        <v>20</v>
      </c>
      <c r="Q1392" t="s">
        <v>19</v>
      </c>
      <c r="R1392" t="str">
        <f>HYPERLINK("https://cfpub.epa.gov/ecotox/explore.cfm?ncbi=2664684","Explore in ECOTOX")</f>
        <v>Explore in ECOTOX</v>
      </c>
    </row>
    <row r="1393" spans="1:18" x14ac:dyDescent="0.45">
      <c r="A1393" t="s">
        <v>1264</v>
      </c>
      <c r="B1393">
        <v>8</v>
      </c>
      <c r="C1393" t="str">
        <f>HYPERLINK("http://www.ncbi.nlm.nih.gov/protein/CAD2136698.1","CAD2136698.1")</f>
        <v>CAD2136698.1</v>
      </c>
      <c r="D1393">
        <v>59798</v>
      </c>
      <c r="E1393" t="str">
        <f>HYPERLINK("http://www.ncbi.nlm.nih.gov/Taxonomy/Browser/wwwtax.cgi?mode=Info&amp;id=390850&amp;lvl=3&amp;lin=f&amp;keep=1&amp;srchmode=1&amp;unlock","390850")</f>
        <v>390850</v>
      </c>
      <c r="F1393" t="s">
        <v>1024</v>
      </c>
      <c r="G1393" t="str">
        <f>HYPERLINK("http://www.ncbi.nlm.nih.gov/Taxonomy/Browser/wwwtax.cgi?mode=Info&amp;id=390850&amp;lvl=3&amp;lin=f&amp;keep=1&amp;srchmode=1&amp;unlock","Meloidogyne enterolobii")</f>
        <v>Meloidogyne enterolobii</v>
      </c>
      <c r="H1393" t="s">
        <v>1027</v>
      </c>
      <c r="I1393" t="str">
        <f>HYPERLINK("http://www.ncbi.nlm.nih.gov/protein/CAD2136698.1","unnamed protein product")</f>
        <v>unnamed protein product</v>
      </c>
      <c r="J1393">
        <v>1310.05</v>
      </c>
      <c r="K1393" t="s">
        <v>22</v>
      </c>
      <c r="L1393">
        <v>276</v>
      </c>
      <c r="M1393">
        <v>9.75</v>
      </c>
      <c r="N1393">
        <v>12.53</v>
      </c>
      <c r="O1393" t="s">
        <v>19</v>
      </c>
      <c r="P1393" t="s">
        <v>20</v>
      </c>
      <c r="Q1393" t="s">
        <v>19</v>
      </c>
      <c r="R1393" t="str">
        <f>HYPERLINK("https://cfpub.epa.gov/ecotox/explore.cfm?ncbi=390850","Explore in ECOTOX")</f>
        <v>Explore in ECOTOX</v>
      </c>
    </row>
    <row r="1394" spans="1:18" x14ac:dyDescent="0.45">
      <c r="A1394" t="s">
        <v>1264</v>
      </c>
      <c r="B1394">
        <v>8</v>
      </c>
      <c r="C1394" t="str">
        <f>HYPERLINK("http://www.ncbi.nlm.nih.gov/protein/CAD7437731.1","CAD7437731.1")</f>
        <v>CAD7437731.1</v>
      </c>
      <c r="D1394">
        <v>14365</v>
      </c>
      <c r="E1394" t="str">
        <f>HYPERLINK("http://www.ncbi.nlm.nih.gov/Taxonomy/Browser/wwwtax.cgi?mode=Info&amp;id=61472&amp;lvl=3&amp;lin=f&amp;keep=1&amp;srchmode=1&amp;unlock","61472")</f>
        <v>61472</v>
      </c>
      <c r="F1394" t="s">
        <v>760</v>
      </c>
      <c r="G1394" t="str">
        <f>HYPERLINK("http://www.ncbi.nlm.nih.gov/Taxonomy/Browser/wwwtax.cgi?mode=Info&amp;id=61472&amp;lvl=3&amp;lin=f&amp;keep=1&amp;srchmode=1&amp;unlock","Timema bartmani")</f>
        <v>Timema bartmani</v>
      </c>
      <c r="H1394" t="s">
        <v>1039</v>
      </c>
      <c r="I1394" t="str">
        <f>HYPERLINK("http://www.ncbi.nlm.nih.gov/protein/CAD7437731.1","unnamed protein product")</f>
        <v>unnamed protein product</v>
      </c>
      <c r="J1394">
        <v>1308.51</v>
      </c>
      <c r="K1394" t="s">
        <v>22</v>
      </c>
      <c r="L1394">
        <v>276</v>
      </c>
      <c r="M1394">
        <v>9.75</v>
      </c>
      <c r="N1394">
        <v>12.52</v>
      </c>
      <c r="O1394" t="s">
        <v>19</v>
      </c>
      <c r="P1394" t="s">
        <v>20</v>
      </c>
      <c r="Q1394" t="s">
        <v>19</v>
      </c>
      <c r="R1394" t="str">
        <f>HYPERLINK("https://cfpub.epa.gov/ecotox/explore.cfm?ncbi=61472","Explore in ECOTOX")</f>
        <v>Explore in ECOTOX</v>
      </c>
    </row>
    <row r="1395" spans="1:18" x14ac:dyDescent="0.45">
      <c r="A1395" t="s">
        <v>1264</v>
      </c>
      <c r="B1395">
        <v>8</v>
      </c>
      <c r="C1395" t="str">
        <f>HYPERLINK("http://www.ncbi.nlm.nih.gov/protein/KAI5643472.1","KAI5643472.1")</f>
        <v>KAI5643472.1</v>
      </c>
      <c r="D1395">
        <v>16704</v>
      </c>
      <c r="E1395" t="str">
        <f>HYPERLINK("http://www.ncbi.nlm.nih.gov/Taxonomy/Browser/wwwtax.cgi?mode=Info&amp;id=192464&amp;lvl=3&amp;lin=f&amp;keep=1&amp;srchmode=1&amp;unlock","192464")</f>
        <v>192464</v>
      </c>
      <c r="F1395" t="s">
        <v>760</v>
      </c>
      <c r="G1395" t="str">
        <f>HYPERLINK("http://www.ncbi.nlm.nih.gov/Taxonomy/Browser/wwwtax.cgi?mode=Info&amp;id=192464&amp;lvl=3&amp;lin=f&amp;keep=1&amp;srchmode=1&amp;unlock","Phthorimaea operculella")</f>
        <v>Phthorimaea operculella</v>
      </c>
      <c r="H1395" t="s">
        <v>1171</v>
      </c>
      <c r="I1395" t="str">
        <f>HYPERLINK("http://www.ncbi.nlm.nih.gov/protein/KAI5643472.1","ryanodine receptor TM 4-6 domain-containing protein")</f>
        <v>ryanodine receptor TM 4-6 domain-containing protein</v>
      </c>
      <c r="J1395">
        <v>1303.8900000000001</v>
      </c>
      <c r="K1395" t="s">
        <v>22</v>
      </c>
      <c r="L1395">
        <v>276</v>
      </c>
      <c r="M1395">
        <v>9.75</v>
      </c>
      <c r="N1395">
        <v>12.47</v>
      </c>
      <c r="O1395" t="s">
        <v>19</v>
      </c>
      <c r="P1395" t="s">
        <v>20</v>
      </c>
      <c r="Q1395" t="s">
        <v>19</v>
      </c>
      <c r="R1395" t="str">
        <f>HYPERLINK("https://cfpub.epa.gov/ecotox/explore.cfm?ncbi=192464","Explore in ECOTOX")</f>
        <v>Explore in ECOTOX</v>
      </c>
    </row>
    <row r="1396" spans="1:18" x14ac:dyDescent="0.45">
      <c r="A1396" t="s">
        <v>1264</v>
      </c>
      <c r="B1396">
        <v>8</v>
      </c>
      <c r="C1396" t="str">
        <f>HYPERLINK("http://www.ncbi.nlm.nih.gov/protein/CAE1305662.1","CAE1305662.1")</f>
        <v>CAE1305662.1</v>
      </c>
      <c r="D1396">
        <v>53722</v>
      </c>
      <c r="E1396" t="str">
        <f>HYPERLINK("http://www.ncbi.nlm.nih.gov/Taxonomy/Browser/wwwtax.cgi?mode=Info&amp;id=158019&amp;lvl=3&amp;lin=f&amp;keep=1&amp;srchmode=1&amp;unlock","158019")</f>
        <v>158019</v>
      </c>
      <c r="F1396" t="s">
        <v>1010</v>
      </c>
      <c r="G1396" t="str">
        <f>HYPERLINK("http://www.ncbi.nlm.nih.gov/Taxonomy/Browser/wwwtax.cgi?mode=Info&amp;id=158019&amp;lvl=3&amp;lin=f&amp;keep=1&amp;srchmode=1&amp;unlock","Sepia pharaonis")</f>
        <v>Sepia pharaonis</v>
      </c>
      <c r="H1396" t="s">
        <v>1172</v>
      </c>
      <c r="I1396" t="str">
        <f>HYPERLINK("http://www.ncbi.nlm.nih.gov/protein/CAE1305662.1","RYR2")</f>
        <v>RYR2</v>
      </c>
      <c r="J1396">
        <v>1298.49</v>
      </c>
      <c r="K1396" t="s">
        <v>19</v>
      </c>
      <c r="L1396">
        <v>276</v>
      </c>
      <c r="M1396">
        <v>9.75</v>
      </c>
      <c r="N1396">
        <v>12.42</v>
      </c>
      <c r="O1396" t="s">
        <v>19</v>
      </c>
      <c r="P1396" t="s">
        <v>20</v>
      </c>
      <c r="Q1396" t="s">
        <v>19</v>
      </c>
      <c r="R1396" t="str">
        <f>HYPERLINK("https://cfpub.epa.gov/ecotox/explore.cfm?ncbi=158019","Explore in ECOTOX")</f>
        <v>Explore in ECOTOX</v>
      </c>
    </row>
    <row r="1397" spans="1:18" x14ac:dyDescent="0.45">
      <c r="A1397" t="s">
        <v>1264</v>
      </c>
      <c r="B1397">
        <v>8</v>
      </c>
      <c r="C1397" t="str">
        <f>HYPERLINK("http://www.ncbi.nlm.nih.gov/protein/CRL01689.1","CRL01689.1")</f>
        <v>CRL01689.1</v>
      </c>
      <c r="D1397">
        <v>22646</v>
      </c>
      <c r="E1397" t="str">
        <f>HYPERLINK("http://www.ncbi.nlm.nih.gov/Taxonomy/Browser/wwwtax.cgi?mode=Info&amp;id=568069&amp;lvl=3&amp;lin=f&amp;keep=1&amp;srchmode=1&amp;unlock","568069")</f>
        <v>568069</v>
      </c>
      <c r="F1397" t="s">
        <v>760</v>
      </c>
      <c r="G1397" t="str">
        <f>HYPERLINK("http://www.ncbi.nlm.nih.gov/Taxonomy/Browser/wwwtax.cgi?mode=Info&amp;id=568069&amp;lvl=3&amp;lin=f&amp;keep=1&amp;srchmode=1&amp;unlock","Clunio marinus")</f>
        <v>Clunio marinus</v>
      </c>
      <c r="H1397" t="s">
        <v>974</v>
      </c>
      <c r="I1397" t="str">
        <f>HYPERLINK("http://www.ncbi.nlm.nih.gov/protein/CRL01689.1","CLUMA_CG014907, isoform B")</f>
        <v>CLUMA_CG014907, isoform B</v>
      </c>
      <c r="J1397">
        <v>1296.18</v>
      </c>
      <c r="K1397" t="s">
        <v>22</v>
      </c>
      <c r="L1397">
        <v>276</v>
      </c>
      <c r="M1397">
        <v>9.75</v>
      </c>
      <c r="N1397">
        <v>12.4</v>
      </c>
      <c r="O1397" t="s">
        <v>19</v>
      </c>
      <c r="P1397" t="s">
        <v>20</v>
      </c>
      <c r="Q1397" t="s">
        <v>19</v>
      </c>
      <c r="R1397" t="str">
        <f>HYPERLINK("https://cfpub.epa.gov/ecotox/explore.cfm?ncbi=568069","Explore in ECOTOX")</f>
        <v>Explore in ECOTOX</v>
      </c>
    </row>
    <row r="1398" spans="1:18" x14ac:dyDescent="0.45">
      <c r="A1398" t="s">
        <v>1264</v>
      </c>
      <c r="B1398">
        <v>8</v>
      </c>
      <c r="C1398" t="str">
        <f>HYPERLINK("http://www.ncbi.nlm.nih.gov/protein/NIG60120.1","NIG60120.1")</f>
        <v>NIG60120.1</v>
      </c>
      <c r="D1398">
        <v>4401</v>
      </c>
      <c r="E1398" t="str">
        <f>HYPERLINK("http://www.ncbi.nlm.nih.gov/Taxonomy/Browser/wwwtax.cgi?mode=Info&amp;id=48723&amp;lvl=3&amp;lin=f&amp;keep=1&amp;srchmode=1&amp;unlock","48723")</f>
        <v>48723</v>
      </c>
      <c r="F1398" t="s">
        <v>96</v>
      </c>
      <c r="G1398" t="str">
        <f>HYPERLINK("http://www.ncbi.nlm.nih.gov/Taxonomy/Browser/wwwtax.cgi?mode=Info&amp;id=48723&amp;lvl=3&amp;lin=f&amp;keep=1&amp;srchmode=1&amp;unlock","Pontoporia blainvillei")</f>
        <v>Pontoporia blainvillei</v>
      </c>
      <c r="H1398" t="s">
        <v>1173</v>
      </c>
      <c r="I1398" t="str">
        <f>HYPERLINK("http://www.ncbi.nlm.nih.gov/protein/NIG60120.1","ryanodine receptor 1")</f>
        <v>ryanodine receptor 1</v>
      </c>
      <c r="J1398">
        <v>1289.25</v>
      </c>
      <c r="K1398" t="s">
        <v>19</v>
      </c>
      <c r="L1398">
        <v>276</v>
      </c>
      <c r="M1398">
        <v>9.75</v>
      </c>
      <c r="N1398">
        <v>12.33</v>
      </c>
      <c r="O1398" t="s">
        <v>19</v>
      </c>
      <c r="P1398" t="s">
        <v>20</v>
      </c>
      <c r="Q1398" t="s">
        <v>19</v>
      </c>
      <c r="R1398" t="str">
        <f>HYPERLINK("https://cfpub.epa.gov/ecotox/explore.cfm?ncbi=48723","Explore in ECOTOX")</f>
        <v>Explore in ECOTOX</v>
      </c>
    </row>
    <row r="1399" spans="1:18" x14ac:dyDescent="0.45">
      <c r="A1399" t="s">
        <v>1264</v>
      </c>
      <c r="B1399">
        <v>8</v>
      </c>
      <c r="C1399" t="str">
        <f>HYPERLINK("http://www.ncbi.nlm.nih.gov/protein/VDN03294.1","VDN03294.1")</f>
        <v>VDN03294.1</v>
      </c>
      <c r="D1399">
        <v>11062</v>
      </c>
      <c r="E1399" t="str">
        <f>HYPERLINK("http://www.ncbi.nlm.nih.gov/Taxonomy/Browser/wwwtax.cgi?mode=Info&amp;id=103827&amp;lvl=3&amp;lin=f&amp;keep=1&amp;srchmode=1&amp;unlock","103827")</f>
        <v>103827</v>
      </c>
      <c r="F1399" t="s">
        <v>1024</v>
      </c>
      <c r="G1399" t="str">
        <f>HYPERLINK("http://www.ncbi.nlm.nih.gov/Taxonomy/Browser/wwwtax.cgi?mode=Info&amp;id=103827&amp;lvl=3&amp;lin=f&amp;keep=1&amp;srchmode=1&amp;unlock","Thelazia callipaeda")</f>
        <v>Thelazia callipaeda</v>
      </c>
      <c r="H1399" t="s">
        <v>1174</v>
      </c>
      <c r="I1399" t="str">
        <f>HYPERLINK("http://www.ncbi.nlm.nih.gov/protein/VDN03294.1","unnamed protein product")</f>
        <v>unnamed protein product</v>
      </c>
      <c r="J1399">
        <v>1288.8599999999999</v>
      </c>
      <c r="K1399" t="s">
        <v>22</v>
      </c>
      <c r="L1399">
        <v>276</v>
      </c>
      <c r="M1399">
        <v>9.75</v>
      </c>
      <c r="N1399">
        <v>12.33</v>
      </c>
      <c r="O1399" t="s">
        <v>19</v>
      </c>
      <c r="P1399" t="s">
        <v>20</v>
      </c>
      <c r="Q1399" t="s">
        <v>19</v>
      </c>
      <c r="R1399" t="str">
        <f>HYPERLINK("https://cfpub.epa.gov/ecotox/explore.cfm?ncbi=103827","Explore in ECOTOX")</f>
        <v>Explore in ECOTOX</v>
      </c>
    </row>
    <row r="1400" spans="1:18" x14ac:dyDescent="0.45">
      <c r="A1400" t="s">
        <v>1264</v>
      </c>
      <c r="B1400">
        <v>8</v>
      </c>
      <c r="C1400" t="str">
        <f>HYPERLINK("http://www.ncbi.nlm.nih.gov/protein/KMQ97692.1","KMQ97692.1")</f>
        <v>KMQ97692.1</v>
      </c>
      <c r="D1400">
        <v>18399</v>
      </c>
      <c r="E1400" t="str">
        <f>HYPERLINK("http://www.ncbi.nlm.nih.gov/Taxonomy/Browser/wwwtax.cgi?mode=Info&amp;id=67767&amp;lvl=3&amp;lin=f&amp;keep=1&amp;srchmode=1&amp;unlock","67767")</f>
        <v>67767</v>
      </c>
      <c r="F1400" t="s">
        <v>760</v>
      </c>
      <c r="G1400" t="str">
        <f>HYPERLINK("http://www.ncbi.nlm.nih.gov/Taxonomy/Browser/wwwtax.cgi?mode=Info&amp;id=67767&amp;lvl=3&amp;lin=f&amp;keep=1&amp;srchmode=1&amp;unlock","Lasius niger")</f>
        <v>Lasius niger</v>
      </c>
      <c r="H1400" t="s">
        <v>769</v>
      </c>
      <c r="I1400" t="str">
        <f>HYPERLINK("http://www.ncbi.nlm.nih.gov/protein/KMQ97692.1","ryanodine receptor 44f")</f>
        <v>ryanodine receptor 44f</v>
      </c>
      <c r="J1400">
        <v>1288.48</v>
      </c>
      <c r="K1400" t="s">
        <v>22</v>
      </c>
      <c r="L1400">
        <v>276</v>
      </c>
      <c r="M1400">
        <v>9.75</v>
      </c>
      <c r="N1400">
        <v>12.33</v>
      </c>
      <c r="O1400" t="s">
        <v>19</v>
      </c>
      <c r="P1400" t="s">
        <v>20</v>
      </c>
      <c r="Q1400" t="s">
        <v>19</v>
      </c>
      <c r="R1400" t="str">
        <f>HYPERLINK("https://cfpub.epa.gov/ecotox/explore.cfm?ncbi=67767","Explore in ECOTOX")</f>
        <v>Explore in ECOTOX</v>
      </c>
    </row>
    <row r="1401" spans="1:18" x14ac:dyDescent="0.45">
      <c r="A1401" t="s">
        <v>1264</v>
      </c>
      <c r="B1401">
        <v>8</v>
      </c>
      <c r="C1401" t="str">
        <f>HYPERLINK("http://www.ncbi.nlm.nih.gov/protein/KAF7414747.1","KAF7414747.1")</f>
        <v>KAF7414747.1</v>
      </c>
      <c r="D1401">
        <v>17414</v>
      </c>
      <c r="E1401" t="str">
        <f>HYPERLINK("http://www.ncbi.nlm.nih.gov/Taxonomy/Browser/wwwtax.cgi?mode=Info&amp;id=30212&amp;lvl=3&amp;lin=f&amp;keep=1&amp;srchmode=1&amp;unlock","30212")</f>
        <v>30212</v>
      </c>
      <c r="F1401" t="s">
        <v>760</v>
      </c>
      <c r="G1401" t="str">
        <f>HYPERLINK("http://www.ncbi.nlm.nih.gov/Taxonomy/Browser/wwwtax.cgi?mode=Info&amp;id=30212&amp;lvl=3&amp;lin=f&amp;keep=1&amp;srchmode=1&amp;unlock","Vespula germanica")</f>
        <v>Vespula germanica</v>
      </c>
      <c r="H1401" t="s">
        <v>805</v>
      </c>
      <c r="I1401" t="str">
        <f>HYPERLINK("http://www.ncbi.nlm.nih.gov/protein/KAF7414747.1","hypothetical protein HZH68_003236")</f>
        <v>hypothetical protein HZH68_003236</v>
      </c>
      <c r="J1401">
        <v>1288.0899999999999</v>
      </c>
      <c r="K1401" t="s">
        <v>22</v>
      </c>
      <c r="L1401">
        <v>276</v>
      </c>
      <c r="M1401">
        <v>9.75</v>
      </c>
      <c r="N1401">
        <v>12.32</v>
      </c>
      <c r="O1401" t="s">
        <v>19</v>
      </c>
      <c r="P1401" t="s">
        <v>20</v>
      </c>
      <c r="Q1401" t="s">
        <v>19</v>
      </c>
      <c r="R1401" t="str">
        <f>HYPERLINK("https://cfpub.epa.gov/ecotox/explore.cfm?ncbi=30212","Explore in ECOTOX")</f>
        <v>Explore in ECOTOX</v>
      </c>
    </row>
    <row r="1402" spans="1:18" x14ac:dyDescent="0.45">
      <c r="A1402" t="s">
        <v>1264</v>
      </c>
      <c r="B1402">
        <v>8</v>
      </c>
      <c r="C1402" t="str">
        <f>HYPERLINK("http://www.ncbi.nlm.nih.gov/protein/CAD7567814.1","CAD7567814.1")</f>
        <v>CAD7567814.1</v>
      </c>
      <c r="D1402">
        <v>14803</v>
      </c>
      <c r="E1402" t="str">
        <f>HYPERLINK("http://www.ncbi.nlm.nih.gov/Taxonomy/Browser/wwwtax.cgi?mode=Info&amp;id=61474&amp;lvl=3&amp;lin=f&amp;keep=1&amp;srchmode=1&amp;unlock","61474")</f>
        <v>61474</v>
      </c>
      <c r="F1402" t="s">
        <v>760</v>
      </c>
      <c r="G1402" t="str">
        <f>HYPERLINK("http://www.ncbi.nlm.nih.gov/Taxonomy/Browser/wwwtax.cgi?mode=Info&amp;id=61474&amp;lvl=3&amp;lin=f&amp;keep=1&amp;srchmode=1&amp;unlock","Timema californicum")</f>
        <v>Timema californicum</v>
      </c>
      <c r="H1402" t="s">
        <v>1175</v>
      </c>
      <c r="I1402" t="str">
        <f>HYPERLINK("http://www.ncbi.nlm.nih.gov/protein/CAD7567814.1","unnamed protein product")</f>
        <v>unnamed protein product</v>
      </c>
      <c r="J1402">
        <v>1279.23</v>
      </c>
      <c r="K1402" t="s">
        <v>22</v>
      </c>
      <c r="L1402">
        <v>276</v>
      </c>
      <c r="M1402">
        <v>9.75</v>
      </c>
      <c r="N1402">
        <v>12.24</v>
      </c>
      <c r="O1402" t="s">
        <v>19</v>
      </c>
      <c r="P1402" t="s">
        <v>20</v>
      </c>
      <c r="Q1402" t="s">
        <v>19</v>
      </c>
      <c r="R1402" t="str">
        <f>HYPERLINK("https://cfpub.epa.gov/ecotox/explore.cfm?ncbi=61474","Explore in ECOTOX")</f>
        <v>Explore in ECOTOX</v>
      </c>
    </row>
    <row r="1403" spans="1:18" x14ac:dyDescent="0.45">
      <c r="A1403" t="s">
        <v>1264</v>
      </c>
      <c r="B1403">
        <v>8</v>
      </c>
      <c r="C1403" t="str">
        <f>HYPERLINK("http://www.ncbi.nlm.nih.gov/protein/CAD7587799.1","CAD7587799.1")</f>
        <v>CAD7587799.1</v>
      </c>
      <c r="D1403">
        <v>12278</v>
      </c>
      <c r="E1403" t="str">
        <f>HYPERLINK("http://www.ncbi.nlm.nih.gov/Taxonomy/Browser/wwwtax.cgi?mode=Info&amp;id=629358&amp;lvl=3&amp;lin=f&amp;keep=1&amp;srchmode=1&amp;unlock","629358")</f>
        <v>629358</v>
      </c>
      <c r="F1403" t="s">
        <v>760</v>
      </c>
      <c r="G1403" t="str">
        <f>HYPERLINK("http://www.ncbi.nlm.nih.gov/Taxonomy/Browser/wwwtax.cgi?mode=Info&amp;id=629358&amp;lvl=3&amp;lin=f&amp;keep=1&amp;srchmode=1&amp;unlock","Timema genevievae")</f>
        <v>Timema genevievae</v>
      </c>
      <c r="H1403" t="s">
        <v>1039</v>
      </c>
      <c r="I1403" t="str">
        <f>HYPERLINK("http://www.ncbi.nlm.nih.gov/protein/CAD7587799.1","unnamed protein product")</f>
        <v>unnamed protein product</v>
      </c>
      <c r="J1403">
        <v>1273.07</v>
      </c>
      <c r="K1403" t="s">
        <v>22</v>
      </c>
      <c r="L1403">
        <v>276</v>
      </c>
      <c r="M1403">
        <v>9.75</v>
      </c>
      <c r="N1403">
        <v>12.18</v>
      </c>
      <c r="O1403" t="s">
        <v>19</v>
      </c>
      <c r="P1403" t="s">
        <v>20</v>
      </c>
      <c r="Q1403" t="s">
        <v>19</v>
      </c>
      <c r="R1403" t="str">
        <f>HYPERLINK("https://cfpub.epa.gov/ecotox/explore.cfm?ncbi=629358","Explore in ECOTOX")</f>
        <v>Explore in ECOTOX</v>
      </c>
    </row>
    <row r="1404" spans="1:18" x14ac:dyDescent="0.45">
      <c r="A1404" t="s">
        <v>1264</v>
      </c>
      <c r="B1404">
        <v>8</v>
      </c>
      <c r="C1404" t="str">
        <f>HYPERLINK("http://www.ncbi.nlm.nih.gov/protein/KAJ4442003.1","KAJ4442003.1")</f>
        <v>KAJ4442003.1</v>
      </c>
      <c r="D1404">
        <v>27727</v>
      </c>
      <c r="E1404" t="str">
        <f>HYPERLINK("http://www.ncbi.nlm.nih.gov/Taxonomy/Browser/wwwtax.cgi?mode=Info&amp;id=6978&amp;lvl=3&amp;lin=f&amp;keep=1&amp;srchmode=1&amp;unlock","6978")</f>
        <v>6978</v>
      </c>
      <c r="F1404" t="s">
        <v>760</v>
      </c>
      <c r="G1404" t="str">
        <f>HYPERLINK("http://www.ncbi.nlm.nih.gov/Taxonomy/Browser/wwwtax.cgi?mode=Info&amp;id=6978&amp;lvl=3&amp;lin=f&amp;keep=1&amp;srchmode=1&amp;unlock","Periplaneta americana")</f>
        <v>Periplaneta americana</v>
      </c>
      <c r="H1404" t="s">
        <v>1176</v>
      </c>
      <c r="I1404" t="str">
        <f>HYPERLINK("http://www.ncbi.nlm.nih.gov/protein/KAJ4442003.1","hypothetical protein ANN_11867, partial")</f>
        <v>hypothetical protein ANN_11867, partial</v>
      </c>
      <c r="J1404">
        <v>1269.99</v>
      </c>
      <c r="K1404" t="s">
        <v>22</v>
      </c>
      <c r="L1404">
        <v>276</v>
      </c>
      <c r="M1404">
        <v>9.75</v>
      </c>
      <c r="N1404">
        <v>12.15</v>
      </c>
      <c r="O1404" t="s">
        <v>19</v>
      </c>
      <c r="P1404" t="s">
        <v>20</v>
      </c>
      <c r="Q1404" t="s">
        <v>19</v>
      </c>
      <c r="R1404" t="str">
        <f>HYPERLINK("https://cfpub.epa.gov/ecotox/explore.cfm?ncbi=6978","Explore in ECOTOX")</f>
        <v>Explore in ECOTOX</v>
      </c>
    </row>
    <row r="1405" spans="1:18" x14ac:dyDescent="0.45">
      <c r="A1405" t="s">
        <v>1264</v>
      </c>
      <c r="B1405">
        <v>8</v>
      </c>
      <c r="C1405" t="str">
        <f>HYPERLINK("http://www.ncbi.nlm.nih.gov/protein/GFS48413.1","GFS48413.1")</f>
        <v>GFS48413.1</v>
      </c>
      <c r="D1405">
        <v>72770</v>
      </c>
      <c r="E1405" t="str">
        <f>HYPERLINK("http://www.ncbi.nlm.nih.gov/Taxonomy/Browser/wwwtax.cgi?mode=Info&amp;id=299642&amp;lvl=3&amp;lin=f&amp;keep=1&amp;srchmode=1&amp;unlock","299642")</f>
        <v>299642</v>
      </c>
      <c r="F1405" t="s">
        <v>904</v>
      </c>
      <c r="G1405" t="str">
        <f>HYPERLINK("http://www.ncbi.nlm.nih.gov/Taxonomy/Browser/wwwtax.cgi?mode=Info&amp;id=299642&amp;lvl=3&amp;lin=f&amp;keep=1&amp;srchmode=1&amp;unlock","Nephila pilipes")</f>
        <v>Nephila pilipes</v>
      </c>
      <c r="H1405" t="s">
        <v>1177</v>
      </c>
      <c r="I1405" t="str">
        <f>HYPERLINK("http://www.ncbi.nlm.nih.gov/protein/GFS48413.1","ryanodine receptor, partial")</f>
        <v>ryanodine receptor, partial</v>
      </c>
      <c r="J1405">
        <v>1269.99</v>
      </c>
      <c r="K1405" t="s">
        <v>22</v>
      </c>
      <c r="L1405">
        <v>276</v>
      </c>
      <c r="M1405">
        <v>9.75</v>
      </c>
      <c r="N1405">
        <v>12.15</v>
      </c>
      <c r="O1405" t="s">
        <v>19</v>
      </c>
      <c r="P1405" t="s">
        <v>20</v>
      </c>
      <c r="Q1405" t="s">
        <v>19</v>
      </c>
      <c r="R1405" t="str">
        <f>HYPERLINK("https://cfpub.epa.gov/ecotox/explore.cfm?ncbi=299642","Explore in ECOTOX")</f>
        <v>Explore in ECOTOX</v>
      </c>
    </row>
    <row r="1406" spans="1:18" x14ac:dyDescent="0.45">
      <c r="A1406" t="s">
        <v>1264</v>
      </c>
      <c r="B1406">
        <v>8</v>
      </c>
      <c r="C1406" t="str">
        <f>HYPERLINK("http://www.ncbi.nlm.nih.gov/protein/CAD7456747.1","CAD7456747.1")</f>
        <v>CAD7456747.1</v>
      </c>
      <c r="D1406">
        <v>13064</v>
      </c>
      <c r="E1406" t="str">
        <f>HYPERLINK("http://www.ncbi.nlm.nih.gov/Taxonomy/Browser/wwwtax.cgi?mode=Info&amp;id=61484&amp;lvl=3&amp;lin=f&amp;keep=1&amp;srchmode=1&amp;unlock","61484")</f>
        <v>61484</v>
      </c>
      <c r="F1406" t="s">
        <v>760</v>
      </c>
      <c r="G1406" t="str">
        <f>HYPERLINK("http://www.ncbi.nlm.nih.gov/Taxonomy/Browser/wwwtax.cgi?mode=Info&amp;id=61484&amp;lvl=3&amp;lin=f&amp;keep=1&amp;srchmode=1&amp;unlock","Timema tahoe")</f>
        <v>Timema tahoe</v>
      </c>
      <c r="H1406" t="s">
        <v>1039</v>
      </c>
      <c r="I1406" t="str">
        <f>HYPERLINK("http://www.ncbi.nlm.nih.gov/protein/CAD7456747.1","unnamed protein product")</f>
        <v>unnamed protein product</v>
      </c>
      <c r="J1406">
        <v>1248.03</v>
      </c>
      <c r="K1406" t="s">
        <v>22</v>
      </c>
      <c r="L1406">
        <v>276</v>
      </c>
      <c r="M1406">
        <v>9.75</v>
      </c>
      <c r="N1406">
        <v>11.94</v>
      </c>
      <c r="O1406" t="s">
        <v>19</v>
      </c>
      <c r="P1406" t="s">
        <v>20</v>
      </c>
      <c r="Q1406" t="s">
        <v>19</v>
      </c>
      <c r="R1406" t="str">
        <f>HYPERLINK("https://cfpub.epa.gov/ecotox/explore.cfm?ncbi=61484","Explore in ECOTOX")</f>
        <v>Explore in ECOTOX</v>
      </c>
    </row>
    <row r="1407" spans="1:18" x14ac:dyDescent="0.45">
      <c r="A1407" t="s">
        <v>1264</v>
      </c>
      <c r="B1407">
        <v>8</v>
      </c>
      <c r="C1407" t="str">
        <f>HYPERLINK("http://www.ncbi.nlm.nih.gov/protein/VDO61855.1","VDO61855.1")</f>
        <v>VDO61855.1</v>
      </c>
      <c r="D1407">
        <v>27550</v>
      </c>
      <c r="E1407" t="str">
        <f>HYPERLINK("http://www.ncbi.nlm.nih.gov/Taxonomy/Browser/wwwtax.cgi?mode=Info&amp;id=6339&amp;lvl=3&amp;lin=f&amp;keep=1&amp;srchmode=1&amp;unlock","6339")</f>
        <v>6339</v>
      </c>
      <c r="F1407" t="s">
        <v>1024</v>
      </c>
      <c r="G1407" t="str">
        <f>HYPERLINK("http://www.ncbi.nlm.nih.gov/Taxonomy/Browser/wwwtax.cgi?mode=Info&amp;id=6339&amp;lvl=3&amp;lin=f&amp;keep=1&amp;srchmode=1&amp;unlock","Heligmosomoides polygyrus")</f>
        <v>Heligmosomoides polygyrus</v>
      </c>
      <c r="H1407" t="s">
        <v>1025</v>
      </c>
      <c r="I1407" t="str">
        <f>HYPERLINK("http://www.ncbi.nlm.nih.gov/protein/VDO61855.1","unnamed protein product")</f>
        <v>unnamed protein product</v>
      </c>
      <c r="J1407">
        <v>1239.56</v>
      </c>
      <c r="K1407" t="s">
        <v>22</v>
      </c>
      <c r="L1407">
        <v>276</v>
      </c>
      <c r="M1407">
        <v>9.75</v>
      </c>
      <c r="N1407">
        <v>11.86</v>
      </c>
      <c r="O1407" t="s">
        <v>19</v>
      </c>
      <c r="P1407" t="s">
        <v>20</v>
      </c>
      <c r="Q1407" t="s">
        <v>19</v>
      </c>
      <c r="R1407" t="str">
        <f>HYPERLINK("https://cfpub.epa.gov/ecotox/explore.cfm?ncbi=6339","Explore in ECOTOX")</f>
        <v>Explore in ECOTOX</v>
      </c>
    </row>
    <row r="1408" spans="1:18" x14ac:dyDescent="0.45">
      <c r="A1408" t="s">
        <v>1264</v>
      </c>
      <c r="B1408">
        <v>8</v>
      </c>
      <c r="C1408" t="str">
        <f>HYPERLINK("http://www.ncbi.nlm.nih.gov/protein/OQR66500.1","OQR66500.1")</f>
        <v>OQR66500.1</v>
      </c>
      <c r="D1408">
        <v>14418</v>
      </c>
      <c r="E1408" t="str">
        <f>HYPERLINK("http://www.ncbi.nlm.nih.gov/Taxonomy/Browser/wwwtax.cgi?mode=Info&amp;id=418985&amp;lvl=3&amp;lin=f&amp;keep=1&amp;srchmode=1&amp;unlock","418985")</f>
        <v>418985</v>
      </c>
      <c r="F1408" t="s">
        <v>904</v>
      </c>
      <c r="G1408" t="str">
        <f>HYPERLINK("http://www.ncbi.nlm.nih.gov/Taxonomy/Browser/wwwtax.cgi?mode=Info&amp;id=418985&amp;lvl=3&amp;lin=f&amp;keep=1&amp;srchmode=1&amp;unlock","Tropilaelaps mercedesae")</f>
        <v>Tropilaelaps mercedesae</v>
      </c>
      <c r="H1408" t="s">
        <v>992</v>
      </c>
      <c r="I1408" t="str">
        <f>HYPERLINK("http://www.ncbi.nlm.nih.gov/protein/OQR66500.1","ryanodine receptor 44F-like, partial")</f>
        <v>ryanodine receptor 44F-like, partial</v>
      </c>
      <c r="J1408">
        <v>1226.08</v>
      </c>
      <c r="K1408" t="s">
        <v>22</v>
      </c>
      <c r="L1408">
        <v>276</v>
      </c>
      <c r="M1408">
        <v>9.75</v>
      </c>
      <c r="N1408">
        <v>11.73</v>
      </c>
      <c r="O1408" t="s">
        <v>19</v>
      </c>
      <c r="P1408" t="s">
        <v>20</v>
      </c>
      <c r="Q1408" t="s">
        <v>19</v>
      </c>
      <c r="R1408" t="str">
        <f>HYPERLINK("https://cfpub.epa.gov/ecotox/explore.cfm?ncbi=418985","Explore in ECOTOX")</f>
        <v>Explore in ECOTOX</v>
      </c>
    </row>
    <row r="1409" spans="1:18" x14ac:dyDescent="0.45">
      <c r="A1409" t="s">
        <v>1264</v>
      </c>
      <c r="B1409">
        <v>8</v>
      </c>
      <c r="C1409" t="str">
        <f>HYPERLINK("http://www.ncbi.nlm.nih.gov/protein/XP_023220971.1","XP_023220971.1")</f>
        <v>XP_023220971.1</v>
      </c>
      <c r="D1409">
        <v>35594</v>
      </c>
      <c r="E1409" t="str">
        <f>HYPERLINK("http://www.ncbi.nlm.nih.gov/Taxonomy/Browser/wwwtax.cgi?mode=Info&amp;id=218467&amp;lvl=3&amp;lin=f&amp;keep=1&amp;srchmode=1&amp;unlock","218467")</f>
        <v>218467</v>
      </c>
      <c r="F1409" t="s">
        <v>904</v>
      </c>
      <c r="G1409" t="str">
        <f>HYPERLINK("http://www.ncbi.nlm.nih.gov/Taxonomy/Browser/wwwtax.cgi?mode=Info&amp;id=218467&amp;lvl=3&amp;lin=f&amp;keep=1&amp;srchmode=1&amp;unlock","Centruroides sculpturatus")</f>
        <v>Centruroides sculpturatus</v>
      </c>
      <c r="H1409" t="s">
        <v>1178</v>
      </c>
      <c r="I1409" t="str">
        <f>HYPERLINK("http://www.ncbi.nlm.nih.gov/protein/XP_023220971.1","ryanodine receptor-like")</f>
        <v>ryanodine receptor-like</v>
      </c>
      <c r="J1409">
        <v>1219.53</v>
      </c>
      <c r="K1409" t="s">
        <v>22</v>
      </c>
      <c r="L1409">
        <v>276</v>
      </c>
      <c r="M1409">
        <v>9.75</v>
      </c>
      <c r="N1409">
        <v>11.67</v>
      </c>
      <c r="O1409" t="s">
        <v>19</v>
      </c>
      <c r="P1409" t="s">
        <v>20</v>
      </c>
      <c r="Q1409" t="s">
        <v>19</v>
      </c>
      <c r="R1409" t="str">
        <f>HYPERLINK("https://cfpub.epa.gov/ecotox/explore.cfm?ncbi=218467","Explore in ECOTOX")</f>
        <v>Explore in ECOTOX</v>
      </c>
    </row>
    <row r="1410" spans="1:18" x14ac:dyDescent="0.45">
      <c r="A1410" t="s">
        <v>1264</v>
      </c>
      <c r="B1410">
        <v>8</v>
      </c>
      <c r="C1410" t="str">
        <f>HYPERLINK("http://www.ncbi.nlm.nih.gov/protein/OQV16826.1","OQV16826.1")</f>
        <v>OQV16826.1</v>
      </c>
      <c r="D1410">
        <v>20884</v>
      </c>
      <c r="E1410" t="str">
        <f>HYPERLINK("http://www.ncbi.nlm.nih.gov/Taxonomy/Browser/wwwtax.cgi?mode=Info&amp;id=2072580&amp;lvl=3&amp;lin=f&amp;keep=1&amp;srchmode=1&amp;unlock","2072580")</f>
        <v>2072580</v>
      </c>
      <c r="F1410" t="s">
        <v>1092</v>
      </c>
      <c r="G1410" t="str">
        <f>HYPERLINK("http://www.ncbi.nlm.nih.gov/Taxonomy/Browser/wwwtax.cgi?mode=Info&amp;id=2072580&amp;lvl=3&amp;lin=f&amp;keep=1&amp;srchmode=1&amp;unlock","Hypsibius exemplaris")</f>
        <v>Hypsibius exemplaris</v>
      </c>
      <c r="H1410" t="s">
        <v>1093</v>
      </c>
      <c r="I1410" t="str">
        <f>HYPERLINK("http://www.ncbi.nlm.nih.gov/protein/OQV16826.1","Ryanodine receptor")</f>
        <v>Ryanodine receptor</v>
      </c>
      <c r="J1410">
        <v>1218.76</v>
      </c>
      <c r="K1410" t="s">
        <v>22</v>
      </c>
      <c r="L1410">
        <v>276</v>
      </c>
      <c r="M1410">
        <v>9.75</v>
      </c>
      <c r="N1410">
        <v>11.66</v>
      </c>
      <c r="O1410" t="s">
        <v>19</v>
      </c>
      <c r="P1410" t="s">
        <v>20</v>
      </c>
      <c r="Q1410" t="s">
        <v>19</v>
      </c>
      <c r="R1410" t="str">
        <f>HYPERLINK("https://cfpub.epa.gov/ecotox/explore.cfm?ncbi=2072580","Explore in ECOTOX")</f>
        <v>Explore in ECOTOX</v>
      </c>
    </row>
    <row r="1411" spans="1:18" x14ac:dyDescent="0.45">
      <c r="A1411" t="s">
        <v>1264</v>
      </c>
      <c r="B1411">
        <v>8</v>
      </c>
      <c r="C1411" t="str">
        <f>HYPERLINK("http://www.ncbi.nlm.nih.gov/protein/CDJ83440.1","CDJ83440.1")</f>
        <v>CDJ83440.1</v>
      </c>
      <c r="D1411">
        <v>19926</v>
      </c>
      <c r="E1411" t="str">
        <f>HYPERLINK("http://www.ncbi.nlm.nih.gov/Taxonomy/Browser/wwwtax.cgi?mode=Info&amp;id=6289&amp;lvl=3&amp;lin=f&amp;keep=1&amp;srchmode=1&amp;unlock","6289")</f>
        <v>6289</v>
      </c>
      <c r="F1411" t="s">
        <v>1024</v>
      </c>
      <c r="G1411" t="str">
        <f>HYPERLINK("http://www.ncbi.nlm.nih.gov/Taxonomy/Browser/wwwtax.cgi?mode=Info&amp;id=6289&amp;lvl=3&amp;lin=f&amp;keep=1&amp;srchmode=1&amp;unlock","Haemonchus contortus")</f>
        <v>Haemonchus contortus</v>
      </c>
      <c r="H1411" t="s">
        <v>1179</v>
      </c>
      <c r="I1411" t="str">
        <f>HYPERLINK("http://www.ncbi.nlm.nih.gov/protein/CDJ83440.1","RyR IP3R Homology associated and EF hand and Ryanodine Receptor TM 4-6 and Ion transport domain containing protein")</f>
        <v>RyR IP3R Homology associated and EF hand and Ryanodine Receptor TM 4-6 and Ion transport domain containing protein</v>
      </c>
      <c r="J1411">
        <v>1216.83</v>
      </c>
      <c r="K1411" t="s">
        <v>22</v>
      </c>
      <c r="L1411">
        <v>276</v>
      </c>
      <c r="M1411">
        <v>9.75</v>
      </c>
      <c r="N1411">
        <v>11.64</v>
      </c>
      <c r="O1411" t="s">
        <v>19</v>
      </c>
      <c r="P1411" t="s">
        <v>20</v>
      </c>
      <c r="Q1411" t="s">
        <v>19</v>
      </c>
      <c r="R1411" t="str">
        <f>HYPERLINK("https://cfpub.epa.gov/ecotox/explore.cfm?ncbi=6289","Explore in ECOTOX")</f>
        <v>Explore in ECOTOX</v>
      </c>
    </row>
    <row r="1412" spans="1:18" x14ac:dyDescent="0.45">
      <c r="A1412" t="s">
        <v>1264</v>
      </c>
      <c r="B1412">
        <v>8</v>
      </c>
      <c r="C1412" t="str">
        <f>HYPERLINK("http://www.ncbi.nlm.nih.gov/protein/XP_009010146.1","XP_009010146.1")</f>
        <v>XP_009010146.1</v>
      </c>
      <c r="D1412">
        <v>46878</v>
      </c>
      <c r="E1412" t="str">
        <f>HYPERLINK("http://www.ncbi.nlm.nih.gov/Taxonomy/Browser/wwwtax.cgi?mode=Info&amp;id=6412&amp;lvl=3&amp;lin=f&amp;keep=1&amp;srchmode=1&amp;unlock","6412")</f>
        <v>6412</v>
      </c>
      <c r="F1412" t="s">
        <v>1180</v>
      </c>
      <c r="G1412" t="str">
        <f>HYPERLINK("http://www.ncbi.nlm.nih.gov/Taxonomy/Browser/wwwtax.cgi?mode=Info&amp;id=6412&amp;lvl=3&amp;lin=f&amp;keep=1&amp;srchmode=1&amp;unlock","Helobdella robusta")</f>
        <v>Helobdella robusta</v>
      </c>
      <c r="H1412" t="s">
        <v>1181</v>
      </c>
      <c r="I1412" t="str">
        <f>HYPERLINK("http://www.ncbi.nlm.nih.gov/protein/XP_009010146.1","hypothetical protein HELRODRAFT_71772, partial")</f>
        <v>hypothetical protein HELRODRAFT_71772, partial</v>
      </c>
      <c r="J1412">
        <v>1202.58</v>
      </c>
      <c r="K1412" t="s">
        <v>22</v>
      </c>
      <c r="L1412">
        <v>276</v>
      </c>
      <c r="M1412">
        <v>9.75</v>
      </c>
      <c r="N1412">
        <v>11.5</v>
      </c>
      <c r="O1412" t="s">
        <v>19</v>
      </c>
      <c r="P1412" t="s">
        <v>20</v>
      </c>
      <c r="Q1412" t="s">
        <v>19</v>
      </c>
      <c r="R1412" t="str">
        <f>HYPERLINK("https://cfpub.epa.gov/ecotox/explore.cfm?ncbi=6412","Explore in ECOTOX")</f>
        <v>Explore in ECOTOX</v>
      </c>
    </row>
    <row r="1413" spans="1:18" x14ac:dyDescent="0.45">
      <c r="A1413" t="s">
        <v>1264</v>
      </c>
      <c r="B1413">
        <v>8</v>
      </c>
      <c r="C1413" t="str">
        <f>HYPERLINK("http://www.ncbi.nlm.nih.gov/protein/KAJ8959410.1","KAJ8959410.1")</f>
        <v>KAJ8959410.1</v>
      </c>
      <c r="D1413">
        <v>22157</v>
      </c>
      <c r="E1413" t="str">
        <f>HYPERLINK("http://www.ncbi.nlm.nih.gov/Taxonomy/Browser/wwwtax.cgi?mode=Info&amp;id=1265417&amp;lvl=3&amp;lin=f&amp;keep=1&amp;srchmode=1&amp;unlock","1265417")</f>
        <v>1265417</v>
      </c>
      <c r="F1413" t="s">
        <v>760</v>
      </c>
      <c r="G1413" t="str">
        <f>HYPERLINK("http://www.ncbi.nlm.nih.gov/Taxonomy/Browser/wwwtax.cgi?mode=Info&amp;id=1265417&amp;lvl=3&amp;lin=f&amp;keep=1&amp;srchmode=1&amp;unlock","Aromia moschata")</f>
        <v>Aromia moschata</v>
      </c>
      <c r="H1413" t="s">
        <v>1115</v>
      </c>
      <c r="I1413" t="str">
        <f>HYPERLINK("http://www.ncbi.nlm.nih.gov/protein/KAJ8959410.1","hypothetical protein NQ318_022100")</f>
        <v>hypothetical protein NQ318_022100</v>
      </c>
      <c r="J1413">
        <v>1197.19</v>
      </c>
      <c r="K1413" t="s">
        <v>22</v>
      </c>
      <c r="L1413">
        <v>276</v>
      </c>
      <c r="M1413">
        <v>9.75</v>
      </c>
      <c r="N1413">
        <v>11.45</v>
      </c>
      <c r="O1413" t="s">
        <v>19</v>
      </c>
      <c r="P1413" t="s">
        <v>20</v>
      </c>
      <c r="Q1413" t="s">
        <v>19</v>
      </c>
      <c r="R1413" t="str">
        <f>HYPERLINK("https://cfpub.epa.gov/ecotox/explore.cfm?ncbi=1265417","Explore in ECOTOX")</f>
        <v>Explore in ECOTOX</v>
      </c>
    </row>
    <row r="1414" spans="1:18" x14ac:dyDescent="0.45">
      <c r="A1414" t="s">
        <v>1264</v>
      </c>
      <c r="B1414">
        <v>8</v>
      </c>
      <c r="C1414" t="str">
        <f>HYPERLINK("http://www.ncbi.nlm.nih.gov/protein/EYC08904.1","EYC08904.1")</f>
        <v>EYC08904.1</v>
      </c>
      <c r="D1414">
        <v>81607</v>
      </c>
      <c r="E1414" t="str">
        <f>HYPERLINK("http://www.ncbi.nlm.nih.gov/Taxonomy/Browser/wwwtax.cgi?mode=Info&amp;id=53326&amp;lvl=3&amp;lin=f&amp;keep=1&amp;srchmode=1&amp;unlock","53326")</f>
        <v>53326</v>
      </c>
      <c r="F1414" t="s">
        <v>1024</v>
      </c>
      <c r="G1414" t="str">
        <f>HYPERLINK("http://www.ncbi.nlm.nih.gov/Taxonomy/Browser/wwwtax.cgi?mode=Info&amp;id=53326&amp;lvl=3&amp;lin=f&amp;keep=1&amp;srchmode=1&amp;unlock","Ancylostoma ceylanicum")</f>
        <v>Ancylostoma ceylanicum</v>
      </c>
      <c r="H1414" t="s">
        <v>1025</v>
      </c>
      <c r="I1414" t="str">
        <f>HYPERLINK("http://www.ncbi.nlm.nih.gov/protein/EYC08904.1","hypothetical protein Y032_0063g3426")</f>
        <v>hypothetical protein Y032_0063g3426</v>
      </c>
      <c r="J1414">
        <v>1188.33</v>
      </c>
      <c r="K1414" t="s">
        <v>22</v>
      </c>
      <c r="L1414">
        <v>276</v>
      </c>
      <c r="M1414">
        <v>9.75</v>
      </c>
      <c r="N1414">
        <v>11.37</v>
      </c>
      <c r="O1414" t="s">
        <v>19</v>
      </c>
      <c r="P1414" t="s">
        <v>20</v>
      </c>
      <c r="Q1414" t="s">
        <v>19</v>
      </c>
      <c r="R1414" t="str">
        <f>HYPERLINK("https://cfpub.epa.gov/ecotox/explore.cfm?ncbi=53326","Explore in ECOTOX")</f>
        <v>Explore in ECOTOX</v>
      </c>
    </row>
    <row r="1415" spans="1:18" x14ac:dyDescent="0.45">
      <c r="A1415" t="s">
        <v>1264</v>
      </c>
      <c r="B1415">
        <v>8</v>
      </c>
      <c r="C1415" t="str">
        <f>HYPERLINK("http://www.ncbi.nlm.nih.gov/protein/XP_047740434.1","XP_047740434.1")</f>
        <v>XP_047740434.1</v>
      </c>
      <c r="D1415">
        <v>31992</v>
      </c>
      <c r="E1415" t="str">
        <f>HYPERLINK("http://www.ncbi.nlm.nih.gov/Taxonomy/Browser/wwwtax.cgi?mode=Info&amp;id=294128&amp;lvl=3&amp;lin=f&amp;keep=1&amp;srchmode=1&amp;unlock","294128")</f>
        <v>294128</v>
      </c>
      <c r="F1415" t="s">
        <v>779</v>
      </c>
      <c r="G1415" t="str">
        <f>HYPERLINK("http://www.ncbi.nlm.nih.gov/Taxonomy/Browser/wwwtax.cgi?mode=Info&amp;id=294128&amp;lvl=3&amp;lin=f&amp;keep=1&amp;srchmode=1&amp;unlock","Hyalella azteca")</f>
        <v>Hyalella azteca</v>
      </c>
      <c r="H1415" t="s">
        <v>1102</v>
      </c>
      <c r="I1415" t="str">
        <f>HYPERLINK("http://www.ncbi.nlm.nih.gov/protein/XP_047740434.1","LOW QUALITY PROTEIN: ryanodine receptor-like, partial")</f>
        <v>LOW QUALITY PROTEIN: ryanodine receptor-like, partial</v>
      </c>
      <c r="J1415">
        <v>1182.55</v>
      </c>
      <c r="K1415" t="s">
        <v>22</v>
      </c>
      <c r="L1415">
        <v>276</v>
      </c>
      <c r="M1415">
        <v>9.75</v>
      </c>
      <c r="N1415">
        <v>11.31</v>
      </c>
      <c r="O1415" t="s">
        <v>19</v>
      </c>
      <c r="P1415" t="s">
        <v>20</v>
      </c>
      <c r="Q1415" t="s">
        <v>19</v>
      </c>
      <c r="R1415" t="str">
        <f>HYPERLINK("https://cfpub.epa.gov/ecotox/explore.cfm?ncbi=294128","Explore in ECOTOX")</f>
        <v>Explore in ECOTOX</v>
      </c>
    </row>
    <row r="1416" spans="1:18" x14ac:dyDescent="0.45">
      <c r="A1416" t="s">
        <v>1264</v>
      </c>
      <c r="B1416">
        <v>8</v>
      </c>
      <c r="C1416" t="str">
        <f>HYPERLINK("http://www.ncbi.nlm.nih.gov/protein/RCN50675.1","RCN50675.1")</f>
        <v>RCN50675.1</v>
      </c>
      <c r="D1416">
        <v>30364</v>
      </c>
      <c r="E1416" t="str">
        <f>HYPERLINK("http://www.ncbi.nlm.nih.gov/Taxonomy/Browser/wwwtax.cgi?mode=Info&amp;id=29170&amp;lvl=3&amp;lin=f&amp;keep=1&amp;srchmode=1&amp;unlock","29170")</f>
        <v>29170</v>
      </c>
      <c r="F1416" t="s">
        <v>1024</v>
      </c>
      <c r="G1416" t="str">
        <f>HYPERLINK("http://www.ncbi.nlm.nih.gov/Taxonomy/Browser/wwwtax.cgi?mode=Info&amp;id=29170&amp;lvl=3&amp;lin=f&amp;keep=1&amp;srchmode=1&amp;unlock","Ancylostoma caninum")</f>
        <v>Ancylostoma caninum</v>
      </c>
      <c r="H1416" t="s">
        <v>1182</v>
      </c>
      <c r="I1416" t="str">
        <f>HYPERLINK("http://www.ncbi.nlm.nih.gov/protein/RCN50675.1","hypothetical protein ANCCAN_03288")</f>
        <v>hypothetical protein ANCCAN_03288</v>
      </c>
      <c r="J1416">
        <v>1178.7</v>
      </c>
      <c r="K1416" t="s">
        <v>22</v>
      </c>
      <c r="L1416">
        <v>276</v>
      </c>
      <c r="M1416">
        <v>9.75</v>
      </c>
      <c r="N1416">
        <v>11.28</v>
      </c>
      <c r="O1416" t="s">
        <v>19</v>
      </c>
      <c r="P1416" t="s">
        <v>20</v>
      </c>
      <c r="Q1416" t="s">
        <v>19</v>
      </c>
      <c r="R1416" t="str">
        <f>HYPERLINK("https://cfpub.epa.gov/ecotox/explore.cfm?ncbi=29170","Explore in ECOTOX")</f>
        <v>Explore in ECOTOX</v>
      </c>
    </row>
    <row r="1417" spans="1:18" x14ac:dyDescent="0.45">
      <c r="A1417" t="s">
        <v>1264</v>
      </c>
      <c r="B1417">
        <v>8</v>
      </c>
      <c r="C1417" t="str">
        <f>HYPERLINK("http://www.ncbi.nlm.nih.gov/protein/CAD6199567.1","CAD6199567.1")</f>
        <v>CAD6199567.1</v>
      </c>
      <c r="D1417">
        <v>16266</v>
      </c>
      <c r="E1417" t="str">
        <f>HYPERLINK("http://www.ncbi.nlm.nih.gov/Taxonomy/Browser/wwwtax.cgi?mode=Info&amp;id=2777116&amp;lvl=3&amp;lin=f&amp;keep=1&amp;srchmode=1&amp;unlock","2777116")</f>
        <v>2777116</v>
      </c>
      <c r="F1417" t="s">
        <v>1024</v>
      </c>
      <c r="G1417" t="str">
        <f>HYPERLINK("http://www.ncbi.nlm.nih.gov/Taxonomy/Browser/wwwtax.cgi?mode=Info&amp;id=2777116&amp;lvl=3&amp;lin=f&amp;keep=1&amp;srchmode=1&amp;unlock","Caenorhabditis auriculariae")</f>
        <v>Caenorhabditis auriculariae</v>
      </c>
      <c r="H1417" t="s">
        <v>1027</v>
      </c>
      <c r="I1417" t="str">
        <f>HYPERLINK("http://www.ncbi.nlm.nih.gov/protein/CAD6199567.1","unnamed protein product")</f>
        <v>unnamed protein product</v>
      </c>
      <c r="J1417">
        <v>1174.07</v>
      </c>
      <c r="K1417" t="s">
        <v>22</v>
      </c>
      <c r="L1417">
        <v>276</v>
      </c>
      <c r="M1417">
        <v>9.75</v>
      </c>
      <c r="N1417">
        <v>11.23</v>
      </c>
      <c r="O1417" t="s">
        <v>19</v>
      </c>
      <c r="P1417" t="s">
        <v>20</v>
      </c>
      <c r="Q1417" t="s">
        <v>19</v>
      </c>
      <c r="R1417" t="str">
        <f>HYPERLINK("https://cfpub.epa.gov/ecotox/explore.cfm?ncbi=2777116","Explore in ECOTOX")</f>
        <v>Explore in ECOTOX</v>
      </c>
    </row>
    <row r="1418" spans="1:18" x14ac:dyDescent="0.45">
      <c r="A1418" t="s">
        <v>1264</v>
      </c>
      <c r="B1418">
        <v>8</v>
      </c>
      <c r="C1418" t="str">
        <f>HYPERLINK("http://www.ncbi.nlm.nih.gov/protein/CAG7835911.1","CAG7835911.1")</f>
        <v>CAG7835911.1</v>
      </c>
      <c r="D1418">
        <v>51065</v>
      </c>
      <c r="E1418" t="str">
        <f>HYPERLINK("http://www.ncbi.nlm.nih.gov/Taxonomy/Browser/wwwtax.cgi?mode=Info&amp;id=39272&amp;lvl=3&amp;lin=f&amp;keep=1&amp;srchmode=1&amp;unlock","39272")</f>
        <v>39272</v>
      </c>
      <c r="F1418" t="s">
        <v>999</v>
      </c>
      <c r="G1418" t="str">
        <f>HYPERLINK("http://www.ncbi.nlm.nih.gov/Taxonomy/Browser/wwwtax.cgi?mode=Info&amp;id=39272&amp;lvl=3&amp;lin=f&amp;keep=1&amp;srchmode=1&amp;unlock","Allacma fusca")</f>
        <v>Allacma fusca</v>
      </c>
      <c r="H1418" t="s">
        <v>1183</v>
      </c>
      <c r="I1418" t="str">
        <f>HYPERLINK("http://www.ncbi.nlm.nih.gov/protein/CAG7835911.1","unnamed protein product")</f>
        <v>unnamed protein product</v>
      </c>
      <c r="J1418">
        <v>1166.3699999999999</v>
      </c>
      <c r="K1418" t="s">
        <v>22</v>
      </c>
      <c r="L1418">
        <v>276</v>
      </c>
      <c r="M1418">
        <v>9.75</v>
      </c>
      <c r="N1418">
        <v>11.16</v>
      </c>
      <c r="O1418" t="s">
        <v>19</v>
      </c>
      <c r="P1418" t="s">
        <v>20</v>
      </c>
      <c r="Q1418" t="s">
        <v>19</v>
      </c>
      <c r="R1418" t="str">
        <f>HYPERLINK("https://cfpub.epa.gov/ecotox/explore.cfm?ncbi=39272","Explore in ECOTOX")</f>
        <v>Explore in ECOTOX</v>
      </c>
    </row>
    <row r="1419" spans="1:18" x14ac:dyDescent="0.45">
      <c r="A1419" t="s">
        <v>1264</v>
      </c>
      <c r="B1419">
        <v>8</v>
      </c>
      <c r="C1419" t="str">
        <f>HYPERLINK("http://www.ncbi.nlm.nih.gov/protein/CAH8440066.1","CAH8440066.1")</f>
        <v>CAH8440066.1</v>
      </c>
      <c r="D1419">
        <v>15114</v>
      </c>
      <c r="E1419" t="str">
        <f>HYPERLINK("http://www.ncbi.nlm.nih.gov/Taxonomy/Browser/wwwtax.cgi?mode=Info&amp;id=393876&amp;lvl=3&amp;lin=f&amp;keep=1&amp;srchmode=1&amp;unlock","393876")</f>
        <v>393876</v>
      </c>
      <c r="F1419" t="s">
        <v>1140</v>
      </c>
      <c r="G1419" t="str">
        <f>HYPERLINK("http://www.ncbi.nlm.nih.gov/Taxonomy/Browser/wwwtax.cgi?mode=Info&amp;id=393876&amp;lvl=3&amp;lin=f&amp;keep=1&amp;srchmode=1&amp;unlock","Schistosoma guineensis")</f>
        <v>Schistosoma guineensis</v>
      </c>
      <c r="H1419" t="s">
        <v>1141</v>
      </c>
      <c r="I1419" t="str">
        <f>HYPERLINK("http://www.ncbi.nlm.nih.gov/protein/CAH8440066.1","unnamed protein product")</f>
        <v>unnamed protein product</v>
      </c>
      <c r="J1419">
        <v>1156.74</v>
      </c>
      <c r="K1419" t="s">
        <v>22</v>
      </c>
      <c r="L1419">
        <v>276</v>
      </c>
      <c r="M1419">
        <v>9.75</v>
      </c>
      <c r="N1419">
        <v>11.07</v>
      </c>
      <c r="O1419" t="s">
        <v>19</v>
      </c>
      <c r="P1419" t="s">
        <v>20</v>
      </c>
      <c r="Q1419" t="s">
        <v>19</v>
      </c>
      <c r="R1419" t="str">
        <f>HYPERLINK("https://cfpub.epa.gov/ecotox/explore.cfm?ncbi=393876","Explore in ECOTOX")</f>
        <v>Explore in ECOTOX</v>
      </c>
    </row>
    <row r="1420" spans="1:18" x14ac:dyDescent="0.45">
      <c r="A1420" t="s">
        <v>1264</v>
      </c>
      <c r="B1420">
        <v>8</v>
      </c>
      <c r="C1420" t="str">
        <f>HYPERLINK("http://www.ncbi.nlm.nih.gov/protein/CAI2353581.1","CAI2353581.1")</f>
        <v>CAI2353581.1</v>
      </c>
      <c r="D1420">
        <v>16255</v>
      </c>
      <c r="E1420" t="str">
        <f>HYPERLINK("http://www.ncbi.nlm.nih.gov/Taxonomy/Browser/wwwtax.cgi?mode=Info&amp;id=2970133&amp;lvl=3&amp;lin=f&amp;keep=1&amp;srchmode=1&amp;unlock","2970133")</f>
        <v>2970133</v>
      </c>
      <c r="F1420" t="s">
        <v>1024</v>
      </c>
      <c r="G1420" t="str">
        <f>HYPERLINK("http://www.ncbi.nlm.nih.gov/Taxonomy/Browser/wwwtax.cgi?mode=Info&amp;id=2970133&amp;lvl=3&amp;lin=f&amp;keep=1&amp;srchmode=1&amp;unlock","Caenorhabditis sp. 36 PRJEB53466")</f>
        <v>Caenorhabditis sp. 36 PRJEB53466</v>
      </c>
      <c r="H1420" t="s">
        <v>1027</v>
      </c>
      <c r="I1420" t="str">
        <f>HYPERLINK("http://www.ncbi.nlm.nih.gov/protein/CAI2353581.1","unnamed protein product")</f>
        <v>unnamed protein product</v>
      </c>
      <c r="J1420">
        <v>1155.97</v>
      </c>
      <c r="K1420" t="s">
        <v>22</v>
      </c>
      <c r="L1420">
        <v>276</v>
      </c>
      <c r="M1420">
        <v>9.75</v>
      </c>
      <c r="N1420">
        <v>11.06</v>
      </c>
      <c r="O1420" t="s">
        <v>19</v>
      </c>
      <c r="P1420" t="s">
        <v>20</v>
      </c>
      <c r="Q1420" t="s">
        <v>19</v>
      </c>
      <c r="R1420" t="str">
        <f>HYPERLINK("https://cfpub.epa.gov/ecotox/explore.cfm?ncbi=2970133","Explore in ECOTOX")</f>
        <v>Explore in ECOTOX</v>
      </c>
    </row>
    <row r="1421" spans="1:18" x14ac:dyDescent="0.45">
      <c r="A1421" t="s">
        <v>1264</v>
      </c>
      <c r="B1421">
        <v>8</v>
      </c>
      <c r="C1421" t="str">
        <f>HYPERLINK("http://www.ncbi.nlm.nih.gov/protein/CAH8481489.1","CAH8481489.1")</f>
        <v>CAH8481489.1</v>
      </c>
      <c r="D1421">
        <v>44286</v>
      </c>
      <c r="E1421" t="str">
        <f>HYPERLINK("http://www.ncbi.nlm.nih.gov/Taxonomy/Browser/wwwtax.cgi?mode=Info&amp;id=6184&amp;lvl=3&amp;lin=f&amp;keep=1&amp;srchmode=1&amp;unlock","6184")</f>
        <v>6184</v>
      </c>
      <c r="F1421" t="s">
        <v>1140</v>
      </c>
      <c r="G1421" t="str">
        <f>HYPERLINK("http://www.ncbi.nlm.nih.gov/Taxonomy/Browser/wwwtax.cgi?mode=Info&amp;id=6184&amp;lvl=3&amp;lin=f&amp;keep=1&amp;srchmode=1&amp;unlock","Schistosoma bovis")</f>
        <v>Schistosoma bovis</v>
      </c>
      <c r="H1421" t="s">
        <v>1141</v>
      </c>
      <c r="I1421" t="str">
        <f>HYPERLINK("http://www.ncbi.nlm.nih.gov/protein/CAH8481489.1","unnamed protein product")</f>
        <v>unnamed protein product</v>
      </c>
      <c r="J1421">
        <v>1153.6600000000001</v>
      </c>
      <c r="K1421" t="s">
        <v>22</v>
      </c>
      <c r="L1421">
        <v>276</v>
      </c>
      <c r="M1421">
        <v>9.75</v>
      </c>
      <c r="N1421">
        <v>11.04</v>
      </c>
      <c r="O1421" t="s">
        <v>19</v>
      </c>
      <c r="P1421" t="s">
        <v>20</v>
      </c>
      <c r="Q1421" t="s">
        <v>19</v>
      </c>
      <c r="R1421" t="str">
        <f>HYPERLINK("https://cfpub.epa.gov/ecotox/explore.cfm?ncbi=6184","Explore in ECOTOX")</f>
        <v>Explore in ECOTOX</v>
      </c>
    </row>
    <row r="1422" spans="1:18" x14ac:dyDescent="0.45">
      <c r="A1422" t="s">
        <v>1264</v>
      </c>
      <c r="B1422">
        <v>8</v>
      </c>
      <c r="C1422" t="str">
        <f>HYPERLINK("http://www.ncbi.nlm.nih.gov/protein/CAH8441616.1","CAH8441616.1")</f>
        <v>CAH8441616.1</v>
      </c>
      <c r="D1422">
        <v>39203</v>
      </c>
      <c r="E1422" t="str">
        <f>HYPERLINK("http://www.ncbi.nlm.nih.gov/Taxonomy/Browser/wwwtax.cgi?mode=Info&amp;id=6186&amp;lvl=3&amp;lin=f&amp;keep=1&amp;srchmode=1&amp;unlock","6186")</f>
        <v>6186</v>
      </c>
      <c r="F1422" t="s">
        <v>1140</v>
      </c>
      <c r="G1422" t="str">
        <f>HYPERLINK("http://www.ncbi.nlm.nih.gov/Taxonomy/Browser/wwwtax.cgi?mode=Info&amp;id=6186&amp;lvl=3&amp;lin=f&amp;keep=1&amp;srchmode=1&amp;unlock","Schistosoma curassoni")</f>
        <v>Schistosoma curassoni</v>
      </c>
      <c r="H1422" t="s">
        <v>1141</v>
      </c>
      <c r="I1422" t="str">
        <f>HYPERLINK("http://www.ncbi.nlm.nih.gov/protein/CAH8441616.1","unnamed protein product")</f>
        <v>unnamed protein product</v>
      </c>
      <c r="J1422">
        <v>1153.27</v>
      </c>
      <c r="K1422" t="s">
        <v>22</v>
      </c>
      <c r="L1422">
        <v>276</v>
      </c>
      <c r="M1422">
        <v>9.75</v>
      </c>
      <c r="N1422">
        <v>11.03</v>
      </c>
      <c r="O1422" t="s">
        <v>19</v>
      </c>
      <c r="P1422" t="s">
        <v>20</v>
      </c>
      <c r="Q1422" t="s">
        <v>19</v>
      </c>
      <c r="R1422" t="str">
        <f>HYPERLINK("https://cfpub.epa.gov/ecotox/explore.cfm?ncbi=6186","Explore in ECOTOX")</f>
        <v>Explore in ECOTOX</v>
      </c>
    </row>
    <row r="1423" spans="1:18" x14ac:dyDescent="0.45">
      <c r="A1423" t="s">
        <v>1264</v>
      </c>
      <c r="B1423">
        <v>8</v>
      </c>
      <c r="C1423" t="str">
        <f>HYPERLINK("http://www.ncbi.nlm.nih.gov/protein/UYV64349.1","UYV64349.1")</f>
        <v>UYV64349.1</v>
      </c>
      <c r="D1423">
        <v>25133</v>
      </c>
      <c r="E1423" t="str">
        <f>HYPERLINK("http://www.ncbi.nlm.nih.gov/Taxonomy/Browser/wwwtax.cgi?mode=Info&amp;id=51811&amp;lvl=3&amp;lin=f&amp;keep=1&amp;srchmode=1&amp;unlock","51811")</f>
        <v>51811</v>
      </c>
      <c r="F1423" t="s">
        <v>904</v>
      </c>
      <c r="G1423" t="str">
        <f>HYPERLINK("http://www.ncbi.nlm.nih.gov/Taxonomy/Browser/wwwtax.cgi?mode=Info&amp;id=51811&amp;lvl=3&amp;lin=f&amp;keep=1&amp;srchmode=1&amp;unlock","Cordylochernes scorpioides")</f>
        <v>Cordylochernes scorpioides</v>
      </c>
      <c r="H1423" t="s">
        <v>1184</v>
      </c>
      <c r="I1423" t="str">
        <f>HYPERLINK("http://www.ncbi.nlm.nih.gov/protein/UYV64349.1","RYR2")</f>
        <v>RYR2</v>
      </c>
      <c r="J1423">
        <v>1152.5</v>
      </c>
      <c r="K1423" t="s">
        <v>22</v>
      </c>
      <c r="L1423">
        <v>276</v>
      </c>
      <c r="M1423">
        <v>9.75</v>
      </c>
      <c r="N1423">
        <v>11.02</v>
      </c>
      <c r="O1423" t="s">
        <v>19</v>
      </c>
      <c r="P1423" t="s">
        <v>20</v>
      </c>
      <c r="Q1423" t="s">
        <v>19</v>
      </c>
      <c r="R1423" t="str">
        <f>HYPERLINK("https://cfpub.epa.gov/ecotox/explore.cfm?ncbi=51811","Explore in ECOTOX")</f>
        <v>Explore in ECOTOX</v>
      </c>
    </row>
    <row r="1424" spans="1:18" x14ac:dyDescent="0.45">
      <c r="A1424" t="s">
        <v>1264</v>
      </c>
      <c r="B1424">
        <v>8</v>
      </c>
      <c r="C1424" t="str">
        <f>HYPERLINK("http://www.ncbi.nlm.nih.gov/protein/CAH8440490.1","CAH8440490.1")</f>
        <v>CAH8440490.1</v>
      </c>
      <c r="D1424">
        <v>64887</v>
      </c>
      <c r="E1424" t="str">
        <f>HYPERLINK("http://www.ncbi.nlm.nih.gov/Taxonomy/Browser/wwwtax.cgi?mode=Info&amp;id=6185&amp;lvl=3&amp;lin=f&amp;keep=1&amp;srchmode=1&amp;unlock","6185")</f>
        <v>6185</v>
      </c>
      <c r="F1424" t="s">
        <v>1140</v>
      </c>
      <c r="G1424" t="str">
        <f>HYPERLINK("http://www.ncbi.nlm.nih.gov/Taxonomy/Browser/wwwtax.cgi?mode=Info&amp;id=6185&amp;lvl=3&amp;lin=f&amp;keep=1&amp;srchmode=1&amp;unlock","Schistosoma haematobium")</f>
        <v>Schistosoma haematobium</v>
      </c>
      <c r="H1424" t="s">
        <v>1141</v>
      </c>
      <c r="I1424" t="str">
        <f>HYPERLINK("http://www.ncbi.nlm.nih.gov/protein/CAH8440490.1","unnamed protein product")</f>
        <v>unnamed protein product</v>
      </c>
      <c r="J1424">
        <v>1152.5</v>
      </c>
      <c r="K1424" t="s">
        <v>22</v>
      </c>
      <c r="L1424">
        <v>276</v>
      </c>
      <c r="M1424">
        <v>9.75</v>
      </c>
      <c r="N1424">
        <v>11.02</v>
      </c>
      <c r="O1424" t="s">
        <v>19</v>
      </c>
      <c r="P1424" t="s">
        <v>20</v>
      </c>
      <c r="Q1424" t="s">
        <v>19</v>
      </c>
      <c r="R1424" t="str">
        <f>HYPERLINK("https://cfpub.epa.gov/ecotox/explore.cfm?ncbi=6185","Explore in ECOTOX")</f>
        <v>Explore in ECOTOX</v>
      </c>
    </row>
    <row r="1425" spans="1:18" x14ac:dyDescent="0.45">
      <c r="A1425" t="s">
        <v>1264</v>
      </c>
      <c r="B1425">
        <v>8</v>
      </c>
      <c r="C1425" t="str">
        <f>HYPERLINK("http://www.ncbi.nlm.nih.gov/protein/CAH8438447.1","CAH8438447.1")</f>
        <v>CAH8438447.1</v>
      </c>
      <c r="D1425">
        <v>29949</v>
      </c>
      <c r="E1425" t="str">
        <f>HYPERLINK("http://www.ncbi.nlm.nih.gov/Taxonomy/Browser/wwwtax.cgi?mode=Info&amp;id=6187&amp;lvl=3&amp;lin=f&amp;keep=1&amp;srchmode=1&amp;unlock","6187")</f>
        <v>6187</v>
      </c>
      <c r="F1425" t="s">
        <v>1140</v>
      </c>
      <c r="G1425" t="str">
        <f>HYPERLINK("http://www.ncbi.nlm.nih.gov/Taxonomy/Browser/wwwtax.cgi?mode=Info&amp;id=6187&amp;lvl=3&amp;lin=f&amp;keep=1&amp;srchmode=1&amp;unlock","Schistosoma intercalatum")</f>
        <v>Schistosoma intercalatum</v>
      </c>
      <c r="H1425" t="s">
        <v>1141</v>
      </c>
      <c r="I1425" t="str">
        <f>HYPERLINK("http://www.ncbi.nlm.nih.gov/protein/CAH8438447.1","unnamed protein product")</f>
        <v>unnamed protein product</v>
      </c>
      <c r="J1425">
        <v>1152.1199999999999</v>
      </c>
      <c r="K1425" t="s">
        <v>22</v>
      </c>
      <c r="L1425">
        <v>276</v>
      </c>
      <c r="M1425">
        <v>9.75</v>
      </c>
      <c r="N1425">
        <v>11.02</v>
      </c>
      <c r="O1425" t="s">
        <v>19</v>
      </c>
      <c r="P1425" t="s">
        <v>20</v>
      </c>
      <c r="Q1425" t="s">
        <v>19</v>
      </c>
      <c r="R1425" t="str">
        <f>HYPERLINK("https://cfpub.epa.gov/ecotox/explore.cfm?ncbi=6187","Explore in ECOTOX")</f>
        <v>Explore in ECOTOX</v>
      </c>
    </row>
    <row r="1426" spans="1:18" x14ac:dyDescent="0.45">
      <c r="A1426" t="s">
        <v>1264</v>
      </c>
      <c r="B1426">
        <v>8</v>
      </c>
      <c r="C1426" t="str">
        <f>HYPERLINK("http://www.ncbi.nlm.nih.gov/protein/KAJ1347272.1","KAJ1347272.1")</f>
        <v>KAJ1347272.1</v>
      </c>
      <c r="D1426">
        <v>29658</v>
      </c>
      <c r="E1426" t="str">
        <f>HYPERLINK("http://www.ncbi.nlm.nih.gov/Taxonomy/Browser/wwwtax.cgi?mode=Info&amp;id=148309&amp;lvl=3&amp;lin=f&amp;keep=1&amp;srchmode=1&amp;unlock","148309")</f>
        <v>148309</v>
      </c>
      <c r="F1426" t="s">
        <v>1024</v>
      </c>
      <c r="G1426" t="str">
        <f>HYPERLINK("http://www.ncbi.nlm.nih.gov/Taxonomy/Browser/wwwtax.cgi?mode=Info&amp;id=148309&amp;lvl=3&amp;lin=f&amp;keep=1&amp;srchmode=1&amp;unlock","Parelaphostrongylus tenuis")</f>
        <v>Parelaphostrongylus tenuis</v>
      </c>
      <c r="H1426" t="s">
        <v>1025</v>
      </c>
      <c r="I1426" t="str">
        <f>HYPERLINK("http://www.ncbi.nlm.nih.gov/protein/KAJ1347272.1","hypothetical protein KIN20_002293")</f>
        <v>hypothetical protein KIN20_002293</v>
      </c>
      <c r="J1426">
        <v>1150.19</v>
      </c>
      <c r="K1426" t="s">
        <v>22</v>
      </c>
      <c r="L1426">
        <v>276</v>
      </c>
      <c r="M1426">
        <v>9.75</v>
      </c>
      <c r="N1426">
        <v>11</v>
      </c>
      <c r="O1426" t="s">
        <v>19</v>
      </c>
      <c r="P1426" t="s">
        <v>20</v>
      </c>
      <c r="Q1426" t="s">
        <v>19</v>
      </c>
      <c r="R1426" t="str">
        <f>HYPERLINK("https://cfpub.epa.gov/ecotox/explore.cfm?ncbi=148309","Explore in ECOTOX")</f>
        <v>Explore in ECOTOX</v>
      </c>
    </row>
    <row r="1427" spans="1:18" x14ac:dyDescent="0.45">
      <c r="A1427" t="s">
        <v>1264</v>
      </c>
      <c r="B1427">
        <v>8</v>
      </c>
      <c r="C1427" t="str">
        <f>HYPERLINK("http://www.ncbi.nlm.nih.gov/protein/VDO40897.1","VDO40897.1")</f>
        <v>VDO40897.1</v>
      </c>
      <c r="D1427">
        <v>21561</v>
      </c>
      <c r="E1427" t="str">
        <f>HYPERLINK("http://www.ncbi.nlm.nih.gov/Taxonomy/Browser/wwwtax.cgi?mode=Info&amp;id=6290&amp;lvl=3&amp;lin=f&amp;keep=1&amp;srchmode=1&amp;unlock","6290")</f>
        <v>6290</v>
      </c>
      <c r="F1427" t="s">
        <v>1024</v>
      </c>
      <c r="G1427" t="str">
        <f>HYPERLINK("http://www.ncbi.nlm.nih.gov/Taxonomy/Browser/wwwtax.cgi?mode=Info&amp;id=6290&amp;lvl=3&amp;lin=f&amp;keep=1&amp;srchmode=1&amp;unlock","Haemonchus placei")</f>
        <v>Haemonchus placei</v>
      </c>
      <c r="H1427" t="s">
        <v>1025</v>
      </c>
      <c r="I1427" t="str">
        <f>HYPERLINK("http://www.ncbi.nlm.nih.gov/protein/VDO40897.1","unnamed protein product")</f>
        <v>unnamed protein product</v>
      </c>
      <c r="J1427">
        <v>1140.95</v>
      </c>
      <c r="K1427" t="s">
        <v>22</v>
      </c>
      <c r="L1427">
        <v>276</v>
      </c>
      <c r="M1427">
        <v>9.75</v>
      </c>
      <c r="N1427">
        <v>10.91</v>
      </c>
      <c r="O1427" t="s">
        <v>19</v>
      </c>
      <c r="P1427" t="s">
        <v>20</v>
      </c>
      <c r="Q1427" t="s">
        <v>19</v>
      </c>
      <c r="R1427" t="str">
        <f>HYPERLINK("https://cfpub.epa.gov/ecotox/explore.cfm?ncbi=6290","Explore in ECOTOX")</f>
        <v>Explore in ECOTOX</v>
      </c>
    </row>
    <row r="1428" spans="1:18" x14ac:dyDescent="0.45">
      <c r="A1428" t="s">
        <v>1264</v>
      </c>
      <c r="B1428">
        <v>8</v>
      </c>
      <c r="C1428" t="str">
        <f>HYPERLINK("http://www.ncbi.nlm.nih.gov/protein/CDS34291.2","CDS34291.2")</f>
        <v>CDS34291.2</v>
      </c>
      <c r="D1428">
        <v>12420</v>
      </c>
      <c r="E1428" t="str">
        <f>HYPERLINK("http://www.ncbi.nlm.nih.gov/Taxonomy/Browser/wwwtax.cgi?mode=Info&amp;id=85433&amp;lvl=3&amp;lin=f&amp;keep=1&amp;srchmode=1&amp;unlock","85433")</f>
        <v>85433</v>
      </c>
      <c r="F1428" t="s">
        <v>1185</v>
      </c>
      <c r="G1428" t="str">
        <f>HYPERLINK("http://www.ncbi.nlm.nih.gov/Taxonomy/Browser/wwwtax.cgi?mode=Info&amp;id=85433&amp;lvl=3&amp;lin=f&amp;keep=1&amp;srchmode=1&amp;unlock","Hymenolepis microstoma")</f>
        <v>Hymenolepis microstoma</v>
      </c>
      <c r="H1428" t="s">
        <v>1186</v>
      </c>
      <c r="I1428" t="str">
        <f>HYPERLINK("http://www.ncbi.nlm.nih.gov/protein/CDS34291.2","ryanodine receptor 44f")</f>
        <v>ryanodine receptor 44f</v>
      </c>
      <c r="J1428">
        <v>1138.6400000000001</v>
      </c>
      <c r="K1428" t="s">
        <v>22</v>
      </c>
      <c r="L1428">
        <v>276</v>
      </c>
      <c r="M1428">
        <v>9.75</v>
      </c>
      <c r="N1428">
        <v>10.89</v>
      </c>
      <c r="O1428" t="s">
        <v>19</v>
      </c>
      <c r="P1428" t="s">
        <v>20</v>
      </c>
      <c r="Q1428" t="s">
        <v>19</v>
      </c>
      <c r="R1428" t="str">
        <f>HYPERLINK("https://cfpub.epa.gov/ecotox/explore.cfm?ncbi=85433","Explore in ECOTOX")</f>
        <v>Explore in ECOTOX</v>
      </c>
    </row>
    <row r="1429" spans="1:18" x14ac:dyDescent="0.45">
      <c r="A1429" t="s">
        <v>1264</v>
      </c>
      <c r="B1429">
        <v>8</v>
      </c>
      <c r="C1429" t="str">
        <f>HYPERLINK("http://www.ncbi.nlm.nih.gov/protein/GMS80970.1","GMS80970.1")</f>
        <v>GMS80970.1</v>
      </c>
      <c r="D1429">
        <v>30770</v>
      </c>
      <c r="E1429" t="str">
        <f>HYPERLINK("http://www.ncbi.nlm.nih.gov/Taxonomy/Browser/wwwtax.cgi?mode=Info&amp;id=358040&amp;lvl=3&amp;lin=f&amp;keep=1&amp;srchmode=1&amp;unlock","358040")</f>
        <v>358040</v>
      </c>
      <c r="F1429" t="s">
        <v>1024</v>
      </c>
      <c r="G1429" t="str">
        <f>HYPERLINK("http://www.ncbi.nlm.nih.gov/Taxonomy/Browser/wwwtax.cgi?mode=Info&amp;id=358040&amp;lvl=3&amp;lin=f&amp;keep=1&amp;srchmode=1&amp;unlock","Pristionchus entomophagus")</f>
        <v>Pristionchus entomophagus</v>
      </c>
      <c r="H1429" t="s">
        <v>1027</v>
      </c>
      <c r="I1429" t="str">
        <f>HYPERLINK("http://www.ncbi.nlm.nih.gov/protein/GMS80970.1","hypothetical protein PENTCL1PPCAC_3145, partial")</f>
        <v>hypothetical protein PENTCL1PPCAC_3145, partial</v>
      </c>
      <c r="J1429">
        <v>1137.8699999999999</v>
      </c>
      <c r="K1429" t="s">
        <v>19</v>
      </c>
      <c r="L1429">
        <v>276</v>
      </c>
      <c r="M1429">
        <v>9.75</v>
      </c>
      <c r="N1429">
        <v>10.88</v>
      </c>
      <c r="O1429" t="s">
        <v>19</v>
      </c>
      <c r="P1429" t="s">
        <v>20</v>
      </c>
      <c r="Q1429" t="s">
        <v>19</v>
      </c>
      <c r="R1429" t="str">
        <f>HYPERLINK("https://cfpub.epa.gov/ecotox/explore.cfm?ncbi=358040","Explore in ECOTOX")</f>
        <v>Explore in ECOTOX</v>
      </c>
    </row>
    <row r="1430" spans="1:18" x14ac:dyDescent="0.45">
      <c r="A1430" t="s">
        <v>1264</v>
      </c>
      <c r="B1430">
        <v>8</v>
      </c>
      <c r="C1430" t="str">
        <f>HYPERLINK("http://www.ncbi.nlm.nih.gov/protein/VUZ49839.1","VUZ49839.1")</f>
        <v>VUZ49839.1</v>
      </c>
      <c r="D1430">
        <v>30647</v>
      </c>
      <c r="E1430" t="str">
        <f>HYPERLINK("http://www.ncbi.nlm.nih.gov/Taxonomy/Browser/wwwtax.cgi?mode=Info&amp;id=6216&amp;lvl=3&amp;lin=f&amp;keep=1&amp;srchmode=1&amp;unlock","6216")</f>
        <v>6216</v>
      </c>
      <c r="F1430" t="s">
        <v>1185</v>
      </c>
      <c r="G1430" t="str">
        <f>HYPERLINK("http://www.ncbi.nlm.nih.gov/Taxonomy/Browser/wwwtax.cgi?mode=Info&amp;id=6216&amp;lvl=3&amp;lin=f&amp;keep=1&amp;srchmode=1&amp;unlock","Hymenolepis diminuta")</f>
        <v>Hymenolepis diminuta</v>
      </c>
      <c r="H1430" t="s">
        <v>1187</v>
      </c>
      <c r="I1430" t="str">
        <f>HYPERLINK("http://www.ncbi.nlm.nih.gov/protein/VUZ49839.1","unnamed protein product, partial")</f>
        <v>unnamed protein product, partial</v>
      </c>
      <c r="J1430">
        <v>1134.01</v>
      </c>
      <c r="K1430" t="s">
        <v>22</v>
      </c>
      <c r="L1430">
        <v>276</v>
      </c>
      <c r="M1430">
        <v>9.75</v>
      </c>
      <c r="N1430">
        <v>10.85</v>
      </c>
      <c r="O1430" t="s">
        <v>19</v>
      </c>
      <c r="P1430" t="s">
        <v>20</v>
      </c>
      <c r="Q1430" t="s">
        <v>19</v>
      </c>
      <c r="R1430" t="str">
        <f>HYPERLINK("https://cfpub.epa.gov/ecotox/explore.cfm?ncbi=6216","Explore in ECOTOX")</f>
        <v>Explore in ECOTOX</v>
      </c>
    </row>
    <row r="1431" spans="1:18" x14ac:dyDescent="0.45">
      <c r="A1431" t="s">
        <v>1264</v>
      </c>
      <c r="B1431">
        <v>8</v>
      </c>
      <c r="C1431" t="str">
        <f>HYPERLINK("http://www.ncbi.nlm.nih.gov/protein/TGZ67042.1","TGZ67042.1")</f>
        <v>TGZ67042.1</v>
      </c>
      <c r="D1431">
        <v>20948</v>
      </c>
      <c r="E1431" t="str">
        <f>HYPERLINK("http://www.ncbi.nlm.nih.gov/Taxonomy/Browser/wwwtax.cgi?mode=Info&amp;id=147828&amp;lvl=3&amp;lin=f&amp;keep=1&amp;srchmode=1&amp;unlock","147828")</f>
        <v>147828</v>
      </c>
      <c r="F1431" t="s">
        <v>1140</v>
      </c>
      <c r="G1431" t="str">
        <f>HYPERLINK("http://www.ncbi.nlm.nih.gov/Taxonomy/Browser/wwwtax.cgi?mode=Info&amp;id=147828&amp;lvl=3&amp;lin=f&amp;keep=1&amp;srchmode=1&amp;unlock","Opisthorchis felineus")</f>
        <v>Opisthorchis felineus</v>
      </c>
      <c r="H1431" t="s">
        <v>1188</v>
      </c>
      <c r="I1431" t="str">
        <f>HYPERLINK("http://www.ncbi.nlm.nih.gov/protein/TGZ67042.1","hypothetical protein CRM22_004998")</f>
        <v>hypothetical protein CRM22_004998</v>
      </c>
      <c r="J1431">
        <v>1133.6300000000001</v>
      </c>
      <c r="K1431" t="s">
        <v>22</v>
      </c>
      <c r="L1431">
        <v>276</v>
      </c>
      <c r="M1431">
        <v>9.75</v>
      </c>
      <c r="N1431">
        <v>10.84</v>
      </c>
      <c r="O1431" t="s">
        <v>19</v>
      </c>
      <c r="P1431" t="s">
        <v>20</v>
      </c>
      <c r="Q1431" t="s">
        <v>19</v>
      </c>
      <c r="R1431" t="str">
        <f>HYPERLINK("https://cfpub.epa.gov/ecotox/explore.cfm?ncbi=147828","Explore in ECOTOX")</f>
        <v>Explore in ECOTOX</v>
      </c>
    </row>
    <row r="1432" spans="1:18" x14ac:dyDescent="0.45">
      <c r="A1432" t="s">
        <v>1264</v>
      </c>
      <c r="B1432">
        <v>8</v>
      </c>
      <c r="C1432" t="str">
        <f>HYPERLINK("http://www.ncbi.nlm.nih.gov/protein/KAJ6647169.1","KAJ6647169.1")</f>
        <v>KAJ6647169.1</v>
      </c>
      <c r="D1432">
        <v>17906</v>
      </c>
      <c r="E1432" t="str">
        <f>HYPERLINK("http://www.ncbi.nlm.nih.gov/Taxonomy/Browser/wwwtax.cgi?mode=Info&amp;id=35572&amp;lvl=3&amp;lin=f&amp;keep=1&amp;srchmode=1&amp;unlock","35572")</f>
        <v>35572</v>
      </c>
      <c r="F1432" t="s">
        <v>760</v>
      </c>
      <c r="G1432" t="str">
        <f>HYPERLINK("http://www.ncbi.nlm.nih.gov/Taxonomy/Browser/wwwtax.cgi?mode=Info&amp;id=35572&amp;lvl=3&amp;lin=f&amp;keep=1&amp;srchmode=1&amp;unlock","Pseudolycoriella hygida")</f>
        <v>Pseudolycoriella hygida</v>
      </c>
      <c r="H1432" t="s">
        <v>1096</v>
      </c>
      <c r="I1432" t="str">
        <f>HYPERLINK("http://www.ncbi.nlm.nih.gov/protein/KAJ6647169.1","Ryanodine receptor, partial")</f>
        <v>Ryanodine receptor, partial</v>
      </c>
      <c r="J1432">
        <v>1132.0899999999999</v>
      </c>
      <c r="K1432" t="s">
        <v>22</v>
      </c>
      <c r="L1432">
        <v>276</v>
      </c>
      <c r="M1432">
        <v>9.75</v>
      </c>
      <c r="N1432">
        <v>10.83</v>
      </c>
      <c r="O1432" t="s">
        <v>19</v>
      </c>
      <c r="P1432" t="s">
        <v>20</v>
      </c>
      <c r="Q1432" t="s">
        <v>19</v>
      </c>
      <c r="R1432" t="str">
        <f>HYPERLINK("https://cfpub.epa.gov/ecotox/explore.cfm?ncbi=35572","Explore in ECOTOX")</f>
        <v>Explore in ECOTOX</v>
      </c>
    </row>
    <row r="1433" spans="1:18" x14ac:dyDescent="0.45">
      <c r="A1433" t="s">
        <v>1264</v>
      </c>
      <c r="B1433">
        <v>8</v>
      </c>
      <c r="C1433" t="str">
        <f>HYPERLINK("http://www.ncbi.nlm.nih.gov/protein/PAV62896.1","PAV62896.1")</f>
        <v>PAV62896.1</v>
      </c>
      <c r="D1433">
        <v>38237</v>
      </c>
      <c r="E1433" t="str">
        <f>HYPERLINK("http://www.ncbi.nlm.nih.gov/Taxonomy/Browser/wwwtax.cgi?mode=Info&amp;id=2018661&amp;lvl=3&amp;lin=f&amp;keep=1&amp;srchmode=1&amp;unlock","2018661")</f>
        <v>2018661</v>
      </c>
      <c r="F1433" t="s">
        <v>1024</v>
      </c>
      <c r="G1433" t="str">
        <f>HYPERLINK("http://www.ncbi.nlm.nih.gov/Taxonomy/Browser/wwwtax.cgi?mode=Info&amp;id=2018661&amp;lvl=3&amp;lin=f&amp;keep=1&amp;srchmode=1&amp;unlock","Diploscapter pachys")</f>
        <v>Diploscapter pachys</v>
      </c>
      <c r="H1433" t="s">
        <v>1027</v>
      </c>
      <c r="I1433" t="str">
        <f>HYPERLINK("http://www.ncbi.nlm.nih.gov/protein/PAV62896.1","hypothetical protein WR25_23787 isoform A")</f>
        <v>hypothetical protein WR25_23787 isoform A</v>
      </c>
      <c r="J1433">
        <v>1122.07</v>
      </c>
      <c r="K1433" t="s">
        <v>22</v>
      </c>
      <c r="L1433">
        <v>276</v>
      </c>
      <c r="M1433">
        <v>9.75</v>
      </c>
      <c r="N1433">
        <v>10.73</v>
      </c>
      <c r="O1433" t="s">
        <v>19</v>
      </c>
      <c r="P1433" t="s">
        <v>20</v>
      </c>
      <c r="Q1433" t="s">
        <v>19</v>
      </c>
      <c r="R1433" t="str">
        <f>HYPERLINK("https://cfpub.epa.gov/ecotox/explore.cfm?ncbi=2018661","Explore in ECOTOX")</f>
        <v>Explore in ECOTOX</v>
      </c>
    </row>
    <row r="1434" spans="1:18" x14ac:dyDescent="0.45">
      <c r="A1434" t="s">
        <v>1264</v>
      </c>
      <c r="B1434">
        <v>8</v>
      </c>
      <c r="C1434" t="str">
        <f>HYPERLINK("http://www.ncbi.nlm.nih.gov/protein/KAI3389454.1","KAI3389454.1")</f>
        <v>KAI3389454.1</v>
      </c>
      <c r="D1434">
        <v>12272</v>
      </c>
      <c r="E1434" t="str">
        <f>HYPERLINK("http://www.ncbi.nlm.nih.gov/Taxonomy/Browser/wwwtax.cgi?mode=Info&amp;id=104778&amp;lvl=3&amp;lin=f&amp;keep=1&amp;srchmode=1&amp;unlock","104778")</f>
        <v>104778</v>
      </c>
      <c r="F1434" t="s">
        <v>1189</v>
      </c>
      <c r="G1434" t="str">
        <f>HYPERLINK("http://www.ncbi.nlm.nih.gov/Taxonomy/Browser/wwwtax.cgi?mode=Info&amp;id=104778&amp;lvl=3&amp;lin=f&amp;keep=1&amp;srchmode=1&amp;unlock","Seison nebaliae")</f>
        <v>Seison nebaliae</v>
      </c>
      <c r="H1434" t="s">
        <v>812</v>
      </c>
      <c r="I1434" t="str">
        <f>HYPERLINK("http://www.ncbi.nlm.nih.gov/protein/KAI3389454.1","hypothetical protein SNEBB_011471")</f>
        <v>hypothetical protein SNEBB_011471</v>
      </c>
      <c r="J1434">
        <v>1119.76</v>
      </c>
      <c r="K1434" t="s">
        <v>22</v>
      </c>
      <c r="L1434">
        <v>276</v>
      </c>
      <c r="M1434">
        <v>9.75</v>
      </c>
      <c r="N1434">
        <v>10.71</v>
      </c>
      <c r="O1434" t="s">
        <v>19</v>
      </c>
      <c r="P1434" t="s">
        <v>20</v>
      </c>
      <c r="Q1434" t="s">
        <v>19</v>
      </c>
      <c r="R1434" t="str">
        <f>HYPERLINK("https://cfpub.epa.gov/ecotox/explore.cfm?ncbi=104778","Explore in ECOTOX")</f>
        <v>Explore in ECOTOX</v>
      </c>
    </row>
    <row r="1435" spans="1:18" x14ac:dyDescent="0.45">
      <c r="A1435" t="s">
        <v>1264</v>
      </c>
      <c r="B1435">
        <v>8</v>
      </c>
      <c r="C1435" t="str">
        <f>HYPERLINK("http://www.ncbi.nlm.nih.gov/protein/MCP9259463.1","MCP9259463.1")</f>
        <v>MCP9259463.1</v>
      </c>
      <c r="D1435">
        <v>10129</v>
      </c>
      <c r="E1435" t="str">
        <f>HYPERLINK("http://www.ncbi.nlm.nih.gov/Taxonomy/Browser/wwwtax.cgi?mode=Info&amp;id=6287&amp;lvl=3&amp;lin=f&amp;keep=1&amp;srchmode=1&amp;unlock","6287")</f>
        <v>6287</v>
      </c>
      <c r="F1435" t="s">
        <v>1024</v>
      </c>
      <c r="G1435" t="str">
        <f>HYPERLINK("http://www.ncbi.nlm.nih.gov/Taxonomy/Browser/wwwtax.cgi?mode=Info&amp;id=6287&amp;lvl=3&amp;lin=f&amp;keep=1&amp;srchmode=1&amp;unlock","Dirofilaria immitis")</f>
        <v>Dirofilaria immitis</v>
      </c>
      <c r="H1435" t="s">
        <v>1190</v>
      </c>
      <c r="I1435" t="str">
        <f>HYPERLINK("http://www.ncbi.nlm.nih.gov/protein/MCP9259463.1","Ryanodine receptor 44F")</f>
        <v>Ryanodine receptor 44F</v>
      </c>
      <c r="J1435">
        <v>1119.3800000000001</v>
      </c>
      <c r="K1435" t="s">
        <v>22</v>
      </c>
      <c r="L1435">
        <v>276</v>
      </c>
      <c r="M1435">
        <v>9.75</v>
      </c>
      <c r="N1435">
        <v>10.71</v>
      </c>
      <c r="O1435" t="s">
        <v>19</v>
      </c>
      <c r="P1435" t="s">
        <v>20</v>
      </c>
      <c r="Q1435" t="s">
        <v>19</v>
      </c>
      <c r="R1435" t="str">
        <f>HYPERLINK("https://cfpub.epa.gov/ecotox/explore.cfm?ncbi=6287","Explore in ECOTOX")</f>
        <v>Explore in ECOTOX</v>
      </c>
    </row>
    <row r="1436" spans="1:18" x14ac:dyDescent="0.45">
      <c r="A1436" t="s">
        <v>1264</v>
      </c>
      <c r="B1436">
        <v>8</v>
      </c>
      <c r="C1436" t="str">
        <f>HYPERLINK("http://www.ncbi.nlm.nih.gov/protein/CAH8435987.1","CAH8435987.1")</f>
        <v>CAH8435987.1</v>
      </c>
      <c r="D1436">
        <v>30837</v>
      </c>
      <c r="E1436" t="str">
        <f>HYPERLINK("http://www.ncbi.nlm.nih.gov/Taxonomy/Browser/wwwtax.cgi?mode=Info&amp;id=39320&amp;lvl=3&amp;lin=f&amp;keep=1&amp;srchmode=1&amp;unlock","39320")</f>
        <v>39320</v>
      </c>
      <c r="F1436" t="s">
        <v>1140</v>
      </c>
      <c r="G1436" t="str">
        <f>HYPERLINK("http://www.ncbi.nlm.nih.gov/Taxonomy/Browser/wwwtax.cgi?mode=Info&amp;id=39320&amp;lvl=3&amp;lin=f&amp;keep=1&amp;srchmode=1&amp;unlock","Heterobilharzia americana")</f>
        <v>Heterobilharzia americana</v>
      </c>
      <c r="H1436" t="s">
        <v>1141</v>
      </c>
      <c r="I1436" t="str">
        <f>HYPERLINK("http://www.ncbi.nlm.nih.gov/protein/CAH8435987.1","unnamed protein product")</f>
        <v>unnamed protein product</v>
      </c>
      <c r="J1436">
        <v>1105.8900000000001</v>
      </c>
      <c r="K1436" t="s">
        <v>22</v>
      </c>
      <c r="L1436">
        <v>276</v>
      </c>
      <c r="M1436">
        <v>9.75</v>
      </c>
      <c r="N1436">
        <v>10.58</v>
      </c>
      <c r="O1436" t="s">
        <v>19</v>
      </c>
      <c r="P1436" t="s">
        <v>20</v>
      </c>
      <c r="Q1436" t="s">
        <v>19</v>
      </c>
      <c r="R1436" t="str">
        <f>HYPERLINK("https://cfpub.epa.gov/ecotox/explore.cfm?ncbi=39320","Explore in ECOTOX")</f>
        <v>Explore in ECOTOX</v>
      </c>
    </row>
    <row r="1437" spans="1:18" x14ac:dyDescent="0.45">
      <c r="A1437" t="s">
        <v>1264</v>
      </c>
      <c r="B1437">
        <v>8</v>
      </c>
      <c r="C1437" t="str">
        <f>HYPERLINK("http://www.ncbi.nlm.nih.gov/protein/RNA44121.1","RNA44121.1")</f>
        <v>RNA44121.1</v>
      </c>
      <c r="D1437">
        <v>53183</v>
      </c>
      <c r="E1437" t="str">
        <f>HYPERLINK("http://www.ncbi.nlm.nih.gov/Taxonomy/Browser/wwwtax.cgi?mode=Info&amp;id=10195&amp;lvl=3&amp;lin=f&amp;keep=1&amp;srchmode=1&amp;unlock","10195")</f>
        <v>10195</v>
      </c>
      <c r="F1437" t="s">
        <v>811</v>
      </c>
      <c r="G1437" t="str">
        <f>HYPERLINK("http://www.ncbi.nlm.nih.gov/Taxonomy/Browser/wwwtax.cgi?mode=Info&amp;id=10195&amp;lvl=3&amp;lin=f&amp;keep=1&amp;srchmode=1&amp;unlock","Brachionus plicatilis")</f>
        <v>Brachionus plicatilis</v>
      </c>
      <c r="H1437" t="s">
        <v>812</v>
      </c>
      <c r="I1437" t="str">
        <f>HYPERLINK("http://www.ncbi.nlm.nih.gov/protein/RNA44121.1","ryanodine receptor 44F-like")</f>
        <v>ryanodine receptor 44F-like</v>
      </c>
      <c r="J1437">
        <v>1103.97</v>
      </c>
      <c r="K1437" t="s">
        <v>19</v>
      </c>
      <c r="L1437">
        <v>276</v>
      </c>
      <c r="M1437">
        <v>9.75</v>
      </c>
      <c r="N1437">
        <v>10.56</v>
      </c>
      <c r="O1437" t="s">
        <v>19</v>
      </c>
      <c r="P1437" t="s">
        <v>20</v>
      </c>
      <c r="Q1437" t="s">
        <v>19</v>
      </c>
      <c r="R1437" t="str">
        <f>HYPERLINK("https://cfpub.epa.gov/ecotox/explore.cfm?ncbi=10195","Explore in ECOTOX")</f>
        <v>Explore in ECOTOX</v>
      </c>
    </row>
    <row r="1438" spans="1:18" x14ac:dyDescent="0.45">
      <c r="A1438" t="s">
        <v>1264</v>
      </c>
      <c r="B1438">
        <v>8</v>
      </c>
      <c r="C1438" t="str">
        <f>HYPERLINK("http://www.ncbi.nlm.nih.gov/protein/RUS74273.1","RUS74273.1")</f>
        <v>RUS74273.1</v>
      </c>
      <c r="D1438">
        <v>23929</v>
      </c>
      <c r="E1438" t="str">
        <f>HYPERLINK("http://www.ncbi.nlm.nih.gov/Taxonomy/Browser/wwwtax.cgi?mode=Info&amp;id=188477&amp;lvl=3&amp;lin=f&amp;keep=1&amp;srchmode=1&amp;unlock","188477")</f>
        <v>188477</v>
      </c>
      <c r="F1438" t="s">
        <v>757</v>
      </c>
      <c r="G1438" t="str">
        <f>HYPERLINK("http://www.ncbi.nlm.nih.gov/Taxonomy/Browser/wwwtax.cgi?mode=Info&amp;id=188477&amp;lvl=3&amp;lin=f&amp;keep=1&amp;srchmode=1&amp;unlock","Elysia chlorotica")</f>
        <v>Elysia chlorotica</v>
      </c>
      <c r="H1438" t="s">
        <v>1191</v>
      </c>
      <c r="I1438" t="str">
        <f>HYPERLINK("http://www.ncbi.nlm.nih.gov/protein/RUS74273.1","hypothetical protein EGW08_017975, partial")</f>
        <v>hypothetical protein EGW08_017975, partial</v>
      </c>
      <c r="J1438">
        <v>1093.18</v>
      </c>
      <c r="K1438" t="s">
        <v>22</v>
      </c>
      <c r="L1438">
        <v>276</v>
      </c>
      <c r="M1438">
        <v>9.75</v>
      </c>
      <c r="N1438">
        <v>10.46</v>
      </c>
      <c r="O1438" t="s">
        <v>19</v>
      </c>
      <c r="P1438" t="s">
        <v>20</v>
      </c>
      <c r="Q1438" t="s">
        <v>19</v>
      </c>
      <c r="R1438" t="str">
        <f>HYPERLINK("https://cfpub.epa.gov/ecotox/explore.cfm?ncbi=188477","Explore in ECOTOX")</f>
        <v>Explore in ECOTOX</v>
      </c>
    </row>
    <row r="1439" spans="1:18" x14ac:dyDescent="0.45">
      <c r="A1439" t="s">
        <v>1264</v>
      </c>
      <c r="B1439">
        <v>8</v>
      </c>
      <c r="C1439" t="str">
        <f>HYPERLINK("http://www.ncbi.nlm.nih.gov/protein/CAH8441646.1","CAH8441646.1")</f>
        <v>CAH8441646.1</v>
      </c>
      <c r="D1439">
        <v>41618</v>
      </c>
      <c r="E1439" t="str">
        <f>HYPERLINK("http://www.ncbi.nlm.nih.gov/Taxonomy/Browser/wwwtax.cgi?mode=Info&amp;id=48269&amp;lvl=3&amp;lin=f&amp;keep=1&amp;srchmode=1&amp;unlock","48269")</f>
        <v>48269</v>
      </c>
      <c r="F1439" t="s">
        <v>1140</v>
      </c>
      <c r="G1439" t="str">
        <f>HYPERLINK("http://www.ncbi.nlm.nih.gov/Taxonomy/Browser/wwwtax.cgi?mode=Info&amp;id=48269&amp;lvl=3&amp;lin=f&amp;keep=1&amp;srchmode=1&amp;unlock","Schistosoma margrebowiei")</f>
        <v>Schistosoma margrebowiei</v>
      </c>
      <c r="H1439" t="s">
        <v>1141</v>
      </c>
      <c r="I1439" t="str">
        <f>HYPERLINK("http://www.ncbi.nlm.nih.gov/protein/CAH8441646.1","unnamed protein product")</f>
        <v>unnamed protein product</v>
      </c>
      <c r="J1439">
        <v>1087.79</v>
      </c>
      <c r="K1439" t="s">
        <v>22</v>
      </c>
      <c r="L1439">
        <v>276</v>
      </c>
      <c r="M1439">
        <v>9.75</v>
      </c>
      <c r="N1439">
        <v>10.41</v>
      </c>
      <c r="O1439" t="s">
        <v>19</v>
      </c>
      <c r="P1439" t="s">
        <v>20</v>
      </c>
      <c r="Q1439" t="s">
        <v>19</v>
      </c>
      <c r="R1439" t="str">
        <f>HYPERLINK("https://cfpub.epa.gov/ecotox/explore.cfm?ncbi=48269","Explore in ECOTOX")</f>
        <v>Explore in ECOTOX</v>
      </c>
    </row>
    <row r="1440" spans="1:18" x14ac:dyDescent="0.45">
      <c r="A1440" t="s">
        <v>1264</v>
      </c>
      <c r="B1440">
        <v>8</v>
      </c>
      <c r="C1440" t="str">
        <f>HYPERLINK("http://www.ncbi.nlm.nih.gov/protein/CAH8833988.1","CAH8833988.1")</f>
        <v>CAH8833988.1</v>
      </c>
      <c r="D1440">
        <v>43160</v>
      </c>
      <c r="E1440" t="str">
        <f>HYPERLINK("http://www.ncbi.nlm.nih.gov/Taxonomy/Browser/wwwtax.cgi?mode=Info&amp;id=157069&amp;lvl=3&amp;lin=f&amp;keep=1&amp;srchmode=1&amp;unlock","157069")</f>
        <v>157069</v>
      </c>
      <c r="F1440" t="s">
        <v>1140</v>
      </c>
      <c r="G1440" t="str">
        <f>HYPERLINK("http://www.ncbi.nlm.nih.gov/Taxonomy/Browser/wwwtax.cgi?mode=Info&amp;id=157069&amp;lvl=3&amp;lin=f&amp;keep=1&amp;srchmode=1&amp;unlock","Trichobilharzia regenti")</f>
        <v>Trichobilharzia regenti</v>
      </c>
      <c r="H1440" t="s">
        <v>1192</v>
      </c>
      <c r="I1440" t="str">
        <f>HYPERLINK("http://www.ncbi.nlm.nih.gov/protein/CAH8833988.1","unnamed protein product, partial")</f>
        <v>unnamed protein product, partial</v>
      </c>
      <c r="J1440">
        <v>1087.02</v>
      </c>
      <c r="K1440" t="s">
        <v>22</v>
      </c>
      <c r="L1440">
        <v>276</v>
      </c>
      <c r="M1440">
        <v>9.75</v>
      </c>
      <c r="N1440">
        <v>10.4</v>
      </c>
      <c r="O1440" t="s">
        <v>19</v>
      </c>
      <c r="P1440" t="s">
        <v>20</v>
      </c>
      <c r="Q1440" t="s">
        <v>19</v>
      </c>
      <c r="R1440" t="str">
        <f>HYPERLINK("https://cfpub.epa.gov/ecotox/explore.cfm?ncbi=157069","Explore in ECOTOX")</f>
        <v>Explore in ECOTOX</v>
      </c>
    </row>
    <row r="1441" spans="1:18" x14ac:dyDescent="0.45">
      <c r="A1441" t="s">
        <v>1264</v>
      </c>
      <c r="B1441">
        <v>8</v>
      </c>
      <c r="C1441" t="str">
        <f>HYPERLINK("http://www.ncbi.nlm.nih.gov/protein/CAH8441148.1","CAH8441148.1")</f>
        <v>CAH8441148.1</v>
      </c>
      <c r="D1441">
        <v>38218</v>
      </c>
      <c r="E1441" t="str">
        <f>HYPERLINK("http://www.ncbi.nlm.nih.gov/Taxonomy/Browser/wwwtax.cgi?mode=Info&amp;id=6188&amp;lvl=3&amp;lin=f&amp;keep=1&amp;srchmode=1&amp;unlock","6188")</f>
        <v>6188</v>
      </c>
      <c r="F1441" t="s">
        <v>1140</v>
      </c>
      <c r="G1441" t="str">
        <f>HYPERLINK("http://www.ncbi.nlm.nih.gov/Taxonomy/Browser/wwwtax.cgi?mode=Info&amp;id=6188&amp;lvl=3&amp;lin=f&amp;keep=1&amp;srchmode=1&amp;unlock","Schistosoma rodhaini")</f>
        <v>Schistosoma rodhaini</v>
      </c>
      <c r="H1441" t="s">
        <v>1141</v>
      </c>
      <c r="I1441" t="str">
        <f>HYPERLINK("http://www.ncbi.nlm.nih.gov/protein/CAH8441148.1","unnamed protein product")</f>
        <v>unnamed protein product</v>
      </c>
      <c r="J1441">
        <v>1079.32</v>
      </c>
      <c r="K1441" t="s">
        <v>22</v>
      </c>
      <c r="L1441">
        <v>276</v>
      </c>
      <c r="M1441">
        <v>9.75</v>
      </c>
      <c r="N1441">
        <v>10.32</v>
      </c>
      <c r="O1441" t="s">
        <v>19</v>
      </c>
      <c r="P1441" t="s">
        <v>20</v>
      </c>
      <c r="Q1441" t="s">
        <v>19</v>
      </c>
      <c r="R1441" t="str">
        <f>HYPERLINK("https://cfpub.epa.gov/ecotox/explore.cfm?ncbi=6188","Explore in ECOTOX")</f>
        <v>Explore in ECOTOX</v>
      </c>
    </row>
    <row r="1442" spans="1:18" x14ac:dyDescent="0.45">
      <c r="A1442" t="s">
        <v>1264</v>
      </c>
      <c r="B1442">
        <v>8</v>
      </c>
      <c r="C1442" t="str">
        <f>HYPERLINK("http://www.ncbi.nlm.nih.gov/protein/CAI2723069.1","CAI2723069.1")</f>
        <v>CAI2723069.1</v>
      </c>
      <c r="D1442">
        <v>14559</v>
      </c>
      <c r="E1442" t="str">
        <f>HYPERLINK("http://www.ncbi.nlm.nih.gov/Taxonomy/Browser/wwwtax.cgi?mode=Info&amp;id=6189&amp;lvl=3&amp;lin=f&amp;keep=1&amp;srchmode=1&amp;unlock","6189")</f>
        <v>6189</v>
      </c>
      <c r="F1442" t="s">
        <v>1140</v>
      </c>
      <c r="G1442" t="str">
        <f>HYPERLINK("http://www.ncbi.nlm.nih.gov/Taxonomy/Browser/wwwtax.cgi?mode=Info&amp;id=6189&amp;lvl=3&amp;lin=f&amp;keep=1&amp;srchmode=1&amp;unlock","Schistosoma spindale")</f>
        <v>Schistosoma spindale</v>
      </c>
      <c r="H1442" t="s">
        <v>1141</v>
      </c>
      <c r="I1442" t="str">
        <f>HYPERLINK("http://www.ncbi.nlm.nih.gov/protein/CAI2723069.1","unnamed protein product")</f>
        <v>unnamed protein product</v>
      </c>
      <c r="J1442">
        <v>1078.93</v>
      </c>
      <c r="K1442" t="s">
        <v>22</v>
      </c>
      <c r="L1442">
        <v>276</v>
      </c>
      <c r="M1442">
        <v>9.75</v>
      </c>
      <c r="N1442">
        <v>10.32</v>
      </c>
      <c r="O1442" t="s">
        <v>19</v>
      </c>
      <c r="P1442" t="s">
        <v>20</v>
      </c>
      <c r="Q1442" t="s">
        <v>19</v>
      </c>
      <c r="R1442" t="str">
        <f>HYPERLINK("https://cfpub.epa.gov/ecotox/explore.cfm?ncbi=6189","Explore in ECOTOX")</f>
        <v>Explore in ECOTOX</v>
      </c>
    </row>
    <row r="1443" spans="1:18" x14ac:dyDescent="0.45">
      <c r="A1443" t="s">
        <v>1264</v>
      </c>
      <c r="B1443">
        <v>8</v>
      </c>
      <c r="C1443" t="str">
        <f>HYPERLINK("http://www.ncbi.nlm.nih.gov/protein/TKR86990.1","TKR86990.1")</f>
        <v>TKR86990.1</v>
      </c>
      <c r="D1443">
        <v>36674</v>
      </c>
      <c r="E1443" t="str">
        <f>HYPERLINK("http://www.ncbi.nlm.nih.gov/Taxonomy/Browser/wwwtax.cgi?mode=Info&amp;id=34508&amp;lvl=3&amp;lin=f&amp;keep=1&amp;srchmode=1&amp;unlock","34508")</f>
        <v>34508</v>
      </c>
      <c r="F1443" t="s">
        <v>1024</v>
      </c>
      <c r="G1443" t="str">
        <f>HYPERLINK("http://www.ncbi.nlm.nih.gov/Taxonomy/Browser/wwwtax.cgi?mode=Info&amp;id=34508&amp;lvl=3&amp;lin=f&amp;keep=1&amp;srchmode=1&amp;unlock","Steinernema carpocapsae")</f>
        <v>Steinernema carpocapsae</v>
      </c>
      <c r="H1443" t="s">
        <v>1027</v>
      </c>
      <c r="I1443" t="str">
        <f>HYPERLINK("http://www.ncbi.nlm.nih.gov/protein/TKR86990.1","hypothetical protein L596_011474")</f>
        <v>hypothetical protein L596_011474</v>
      </c>
      <c r="J1443">
        <v>1075.46</v>
      </c>
      <c r="K1443" t="s">
        <v>22</v>
      </c>
      <c r="L1443">
        <v>276</v>
      </c>
      <c r="M1443">
        <v>9.75</v>
      </c>
      <c r="N1443">
        <v>10.29</v>
      </c>
      <c r="O1443" t="s">
        <v>19</v>
      </c>
      <c r="P1443" t="s">
        <v>20</v>
      </c>
      <c r="Q1443" t="s">
        <v>19</v>
      </c>
      <c r="R1443" t="str">
        <f>HYPERLINK("https://cfpub.epa.gov/ecotox/explore.cfm?ncbi=34508","Explore in ECOTOX")</f>
        <v>Explore in ECOTOX</v>
      </c>
    </row>
    <row r="1444" spans="1:18" x14ac:dyDescent="0.45">
      <c r="A1444" t="s">
        <v>1264</v>
      </c>
      <c r="B1444">
        <v>8</v>
      </c>
      <c r="C1444" t="str">
        <f>HYPERLINK("http://www.ncbi.nlm.nih.gov/protein/VDD92494.1","VDD92494.1")</f>
        <v>VDD92494.1</v>
      </c>
      <c r="D1444">
        <v>13019</v>
      </c>
      <c r="E1444" t="str">
        <f>HYPERLINK("http://www.ncbi.nlm.nih.gov/Taxonomy/Browser/wwwtax.cgi?mode=Info&amp;id=51028&amp;lvl=3&amp;lin=f&amp;keep=1&amp;srchmode=1&amp;unlock","51028")</f>
        <v>51028</v>
      </c>
      <c r="F1444" t="s">
        <v>1024</v>
      </c>
      <c r="G1444" t="str">
        <f>HYPERLINK("http://www.ncbi.nlm.nih.gov/Taxonomy/Browser/wwwtax.cgi?mode=Info&amp;id=51028&amp;lvl=3&amp;lin=f&amp;keep=1&amp;srchmode=1&amp;unlock","Enterobius vermicularis")</f>
        <v>Enterobius vermicularis</v>
      </c>
      <c r="H1444" t="s">
        <v>1193</v>
      </c>
      <c r="I1444" t="str">
        <f>HYPERLINK("http://www.ncbi.nlm.nih.gov/protein/VDD92494.1","unnamed protein product")</f>
        <v>unnamed protein product</v>
      </c>
      <c r="J1444">
        <v>1072.77</v>
      </c>
      <c r="K1444" t="s">
        <v>22</v>
      </c>
      <c r="L1444">
        <v>276</v>
      </c>
      <c r="M1444">
        <v>9.75</v>
      </c>
      <c r="N1444">
        <v>10.26</v>
      </c>
      <c r="O1444" t="s">
        <v>19</v>
      </c>
      <c r="P1444" t="s">
        <v>20</v>
      </c>
      <c r="Q1444" t="s">
        <v>19</v>
      </c>
      <c r="R1444" t="str">
        <f>HYPERLINK("https://cfpub.epa.gov/ecotox/explore.cfm?ncbi=51028","Explore in ECOTOX")</f>
        <v>Explore in ECOTOX</v>
      </c>
    </row>
    <row r="1445" spans="1:18" x14ac:dyDescent="0.45">
      <c r="A1445" t="s">
        <v>1264</v>
      </c>
      <c r="B1445">
        <v>8</v>
      </c>
      <c r="C1445" t="str">
        <f>HYPERLINK("http://www.ncbi.nlm.nih.gov/protein/TNN17700.1","TNN17700.1")</f>
        <v>TNN17700.1</v>
      </c>
      <c r="D1445">
        <v>65681</v>
      </c>
      <c r="E1445" t="str">
        <f>HYPERLINK("http://www.ncbi.nlm.nih.gov/Taxonomy/Browser/wwwtax.cgi?mode=Info&amp;id=6182&amp;lvl=3&amp;lin=f&amp;keep=1&amp;srchmode=1&amp;unlock","6182")</f>
        <v>6182</v>
      </c>
      <c r="F1445" t="s">
        <v>1140</v>
      </c>
      <c r="G1445" t="str">
        <f>HYPERLINK("http://www.ncbi.nlm.nih.gov/Taxonomy/Browser/wwwtax.cgi?mode=Info&amp;id=6182&amp;lvl=3&amp;lin=f&amp;keep=1&amp;srchmode=1&amp;unlock","Schistosoma japonicum")</f>
        <v>Schistosoma japonicum</v>
      </c>
      <c r="H1445" t="s">
        <v>1141</v>
      </c>
      <c r="I1445" t="str">
        <f>HYPERLINK("http://www.ncbi.nlm.nih.gov/protein/TNN17700.1","Ryanodine receptor isoform 1")</f>
        <v>Ryanodine receptor isoform 1</v>
      </c>
      <c r="J1445">
        <v>1070.46</v>
      </c>
      <c r="K1445" t="s">
        <v>22</v>
      </c>
      <c r="L1445">
        <v>276</v>
      </c>
      <c r="M1445">
        <v>9.75</v>
      </c>
      <c r="N1445">
        <v>10.24</v>
      </c>
      <c r="O1445" t="s">
        <v>19</v>
      </c>
      <c r="P1445" t="s">
        <v>20</v>
      </c>
      <c r="Q1445" t="s">
        <v>19</v>
      </c>
      <c r="R1445" t="str">
        <f>HYPERLINK("https://cfpub.epa.gov/ecotox/explore.cfm?ncbi=6182","Explore in ECOTOX")</f>
        <v>Explore in ECOTOX</v>
      </c>
    </row>
    <row r="1446" spans="1:18" x14ac:dyDescent="0.45">
      <c r="A1446" t="s">
        <v>1264</v>
      </c>
      <c r="B1446">
        <v>8</v>
      </c>
      <c r="C1446" t="str">
        <f>HYPERLINK("http://www.ncbi.nlm.nih.gov/protein/VDM17155.1","VDM17155.1")</f>
        <v>VDM17155.1</v>
      </c>
      <c r="D1446">
        <v>11790</v>
      </c>
      <c r="E1446" t="str">
        <f>HYPERLINK("http://www.ncbi.nlm.nih.gov/Taxonomy/Browser/wwwtax.cgi?mode=Info&amp;id=6205&amp;lvl=3&amp;lin=f&amp;keep=1&amp;srchmode=1&amp;unlock","6205")</f>
        <v>6205</v>
      </c>
      <c r="F1446" t="s">
        <v>1185</v>
      </c>
      <c r="G1446" t="str">
        <f>HYPERLINK("http://www.ncbi.nlm.nih.gov/Taxonomy/Browser/wwwtax.cgi?mode=Info&amp;id=6205&amp;lvl=3&amp;lin=f&amp;keep=1&amp;srchmode=1&amp;unlock","Hydatigera taeniaeformis")</f>
        <v>Hydatigera taeniaeformis</v>
      </c>
      <c r="H1446" t="s">
        <v>1186</v>
      </c>
      <c r="I1446" t="str">
        <f>HYPERLINK("http://www.ncbi.nlm.nih.gov/protein/VDM17155.1","unnamed protein product")</f>
        <v>unnamed protein product</v>
      </c>
      <c r="J1446">
        <v>1068.53</v>
      </c>
      <c r="K1446" t="s">
        <v>22</v>
      </c>
      <c r="L1446">
        <v>276</v>
      </c>
      <c r="M1446">
        <v>9.75</v>
      </c>
      <c r="N1446">
        <v>10.220000000000001</v>
      </c>
      <c r="O1446" t="s">
        <v>19</v>
      </c>
      <c r="P1446" t="s">
        <v>20</v>
      </c>
      <c r="Q1446" t="s">
        <v>19</v>
      </c>
      <c r="R1446" t="str">
        <f>HYPERLINK("https://cfpub.epa.gov/ecotox/explore.cfm?ncbi=6205","Explore in ECOTOX")</f>
        <v>Explore in ECOTOX</v>
      </c>
    </row>
    <row r="1447" spans="1:18" x14ac:dyDescent="0.45">
      <c r="A1447" t="s">
        <v>1264</v>
      </c>
      <c r="B1447">
        <v>8</v>
      </c>
      <c r="C1447" t="str">
        <f>HYPERLINK("http://www.ncbi.nlm.nih.gov/protein/KAF5405064.1","KAF5405064.1")</f>
        <v>KAF5405064.1</v>
      </c>
      <c r="D1447">
        <v>12550</v>
      </c>
      <c r="E1447" t="str">
        <f>HYPERLINK("http://www.ncbi.nlm.nih.gov/Taxonomy/Browser/wwwtax.cgi?mode=Info&amp;id=100268&amp;lvl=3&amp;lin=f&amp;keep=1&amp;srchmode=1&amp;unlock","100268")</f>
        <v>100268</v>
      </c>
      <c r="F1447" t="s">
        <v>1140</v>
      </c>
      <c r="G1447" t="str">
        <f>HYPERLINK("http://www.ncbi.nlm.nih.gov/Taxonomy/Browser/wwwtax.cgi?mode=Info&amp;id=100268&amp;lvl=3&amp;lin=f&amp;keep=1&amp;srchmode=1&amp;unlock","Paragonimus heterotremus")</f>
        <v>Paragonimus heterotremus</v>
      </c>
      <c r="H1447" t="s">
        <v>1194</v>
      </c>
      <c r="I1447" t="str">
        <f>HYPERLINK("http://www.ncbi.nlm.nih.gov/protein/KAF5405064.1","hypothetical protein PHET_01364")</f>
        <v>hypothetical protein PHET_01364</v>
      </c>
      <c r="J1447">
        <v>1061.98</v>
      </c>
      <c r="K1447" t="s">
        <v>22</v>
      </c>
      <c r="L1447">
        <v>276</v>
      </c>
      <c r="M1447">
        <v>9.75</v>
      </c>
      <c r="N1447">
        <v>10.16</v>
      </c>
      <c r="O1447" t="s">
        <v>19</v>
      </c>
      <c r="P1447" t="s">
        <v>20</v>
      </c>
      <c r="Q1447" t="s">
        <v>19</v>
      </c>
      <c r="R1447" t="str">
        <f>HYPERLINK("https://cfpub.epa.gov/ecotox/explore.cfm?ncbi=100268","Explore in ECOTOX")</f>
        <v>Explore in ECOTOX</v>
      </c>
    </row>
    <row r="1448" spans="1:18" x14ac:dyDescent="0.45">
      <c r="A1448" t="s">
        <v>1264</v>
      </c>
      <c r="B1448">
        <v>8</v>
      </c>
      <c r="C1448" t="str">
        <f>HYPERLINK("http://www.ncbi.nlm.nih.gov/protein/VZI27969.1","VZI27969.1")</f>
        <v>VZI27969.1</v>
      </c>
      <c r="D1448">
        <v>28662</v>
      </c>
      <c r="E1448" t="str">
        <f>HYPERLINK("http://www.ncbi.nlm.nih.gov/Taxonomy/Browser/wwwtax.cgi?mode=Info&amp;id=99802&amp;lvl=3&amp;lin=f&amp;keep=1&amp;srchmode=1&amp;unlock","99802")</f>
        <v>99802</v>
      </c>
      <c r="F1448" t="s">
        <v>1185</v>
      </c>
      <c r="G1448" t="str">
        <f>HYPERLINK("http://www.ncbi.nlm.nih.gov/Taxonomy/Browser/wwwtax.cgi?mode=Info&amp;id=99802&amp;lvl=3&amp;lin=f&amp;keep=1&amp;srchmode=1&amp;unlock","Spirometra erinaceieuropaei")</f>
        <v>Spirometra erinaceieuropaei</v>
      </c>
      <c r="H1448" t="s">
        <v>1186</v>
      </c>
      <c r="I1448" t="str">
        <f>HYPERLINK("http://www.ncbi.nlm.nih.gov/protein/VZI27969.1","unnamed protein product")</f>
        <v>unnamed protein product</v>
      </c>
      <c r="J1448">
        <v>1060.44</v>
      </c>
      <c r="K1448" t="s">
        <v>22</v>
      </c>
      <c r="L1448">
        <v>276</v>
      </c>
      <c r="M1448">
        <v>9.75</v>
      </c>
      <c r="N1448">
        <v>10.14</v>
      </c>
      <c r="O1448" t="s">
        <v>19</v>
      </c>
      <c r="P1448" t="s">
        <v>20</v>
      </c>
      <c r="Q1448" t="s">
        <v>19</v>
      </c>
      <c r="R1448" t="str">
        <f>HYPERLINK("https://cfpub.epa.gov/ecotox/explore.cfm?ncbi=99802","Explore in ECOTOX")</f>
        <v>Explore in ECOTOX</v>
      </c>
    </row>
    <row r="1449" spans="1:18" x14ac:dyDescent="0.45">
      <c r="A1449" t="s">
        <v>1264</v>
      </c>
      <c r="B1449">
        <v>8</v>
      </c>
      <c r="C1449" t="str">
        <f>HYPERLINK("http://www.ncbi.nlm.nih.gov/protein/KAG8232313.1","KAG8232313.1")</f>
        <v>KAG8232313.1</v>
      </c>
      <c r="D1449">
        <v>18897</v>
      </c>
      <c r="E1449" t="str">
        <f>HYPERLINK("http://www.ncbi.nlm.nih.gov/Taxonomy/Browser/wwwtax.cgi?mode=Info&amp;id=123851&amp;lvl=3&amp;lin=f&amp;keep=1&amp;srchmode=1&amp;unlock","123851")</f>
        <v>123851</v>
      </c>
      <c r="F1449" t="s">
        <v>760</v>
      </c>
      <c r="G1449" t="str">
        <f>HYPERLINK("http://www.ncbi.nlm.nih.gov/Taxonomy/Browser/wwwtax.cgi?mode=Info&amp;id=123851&amp;lvl=3&amp;lin=f&amp;keep=1&amp;srchmode=1&amp;unlock","Ladona fulva")</f>
        <v>Ladona fulva</v>
      </c>
      <c r="H1449" t="s">
        <v>1195</v>
      </c>
      <c r="I1449" t="str">
        <f>HYPERLINK("http://www.ncbi.nlm.nih.gov/protein/KAG8232313.1","hypothetical protein J437_LFUL009412")</f>
        <v>hypothetical protein J437_LFUL009412</v>
      </c>
      <c r="J1449">
        <v>1043.8800000000001</v>
      </c>
      <c r="K1449" t="s">
        <v>22</v>
      </c>
      <c r="L1449">
        <v>276</v>
      </c>
      <c r="M1449">
        <v>9.75</v>
      </c>
      <c r="N1449">
        <v>9.99</v>
      </c>
      <c r="O1449" t="s">
        <v>19</v>
      </c>
      <c r="P1449" t="s">
        <v>20</v>
      </c>
      <c r="Q1449" t="s">
        <v>19</v>
      </c>
      <c r="R1449" t="str">
        <f>HYPERLINK("https://cfpub.epa.gov/ecotox/explore.cfm?ncbi=123851","Explore in ECOTOX")</f>
        <v>Explore in ECOTOX</v>
      </c>
    </row>
    <row r="1450" spans="1:18" x14ac:dyDescent="0.45">
      <c r="A1450" t="s">
        <v>1264</v>
      </c>
      <c r="B1450">
        <v>8</v>
      </c>
      <c r="C1450" t="str">
        <f>HYPERLINK("http://www.ncbi.nlm.nih.gov/protein/CAH8834664.1","CAH8834664.1")</f>
        <v>CAH8834664.1</v>
      </c>
      <c r="D1450">
        <v>20325</v>
      </c>
      <c r="E1450" t="str">
        <f>HYPERLINK("http://www.ncbi.nlm.nih.gov/Taxonomy/Browser/wwwtax.cgi?mode=Info&amp;id=157070&amp;lvl=3&amp;lin=f&amp;keep=1&amp;srchmode=1&amp;unlock","157070")</f>
        <v>157070</v>
      </c>
      <c r="F1450" t="s">
        <v>1140</v>
      </c>
      <c r="G1450" t="str">
        <f>HYPERLINK("http://www.ncbi.nlm.nih.gov/Taxonomy/Browser/wwwtax.cgi?mode=Info&amp;id=157070&amp;lvl=3&amp;lin=f&amp;keep=1&amp;srchmode=1&amp;unlock","Trichobilharzia szidati")</f>
        <v>Trichobilharzia szidati</v>
      </c>
      <c r="H1450" t="s">
        <v>1141</v>
      </c>
      <c r="I1450" t="str">
        <f>HYPERLINK("http://www.ncbi.nlm.nih.gov/protein/CAH8834664.1","unnamed protein product")</f>
        <v>unnamed protein product</v>
      </c>
      <c r="J1450">
        <v>1041.18</v>
      </c>
      <c r="K1450" t="s">
        <v>22</v>
      </c>
      <c r="L1450">
        <v>276</v>
      </c>
      <c r="M1450">
        <v>9.75</v>
      </c>
      <c r="N1450">
        <v>9.9600000000000009</v>
      </c>
      <c r="O1450" t="s">
        <v>19</v>
      </c>
      <c r="P1450" t="s">
        <v>20</v>
      </c>
      <c r="Q1450" t="s">
        <v>19</v>
      </c>
      <c r="R1450" t="str">
        <f>HYPERLINK("https://cfpub.epa.gov/ecotox/explore.cfm?ncbi=157070","Explore in ECOTOX")</f>
        <v>Explore in ECOTOX</v>
      </c>
    </row>
    <row r="1451" spans="1:18" x14ac:dyDescent="0.45">
      <c r="A1451" t="s">
        <v>1264</v>
      </c>
      <c r="B1451">
        <v>8</v>
      </c>
      <c r="C1451" t="str">
        <f>HYPERLINK("http://www.ncbi.nlm.nih.gov/protein/KAG5704415.1","KAG5704415.1")</f>
        <v>KAG5704415.1</v>
      </c>
      <c r="D1451">
        <v>29726</v>
      </c>
      <c r="E1451" t="str">
        <f>HYPERLINK("http://www.ncbi.nlm.nih.gov/Taxonomy/Browser/wwwtax.cgi?mode=Info&amp;id=370345&amp;lvl=3&amp;lin=f&amp;keep=1&amp;srchmode=1&amp;unlock","370345")</f>
        <v>370345</v>
      </c>
      <c r="F1451" t="s">
        <v>757</v>
      </c>
      <c r="G1451" t="str">
        <f>HYPERLINK("http://www.ncbi.nlm.nih.gov/Taxonomy/Browser/wwwtax.cgi?mode=Info&amp;id=370345&amp;lvl=3&amp;lin=f&amp;keep=1&amp;srchmode=1&amp;unlock","Batillaria attramentaria")</f>
        <v>Batillaria attramentaria</v>
      </c>
      <c r="H1451" t="s">
        <v>832</v>
      </c>
      <c r="I1451" t="str">
        <f>HYPERLINK("http://www.ncbi.nlm.nih.gov/protein/KAG5704415.1","hypothetical protein BaRGS_024270, partial")</f>
        <v>hypothetical protein BaRGS_024270, partial</v>
      </c>
      <c r="J1451">
        <v>1029.24</v>
      </c>
      <c r="K1451" t="s">
        <v>22</v>
      </c>
      <c r="L1451">
        <v>276</v>
      </c>
      <c r="M1451">
        <v>9.75</v>
      </c>
      <c r="N1451">
        <v>9.85</v>
      </c>
      <c r="O1451" t="s">
        <v>19</v>
      </c>
      <c r="P1451" t="s">
        <v>20</v>
      </c>
      <c r="Q1451" t="s">
        <v>19</v>
      </c>
      <c r="R1451" t="str">
        <f>HYPERLINK("https://cfpub.epa.gov/ecotox/explore.cfm?ncbi=370345","Explore in ECOTOX")</f>
        <v>Explore in ECOTOX</v>
      </c>
    </row>
    <row r="1452" spans="1:18" x14ac:dyDescent="0.45">
      <c r="A1452" t="s">
        <v>1264</v>
      </c>
      <c r="B1452">
        <v>8</v>
      </c>
      <c r="C1452" t="str">
        <f>HYPERLINK("http://www.ncbi.nlm.nih.gov/protein/KAJ9597821.1","KAJ9597821.1")</f>
        <v>KAJ9597821.1</v>
      </c>
      <c r="D1452">
        <v>28554</v>
      </c>
      <c r="E1452" t="str">
        <f>HYPERLINK("http://www.ncbi.nlm.nih.gov/Taxonomy/Browser/wwwtax.cgi?mode=Info&amp;id=6984&amp;lvl=3&amp;lin=f&amp;keep=1&amp;srchmode=1&amp;unlock","6984")</f>
        <v>6984</v>
      </c>
      <c r="F1452" t="s">
        <v>760</v>
      </c>
      <c r="G1452" t="str">
        <f>HYPERLINK("http://www.ncbi.nlm.nih.gov/Taxonomy/Browser/wwwtax.cgi?mode=Info&amp;id=6984&amp;lvl=3&amp;lin=f&amp;keep=1&amp;srchmode=1&amp;unlock","Diploptera punctata")</f>
        <v>Diploptera punctata</v>
      </c>
      <c r="H1452" t="s">
        <v>1196</v>
      </c>
      <c r="I1452" t="str">
        <f>HYPERLINK("http://www.ncbi.nlm.nih.gov/protein/KAJ9597821.1","hypothetical protein L9F63_011316, partial")</f>
        <v>hypothetical protein L9F63_011316, partial</v>
      </c>
      <c r="J1452">
        <v>1023.46</v>
      </c>
      <c r="K1452" t="s">
        <v>22</v>
      </c>
      <c r="L1452">
        <v>276</v>
      </c>
      <c r="M1452">
        <v>9.75</v>
      </c>
      <c r="N1452">
        <v>9.7899999999999991</v>
      </c>
      <c r="O1452" t="s">
        <v>19</v>
      </c>
      <c r="P1452" t="s">
        <v>20</v>
      </c>
      <c r="Q1452" t="s">
        <v>19</v>
      </c>
      <c r="R1452" t="str">
        <f>HYPERLINK("https://cfpub.epa.gov/ecotox/explore.cfm?ncbi=6984","Explore in ECOTOX")</f>
        <v>Explore in ECOTOX</v>
      </c>
    </row>
    <row r="1453" spans="1:18" x14ac:dyDescent="0.45">
      <c r="A1453" t="s">
        <v>1264</v>
      </c>
      <c r="B1453">
        <v>8</v>
      </c>
      <c r="C1453" t="str">
        <f>HYPERLINK("http://www.ncbi.nlm.nih.gov/protein/GAA52865.1","GAA52865.1")</f>
        <v>GAA52865.1</v>
      </c>
      <c r="D1453">
        <v>29004</v>
      </c>
      <c r="E1453" t="str">
        <f>HYPERLINK("http://www.ncbi.nlm.nih.gov/Taxonomy/Browser/wwwtax.cgi?mode=Info&amp;id=79923&amp;lvl=3&amp;lin=f&amp;keep=1&amp;srchmode=1&amp;unlock","79923")</f>
        <v>79923</v>
      </c>
      <c r="F1453" t="s">
        <v>1140</v>
      </c>
      <c r="G1453" t="str">
        <f>HYPERLINK("http://www.ncbi.nlm.nih.gov/Taxonomy/Browser/wwwtax.cgi?mode=Info&amp;id=79923&amp;lvl=3&amp;lin=f&amp;keep=1&amp;srchmode=1&amp;unlock","Clonorchis sinensis")</f>
        <v>Clonorchis sinensis</v>
      </c>
      <c r="H1453" t="s">
        <v>1197</v>
      </c>
      <c r="I1453" t="str">
        <f>HYPERLINK("http://www.ncbi.nlm.nih.gov/protein/GAA52865.1","ryanodine receptor invertebrate, partial")</f>
        <v>ryanodine receptor invertebrate, partial</v>
      </c>
      <c r="J1453">
        <v>1023.08</v>
      </c>
      <c r="K1453" t="s">
        <v>22</v>
      </c>
      <c r="L1453">
        <v>276</v>
      </c>
      <c r="M1453">
        <v>9.75</v>
      </c>
      <c r="N1453">
        <v>9.7899999999999991</v>
      </c>
      <c r="O1453" t="s">
        <v>19</v>
      </c>
      <c r="P1453" t="s">
        <v>20</v>
      </c>
      <c r="Q1453" t="s">
        <v>19</v>
      </c>
      <c r="R1453" t="str">
        <f>HYPERLINK("https://cfpub.epa.gov/ecotox/explore.cfm?ncbi=79923","Explore in ECOTOX")</f>
        <v>Explore in ECOTOX</v>
      </c>
    </row>
    <row r="1454" spans="1:18" x14ac:dyDescent="0.45">
      <c r="A1454" t="s">
        <v>1264</v>
      </c>
      <c r="B1454">
        <v>8</v>
      </c>
      <c r="C1454" t="str">
        <f>HYPERLINK("http://www.ncbi.nlm.nih.gov/protein/TPP59596.1","TPP59596.1")</f>
        <v>TPP59596.1</v>
      </c>
      <c r="D1454">
        <v>13630</v>
      </c>
      <c r="E1454" t="str">
        <f>HYPERLINK("http://www.ncbi.nlm.nih.gov/Taxonomy/Browser/wwwtax.cgi?mode=Info&amp;id=46835&amp;lvl=3&amp;lin=f&amp;keep=1&amp;srchmode=1&amp;unlock","46835")</f>
        <v>46835</v>
      </c>
      <c r="F1454" t="s">
        <v>1140</v>
      </c>
      <c r="G1454" t="str">
        <f>HYPERLINK("http://www.ncbi.nlm.nih.gov/Taxonomy/Browser/wwwtax.cgi?mode=Info&amp;id=46835&amp;lvl=3&amp;lin=f&amp;keep=1&amp;srchmode=1&amp;unlock","Fasciola gigantica")</f>
        <v>Fasciola gigantica</v>
      </c>
      <c r="H1454" t="s">
        <v>1194</v>
      </c>
      <c r="I1454" t="str">
        <f>HYPERLINK("http://www.ncbi.nlm.nih.gov/protein/TPP59596.1","Ryanodine receptor 44F")</f>
        <v>Ryanodine receptor 44F</v>
      </c>
      <c r="J1454">
        <v>1021.92</v>
      </c>
      <c r="K1454" t="s">
        <v>22</v>
      </c>
      <c r="L1454">
        <v>276</v>
      </c>
      <c r="M1454">
        <v>9.75</v>
      </c>
      <c r="N1454">
        <v>9.7799999999999994</v>
      </c>
      <c r="O1454" t="s">
        <v>19</v>
      </c>
      <c r="P1454" t="s">
        <v>20</v>
      </c>
      <c r="Q1454" t="s">
        <v>19</v>
      </c>
      <c r="R1454" t="str">
        <f>HYPERLINK("https://cfpub.epa.gov/ecotox/explore.cfm?ncbi=46835","Explore in ECOTOX")</f>
        <v>Explore in ECOTOX</v>
      </c>
    </row>
    <row r="1455" spans="1:18" x14ac:dyDescent="0.45">
      <c r="A1455" t="s">
        <v>1264</v>
      </c>
      <c r="B1455">
        <v>8</v>
      </c>
      <c r="C1455" t="str">
        <f>HYPERLINK("http://www.ncbi.nlm.nih.gov/protein/XP_024347304.1","XP_024347304.1")</f>
        <v>XP_024347304.1</v>
      </c>
      <c r="D1455">
        <v>48135</v>
      </c>
      <c r="E1455" t="str">
        <f>HYPERLINK("http://www.ncbi.nlm.nih.gov/Taxonomy/Browser/wwwtax.cgi?mode=Info&amp;id=6210&amp;lvl=3&amp;lin=f&amp;keep=1&amp;srchmode=1&amp;unlock","6210")</f>
        <v>6210</v>
      </c>
      <c r="F1455" t="s">
        <v>1185</v>
      </c>
      <c r="G1455" t="str">
        <f>HYPERLINK("http://www.ncbi.nlm.nih.gov/Taxonomy/Browser/wwwtax.cgi?mode=Info&amp;id=6210&amp;lvl=3&amp;lin=f&amp;keep=1&amp;srchmode=1&amp;unlock","Echinococcus granulosus")</f>
        <v>Echinococcus granulosus</v>
      </c>
      <c r="H1455" t="s">
        <v>1186</v>
      </c>
      <c r="I1455" t="str">
        <f>HYPERLINK("http://www.ncbi.nlm.nih.gov/protein/XP_024347304.1","Ryanodine receptor 44F")</f>
        <v>Ryanodine receptor 44F</v>
      </c>
      <c r="J1455">
        <v>1021.92</v>
      </c>
      <c r="K1455" t="s">
        <v>22</v>
      </c>
      <c r="L1455">
        <v>276</v>
      </c>
      <c r="M1455">
        <v>9.75</v>
      </c>
      <c r="N1455">
        <v>9.7799999999999994</v>
      </c>
      <c r="O1455" t="s">
        <v>19</v>
      </c>
      <c r="P1455" t="s">
        <v>20</v>
      </c>
      <c r="Q1455" t="s">
        <v>19</v>
      </c>
      <c r="R1455" t="str">
        <f>HYPERLINK("https://cfpub.epa.gov/ecotox/explore.cfm?ncbi=6210","Explore in ECOTOX")</f>
        <v>Explore in ECOTOX</v>
      </c>
    </row>
    <row r="1456" spans="1:18" x14ac:dyDescent="0.45">
      <c r="A1456" t="s">
        <v>1264</v>
      </c>
      <c r="B1456">
        <v>8</v>
      </c>
      <c r="C1456" t="str">
        <f>HYPERLINK("http://www.ncbi.nlm.nih.gov/protein/GLG95824.1","GLG95824.1")</f>
        <v>GLG95824.1</v>
      </c>
      <c r="D1456">
        <v>25394</v>
      </c>
      <c r="E1456" t="str">
        <f>HYPERLINK("http://www.ncbi.nlm.nih.gov/Taxonomy/Browser/wwwtax.cgi?mode=Info&amp;id=6999&amp;lvl=3&amp;lin=f&amp;keep=1&amp;srchmode=1&amp;unlock","6999")</f>
        <v>6999</v>
      </c>
      <c r="F1456" t="s">
        <v>760</v>
      </c>
      <c r="G1456" t="str">
        <f>HYPERLINK("http://www.ncbi.nlm.nih.gov/Taxonomy/Browser/wwwtax.cgi?mode=Info&amp;id=6999&amp;lvl=3&amp;lin=f&amp;keep=1&amp;srchmode=1&amp;unlock","Gryllus bimaculatus")</f>
        <v>Gryllus bimaculatus</v>
      </c>
      <c r="H1456" t="s">
        <v>1198</v>
      </c>
      <c r="I1456" t="str">
        <f>HYPERLINK("http://www.ncbi.nlm.nih.gov/protein/GLG95824.1","Ryanodine receptor")</f>
        <v>Ryanodine receptor</v>
      </c>
      <c r="J1456">
        <v>1018.84</v>
      </c>
      <c r="K1456" t="s">
        <v>19</v>
      </c>
      <c r="L1456">
        <v>276</v>
      </c>
      <c r="M1456">
        <v>9.75</v>
      </c>
      <c r="N1456">
        <v>9.75</v>
      </c>
      <c r="O1456" t="s">
        <v>19</v>
      </c>
      <c r="P1456" t="s">
        <v>20</v>
      </c>
      <c r="Q1456" t="s">
        <v>19</v>
      </c>
      <c r="R1456" t="str">
        <f>HYPERLINK("https://cfpub.epa.gov/ecotox/explore.cfm?ncbi=6999","Explore in ECOTOX")</f>
        <v>Explore in ECOTOX</v>
      </c>
    </row>
    <row r="1457" spans="1:18" x14ac:dyDescent="0.45">
      <c r="A1457" t="s">
        <v>1264</v>
      </c>
      <c r="B1457">
        <v>8</v>
      </c>
      <c r="C1457" t="str">
        <f>HYPERLINK("http://www.ncbi.nlm.nih.gov/protein/KAF8560811.1","KAF8560811.1")</f>
        <v>KAF8560811.1</v>
      </c>
      <c r="D1457">
        <v>25028</v>
      </c>
      <c r="E1457" t="str">
        <f>HYPERLINK("http://www.ncbi.nlm.nih.gov/Taxonomy/Browser/wwwtax.cgi?mode=Info&amp;id=34504&amp;lvl=3&amp;lin=f&amp;keep=1&amp;srchmode=1&amp;unlock","34504")</f>
        <v>34504</v>
      </c>
      <c r="F1457" t="s">
        <v>1140</v>
      </c>
      <c r="G1457" t="str">
        <f>HYPERLINK("http://www.ncbi.nlm.nih.gov/Taxonomy/Browser/wwwtax.cgi?mode=Info&amp;id=34504&amp;lvl=3&amp;lin=f&amp;keep=1&amp;srchmode=1&amp;unlock","Paragonimus westermani")</f>
        <v>Paragonimus westermani</v>
      </c>
      <c r="H1457" t="s">
        <v>1194</v>
      </c>
      <c r="I1457" t="str">
        <f>HYPERLINK("http://www.ncbi.nlm.nih.gov/protein/KAF8560811.1","hypothetical protein P879_00762")</f>
        <v>hypothetical protein P879_00762</v>
      </c>
      <c r="J1457">
        <v>1018.84</v>
      </c>
      <c r="K1457" t="s">
        <v>22</v>
      </c>
      <c r="L1457">
        <v>276</v>
      </c>
      <c r="M1457">
        <v>9.75</v>
      </c>
      <c r="N1457">
        <v>9.75</v>
      </c>
      <c r="O1457" t="s">
        <v>19</v>
      </c>
      <c r="P1457" t="s">
        <v>20</v>
      </c>
      <c r="Q1457" t="s">
        <v>19</v>
      </c>
      <c r="R1457" t="str">
        <f>HYPERLINK("https://cfpub.epa.gov/ecotox/explore.cfm?ncbi=34504","Explore in ECOTOX")</f>
        <v>Explore in ECOTOX</v>
      </c>
    </row>
    <row r="1458" spans="1:18" x14ac:dyDescent="0.45">
      <c r="A1458" t="s">
        <v>1264</v>
      </c>
      <c r="B1458">
        <v>8</v>
      </c>
      <c r="C1458" t="str">
        <f>HYPERLINK("http://www.ncbi.nlm.nih.gov/protein/VDD81758.1","VDD81758.1")</f>
        <v>VDD81758.1</v>
      </c>
      <c r="D1458">
        <v>10609</v>
      </c>
      <c r="E1458" t="str">
        <f>HYPERLINK("http://www.ncbi.nlm.nih.gov/Taxonomy/Browser/wwwtax.cgi?mode=Info&amp;id=53468&amp;lvl=3&amp;lin=f&amp;keep=1&amp;srchmode=1&amp;unlock","53468")</f>
        <v>53468</v>
      </c>
      <c r="F1458" t="s">
        <v>1185</v>
      </c>
      <c r="G1458" t="str">
        <f>HYPERLINK("http://www.ncbi.nlm.nih.gov/Taxonomy/Browser/wwwtax.cgi?mode=Info&amp;id=53468&amp;lvl=3&amp;lin=f&amp;keep=1&amp;srchmode=1&amp;unlock","Mesocestoides corti")</f>
        <v>Mesocestoides corti</v>
      </c>
      <c r="H1458" t="s">
        <v>1186</v>
      </c>
      <c r="I1458" t="str">
        <f>HYPERLINK("http://www.ncbi.nlm.nih.gov/protein/VDD81758.1","unnamed protein product")</f>
        <v>unnamed protein product</v>
      </c>
      <c r="J1458">
        <v>1016.91</v>
      </c>
      <c r="K1458" t="s">
        <v>22</v>
      </c>
      <c r="L1458">
        <v>276</v>
      </c>
      <c r="M1458">
        <v>9.75</v>
      </c>
      <c r="N1458">
        <v>9.73</v>
      </c>
      <c r="O1458" t="s">
        <v>19</v>
      </c>
      <c r="P1458" t="s">
        <v>20</v>
      </c>
      <c r="Q1458" t="s">
        <v>19</v>
      </c>
      <c r="R1458" t="str">
        <f>HYPERLINK("https://cfpub.epa.gov/ecotox/explore.cfm?ncbi=53468","Explore in ECOTOX")</f>
        <v>Explore in ECOTOX</v>
      </c>
    </row>
    <row r="1459" spans="1:18" x14ac:dyDescent="0.45">
      <c r="A1459" t="s">
        <v>1264</v>
      </c>
      <c r="B1459">
        <v>8</v>
      </c>
      <c r="C1459" t="str">
        <f>HYPERLINK("http://www.ncbi.nlm.nih.gov/protein/THD26974.1","THD26974.1")</f>
        <v>THD26974.1</v>
      </c>
      <c r="D1459">
        <v>13907</v>
      </c>
      <c r="E1459" t="str">
        <f>HYPERLINK("http://www.ncbi.nlm.nih.gov/Taxonomy/Browser/wwwtax.cgi?mode=Info&amp;id=6192&amp;lvl=3&amp;lin=f&amp;keep=1&amp;srchmode=1&amp;unlock","6192")</f>
        <v>6192</v>
      </c>
      <c r="F1459" t="s">
        <v>1140</v>
      </c>
      <c r="G1459" t="str">
        <f>HYPERLINK("http://www.ncbi.nlm.nih.gov/Taxonomy/Browser/wwwtax.cgi?mode=Info&amp;id=6192&amp;lvl=3&amp;lin=f&amp;keep=1&amp;srchmode=1&amp;unlock","Fasciola hepatica")</f>
        <v>Fasciola hepatica</v>
      </c>
      <c r="H1459" t="s">
        <v>1199</v>
      </c>
      <c r="I1459" t="str">
        <f>HYPERLINK("http://www.ncbi.nlm.nih.gov/protein/THD26974.1","Ryanodine receptor 44F")</f>
        <v>Ryanodine receptor 44F</v>
      </c>
      <c r="J1459">
        <v>1009.21</v>
      </c>
      <c r="K1459" t="s">
        <v>22</v>
      </c>
      <c r="L1459">
        <v>276</v>
      </c>
      <c r="M1459">
        <v>9.75</v>
      </c>
      <c r="N1459">
        <v>9.65</v>
      </c>
      <c r="O1459" t="s">
        <v>19</v>
      </c>
      <c r="P1459" t="s">
        <v>20</v>
      </c>
      <c r="Q1459" t="s">
        <v>19</v>
      </c>
      <c r="R1459" t="str">
        <f>HYPERLINK("https://cfpub.epa.gov/ecotox/explore.cfm?ncbi=6192","Explore in ECOTOX")</f>
        <v>Explore in ECOTOX</v>
      </c>
    </row>
    <row r="1460" spans="1:18" x14ac:dyDescent="0.45">
      <c r="A1460" t="s">
        <v>1264</v>
      </c>
      <c r="B1460">
        <v>8</v>
      </c>
      <c r="C1460" t="str">
        <f>HYPERLINK("http://www.ncbi.nlm.nih.gov/protein/KAF6780008.1","KAF6780008.1")</f>
        <v>KAF6780008.1</v>
      </c>
      <c r="D1460">
        <v>12867</v>
      </c>
      <c r="E1460" t="str">
        <f>HYPERLINK("http://www.ncbi.nlm.nih.gov/Taxonomy/Browser/wwwtax.cgi?mode=Info&amp;id=100269&amp;lvl=3&amp;lin=f&amp;keep=1&amp;srchmode=1&amp;unlock","100269")</f>
        <v>100269</v>
      </c>
      <c r="F1460" t="s">
        <v>1140</v>
      </c>
      <c r="G1460" t="str">
        <f>HYPERLINK("http://www.ncbi.nlm.nih.gov/Taxonomy/Browser/wwwtax.cgi?mode=Info&amp;id=100269&amp;lvl=3&amp;lin=f&amp;keep=1&amp;srchmode=1&amp;unlock","Paragonimus kellicotti")</f>
        <v>Paragonimus kellicotti</v>
      </c>
      <c r="H1460" t="s">
        <v>1194</v>
      </c>
      <c r="I1460" t="str">
        <f>HYPERLINK("http://www.ncbi.nlm.nih.gov/protein/KAF6780008.1","hypothetical protein AHF37_01425")</f>
        <v>hypothetical protein AHF37_01425</v>
      </c>
      <c r="J1460">
        <v>998.81</v>
      </c>
      <c r="K1460" t="s">
        <v>22</v>
      </c>
      <c r="L1460">
        <v>276</v>
      </c>
      <c r="M1460">
        <v>9.75</v>
      </c>
      <c r="N1460">
        <v>9.5500000000000007</v>
      </c>
      <c r="O1460" t="s">
        <v>19</v>
      </c>
      <c r="P1460" t="s">
        <v>20</v>
      </c>
      <c r="Q1460" t="s">
        <v>19</v>
      </c>
      <c r="R1460" t="str">
        <f>HYPERLINK("https://cfpub.epa.gov/ecotox/explore.cfm?ncbi=100269","Explore in ECOTOX")</f>
        <v>Explore in ECOTOX</v>
      </c>
    </row>
    <row r="1461" spans="1:18" x14ac:dyDescent="0.45">
      <c r="A1461" t="s">
        <v>1264</v>
      </c>
      <c r="B1461">
        <v>8</v>
      </c>
      <c r="C1461" t="str">
        <f>HYPERLINK("http://www.ncbi.nlm.nih.gov/protein/KAG8000214.1","KAG8000214.1")</f>
        <v>KAG8000214.1</v>
      </c>
      <c r="D1461">
        <v>16095</v>
      </c>
      <c r="E1461" t="str">
        <f>HYPERLINK("http://www.ncbi.nlm.nih.gov/Taxonomy/Browser/wwwtax.cgi?mode=Info&amp;id=240163&amp;lvl=3&amp;lin=f&amp;keep=1&amp;srchmode=1&amp;unlock","240163")</f>
        <v>240163</v>
      </c>
      <c r="F1461" t="s">
        <v>17</v>
      </c>
      <c r="G1461" t="str">
        <f>HYPERLINK("http://www.ncbi.nlm.nih.gov/Taxonomy/Browser/wwwtax.cgi?mode=Info&amp;id=240163&amp;lvl=3&amp;lin=f&amp;keep=1&amp;srchmode=1&amp;unlock","Nibea albiflora")</f>
        <v>Nibea albiflora</v>
      </c>
      <c r="H1461" t="s">
        <v>1200</v>
      </c>
      <c r="I1461" t="str">
        <f>HYPERLINK("http://www.ncbi.nlm.nih.gov/protein/KAG8000214.1","Ryanodine receptor 2")</f>
        <v>Ryanodine receptor 2</v>
      </c>
      <c r="J1461">
        <v>992.64</v>
      </c>
      <c r="K1461" t="s">
        <v>22</v>
      </c>
      <c r="L1461">
        <v>276</v>
      </c>
      <c r="M1461">
        <v>9.75</v>
      </c>
      <c r="N1461">
        <v>9.5</v>
      </c>
      <c r="O1461" t="s">
        <v>19</v>
      </c>
      <c r="P1461" t="s">
        <v>20</v>
      </c>
      <c r="Q1461" t="s">
        <v>19</v>
      </c>
      <c r="R1461" t="str">
        <f>HYPERLINK("https://cfpub.epa.gov/ecotox/explore.cfm?ncbi=240163","Explore in ECOTOX")</f>
        <v>Explore in ECOTOX</v>
      </c>
    </row>
    <row r="1462" spans="1:18" x14ac:dyDescent="0.45">
      <c r="A1462" t="s">
        <v>1264</v>
      </c>
      <c r="B1462">
        <v>8</v>
      </c>
      <c r="C1462" t="str">
        <f>HYPERLINK("http://www.ncbi.nlm.nih.gov/protein/KAA0193600.1","KAA0193600.1")</f>
        <v>KAA0193600.1</v>
      </c>
      <c r="D1462">
        <v>11877</v>
      </c>
      <c r="E1462" t="str">
        <f>HYPERLINK("http://www.ncbi.nlm.nih.gov/Taxonomy/Browser/wwwtax.cgi?mode=Info&amp;id=27845&amp;lvl=3&amp;lin=f&amp;keep=1&amp;srchmode=1&amp;unlock","27845")</f>
        <v>27845</v>
      </c>
      <c r="F1462" t="s">
        <v>1140</v>
      </c>
      <c r="G1462" t="str">
        <f>HYPERLINK("http://www.ncbi.nlm.nih.gov/Taxonomy/Browser/wwwtax.cgi?mode=Info&amp;id=27845&amp;lvl=3&amp;lin=f&amp;keep=1&amp;srchmode=1&amp;unlock","Fasciolopsis buski")</f>
        <v>Fasciolopsis buski</v>
      </c>
      <c r="H1462" t="s">
        <v>1194</v>
      </c>
      <c r="I1462" t="str">
        <f>HYPERLINK("http://www.ncbi.nlm.nih.gov/protein/KAA0193600.1","Ryanodine receptor 44F")</f>
        <v>Ryanodine receptor 44F</v>
      </c>
      <c r="J1462">
        <v>992.26</v>
      </c>
      <c r="K1462" t="s">
        <v>22</v>
      </c>
      <c r="L1462">
        <v>276</v>
      </c>
      <c r="M1462">
        <v>9.75</v>
      </c>
      <c r="N1462">
        <v>9.49</v>
      </c>
      <c r="O1462" t="s">
        <v>19</v>
      </c>
      <c r="P1462" t="s">
        <v>20</v>
      </c>
      <c r="Q1462" t="s">
        <v>19</v>
      </c>
      <c r="R1462" t="str">
        <f>HYPERLINK("https://cfpub.epa.gov/ecotox/explore.cfm?ncbi=27845","Explore in ECOTOX")</f>
        <v>Explore in ECOTOX</v>
      </c>
    </row>
    <row r="1463" spans="1:18" x14ac:dyDescent="0.45">
      <c r="A1463" t="s">
        <v>1264</v>
      </c>
      <c r="B1463">
        <v>8</v>
      </c>
      <c r="C1463" t="str">
        <f>HYPERLINK("http://www.ncbi.nlm.nih.gov/protein/KAF7261042.1","KAF7261042.1")</f>
        <v>KAF7261042.1</v>
      </c>
      <c r="D1463">
        <v>12680</v>
      </c>
      <c r="E1463" t="str">
        <f>HYPERLINK("http://www.ncbi.nlm.nih.gov/Taxonomy/Browser/wwwtax.cgi?mode=Info&amp;id=59628&amp;lvl=3&amp;lin=f&amp;keep=1&amp;srchmode=1&amp;unlock","59628")</f>
        <v>59628</v>
      </c>
      <c r="F1463" t="s">
        <v>1140</v>
      </c>
      <c r="G1463" t="str">
        <f>HYPERLINK("http://www.ncbi.nlm.nih.gov/Taxonomy/Browser/wwwtax.cgi?mode=Info&amp;id=59628&amp;lvl=3&amp;lin=f&amp;keep=1&amp;srchmode=1&amp;unlock","Paragonimus skrjabini miyazakii")</f>
        <v>Paragonimus skrjabini miyazakii</v>
      </c>
      <c r="H1463" t="s">
        <v>1194</v>
      </c>
      <c r="I1463" t="str">
        <f>HYPERLINK("http://www.ncbi.nlm.nih.gov/protein/KAF7261042.1","hypothetical protein EG68_01789")</f>
        <v>hypothetical protein EG68_01789</v>
      </c>
      <c r="J1463">
        <v>979.93</v>
      </c>
      <c r="K1463" t="s">
        <v>22</v>
      </c>
      <c r="L1463">
        <v>276</v>
      </c>
      <c r="M1463">
        <v>9.75</v>
      </c>
      <c r="N1463">
        <v>9.3699999999999992</v>
      </c>
      <c r="O1463" t="s">
        <v>19</v>
      </c>
      <c r="P1463" t="s">
        <v>20</v>
      </c>
      <c r="Q1463" t="s">
        <v>19</v>
      </c>
      <c r="R1463" t="str">
        <f>HYPERLINK("https://cfpub.epa.gov/ecotox/explore.cfm?ncbi=59628","Explore in ECOTOX")</f>
        <v>Explore in ECOTOX</v>
      </c>
    </row>
    <row r="1464" spans="1:18" x14ac:dyDescent="0.45">
      <c r="A1464" t="s">
        <v>1264</v>
      </c>
      <c r="B1464">
        <v>8</v>
      </c>
      <c r="C1464" t="str">
        <f>HYPERLINK("http://www.ncbi.nlm.nih.gov/protein/KJH53393.1","KJH53393.1")</f>
        <v>KJH53393.1</v>
      </c>
      <c r="D1464">
        <v>14346</v>
      </c>
      <c r="E1464" t="str">
        <f>HYPERLINK("http://www.ncbi.nlm.nih.gov/Taxonomy/Browser/wwwtax.cgi?mode=Info&amp;id=29172&amp;lvl=3&amp;lin=f&amp;keep=1&amp;srchmode=1&amp;unlock","29172")</f>
        <v>29172</v>
      </c>
      <c r="F1464" t="s">
        <v>1024</v>
      </c>
      <c r="G1464" t="str">
        <f>HYPERLINK("http://www.ncbi.nlm.nih.gov/Taxonomy/Browser/wwwtax.cgi?mode=Info&amp;id=29172&amp;lvl=3&amp;lin=f&amp;keep=1&amp;srchmode=1&amp;unlock","Dictyocaulus viviparus")</f>
        <v>Dictyocaulus viviparus</v>
      </c>
      <c r="H1464" t="s">
        <v>1201</v>
      </c>
      <c r="I1464" t="str">
        <f>HYPERLINK("http://www.ncbi.nlm.nih.gov/protein/KJH53393.1","EF hand")</f>
        <v>EF hand</v>
      </c>
      <c r="J1464">
        <v>959.52</v>
      </c>
      <c r="K1464" t="s">
        <v>22</v>
      </c>
      <c r="L1464">
        <v>276</v>
      </c>
      <c r="M1464">
        <v>9.75</v>
      </c>
      <c r="N1464">
        <v>9.18</v>
      </c>
      <c r="O1464" t="s">
        <v>19</v>
      </c>
      <c r="P1464" t="s">
        <v>20</v>
      </c>
      <c r="Q1464" t="s">
        <v>19</v>
      </c>
      <c r="R1464" t="str">
        <f>HYPERLINK("https://cfpub.epa.gov/ecotox/explore.cfm?ncbi=29172","Explore in ECOTOX")</f>
        <v>Explore in ECOTOX</v>
      </c>
    </row>
    <row r="1465" spans="1:18" x14ac:dyDescent="0.45">
      <c r="A1465" t="s">
        <v>1264</v>
      </c>
      <c r="B1465">
        <v>8</v>
      </c>
      <c r="C1465" t="str">
        <f>HYPERLINK("http://www.ncbi.nlm.nih.gov/protein/GFY63641.1","GFY63641.1")</f>
        <v>GFY63641.1</v>
      </c>
      <c r="D1465">
        <v>51785</v>
      </c>
      <c r="E1465" t="str">
        <f>HYPERLINK("http://www.ncbi.nlm.nih.gov/Taxonomy/Browser/wwwtax.cgi?mode=Info&amp;id=2747483&amp;lvl=3&amp;lin=f&amp;keep=1&amp;srchmode=1&amp;unlock","2747483")</f>
        <v>2747483</v>
      </c>
      <c r="F1465" t="s">
        <v>904</v>
      </c>
      <c r="G1465" t="str">
        <f>HYPERLINK("http://www.ncbi.nlm.nih.gov/Taxonomy/Browser/wwwtax.cgi?mode=Info&amp;id=2747483&amp;lvl=3&amp;lin=f&amp;keep=1&amp;srchmode=1&amp;unlock","Trichonephila inaurata madagascariensis")</f>
        <v>Trichonephila inaurata madagascariensis</v>
      </c>
      <c r="H1465" t="s">
        <v>1202</v>
      </c>
      <c r="I1465" t="str">
        <f>HYPERLINK("http://www.ncbi.nlm.nih.gov/protein/GFY63641.1","ryanodine receptor")</f>
        <v>ryanodine receptor</v>
      </c>
      <c r="J1465">
        <v>954.9</v>
      </c>
      <c r="K1465" t="s">
        <v>22</v>
      </c>
      <c r="L1465">
        <v>276</v>
      </c>
      <c r="M1465">
        <v>9.75</v>
      </c>
      <c r="N1465">
        <v>9.1300000000000008</v>
      </c>
      <c r="O1465" t="s">
        <v>19</v>
      </c>
      <c r="P1465" t="s">
        <v>20</v>
      </c>
      <c r="Q1465" t="s">
        <v>19</v>
      </c>
      <c r="R1465" t="str">
        <f>HYPERLINK("https://cfpub.epa.gov/ecotox/explore.cfm?ncbi=2747483","Explore in ECOTOX")</f>
        <v>Explore in ECOTOX</v>
      </c>
    </row>
    <row r="1466" spans="1:18" x14ac:dyDescent="0.45">
      <c r="A1466" t="s">
        <v>1264</v>
      </c>
      <c r="B1466">
        <v>8</v>
      </c>
      <c r="C1466" t="str">
        <f>HYPERLINK("http://www.ncbi.nlm.nih.gov/protein/KFM65082.1","KFM65082.1")</f>
        <v>KFM65082.1</v>
      </c>
      <c r="D1466">
        <v>27105</v>
      </c>
      <c r="E1466" t="str">
        <f>HYPERLINK("http://www.ncbi.nlm.nih.gov/Taxonomy/Browser/wwwtax.cgi?mode=Info&amp;id=407821&amp;lvl=3&amp;lin=f&amp;keep=1&amp;srchmode=1&amp;unlock","407821")</f>
        <v>407821</v>
      </c>
      <c r="F1466" t="s">
        <v>904</v>
      </c>
      <c r="G1466" t="str">
        <f>HYPERLINK("http://www.ncbi.nlm.nih.gov/Taxonomy/Browser/wwwtax.cgi?mode=Info&amp;id=407821&amp;lvl=3&amp;lin=f&amp;keep=1&amp;srchmode=1&amp;unlock","Stegodyphus mimosarum")</f>
        <v>Stegodyphus mimosarum</v>
      </c>
      <c r="H1466" t="s">
        <v>905</v>
      </c>
      <c r="I1466" t="str">
        <f>HYPERLINK("http://www.ncbi.nlm.nih.gov/protein/KFM65082.1","Ryanodine receptor 44F, partial")</f>
        <v>Ryanodine receptor 44F, partial</v>
      </c>
      <c r="J1466">
        <v>939.1</v>
      </c>
      <c r="K1466" t="s">
        <v>22</v>
      </c>
      <c r="L1466">
        <v>276</v>
      </c>
      <c r="M1466">
        <v>9.75</v>
      </c>
      <c r="N1466">
        <v>8.98</v>
      </c>
      <c r="O1466" t="s">
        <v>19</v>
      </c>
      <c r="P1466" t="s">
        <v>20</v>
      </c>
      <c r="Q1466" t="s">
        <v>19</v>
      </c>
      <c r="R1466" t="str">
        <f>HYPERLINK("https://cfpub.epa.gov/ecotox/explore.cfm?ncbi=407821","Explore in ECOTOX")</f>
        <v>Explore in ECOTOX</v>
      </c>
    </row>
    <row r="1467" spans="1:18" x14ac:dyDescent="0.45">
      <c r="A1467" t="s">
        <v>1264</v>
      </c>
      <c r="B1467">
        <v>8</v>
      </c>
      <c r="C1467" t="str">
        <f>HYPERLINK("http://www.ncbi.nlm.nih.gov/protein/CAD1474296.1","CAD1474296.1")</f>
        <v>CAD1474296.1</v>
      </c>
      <c r="D1467">
        <v>9806</v>
      </c>
      <c r="E1467" t="str">
        <f>HYPERLINK("http://www.ncbi.nlm.nih.gov/Taxonomy/Browser/wwwtax.cgi?mode=Info&amp;id=395501&amp;lvl=3&amp;lin=f&amp;keep=1&amp;srchmode=1&amp;unlock","395501")</f>
        <v>395501</v>
      </c>
      <c r="F1467" t="s">
        <v>760</v>
      </c>
      <c r="G1467" t="str">
        <f>HYPERLINK("http://www.ncbi.nlm.nih.gov/Taxonomy/Browser/wwwtax.cgi?mode=Info&amp;id=395501&amp;lvl=3&amp;lin=f&amp;keep=1&amp;srchmode=1&amp;unlock","Heterotrigona itama")</f>
        <v>Heterotrigona itama</v>
      </c>
      <c r="H1467" t="s">
        <v>817</v>
      </c>
      <c r="I1467" t="str">
        <f>HYPERLINK("http://www.ncbi.nlm.nih.gov/protein/CAD1474296.1","unnamed protein product, partial")</f>
        <v>unnamed protein product, partial</v>
      </c>
      <c r="J1467">
        <v>934.48</v>
      </c>
      <c r="K1467" t="s">
        <v>22</v>
      </c>
      <c r="L1467">
        <v>276</v>
      </c>
      <c r="M1467">
        <v>9.75</v>
      </c>
      <c r="N1467">
        <v>8.94</v>
      </c>
      <c r="O1467" t="s">
        <v>19</v>
      </c>
      <c r="P1467" t="s">
        <v>20</v>
      </c>
      <c r="Q1467" t="s">
        <v>19</v>
      </c>
      <c r="R1467" t="str">
        <f>HYPERLINK("https://cfpub.epa.gov/ecotox/explore.cfm?ncbi=395501","Explore in ECOTOX")</f>
        <v>Explore in ECOTOX</v>
      </c>
    </row>
    <row r="1468" spans="1:18" x14ac:dyDescent="0.45">
      <c r="A1468" t="s">
        <v>1264</v>
      </c>
      <c r="B1468">
        <v>8</v>
      </c>
      <c r="C1468" t="str">
        <f>HYPERLINK("http://www.ncbi.nlm.nih.gov/protein/GFR86949.1","GFR86949.1")</f>
        <v>GFR86949.1</v>
      </c>
      <c r="D1468">
        <v>70755</v>
      </c>
      <c r="E1468" t="str">
        <f>HYPERLINK("http://www.ncbi.nlm.nih.gov/Taxonomy/Browser/wwwtax.cgi?mode=Info&amp;id=1093978&amp;lvl=3&amp;lin=f&amp;keep=1&amp;srchmode=1&amp;unlock","1093978")</f>
        <v>1093978</v>
      </c>
      <c r="F1468" t="s">
        <v>757</v>
      </c>
      <c r="G1468" t="str">
        <f>HYPERLINK("http://www.ncbi.nlm.nih.gov/Taxonomy/Browser/wwwtax.cgi?mode=Info&amp;id=1093978&amp;lvl=3&amp;lin=f&amp;keep=1&amp;srchmode=1&amp;unlock","Elysia marginata")</f>
        <v>Elysia marginata</v>
      </c>
      <c r="H1468" t="s">
        <v>832</v>
      </c>
      <c r="I1468" t="str">
        <f>HYPERLINK("http://www.ncbi.nlm.nih.gov/protein/GFR86949.1","ryanodine receptor")</f>
        <v>ryanodine receptor</v>
      </c>
      <c r="J1468">
        <v>907.9</v>
      </c>
      <c r="K1468" t="s">
        <v>22</v>
      </c>
      <c r="L1468">
        <v>276</v>
      </c>
      <c r="M1468">
        <v>9.75</v>
      </c>
      <c r="N1468">
        <v>8.68</v>
      </c>
      <c r="O1468" t="s">
        <v>19</v>
      </c>
      <c r="P1468" t="s">
        <v>20</v>
      </c>
      <c r="Q1468" t="s">
        <v>19</v>
      </c>
      <c r="R1468" t="str">
        <f>HYPERLINK("https://cfpub.epa.gov/ecotox/explore.cfm?ncbi=1093978","Explore in ECOTOX")</f>
        <v>Explore in ECOTOX</v>
      </c>
    </row>
    <row r="1469" spans="1:18" x14ac:dyDescent="0.45">
      <c r="A1469" t="s">
        <v>1264</v>
      </c>
      <c r="B1469">
        <v>8</v>
      </c>
      <c r="C1469" t="str">
        <f>HYPERLINK("http://www.ncbi.nlm.nih.gov/protein/KAF4525020.1","KAF4525020.1")</f>
        <v>KAF4525020.1</v>
      </c>
      <c r="D1469">
        <v>18581</v>
      </c>
      <c r="E1469" t="str">
        <f>HYPERLINK("http://www.ncbi.nlm.nih.gov/Taxonomy/Browser/wwwtax.cgi?mode=Info&amp;id=1049336&amp;lvl=3&amp;lin=f&amp;keep=1&amp;srchmode=1&amp;unlock","1049336")</f>
        <v>1049336</v>
      </c>
      <c r="F1469" t="s">
        <v>760</v>
      </c>
      <c r="G1469" t="str">
        <f>HYPERLINK("http://www.ncbi.nlm.nih.gov/Taxonomy/Browser/wwwtax.cgi?mode=Info&amp;id=1049336&amp;lvl=3&amp;lin=f&amp;keep=1&amp;srchmode=1&amp;unlock","Ephemera danica")</f>
        <v>Ephemera danica</v>
      </c>
      <c r="H1469" t="s">
        <v>1203</v>
      </c>
      <c r="I1469" t="str">
        <f>HYPERLINK("http://www.ncbi.nlm.nih.gov/protein/KAF4525020.1","hypothetical protein B566_EDAN012127, partial")</f>
        <v>hypothetical protein B566_EDAN012127, partial</v>
      </c>
      <c r="J1469">
        <v>901.74</v>
      </c>
      <c r="K1469" t="s">
        <v>22</v>
      </c>
      <c r="L1469">
        <v>276</v>
      </c>
      <c r="M1469">
        <v>9.75</v>
      </c>
      <c r="N1469">
        <v>8.6300000000000008</v>
      </c>
      <c r="O1469" t="s">
        <v>19</v>
      </c>
      <c r="P1469" t="s">
        <v>20</v>
      </c>
      <c r="Q1469" t="s">
        <v>19</v>
      </c>
      <c r="R1469" t="str">
        <f>HYPERLINK("https://cfpub.epa.gov/ecotox/explore.cfm?ncbi=1049336","Explore in ECOTOX")</f>
        <v>Explore in ECOTOX</v>
      </c>
    </row>
    <row r="1470" spans="1:18" x14ac:dyDescent="0.45">
      <c r="A1470" t="s">
        <v>1264</v>
      </c>
      <c r="B1470">
        <v>8</v>
      </c>
      <c r="C1470" t="str">
        <f>HYPERLINK("http://www.ncbi.nlm.nih.gov/protein/VDK40797.1","VDK40797.1")</f>
        <v>VDK40797.1</v>
      </c>
      <c r="D1470">
        <v>10501</v>
      </c>
      <c r="E1470" t="str">
        <f>HYPERLINK("http://www.ncbi.nlm.nih.gov/Taxonomy/Browser/wwwtax.cgi?mode=Info&amp;id=60517&amp;lvl=3&amp;lin=f&amp;keep=1&amp;srchmode=1&amp;unlock","60517")</f>
        <v>60517</v>
      </c>
      <c r="F1470" t="s">
        <v>1185</v>
      </c>
      <c r="G1470" t="str">
        <f>HYPERLINK("http://www.ncbi.nlm.nih.gov/Taxonomy/Browser/wwwtax.cgi?mode=Info&amp;id=60517&amp;lvl=3&amp;lin=f&amp;keep=1&amp;srchmode=1&amp;unlock","Taenia asiatica")</f>
        <v>Taenia asiatica</v>
      </c>
      <c r="H1470" t="s">
        <v>1204</v>
      </c>
      <c r="I1470" t="str">
        <f>HYPERLINK("http://www.ncbi.nlm.nih.gov/protein/VDK40797.1","unnamed protein product")</f>
        <v>unnamed protein product</v>
      </c>
      <c r="J1470">
        <v>865.53</v>
      </c>
      <c r="K1470" t="s">
        <v>22</v>
      </c>
      <c r="L1470">
        <v>276</v>
      </c>
      <c r="M1470">
        <v>9.75</v>
      </c>
      <c r="N1470">
        <v>8.2799999999999994</v>
      </c>
      <c r="O1470" t="s">
        <v>19</v>
      </c>
      <c r="P1470" t="s">
        <v>20</v>
      </c>
      <c r="Q1470" t="s">
        <v>19</v>
      </c>
      <c r="R1470" t="str">
        <f>HYPERLINK("https://cfpub.epa.gov/ecotox/explore.cfm?ncbi=60517","Explore in ECOTOX")</f>
        <v>Explore in ECOTOX</v>
      </c>
    </row>
    <row r="1471" spans="1:18" x14ac:dyDescent="0.45">
      <c r="A1471" t="s">
        <v>1264</v>
      </c>
      <c r="B1471">
        <v>8</v>
      </c>
      <c r="C1471" t="str">
        <f>HYPERLINK("http://www.ncbi.nlm.nih.gov/protein/KAG9509881.1","KAG9509881.1")</f>
        <v>KAG9509881.1</v>
      </c>
      <c r="D1471">
        <v>3062</v>
      </c>
      <c r="E1471" t="str">
        <f>HYPERLINK("http://www.ncbi.nlm.nih.gov/Taxonomy/Browser/wwwtax.cgi?mode=Info&amp;id=1670756&amp;lvl=3&amp;lin=f&amp;keep=1&amp;srchmode=1&amp;unlock","1670756")</f>
        <v>1670756</v>
      </c>
      <c r="F1471" t="s">
        <v>904</v>
      </c>
      <c r="G1471" t="str">
        <f>HYPERLINK("http://www.ncbi.nlm.nih.gov/Taxonomy/Browser/wwwtax.cgi?mode=Info&amp;id=1670756&amp;lvl=3&amp;lin=f&amp;keep=1&amp;srchmode=1&amp;unlock","Fragariocoptes setiger")</f>
        <v>Fragariocoptes setiger</v>
      </c>
      <c r="H1471" t="s">
        <v>992</v>
      </c>
      <c r="I1471" t="str">
        <f>HYPERLINK("http://www.ncbi.nlm.nih.gov/protein/KAG9509881.1","Ryanodine receptor, partial")</f>
        <v>Ryanodine receptor, partial</v>
      </c>
      <c r="J1471">
        <v>829.32</v>
      </c>
      <c r="K1471" t="s">
        <v>22</v>
      </c>
      <c r="L1471">
        <v>276</v>
      </c>
      <c r="M1471">
        <v>9.75</v>
      </c>
      <c r="N1471">
        <v>7.93</v>
      </c>
      <c r="O1471" t="s">
        <v>19</v>
      </c>
      <c r="P1471" t="s">
        <v>20</v>
      </c>
      <c r="Q1471" t="s">
        <v>19</v>
      </c>
      <c r="R1471" t="str">
        <f>HYPERLINK("https://cfpub.epa.gov/ecotox/explore.cfm?ncbi=1670756","Explore in ECOTOX")</f>
        <v>Explore in ECOTOX</v>
      </c>
    </row>
    <row r="1472" spans="1:18" x14ac:dyDescent="0.45">
      <c r="A1472" t="s">
        <v>1264</v>
      </c>
      <c r="B1472">
        <v>8</v>
      </c>
      <c r="C1472" t="str">
        <f>HYPERLINK("http://www.ncbi.nlm.nih.gov/protein/CAH8439317.1","CAH8439317.1")</f>
        <v>CAH8439317.1</v>
      </c>
      <c r="D1472">
        <v>36727</v>
      </c>
      <c r="E1472" t="str">
        <f>HYPERLINK("http://www.ncbi.nlm.nih.gov/Taxonomy/Browser/wwwtax.cgi?mode=Info&amp;id=31246&amp;lvl=3&amp;lin=f&amp;keep=1&amp;srchmode=1&amp;unlock","31246")</f>
        <v>31246</v>
      </c>
      <c r="F1472" t="s">
        <v>1140</v>
      </c>
      <c r="G1472" t="str">
        <f>HYPERLINK("http://www.ncbi.nlm.nih.gov/Taxonomy/Browser/wwwtax.cgi?mode=Info&amp;id=31246&amp;lvl=3&amp;lin=f&amp;keep=1&amp;srchmode=1&amp;unlock","Schistosoma mattheei")</f>
        <v>Schistosoma mattheei</v>
      </c>
      <c r="H1472" t="s">
        <v>1141</v>
      </c>
      <c r="I1472" t="str">
        <f>HYPERLINK("http://www.ncbi.nlm.nih.gov/protein/CAH8439317.1","unnamed protein product")</f>
        <v>unnamed protein product</v>
      </c>
      <c r="J1472">
        <v>820.85</v>
      </c>
      <c r="K1472" t="s">
        <v>22</v>
      </c>
      <c r="L1472">
        <v>276</v>
      </c>
      <c r="M1472">
        <v>9.75</v>
      </c>
      <c r="N1472">
        <v>7.85</v>
      </c>
      <c r="O1472" t="s">
        <v>19</v>
      </c>
      <c r="P1472" t="s">
        <v>20</v>
      </c>
      <c r="Q1472" t="s">
        <v>19</v>
      </c>
      <c r="R1472" t="str">
        <f>HYPERLINK("https://cfpub.epa.gov/ecotox/explore.cfm?ncbi=31246","Explore in ECOTOX")</f>
        <v>Explore in ECOTOX</v>
      </c>
    </row>
    <row r="1473" spans="1:18" x14ac:dyDescent="0.45">
      <c r="A1473" t="s">
        <v>1264</v>
      </c>
      <c r="B1473">
        <v>8</v>
      </c>
      <c r="C1473" t="str">
        <f>HYPERLINK("http://www.ncbi.nlm.nih.gov/protein/CAH8503543.1","CAH8503543.1")</f>
        <v>CAH8503543.1</v>
      </c>
      <c r="D1473">
        <v>17001</v>
      </c>
      <c r="E1473" t="str">
        <f>HYPERLINK("http://www.ncbi.nlm.nih.gov/Taxonomy/Browser/wwwtax.cgi?mode=Info&amp;id=57078&amp;lvl=3&amp;lin=f&amp;keep=1&amp;srchmode=1&amp;unlock","57078")</f>
        <v>57078</v>
      </c>
      <c r="F1473" t="s">
        <v>1140</v>
      </c>
      <c r="G1473" t="str">
        <f>HYPERLINK("http://www.ncbi.nlm.nih.gov/Taxonomy/Browser/wwwtax.cgi?mode=Info&amp;id=57078&amp;lvl=3&amp;lin=f&amp;keep=1&amp;srchmode=1&amp;unlock","Dicrocoelium dendriticum")</f>
        <v>Dicrocoelium dendriticum</v>
      </c>
      <c r="H1473" t="s">
        <v>1194</v>
      </c>
      <c r="I1473" t="str">
        <f>HYPERLINK("http://www.ncbi.nlm.nih.gov/protein/CAH8503543.1","unnamed protein product")</f>
        <v>unnamed protein product</v>
      </c>
      <c r="J1473">
        <v>815.07</v>
      </c>
      <c r="K1473" t="s">
        <v>22</v>
      </c>
      <c r="L1473">
        <v>276</v>
      </c>
      <c r="M1473">
        <v>9.75</v>
      </c>
      <c r="N1473">
        <v>7.8</v>
      </c>
      <c r="O1473" t="s">
        <v>19</v>
      </c>
      <c r="P1473" t="s">
        <v>20</v>
      </c>
      <c r="Q1473" t="s">
        <v>19</v>
      </c>
      <c r="R1473" t="str">
        <f>HYPERLINK("https://cfpub.epa.gov/ecotox/explore.cfm?ncbi=57078","Explore in ECOTOX")</f>
        <v>Explore in ECOTOX</v>
      </c>
    </row>
    <row r="1474" spans="1:18" x14ac:dyDescent="0.45">
      <c r="A1474" t="s">
        <v>1264</v>
      </c>
      <c r="B1474">
        <v>8</v>
      </c>
      <c r="C1474" t="str">
        <f>HYPERLINK("http://www.ncbi.nlm.nih.gov/protein/XP_009173549.1","XP_009173549.1")</f>
        <v>XP_009173549.1</v>
      </c>
      <c r="D1474">
        <v>43645</v>
      </c>
      <c r="E1474" t="str">
        <f>HYPERLINK("http://www.ncbi.nlm.nih.gov/Taxonomy/Browser/wwwtax.cgi?mode=Info&amp;id=6198&amp;lvl=3&amp;lin=f&amp;keep=1&amp;srchmode=1&amp;unlock","6198")</f>
        <v>6198</v>
      </c>
      <c r="F1474" t="s">
        <v>1140</v>
      </c>
      <c r="G1474" t="str">
        <f>HYPERLINK("http://www.ncbi.nlm.nih.gov/Taxonomy/Browser/wwwtax.cgi?mode=Info&amp;id=6198&amp;lvl=3&amp;lin=f&amp;keep=1&amp;srchmode=1&amp;unlock","Opisthorchis viverrini")</f>
        <v>Opisthorchis viverrini</v>
      </c>
      <c r="H1474" t="s">
        <v>1205</v>
      </c>
      <c r="I1474" t="str">
        <f>HYPERLINK("http://www.ncbi.nlm.nih.gov/protein/XP_009173549.1","hypothetical protein T265_09254")</f>
        <v>hypothetical protein T265_09254</v>
      </c>
      <c r="J1474">
        <v>807.75</v>
      </c>
      <c r="K1474" t="s">
        <v>22</v>
      </c>
      <c r="L1474">
        <v>276</v>
      </c>
      <c r="M1474">
        <v>9.75</v>
      </c>
      <c r="N1474">
        <v>7.73</v>
      </c>
      <c r="O1474" t="s">
        <v>19</v>
      </c>
      <c r="P1474" t="s">
        <v>20</v>
      </c>
      <c r="Q1474" t="s">
        <v>19</v>
      </c>
      <c r="R1474" t="str">
        <f>HYPERLINK("https://cfpub.epa.gov/ecotox/explore.cfm?ncbi=6198","Explore in ECOTOX")</f>
        <v>Explore in ECOTOX</v>
      </c>
    </row>
    <row r="1475" spans="1:18" x14ac:dyDescent="0.45">
      <c r="A1475" t="s">
        <v>1264</v>
      </c>
      <c r="B1475">
        <v>8</v>
      </c>
      <c r="C1475" t="str">
        <f>HYPERLINK("http://www.ncbi.nlm.nih.gov/protein/CAD7230235.1","CAD7230235.1")</f>
        <v>CAD7230235.1</v>
      </c>
      <c r="D1475">
        <v>35749</v>
      </c>
      <c r="E1475" t="str">
        <f>HYPERLINK("http://www.ncbi.nlm.nih.gov/Taxonomy/Browser/wwwtax.cgi?mode=Info&amp;id=163714&amp;lvl=3&amp;lin=f&amp;keep=1&amp;srchmode=1&amp;unlock","163714")</f>
        <v>163714</v>
      </c>
      <c r="F1475" t="s">
        <v>1105</v>
      </c>
      <c r="G1475" t="str">
        <f>HYPERLINK("http://www.ncbi.nlm.nih.gov/Taxonomy/Browser/wwwtax.cgi?mode=Info&amp;id=163714&amp;lvl=3&amp;lin=f&amp;keep=1&amp;srchmode=1&amp;unlock","Cyprideis torosa")</f>
        <v>Cyprideis torosa</v>
      </c>
      <c r="H1475" t="s">
        <v>1106</v>
      </c>
      <c r="I1475" t="str">
        <f>HYPERLINK("http://www.ncbi.nlm.nih.gov/protein/CAD7230235.1","unnamed protein product")</f>
        <v>unnamed protein product</v>
      </c>
      <c r="J1475">
        <v>806.98</v>
      </c>
      <c r="K1475" t="s">
        <v>22</v>
      </c>
      <c r="L1475">
        <v>276</v>
      </c>
      <c r="M1475">
        <v>9.75</v>
      </c>
      <c r="N1475">
        <v>7.72</v>
      </c>
      <c r="O1475" t="s">
        <v>19</v>
      </c>
      <c r="P1475" t="s">
        <v>20</v>
      </c>
      <c r="Q1475" t="s">
        <v>19</v>
      </c>
      <c r="R1475" t="str">
        <f>HYPERLINK("https://cfpub.epa.gov/ecotox/explore.cfm?ncbi=163714","Explore in ECOTOX")</f>
        <v>Explore in ECOTOX</v>
      </c>
    </row>
    <row r="1476" spans="1:18" x14ac:dyDescent="0.45">
      <c r="A1476" t="s">
        <v>1264</v>
      </c>
      <c r="B1476">
        <v>8</v>
      </c>
      <c r="C1476" t="str">
        <f>HYPERLINK("http://www.ncbi.nlm.nih.gov/protein/VDL92643.1","VDL92643.1")</f>
        <v>VDL92643.1</v>
      </c>
      <c r="D1476">
        <v>20320</v>
      </c>
      <c r="E1476" t="str">
        <f>HYPERLINK("http://www.ncbi.nlm.nih.gov/Taxonomy/Browser/wwwtax.cgi?mode=Info&amp;id=70667&amp;lvl=3&amp;lin=f&amp;keep=1&amp;srchmode=1&amp;unlock","70667")</f>
        <v>70667</v>
      </c>
      <c r="F1476" t="s">
        <v>1185</v>
      </c>
      <c r="G1476" t="str">
        <f>HYPERLINK("http://www.ncbi.nlm.nih.gov/Taxonomy/Browser/wwwtax.cgi?mode=Info&amp;id=70667&amp;lvl=3&amp;lin=f&amp;keep=1&amp;srchmode=1&amp;unlock","Schistocephalus solidus")</f>
        <v>Schistocephalus solidus</v>
      </c>
      <c r="H1476" t="s">
        <v>1186</v>
      </c>
      <c r="I1476" t="str">
        <f>HYPERLINK("http://www.ncbi.nlm.nih.gov/protein/VDL92643.1","unnamed protein product")</f>
        <v>unnamed protein product</v>
      </c>
      <c r="J1476">
        <v>791.57</v>
      </c>
      <c r="K1476" t="s">
        <v>22</v>
      </c>
      <c r="L1476">
        <v>276</v>
      </c>
      <c r="M1476">
        <v>9.75</v>
      </c>
      <c r="N1476">
        <v>7.57</v>
      </c>
      <c r="O1476" t="s">
        <v>19</v>
      </c>
      <c r="P1476" t="s">
        <v>20</v>
      </c>
      <c r="Q1476" t="s">
        <v>19</v>
      </c>
      <c r="R1476" t="str">
        <f>HYPERLINK("https://cfpub.epa.gov/ecotox/explore.cfm?ncbi=70667","Explore in ECOTOX")</f>
        <v>Explore in ECOTOX</v>
      </c>
    </row>
    <row r="1477" spans="1:18" x14ac:dyDescent="0.45">
      <c r="A1477" t="s">
        <v>1264</v>
      </c>
      <c r="B1477">
        <v>8</v>
      </c>
      <c r="C1477" t="str">
        <f>HYPERLINK("http://www.ncbi.nlm.nih.gov/protein/KIH60263.1","KIH60263.1")</f>
        <v>KIH60263.1</v>
      </c>
      <c r="D1477">
        <v>27573</v>
      </c>
      <c r="E1477" t="str">
        <f>HYPERLINK("http://www.ncbi.nlm.nih.gov/Taxonomy/Browser/wwwtax.cgi?mode=Info&amp;id=51022&amp;lvl=3&amp;lin=f&amp;keep=1&amp;srchmode=1&amp;unlock","51022")</f>
        <v>51022</v>
      </c>
      <c r="F1477" t="s">
        <v>1024</v>
      </c>
      <c r="G1477" t="str">
        <f>HYPERLINK("http://www.ncbi.nlm.nih.gov/Taxonomy/Browser/wwwtax.cgi?mode=Info&amp;id=51022&amp;lvl=3&amp;lin=f&amp;keep=1&amp;srchmode=1&amp;unlock","Ancylostoma duodenale")</f>
        <v>Ancylostoma duodenale</v>
      </c>
      <c r="H1477" t="s">
        <v>1025</v>
      </c>
      <c r="I1477" t="str">
        <f>HYPERLINK("http://www.ncbi.nlm.nih.gov/protein/KIH60263.1","EF hand, partial")</f>
        <v>EF hand, partial</v>
      </c>
      <c r="J1477">
        <v>787.33</v>
      </c>
      <c r="K1477" t="s">
        <v>22</v>
      </c>
      <c r="L1477">
        <v>276</v>
      </c>
      <c r="M1477">
        <v>9.75</v>
      </c>
      <c r="N1477">
        <v>7.53</v>
      </c>
      <c r="O1477" t="s">
        <v>19</v>
      </c>
      <c r="P1477" t="s">
        <v>20</v>
      </c>
      <c r="Q1477" t="s">
        <v>19</v>
      </c>
      <c r="R1477" t="str">
        <f>HYPERLINK("https://cfpub.epa.gov/ecotox/explore.cfm?ncbi=51022","Explore in ECOTOX")</f>
        <v>Explore in ECOTOX</v>
      </c>
    </row>
    <row r="1478" spans="1:18" x14ac:dyDescent="0.45">
      <c r="A1478" t="s">
        <v>1264</v>
      </c>
      <c r="B1478">
        <v>8</v>
      </c>
      <c r="C1478" t="str">
        <f>HYPERLINK("http://www.ncbi.nlm.nih.gov/protein/KAJ8926556.1","KAJ8926556.1")</f>
        <v>KAJ8926556.1</v>
      </c>
      <c r="D1478">
        <v>19424</v>
      </c>
      <c r="E1478" t="str">
        <f>HYPERLINK("http://www.ncbi.nlm.nih.gov/Taxonomy/Browser/wwwtax.cgi?mode=Info&amp;id=1586634&amp;lvl=3&amp;lin=f&amp;keep=1&amp;srchmode=1&amp;unlock","1586634")</f>
        <v>1586634</v>
      </c>
      <c r="F1478" t="s">
        <v>760</v>
      </c>
      <c r="G1478" t="str">
        <f>HYPERLINK("http://www.ncbi.nlm.nih.gov/Taxonomy/Browser/wwwtax.cgi?mode=Info&amp;id=1586634&amp;lvl=3&amp;lin=f&amp;keep=1&amp;srchmode=1&amp;unlock","Rhamnusium bicolor")</f>
        <v>Rhamnusium bicolor</v>
      </c>
      <c r="H1478" t="s">
        <v>1115</v>
      </c>
      <c r="I1478" t="str">
        <f>HYPERLINK("http://www.ncbi.nlm.nih.gov/protein/KAJ8926556.1","hypothetical protein NQ314_021073")</f>
        <v>hypothetical protein NQ314_021073</v>
      </c>
      <c r="J1478">
        <v>776.55</v>
      </c>
      <c r="K1478" t="s">
        <v>22</v>
      </c>
      <c r="L1478">
        <v>276</v>
      </c>
      <c r="M1478">
        <v>9.75</v>
      </c>
      <c r="N1478">
        <v>7.43</v>
      </c>
      <c r="O1478" t="s">
        <v>19</v>
      </c>
      <c r="P1478" t="s">
        <v>20</v>
      </c>
      <c r="Q1478" t="s">
        <v>19</v>
      </c>
      <c r="R1478" t="str">
        <f>HYPERLINK("https://cfpub.epa.gov/ecotox/explore.cfm?ncbi=1586634","Explore in ECOTOX")</f>
        <v>Explore in ECOTOX</v>
      </c>
    </row>
    <row r="1479" spans="1:18" x14ac:dyDescent="0.45">
      <c r="A1479" t="s">
        <v>1264</v>
      </c>
      <c r="B1479">
        <v>8</v>
      </c>
      <c r="C1479" t="str">
        <f>HYPERLINK("http://www.ncbi.nlm.nih.gov/protein/MCL4120159.1","MCL4120159.1")</f>
        <v>MCL4120159.1</v>
      </c>
      <c r="D1479">
        <v>67989</v>
      </c>
      <c r="E1479" t="str">
        <f>HYPERLINK("http://www.ncbi.nlm.nih.gov/Taxonomy/Browser/wwwtax.cgi?mode=Info&amp;id=82763&amp;lvl=3&amp;lin=f&amp;keep=1&amp;srchmode=1&amp;unlock","82763")</f>
        <v>82763</v>
      </c>
      <c r="F1479" t="s">
        <v>779</v>
      </c>
      <c r="G1479" t="str">
        <f>HYPERLINK("http://www.ncbi.nlm.nih.gov/Taxonomy/Browser/wwwtax.cgi?mode=Info&amp;id=82763&amp;lvl=3&amp;lin=f&amp;keep=1&amp;srchmode=1&amp;unlock","Idotea baltica")</f>
        <v>Idotea baltica</v>
      </c>
      <c r="H1479" t="s">
        <v>1206</v>
      </c>
      <c r="I1479" t="str">
        <f>HYPERLINK("http://www.ncbi.nlm.nih.gov/protein/MCL4120159.1","hypothetical protein")</f>
        <v>hypothetical protein</v>
      </c>
      <c r="J1479">
        <v>771.54</v>
      </c>
      <c r="K1479" t="s">
        <v>22</v>
      </c>
      <c r="L1479">
        <v>276</v>
      </c>
      <c r="M1479">
        <v>9.75</v>
      </c>
      <c r="N1479">
        <v>7.38</v>
      </c>
      <c r="O1479" t="s">
        <v>19</v>
      </c>
      <c r="P1479" t="s">
        <v>20</v>
      </c>
      <c r="Q1479" t="s">
        <v>19</v>
      </c>
      <c r="R1479" t="str">
        <f>HYPERLINK("https://cfpub.epa.gov/ecotox/explore.cfm?ncbi=82763","Explore in ECOTOX")</f>
        <v>Explore in ECOTOX</v>
      </c>
    </row>
    <row r="1480" spans="1:18" x14ac:dyDescent="0.45">
      <c r="A1480" t="s">
        <v>1264</v>
      </c>
      <c r="B1480">
        <v>8</v>
      </c>
      <c r="C1480" t="str">
        <f>HYPERLINK("http://www.ncbi.nlm.nih.gov/protein/RWS25625.1","RWS25625.1")</f>
        <v>RWS25625.1</v>
      </c>
      <c r="D1480">
        <v>14717</v>
      </c>
      <c r="E1480" t="str">
        <f>HYPERLINK("http://www.ncbi.nlm.nih.gov/Taxonomy/Browser/wwwtax.cgi?mode=Info&amp;id=299467&amp;lvl=3&amp;lin=f&amp;keep=1&amp;srchmode=1&amp;unlock","299467")</f>
        <v>299467</v>
      </c>
      <c r="F1480" t="s">
        <v>904</v>
      </c>
      <c r="G1480" t="str">
        <f>HYPERLINK("http://www.ncbi.nlm.nih.gov/Taxonomy/Browser/wwwtax.cgi?mode=Info&amp;id=299467&amp;lvl=3&amp;lin=f&amp;keep=1&amp;srchmode=1&amp;unlock","Leptotrombidium deliense")</f>
        <v>Leptotrombidium deliense</v>
      </c>
      <c r="H1480" t="s">
        <v>1207</v>
      </c>
      <c r="I1480" t="str">
        <f>HYPERLINK("http://www.ncbi.nlm.nih.gov/protein/RWS25625.1","ryanodine receptor-like protein, partial")</f>
        <v>ryanodine receptor-like protein, partial</v>
      </c>
      <c r="J1480">
        <v>763.84</v>
      </c>
      <c r="K1480" t="s">
        <v>22</v>
      </c>
      <c r="L1480">
        <v>276</v>
      </c>
      <c r="M1480">
        <v>9.75</v>
      </c>
      <c r="N1480">
        <v>7.31</v>
      </c>
      <c r="O1480" t="s">
        <v>19</v>
      </c>
      <c r="P1480" t="s">
        <v>20</v>
      </c>
      <c r="Q1480" t="s">
        <v>19</v>
      </c>
      <c r="R1480" t="str">
        <f>HYPERLINK("https://cfpub.epa.gov/ecotox/explore.cfm?ncbi=299467","Explore in ECOTOX")</f>
        <v>Explore in ECOTOX</v>
      </c>
    </row>
    <row r="1481" spans="1:18" x14ac:dyDescent="0.45">
      <c r="A1481" t="s">
        <v>1264</v>
      </c>
      <c r="B1481">
        <v>8</v>
      </c>
      <c r="C1481" t="str">
        <f>HYPERLINK("http://www.ncbi.nlm.nih.gov/protein/CAD7395323.1","CAD7395323.1")</f>
        <v>CAD7395323.1</v>
      </c>
      <c r="D1481">
        <v>15929</v>
      </c>
      <c r="E1481" t="str">
        <f>HYPERLINK("http://www.ncbi.nlm.nih.gov/Taxonomy/Browser/wwwtax.cgi?mode=Info&amp;id=170557&amp;lvl=3&amp;lin=f&amp;keep=1&amp;srchmode=1&amp;unlock","170557")</f>
        <v>170557</v>
      </c>
      <c r="F1481" t="s">
        <v>760</v>
      </c>
      <c r="G1481" t="str">
        <f>HYPERLINK("http://www.ncbi.nlm.nih.gov/Taxonomy/Browser/wwwtax.cgi?mode=Info&amp;id=170557&amp;lvl=3&amp;lin=f&amp;keep=1&amp;srchmode=1&amp;unlock","Timema poppensis")</f>
        <v>Timema poppensis</v>
      </c>
      <c r="H1481" t="s">
        <v>1039</v>
      </c>
      <c r="I1481" t="str">
        <f>HYPERLINK("http://www.ncbi.nlm.nih.gov/protein/CAD7395323.1","unnamed protein product")</f>
        <v>unnamed protein product</v>
      </c>
      <c r="J1481">
        <v>756.52</v>
      </c>
      <c r="K1481" t="s">
        <v>22</v>
      </c>
      <c r="L1481">
        <v>276</v>
      </c>
      <c r="M1481">
        <v>9.75</v>
      </c>
      <c r="N1481">
        <v>7.24</v>
      </c>
      <c r="O1481" t="s">
        <v>19</v>
      </c>
      <c r="P1481" t="s">
        <v>20</v>
      </c>
      <c r="Q1481" t="s">
        <v>19</v>
      </c>
      <c r="R1481" t="str">
        <f>HYPERLINK("https://cfpub.epa.gov/ecotox/explore.cfm?ncbi=170557","Explore in ECOTOX")</f>
        <v>Explore in ECOTOX</v>
      </c>
    </row>
    <row r="1482" spans="1:18" x14ac:dyDescent="0.45">
      <c r="A1482" t="s">
        <v>1264</v>
      </c>
      <c r="B1482">
        <v>8</v>
      </c>
      <c r="C1482" t="str">
        <f>HYPERLINK("http://www.ncbi.nlm.nih.gov/protein/VDO05596.1","VDO05596.1")</f>
        <v>VDO05596.1</v>
      </c>
      <c r="D1482">
        <v>13761</v>
      </c>
      <c r="E1482" t="str">
        <f>HYPERLINK("http://www.ncbi.nlm.nih.gov/Taxonomy/Browser/wwwtax.cgi?mode=Info&amp;id=102285&amp;lvl=3&amp;lin=f&amp;keep=1&amp;srchmode=1&amp;unlock","102285")</f>
        <v>102285</v>
      </c>
      <c r="F1482" t="s">
        <v>1185</v>
      </c>
      <c r="G1482" t="str">
        <f>HYPERLINK("http://www.ncbi.nlm.nih.gov/Taxonomy/Browser/wwwtax.cgi?mode=Info&amp;id=102285&amp;lvl=3&amp;lin=f&amp;keep=1&amp;srchmode=1&amp;unlock","Rodentolepis nana")</f>
        <v>Rodentolepis nana</v>
      </c>
      <c r="H1482" t="s">
        <v>1186</v>
      </c>
      <c r="I1482" t="str">
        <f>HYPERLINK("http://www.ncbi.nlm.nih.gov/protein/VDO05596.1","unnamed protein product")</f>
        <v>unnamed protein product</v>
      </c>
      <c r="J1482">
        <v>736.1</v>
      </c>
      <c r="K1482" t="s">
        <v>22</v>
      </c>
      <c r="L1482">
        <v>276</v>
      </c>
      <c r="M1482">
        <v>9.75</v>
      </c>
      <c r="N1482">
        <v>7.04</v>
      </c>
      <c r="O1482" t="s">
        <v>19</v>
      </c>
      <c r="P1482" t="s">
        <v>20</v>
      </c>
      <c r="Q1482" t="s">
        <v>19</v>
      </c>
      <c r="R1482" t="str">
        <f>HYPERLINK("https://cfpub.epa.gov/ecotox/explore.cfm?ncbi=102285","Explore in ECOTOX")</f>
        <v>Explore in ECOTOX</v>
      </c>
    </row>
    <row r="1483" spans="1:18" x14ac:dyDescent="0.45">
      <c r="A1483" t="s">
        <v>1264</v>
      </c>
      <c r="B1483">
        <v>8</v>
      </c>
      <c r="C1483" t="str">
        <f>HYPERLINK("http://www.ncbi.nlm.nih.gov/protein/CDS38121.1","CDS38121.1")</f>
        <v>CDS38121.1</v>
      </c>
      <c r="D1483">
        <v>11701</v>
      </c>
      <c r="E1483" t="str">
        <f>HYPERLINK("http://www.ncbi.nlm.nih.gov/Taxonomy/Browser/wwwtax.cgi?mode=Info&amp;id=6211&amp;lvl=3&amp;lin=f&amp;keep=1&amp;srchmode=1&amp;unlock","6211")</f>
        <v>6211</v>
      </c>
      <c r="F1483" t="s">
        <v>1185</v>
      </c>
      <c r="G1483" t="str">
        <f>HYPERLINK("http://www.ncbi.nlm.nih.gov/Taxonomy/Browser/wwwtax.cgi?mode=Info&amp;id=6211&amp;lvl=3&amp;lin=f&amp;keep=1&amp;srchmode=1&amp;unlock","Echinococcus multilocularis")</f>
        <v>Echinococcus multilocularis</v>
      </c>
      <c r="H1483" t="s">
        <v>1186</v>
      </c>
      <c r="I1483" t="str">
        <f>HYPERLINK("http://www.ncbi.nlm.nih.gov/protein/CDS38121.1","ryanodine receptor 44f")</f>
        <v>ryanodine receptor 44f</v>
      </c>
      <c r="J1483">
        <v>719.15</v>
      </c>
      <c r="K1483" t="s">
        <v>22</v>
      </c>
      <c r="L1483">
        <v>276</v>
      </c>
      <c r="M1483">
        <v>9.75</v>
      </c>
      <c r="N1483">
        <v>6.88</v>
      </c>
      <c r="O1483" t="s">
        <v>19</v>
      </c>
      <c r="P1483" t="s">
        <v>20</v>
      </c>
      <c r="Q1483" t="s">
        <v>19</v>
      </c>
      <c r="R1483" t="str">
        <f>HYPERLINK("https://cfpub.epa.gov/ecotox/explore.cfm?ncbi=6211","Explore in ECOTOX")</f>
        <v>Explore in ECOTOX</v>
      </c>
    </row>
    <row r="1484" spans="1:18" x14ac:dyDescent="0.45">
      <c r="A1484" t="s">
        <v>1264</v>
      </c>
      <c r="B1484">
        <v>8</v>
      </c>
      <c r="C1484" t="str">
        <f>HYPERLINK("http://www.ncbi.nlm.nih.gov/protein/XP_035829329.1","XP_035829329.1")</f>
        <v>XP_035829329.1</v>
      </c>
      <c r="D1484">
        <v>27924</v>
      </c>
      <c r="E1484" t="str">
        <f>HYPERLINK("http://www.ncbi.nlm.nih.gov/Taxonomy/Browser/wwwtax.cgi?mode=Info&amp;id=6500&amp;lvl=3&amp;lin=f&amp;keep=1&amp;srchmode=1&amp;unlock","6500")</f>
        <v>6500</v>
      </c>
      <c r="F1484" t="s">
        <v>757</v>
      </c>
      <c r="G1484" t="str">
        <f>HYPERLINK("http://www.ncbi.nlm.nih.gov/Taxonomy/Browser/wwwtax.cgi?mode=Info&amp;id=6500&amp;lvl=3&amp;lin=f&amp;keep=1&amp;srchmode=1&amp;unlock","Aplysia californica")</f>
        <v>Aplysia californica</v>
      </c>
      <c r="H1484" t="s">
        <v>1208</v>
      </c>
      <c r="I1484" t="str">
        <f>HYPERLINK("http://www.ncbi.nlm.nih.gov/protein/XP_035829329.1","LOW QUALITY PROTEIN: ryanodine receptor")</f>
        <v>LOW QUALITY PROTEIN: ryanodine receptor</v>
      </c>
      <c r="J1484">
        <v>706.44</v>
      </c>
      <c r="K1484" t="s">
        <v>22</v>
      </c>
      <c r="L1484">
        <v>276</v>
      </c>
      <c r="M1484">
        <v>9.75</v>
      </c>
      <c r="N1484">
        <v>6.76</v>
      </c>
      <c r="O1484" t="s">
        <v>19</v>
      </c>
      <c r="P1484" t="s">
        <v>20</v>
      </c>
      <c r="Q1484" t="s">
        <v>19</v>
      </c>
      <c r="R1484" t="str">
        <f>HYPERLINK("https://cfpub.epa.gov/ecotox/explore.cfm?ncbi=6500","Explore in ECOTOX")</f>
        <v>Explore in ECOTOX</v>
      </c>
    </row>
    <row r="1485" spans="1:18" x14ac:dyDescent="0.45">
      <c r="A1485" t="s">
        <v>1264</v>
      </c>
      <c r="B1485">
        <v>8</v>
      </c>
      <c r="C1485" t="str">
        <f>HYPERLINK("http://www.ncbi.nlm.nih.gov/protein/KAF2986072.1","KAF2986072.1")</f>
        <v>KAF2986072.1</v>
      </c>
      <c r="D1485">
        <v>15084</v>
      </c>
      <c r="E1485" t="str">
        <f>HYPERLINK("http://www.ncbi.nlm.nih.gov/Taxonomy/Browser/wwwtax.cgi?mode=Info&amp;id=2498840&amp;lvl=3&amp;lin=f&amp;keep=1&amp;srchmode=1&amp;unlock","2498840")</f>
        <v>2498840</v>
      </c>
      <c r="F1485" t="s">
        <v>241</v>
      </c>
      <c r="G1485" t="str">
        <f>HYPERLINK("http://www.ncbi.nlm.nih.gov/Taxonomy/Browser/wwwtax.cgi?mode=Info&amp;id=2498840&amp;lvl=3&amp;lin=f&amp;keep=1&amp;srchmode=1&amp;unlock","Melospiza melodia maxima")</f>
        <v>Melospiza melodia maxima</v>
      </c>
      <c r="H1485" t="s">
        <v>1209</v>
      </c>
      <c r="I1485" t="str">
        <f>HYPERLINK("http://www.ncbi.nlm.nih.gov/protein/KAF2986072.1","hypothetical protein EK904_013707, partial")</f>
        <v>hypothetical protein EK904_013707, partial</v>
      </c>
      <c r="J1485">
        <v>696.81</v>
      </c>
      <c r="K1485" t="s">
        <v>22</v>
      </c>
      <c r="L1485">
        <v>276</v>
      </c>
      <c r="M1485">
        <v>9.75</v>
      </c>
      <c r="N1485">
        <v>6.67</v>
      </c>
      <c r="O1485" t="s">
        <v>19</v>
      </c>
      <c r="P1485" t="s">
        <v>20</v>
      </c>
      <c r="Q1485" t="s">
        <v>19</v>
      </c>
      <c r="R1485" t="str">
        <f>HYPERLINK("https://cfpub.epa.gov/ecotox/explore.cfm?ncbi=2498840","Explore in ECOTOX")</f>
        <v>Explore in ECOTOX</v>
      </c>
    </row>
    <row r="1486" spans="1:18" x14ac:dyDescent="0.45">
      <c r="A1486" t="s">
        <v>1264</v>
      </c>
      <c r="B1486">
        <v>8</v>
      </c>
      <c r="C1486" t="str">
        <f>HYPERLINK("http://www.ncbi.nlm.nih.gov/protein/XP_019855347.1","XP_019855347.1")</f>
        <v>XP_019855347.1</v>
      </c>
      <c r="D1486">
        <v>23631</v>
      </c>
      <c r="E1486" t="str">
        <f>HYPERLINK("http://www.ncbi.nlm.nih.gov/Taxonomy/Browser/wwwtax.cgi?mode=Info&amp;id=400682&amp;lvl=3&amp;lin=f&amp;keep=1&amp;srchmode=1&amp;unlock","400682")</f>
        <v>400682</v>
      </c>
      <c r="F1486" t="s">
        <v>1210</v>
      </c>
      <c r="G1486" t="str">
        <f>HYPERLINK("http://www.ncbi.nlm.nih.gov/Taxonomy/Browser/wwwtax.cgi?mode=Info&amp;id=400682&amp;lvl=3&amp;lin=f&amp;keep=1&amp;srchmode=1&amp;unlock","Amphimedon queenslandica")</f>
        <v>Amphimedon queenslandica</v>
      </c>
      <c r="H1486" t="s">
        <v>1211</v>
      </c>
      <c r="I1486" t="str">
        <f>HYPERLINK("http://www.ncbi.nlm.nih.gov/protein/XP_019855347.1","PREDICTED: ryanodine receptor 2")</f>
        <v>PREDICTED: ryanodine receptor 2</v>
      </c>
      <c r="J1486">
        <v>663.68</v>
      </c>
      <c r="K1486" t="s">
        <v>22</v>
      </c>
      <c r="L1486">
        <v>276</v>
      </c>
      <c r="M1486">
        <v>9.75</v>
      </c>
      <c r="N1486">
        <v>6.35</v>
      </c>
      <c r="O1486" t="s">
        <v>22</v>
      </c>
      <c r="P1486" t="s">
        <v>20</v>
      </c>
      <c r="Q1486" t="s">
        <v>19</v>
      </c>
      <c r="R1486" t="str">
        <f>HYPERLINK("https://cfpub.epa.gov/ecotox/explore.cfm?ncbi=400682","Explore in ECOTOX")</f>
        <v>Explore in ECOTOX</v>
      </c>
    </row>
    <row r="1487" spans="1:18" x14ac:dyDescent="0.45">
      <c r="A1487" t="s">
        <v>1264</v>
      </c>
      <c r="B1487">
        <v>8</v>
      </c>
      <c r="C1487" t="str">
        <f>HYPERLINK("http://www.ncbi.nlm.nih.gov/protein/PIO64936.1","PIO64936.1")</f>
        <v>PIO64936.1</v>
      </c>
      <c r="D1487">
        <v>25770</v>
      </c>
      <c r="E1487" t="str">
        <f>HYPERLINK("http://www.ncbi.nlm.nih.gov/Taxonomy/Browser/wwwtax.cgi?mode=Info&amp;id=45464&amp;lvl=3&amp;lin=f&amp;keep=1&amp;srchmode=1&amp;unlock","45464")</f>
        <v>45464</v>
      </c>
      <c r="F1487" t="s">
        <v>1024</v>
      </c>
      <c r="G1487" t="str">
        <f>HYPERLINK("http://www.ncbi.nlm.nih.gov/Taxonomy/Browser/wwwtax.cgi?mode=Info&amp;id=45464&amp;lvl=3&amp;lin=f&amp;keep=1&amp;srchmode=1&amp;unlock","Teladorsagia circumcincta")</f>
        <v>Teladorsagia circumcincta</v>
      </c>
      <c r="H1487" t="s">
        <v>1025</v>
      </c>
      <c r="I1487" t="str">
        <f>HYPERLINK("http://www.ncbi.nlm.nih.gov/protein/PIO64936.1","EF hand, partial")</f>
        <v>EF hand, partial</v>
      </c>
      <c r="J1487">
        <v>632.48</v>
      </c>
      <c r="K1487" t="s">
        <v>22</v>
      </c>
      <c r="L1487">
        <v>276</v>
      </c>
      <c r="M1487">
        <v>9.75</v>
      </c>
      <c r="N1487">
        <v>6.05</v>
      </c>
      <c r="O1487" t="s">
        <v>19</v>
      </c>
      <c r="P1487" t="s">
        <v>20</v>
      </c>
      <c r="Q1487" t="s">
        <v>19</v>
      </c>
      <c r="R1487" t="str">
        <f>HYPERLINK("https://cfpub.epa.gov/ecotox/explore.cfm?ncbi=45464","Explore in ECOTOX")</f>
        <v>Explore in ECOTOX</v>
      </c>
    </row>
    <row r="1488" spans="1:18" x14ac:dyDescent="0.45">
      <c r="A1488" t="s">
        <v>1264</v>
      </c>
      <c r="B1488">
        <v>8</v>
      </c>
      <c r="C1488" t="str">
        <f>HYPERLINK("http://www.ncbi.nlm.nih.gov/protein/KOB76511.1","KOB76511.1")</f>
        <v>KOB76511.1</v>
      </c>
      <c r="D1488">
        <v>17113</v>
      </c>
      <c r="E1488" t="str">
        <f>HYPERLINK("http://www.ncbi.nlm.nih.gov/Taxonomy/Browser/wwwtax.cgi?mode=Info&amp;id=104452&amp;lvl=3&amp;lin=f&amp;keep=1&amp;srchmode=1&amp;unlock","104452")</f>
        <v>104452</v>
      </c>
      <c r="F1488" t="s">
        <v>760</v>
      </c>
      <c r="G1488" t="str">
        <f>HYPERLINK("http://www.ncbi.nlm.nih.gov/Taxonomy/Browser/wwwtax.cgi?mode=Info&amp;id=104452&amp;lvl=3&amp;lin=f&amp;keep=1&amp;srchmode=1&amp;unlock","Operophtera brumata")</f>
        <v>Operophtera brumata</v>
      </c>
      <c r="H1488" t="s">
        <v>1212</v>
      </c>
      <c r="I1488" t="str">
        <f>HYPERLINK("http://www.ncbi.nlm.nih.gov/protein/KOB76511.1","Ryanodine receptor 44F, partial")</f>
        <v>Ryanodine receptor 44F, partial</v>
      </c>
      <c r="J1488">
        <v>623.62</v>
      </c>
      <c r="K1488" t="s">
        <v>22</v>
      </c>
      <c r="L1488">
        <v>276</v>
      </c>
      <c r="M1488">
        <v>9.75</v>
      </c>
      <c r="N1488">
        <v>5.97</v>
      </c>
      <c r="O1488" t="s">
        <v>19</v>
      </c>
      <c r="P1488" t="s">
        <v>20</v>
      </c>
      <c r="Q1488" t="s">
        <v>19</v>
      </c>
      <c r="R1488" t="str">
        <f>HYPERLINK("https://cfpub.epa.gov/ecotox/explore.cfm?ncbi=104452","Explore in ECOTOX")</f>
        <v>Explore in ECOTOX</v>
      </c>
    </row>
    <row r="1489" spans="1:18" x14ac:dyDescent="0.45">
      <c r="A1489" t="s">
        <v>1264</v>
      </c>
      <c r="B1489">
        <v>8</v>
      </c>
      <c r="C1489" t="str">
        <f>HYPERLINK("http://www.ncbi.nlm.nih.gov/protein/CAH8289697.1","CAH8289697.1")</f>
        <v>CAH8289697.1</v>
      </c>
      <c r="D1489">
        <v>13488</v>
      </c>
      <c r="E1489" t="str">
        <f>HYPERLINK("http://www.ncbi.nlm.nih.gov/Taxonomy/Browser/wwwtax.cgi?mode=Info&amp;id=1163369&amp;lvl=3&amp;lin=f&amp;keep=1&amp;srchmode=1&amp;unlock","1163369")</f>
        <v>1163369</v>
      </c>
      <c r="F1489" t="s">
        <v>1140</v>
      </c>
      <c r="G1489" t="str">
        <f>HYPERLINK("http://www.ncbi.nlm.nih.gov/Taxonomy/Browser/wwwtax.cgi?mode=Info&amp;id=1163369&amp;lvl=3&amp;lin=f&amp;keep=1&amp;srchmode=1&amp;unlock","Schistosoma turkestanicum")</f>
        <v>Schistosoma turkestanicum</v>
      </c>
      <c r="H1489" t="s">
        <v>1141</v>
      </c>
      <c r="I1489" t="str">
        <f>HYPERLINK("http://www.ncbi.nlm.nih.gov/protein/CAH8289697.1","unnamed protein product, partial")</f>
        <v>unnamed protein product, partial</v>
      </c>
      <c r="J1489">
        <v>622.85</v>
      </c>
      <c r="K1489" t="s">
        <v>22</v>
      </c>
      <c r="L1489">
        <v>276</v>
      </c>
      <c r="M1489">
        <v>9.75</v>
      </c>
      <c r="N1489">
        <v>5.96</v>
      </c>
      <c r="O1489" t="s">
        <v>19</v>
      </c>
      <c r="P1489" t="s">
        <v>20</v>
      </c>
      <c r="Q1489" t="s">
        <v>19</v>
      </c>
      <c r="R1489" t="str">
        <f>HYPERLINK("https://cfpub.epa.gov/ecotox/explore.cfm?ncbi=1163369","Explore in ECOTOX")</f>
        <v>Explore in ECOTOX</v>
      </c>
    </row>
    <row r="1490" spans="1:18" x14ac:dyDescent="0.45">
      <c r="A1490" t="s">
        <v>1264</v>
      </c>
      <c r="B1490">
        <v>8</v>
      </c>
      <c r="C1490" t="str">
        <f>HYPERLINK("http://www.ncbi.nlm.nih.gov/protein/CAI8034631.1","CAI8034631.1")</f>
        <v>CAI8034631.1</v>
      </c>
      <c r="D1490">
        <v>61260</v>
      </c>
      <c r="E1490" t="str">
        <f>HYPERLINK("http://www.ncbi.nlm.nih.gov/Taxonomy/Browser/wwwtax.cgi?mode=Info&amp;id=519541&amp;lvl=3&amp;lin=f&amp;keep=1&amp;srchmode=1&amp;unlock","519541")</f>
        <v>519541</v>
      </c>
      <c r="F1490" t="s">
        <v>1210</v>
      </c>
      <c r="G1490" t="str">
        <f>HYPERLINK("http://www.ncbi.nlm.nih.gov/Taxonomy/Browser/wwwtax.cgi?mode=Info&amp;id=519541&amp;lvl=3&amp;lin=f&amp;keep=1&amp;srchmode=1&amp;unlock","Geodia barretti")</f>
        <v>Geodia barretti</v>
      </c>
      <c r="H1490" t="s">
        <v>1211</v>
      </c>
      <c r="I1490" t="str">
        <f>HYPERLINK("http://www.ncbi.nlm.nih.gov/protein/CAI8034631.1","Ryanodine receptor 3")</f>
        <v>Ryanodine receptor 3</v>
      </c>
      <c r="J1490">
        <v>613.22</v>
      </c>
      <c r="K1490" t="s">
        <v>22</v>
      </c>
      <c r="L1490">
        <v>276</v>
      </c>
      <c r="M1490">
        <v>9.75</v>
      </c>
      <c r="N1490">
        <v>5.87</v>
      </c>
      <c r="O1490" t="s">
        <v>22</v>
      </c>
      <c r="P1490" t="s">
        <v>20</v>
      </c>
      <c r="Q1490" t="s">
        <v>19</v>
      </c>
      <c r="R1490" t="str">
        <f>HYPERLINK("https://cfpub.epa.gov/ecotox/explore.cfm?ncbi=519541","Explore in ECOTOX")</f>
        <v>Explore in ECOTOX</v>
      </c>
    </row>
    <row r="1491" spans="1:18" x14ac:dyDescent="0.45">
      <c r="A1491" t="s">
        <v>1264</v>
      </c>
      <c r="B1491">
        <v>8</v>
      </c>
      <c r="C1491" t="str">
        <f>HYPERLINK("http://www.ncbi.nlm.nih.gov/protein/VDM78191.1","VDM78191.1")</f>
        <v>VDM78191.1</v>
      </c>
      <c r="D1491">
        <v>20957</v>
      </c>
      <c r="E1491" t="str">
        <f>HYPERLINK("http://www.ncbi.nlm.nih.gov/Taxonomy/Browser/wwwtax.cgi?mode=Info&amp;id=40348&amp;lvl=3&amp;lin=f&amp;keep=1&amp;srchmode=1&amp;unlock","40348")</f>
        <v>40348</v>
      </c>
      <c r="F1491" t="s">
        <v>1024</v>
      </c>
      <c r="G1491" t="str">
        <f>HYPERLINK("http://www.ncbi.nlm.nih.gov/Taxonomy/Browser/wwwtax.cgi?mode=Info&amp;id=40348&amp;lvl=3&amp;lin=f&amp;keep=1&amp;srchmode=1&amp;unlock","Strongylus vulgaris")</f>
        <v>Strongylus vulgaris</v>
      </c>
      <c r="H1491" t="s">
        <v>1213</v>
      </c>
      <c r="I1491" t="str">
        <f>HYPERLINK("http://www.ncbi.nlm.nih.gov/protein/VDM78191.1","unnamed protein product")</f>
        <v>unnamed protein product</v>
      </c>
      <c r="J1491">
        <v>573.16</v>
      </c>
      <c r="K1491" t="s">
        <v>22</v>
      </c>
      <c r="L1491">
        <v>276</v>
      </c>
      <c r="M1491">
        <v>9.75</v>
      </c>
      <c r="N1491">
        <v>5.48</v>
      </c>
      <c r="O1491" t="s">
        <v>19</v>
      </c>
      <c r="P1491" t="s">
        <v>20</v>
      </c>
      <c r="Q1491" t="s">
        <v>19</v>
      </c>
      <c r="R1491" t="str">
        <f>HYPERLINK("https://cfpub.epa.gov/ecotox/explore.cfm?ncbi=40348","Explore in ECOTOX")</f>
        <v>Explore in ECOTOX</v>
      </c>
    </row>
    <row r="1492" spans="1:18" x14ac:dyDescent="0.45">
      <c r="A1492" t="s">
        <v>1264</v>
      </c>
      <c r="B1492">
        <v>8</v>
      </c>
      <c r="C1492" t="str">
        <f>HYPERLINK("http://www.ncbi.nlm.nih.gov/protein/VDP80904.1","VDP80904.1")</f>
        <v>VDP80904.1</v>
      </c>
      <c r="D1492">
        <v>18603</v>
      </c>
      <c r="E1492" t="str">
        <f>HYPERLINK("http://www.ncbi.nlm.nih.gov/Taxonomy/Browser/wwwtax.cgi?mode=Info&amp;id=27848&amp;lvl=3&amp;lin=f&amp;keep=1&amp;srchmode=1&amp;unlock","27848")</f>
        <v>27848</v>
      </c>
      <c r="F1492" t="s">
        <v>1140</v>
      </c>
      <c r="G1492" t="str">
        <f>HYPERLINK("http://www.ncbi.nlm.nih.gov/Taxonomy/Browser/wwwtax.cgi?mode=Info&amp;id=27848&amp;lvl=3&amp;lin=f&amp;keep=1&amp;srchmode=1&amp;unlock","Echinostoma caproni")</f>
        <v>Echinostoma caproni</v>
      </c>
      <c r="H1492" t="s">
        <v>1194</v>
      </c>
      <c r="I1492" t="str">
        <f>HYPERLINK("http://www.ncbi.nlm.nih.gov/protein/VDP80904.1","unnamed protein product")</f>
        <v>unnamed protein product</v>
      </c>
      <c r="J1492">
        <v>572.78</v>
      </c>
      <c r="K1492" t="s">
        <v>22</v>
      </c>
      <c r="L1492">
        <v>276</v>
      </c>
      <c r="M1492">
        <v>9.75</v>
      </c>
      <c r="N1492">
        <v>5.48</v>
      </c>
      <c r="O1492" t="s">
        <v>19</v>
      </c>
      <c r="P1492" t="s">
        <v>20</v>
      </c>
      <c r="Q1492" t="s">
        <v>19</v>
      </c>
      <c r="R1492" t="str">
        <f>HYPERLINK("https://cfpub.epa.gov/ecotox/explore.cfm?ncbi=27848","Explore in ECOTOX")</f>
        <v>Explore in ECOTOX</v>
      </c>
    </row>
    <row r="1493" spans="1:18" x14ac:dyDescent="0.45">
      <c r="A1493" t="s">
        <v>1264</v>
      </c>
      <c r="B1493">
        <v>8</v>
      </c>
      <c r="C1493" t="str">
        <f>HYPERLINK("http://www.ncbi.nlm.nih.gov/protein/PSN30490.1","PSN30490.1")</f>
        <v>PSN30490.1</v>
      </c>
      <c r="D1493">
        <v>30233</v>
      </c>
      <c r="E1493" t="str">
        <f>HYPERLINK("http://www.ncbi.nlm.nih.gov/Taxonomy/Browser/wwwtax.cgi?mode=Info&amp;id=6973&amp;lvl=3&amp;lin=f&amp;keep=1&amp;srchmode=1&amp;unlock","6973")</f>
        <v>6973</v>
      </c>
      <c r="F1493" t="s">
        <v>760</v>
      </c>
      <c r="G1493" t="str">
        <f>HYPERLINK("http://www.ncbi.nlm.nih.gov/Taxonomy/Browser/wwwtax.cgi?mode=Info&amp;id=6973&amp;lvl=3&amp;lin=f&amp;keep=1&amp;srchmode=1&amp;unlock","Blattella germanica")</f>
        <v>Blattella germanica</v>
      </c>
      <c r="H1493" t="s">
        <v>1214</v>
      </c>
      <c r="I1493" t="str">
        <f>HYPERLINK("http://www.ncbi.nlm.nih.gov/protein/PSN30490.1","Ryanodine receptor")</f>
        <v>Ryanodine receptor</v>
      </c>
      <c r="J1493">
        <v>531.95000000000005</v>
      </c>
      <c r="K1493" t="s">
        <v>22</v>
      </c>
      <c r="L1493">
        <v>276</v>
      </c>
      <c r="M1493">
        <v>9.75</v>
      </c>
      <c r="N1493">
        <v>5.09</v>
      </c>
      <c r="O1493" t="s">
        <v>19</v>
      </c>
      <c r="P1493" t="s">
        <v>20</v>
      </c>
      <c r="Q1493" t="s">
        <v>19</v>
      </c>
      <c r="R1493" t="str">
        <f>HYPERLINK("https://cfpub.epa.gov/ecotox/explore.cfm?ncbi=6973","Explore in ECOTOX")</f>
        <v>Explore in ECOTOX</v>
      </c>
    </row>
    <row r="1494" spans="1:18" x14ac:dyDescent="0.45">
      <c r="A1494" t="s">
        <v>1264</v>
      </c>
      <c r="B1494">
        <v>8</v>
      </c>
      <c r="C1494" t="str">
        <f>HYPERLINK("http://www.ncbi.nlm.nih.gov/protein/VDN28008.1","VDN28008.1")</f>
        <v>VDN28008.1</v>
      </c>
      <c r="D1494">
        <v>27183</v>
      </c>
      <c r="E1494" t="str">
        <f>HYPERLINK("http://www.ncbi.nlm.nih.gov/Taxonomy/Browser/wwwtax.cgi?mode=Info&amp;id=637853&amp;lvl=3&amp;lin=f&amp;keep=1&amp;srchmode=1&amp;unlock","637853")</f>
        <v>637853</v>
      </c>
      <c r="F1494" t="s">
        <v>1024</v>
      </c>
      <c r="G1494" t="str">
        <f>HYPERLINK("http://www.ncbi.nlm.nih.gov/Taxonomy/Browser/wwwtax.cgi?mode=Info&amp;id=637853&amp;lvl=3&amp;lin=f&amp;keep=1&amp;srchmode=1&amp;unlock","Gongylonema pulchrum")</f>
        <v>Gongylonema pulchrum</v>
      </c>
      <c r="H1494" t="s">
        <v>1027</v>
      </c>
      <c r="I1494" t="str">
        <f>HYPERLINK("http://www.ncbi.nlm.nih.gov/protein/VDN28008.1","unnamed protein product")</f>
        <v>unnamed protein product</v>
      </c>
      <c r="J1494">
        <v>529.25</v>
      </c>
      <c r="K1494" t="s">
        <v>22</v>
      </c>
      <c r="L1494">
        <v>276</v>
      </c>
      <c r="M1494">
        <v>9.75</v>
      </c>
      <c r="N1494">
        <v>5.0599999999999996</v>
      </c>
      <c r="O1494" t="s">
        <v>19</v>
      </c>
      <c r="P1494" t="s">
        <v>20</v>
      </c>
      <c r="Q1494" t="s">
        <v>19</v>
      </c>
      <c r="R1494" t="str">
        <f>HYPERLINK("https://cfpub.epa.gov/ecotox/explore.cfm?ncbi=637853","Explore in ECOTOX")</f>
        <v>Explore in ECOTOX</v>
      </c>
    </row>
    <row r="1495" spans="1:18" x14ac:dyDescent="0.45">
      <c r="A1495" t="s">
        <v>1264</v>
      </c>
      <c r="B1495">
        <v>8</v>
      </c>
      <c r="C1495" t="str">
        <f>HYPERLINK("http://www.ncbi.nlm.nih.gov/protein/KAI6654232.1","KAI6654232.1")</f>
        <v>KAI6654232.1</v>
      </c>
      <c r="D1495">
        <v>16541</v>
      </c>
      <c r="E1495" t="str">
        <f>HYPERLINK("http://www.ncbi.nlm.nih.gov/Taxonomy/Browser/wwwtax.cgi?mode=Info&amp;id=111878&amp;lvl=3&amp;lin=f&amp;keep=1&amp;srchmode=1&amp;unlock","111878")</f>
        <v>111878</v>
      </c>
      <c r="F1495" t="s">
        <v>1215</v>
      </c>
      <c r="G1495" t="str">
        <f>HYPERLINK("http://www.ncbi.nlm.nih.gov/Taxonomy/Browser/wwwtax.cgi?mode=Info&amp;id=111878&amp;lvl=3&amp;lin=f&amp;keep=1&amp;srchmode=1&amp;unlock","Oopsacas minuta")</f>
        <v>Oopsacas minuta</v>
      </c>
      <c r="H1495" t="s">
        <v>1211</v>
      </c>
      <c r="I1495" t="str">
        <f>HYPERLINK("http://www.ncbi.nlm.nih.gov/protein/KAI6654232.1","Ryanodine receptor 3")</f>
        <v>Ryanodine receptor 3</v>
      </c>
      <c r="J1495">
        <v>518.08000000000004</v>
      </c>
      <c r="K1495" t="s">
        <v>22</v>
      </c>
      <c r="L1495">
        <v>276</v>
      </c>
      <c r="M1495">
        <v>9.75</v>
      </c>
      <c r="N1495">
        <v>4.96</v>
      </c>
      <c r="O1495" t="s">
        <v>22</v>
      </c>
      <c r="P1495" t="s">
        <v>20</v>
      </c>
      <c r="Q1495" t="s">
        <v>19</v>
      </c>
      <c r="R1495" t="str">
        <f>HYPERLINK("https://cfpub.epa.gov/ecotox/explore.cfm?ncbi=111878","Explore in ECOTOX")</f>
        <v>Explore in ECOTOX</v>
      </c>
    </row>
    <row r="1496" spans="1:18" x14ac:dyDescent="0.45">
      <c r="A1496" t="s">
        <v>1264</v>
      </c>
      <c r="B1496">
        <v>8</v>
      </c>
      <c r="C1496" t="str">
        <f>HYPERLINK("http://www.ncbi.nlm.nih.gov/protein/VDK17998.1","VDK17998.1")</f>
        <v>VDK17998.1</v>
      </c>
      <c r="D1496">
        <v>21582</v>
      </c>
      <c r="E1496" t="str">
        <f>HYPERLINK("http://www.ncbi.nlm.nih.gov/Taxonomy/Browser/wwwtax.cgi?mode=Info&amp;id=6269&amp;lvl=3&amp;lin=f&amp;keep=1&amp;srchmode=1&amp;unlock","6269")</f>
        <v>6269</v>
      </c>
      <c r="F1496" t="s">
        <v>1024</v>
      </c>
      <c r="G1496" t="str">
        <f>HYPERLINK("http://www.ncbi.nlm.nih.gov/Taxonomy/Browser/wwwtax.cgi?mode=Info&amp;id=6269&amp;lvl=3&amp;lin=f&amp;keep=1&amp;srchmode=1&amp;unlock","Anisakis simplex")</f>
        <v>Anisakis simplex</v>
      </c>
      <c r="H1496" t="s">
        <v>1216</v>
      </c>
      <c r="I1496" t="str">
        <f>HYPERLINK("http://www.ncbi.nlm.nih.gov/protein/VDK17998.1","unnamed protein product")</f>
        <v>unnamed protein product</v>
      </c>
      <c r="J1496">
        <v>446.82</v>
      </c>
      <c r="K1496" t="s">
        <v>22</v>
      </c>
      <c r="L1496">
        <v>276</v>
      </c>
      <c r="M1496">
        <v>9.75</v>
      </c>
      <c r="N1496">
        <v>4.2699999999999996</v>
      </c>
      <c r="O1496" t="s">
        <v>19</v>
      </c>
      <c r="P1496" t="s">
        <v>20</v>
      </c>
      <c r="Q1496" t="s">
        <v>19</v>
      </c>
      <c r="R1496" t="str">
        <f>HYPERLINK("https://cfpub.epa.gov/ecotox/explore.cfm?ncbi=6269","Explore in ECOTOX")</f>
        <v>Explore in ECOTOX</v>
      </c>
    </row>
    <row r="1497" spans="1:18" x14ac:dyDescent="0.45">
      <c r="A1497" t="s">
        <v>1264</v>
      </c>
      <c r="B1497">
        <v>8</v>
      </c>
      <c r="C1497" t="str">
        <f>HYPERLINK("http://www.ncbi.nlm.nih.gov/protein/ADO33053.1","ADO33053.1")</f>
        <v>ADO33053.1</v>
      </c>
      <c r="D1497">
        <v>415</v>
      </c>
      <c r="E1497" t="str">
        <f>HYPERLINK("http://www.ncbi.nlm.nih.gov/Taxonomy/Browser/wwwtax.cgi?mode=Info&amp;id=82595&amp;lvl=3&amp;lin=f&amp;keep=1&amp;srchmode=1&amp;unlock","82595")</f>
        <v>82595</v>
      </c>
      <c r="F1497" t="s">
        <v>760</v>
      </c>
      <c r="G1497" t="str">
        <f>HYPERLINK("http://www.ncbi.nlm.nih.gov/Taxonomy/Browser/wwwtax.cgi?mode=Info&amp;id=82595&amp;lvl=3&amp;lin=f&amp;keep=1&amp;srchmode=1&amp;unlock","Biston betularia")</f>
        <v>Biston betularia</v>
      </c>
      <c r="H1497" t="s">
        <v>1217</v>
      </c>
      <c r="I1497" t="str">
        <f>HYPERLINK("http://www.ncbi.nlm.nih.gov/protein/ADO33053.1","ryanodine receptor, partial")</f>
        <v>ryanodine receptor, partial</v>
      </c>
      <c r="J1497">
        <v>442.58</v>
      </c>
      <c r="K1497" t="s">
        <v>22</v>
      </c>
      <c r="L1497">
        <v>276</v>
      </c>
      <c r="M1497">
        <v>9.75</v>
      </c>
      <c r="N1497">
        <v>4.2300000000000004</v>
      </c>
      <c r="O1497" t="s">
        <v>19</v>
      </c>
      <c r="P1497" t="s">
        <v>20</v>
      </c>
      <c r="Q1497" t="s">
        <v>19</v>
      </c>
      <c r="R1497" t="str">
        <f>HYPERLINK("https://cfpub.epa.gov/ecotox/explore.cfm?ncbi=82595","Explore in ECOTOX")</f>
        <v>Explore in ECOTOX</v>
      </c>
    </row>
    <row r="1498" spans="1:18" x14ac:dyDescent="0.45">
      <c r="A1498" t="s">
        <v>1264</v>
      </c>
      <c r="B1498">
        <v>8</v>
      </c>
      <c r="C1498" t="str">
        <f>HYPERLINK("http://www.ncbi.nlm.nih.gov/protein/KAJ8867413.1","KAJ8867413.1")</f>
        <v>KAJ8867413.1</v>
      </c>
      <c r="D1498">
        <v>33112</v>
      </c>
      <c r="E1498" t="str">
        <f>HYPERLINK("http://www.ncbi.nlm.nih.gov/Taxonomy/Browser/wwwtax.cgi?mode=Info&amp;id=614101&amp;lvl=3&amp;lin=f&amp;keep=1&amp;srchmode=1&amp;unlock","614101")</f>
        <v>614101</v>
      </c>
      <c r="F1498" t="s">
        <v>760</v>
      </c>
      <c r="G1498" t="str">
        <f>HYPERLINK("http://www.ncbi.nlm.nih.gov/Taxonomy/Browser/wwwtax.cgi?mode=Info&amp;id=614101&amp;lvl=3&amp;lin=f&amp;keep=1&amp;srchmode=1&amp;unlock","Dryococelus australis")</f>
        <v>Dryococelus australis</v>
      </c>
      <c r="H1498" t="s">
        <v>1039</v>
      </c>
      <c r="I1498" t="str">
        <f>HYPERLINK("http://www.ncbi.nlm.nih.gov/protein/KAJ8867413.1","hypothetical protein PR048_031214")</f>
        <v>hypothetical protein PR048_031214</v>
      </c>
      <c r="J1498">
        <v>440.27</v>
      </c>
      <c r="K1498" t="s">
        <v>22</v>
      </c>
      <c r="L1498">
        <v>276</v>
      </c>
      <c r="M1498">
        <v>9.75</v>
      </c>
      <c r="N1498">
        <v>4.21</v>
      </c>
      <c r="O1498" t="s">
        <v>19</v>
      </c>
      <c r="P1498" t="s">
        <v>20</v>
      </c>
      <c r="Q1498" t="s">
        <v>19</v>
      </c>
      <c r="R1498" t="str">
        <f>HYPERLINK("https://cfpub.epa.gov/ecotox/explore.cfm?ncbi=614101","Explore in ECOTOX")</f>
        <v>Explore in ECOTOX</v>
      </c>
    </row>
    <row r="1499" spans="1:18" x14ac:dyDescent="0.45">
      <c r="A1499" t="s">
        <v>1264</v>
      </c>
      <c r="B1499">
        <v>8</v>
      </c>
      <c r="C1499" t="str">
        <f>HYPERLINK("http://www.ncbi.nlm.nih.gov/protein/VBB34786.1","VBB34786.1")</f>
        <v>VBB34786.1</v>
      </c>
      <c r="D1499">
        <v>10212</v>
      </c>
      <c r="E1499" t="str">
        <f>HYPERLINK("http://www.ncbi.nlm.nih.gov/Taxonomy/Browser/wwwtax.cgi?mode=Info&amp;id=6277&amp;lvl=3&amp;lin=f&amp;keep=1&amp;srchmode=1&amp;unlock","6277")</f>
        <v>6277</v>
      </c>
      <c r="F1499" t="s">
        <v>1024</v>
      </c>
      <c r="G1499" t="str">
        <f>HYPERLINK("http://www.ncbi.nlm.nih.gov/Taxonomy/Browser/wwwtax.cgi?mode=Info&amp;id=6277&amp;lvl=3&amp;lin=f&amp;keep=1&amp;srchmode=1&amp;unlock","Acanthocheilonema viteae")</f>
        <v>Acanthocheilonema viteae</v>
      </c>
      <c r="H1499" t="s">
        <v>1027</v>
      </c>
      <c r="I1499" t="str">
        <f>HYPERLINK("http://www.ncbi.nlm.nih.gov/protein/VBB34786.1","unnamed protein product, partial")</f>
        <v>unnamed protein product, partial</v>
      </c>
      <c r="J1499">
        <v>412.92</v>
      </c>
      <c r="K1499" t="s">
        <v>22</v>
      </c>
      <c r="L1499">
        <v>276</v>
      </c>
      <c r="M1499">
        <v>9.75</v>
      </c>
      <c r="N1499">
        <v>3.95</v>
      </c>
      <c r="O1499" t="s">
        <v>19</v>
      </c>
      <c r="P1499" t="s">
        <v>20</v>
      </c>
      <c r="Q1499" t="s">
        <v>19</v>
      </c>
      <c r="R1499" t="str">
        <f>HYPERLINK("https://cfpub.epa.gov/ecotox/explore.cfm?ncbi=6277","Explore in ECOTOX")</f>
        <v>Explore in ECOTOX</v>
      </c>
    </row>
    <row r="1500" spans="1:18" x14ac:dyDescent="0.45">
      <c r="A1500" t="s">
        <v>1264</v>
      </c>
      <c r="B1500">
        <v>8</v>
      </c>
      <c r="C1500" t="str">
        <f>HYPERLINK("http://www.ncbi.nlm.nih.gov/protein/XP_004993045.1","XP_004993045.1")</f>
        <v>XP_004993045.1</v>
      </c>
      <c r="D1500">
        <v>23489</v>
      </c>
      <c r="E1500" t="str">
        <f>HYPERLINK("http://www.ncbi.nlm.nih.gov/Taxonomy/Browser/wwwtax.cgi?mode=Info&amp;id=946362&amp;lvl=3&amp;lin=f&amp;keep=1&amp;srchmode=1&amp;unlock","946362")</f>
        <v>946362</v>
      </c>
      <c r="F1500" t="s">
        <v>1218</v>
      </c>
      <c r="G1500" t="str">
        <f>HYPERLINK("http://www.ncbi.nlm.nih.gov/Taxonomy/Browser/wwwtax.cgi?mode=Info&amp;id=946362&amp;lvl=3&amp;lin=f&amp;keep=1&amp;srchmode=1&amp;unlock","Salpingoeca rosetta")</f>
        <v>Salpingoeca rosetta</v>
      </c>
      <c r="H1500" t="s">
        <v>1219</v>
      </c>
      <c r="I1500" t="str">
        <f>HYPERLINK("http://www.ncbi.nlm.nih.gov/protein/XP_004993045.1","ryanodine receptor type 1")</f>
        <v>ryanodine receptor type 1</v>
      </c>
      <c r="J1500">
        <v>341.27</v>
      </c>
      <c r="K1500" t="s">
        <v>22</v>
      </c>
      <c r="L1500">
        <v>276</v>
      </c>
      <c r="M1500">
        <v>9.75</v>
      </c>
      <c r="N1500">
        <v>3.26</v>
      </c>
      <c r="O1500" t="s">
        <v>22</v>
      </c>
      <c r="P1500" t="s">
        <v>20</v>
      </c>
      <c r="Q1500" t="s">
        <v>19</v>
      </c>
      <c r="R1500" t="str">
        <f>HYPERLINK("https://cfpub.epa.gov/ecotox/explore.cfm?ncbi=946362","Explore in ECOTOX")</f>
        <v>Explore in ECOTOX</v>
      </c>
    </row>
    <row r="1501" spans="1:18" x14ac:dyDescent="0.45">
      <c r="A1501" t="s">
        <v>1264</v>
      </c>
      <c r="B1501">
        <v>8</v>
      </c>
      <c r="C1501" t="str">
        <f>HYPERLINK("http://www.ncbi.nlm.nih.gov/protein/XP_004342590.1","XP_004342590.1")</f>
        <v>XP_004342590.1</v>
      </c>
      <c r="D1501">
        <v>18914</v>
      </c>
      <c r="E1501" t="str">
        <f>HYPERLINK("http://www.ncbi.nlm.nih.gov/Taxonomy/Browser/wwwtax.cgi?mode=Info&amp;id=595528&amp;lvl=3&amp;lin=f&amp;keep=1&amp;srchmode=1&amp;unlock","595528")</f>
        <v>595528</v>
      </c>
      <c r="F1501" t="s">
        <v>1220</v>
      </c>
      <c r="G1501" t="str">
        <f>HYPERLINK("http://www.ncbi.nlm.nih.gov/Taxonomy/Browser/wwwtax.cgi?mode=Info&amp;id=595528&amp;lvl=3&amp;lin=f&amp;keep=1&amp;srchmode=1&amp;unlock","Capsaspora owczarzaki ATCC 30864")</f>
        <v>Capsaspora owczarzaki ATCC 30864</v>
      </c>
      <c r="H1501" t="s">
        <v>1221</v>
      </c>
      <c r="I1501" t="str">
        <f>HYPERLINK("http://www.ncbi.nlm.nih.gov/protein/XP_004342590.1","ryanodine receptor")</f>
        <v>ryanodine receptor</v>
      </c>
      <c r="J1501">
        <v>336.26</v>
      </c>
      <c r="K1501" t="s">
        <v>22</v>
      </c>
      <c r="L1501">
        <v>276</v>
      </c>
      <c r="M1501">
        <v>9.75</v>
      </c>
      <c r="N1501">
        <v>3.22</v>
      </c>
      <c r="O1501" t="s">
        <v>22</v>
      </c>
      <c r="P1501" t="s">
        <v>20</v>
      </c>
      <c r="Q1501" t="s">
        <v>19</v>
      </c>
      <c r="R1501" t="str">
        <f>HYPERLINK("https://cfpub.epa.gov/ecotox/explore.cfm?ncbi=595528","Explore in ECOTOX")</f>
        <v>Explore in ECOTOX</v>
      </c>
    </row>
    <row r="1502" spans="1:18" x14ac:dyDescent="0.45">
      <c r="A1502" t="s">
        <v>1264</v>
      </c>
      <c r="B1502">
        <v>8</v>
      </c>
      <c r="C1502" t="str">
        <f>HYPERLINK("http://www.ncbi.nlm.nih.gov/protein/ACS27705.1","ACS27705.1")</f>
        <v>ACS27705.1</v>
      </c>
      <c r="D1502">
        <v>94</v>
      </c>
      <c r="E1502" t="str">
        <f>HYPERLINK("http://www.ncbi.nlm.nih.gov/Taxonomy/Browser/wwwtax.cgi?mode=Info&amp;id=49895&amp;lvl=3&amp;lin=f&amp;keep=1&amp;srchmode=1&amp;unlock","49895")</f>
        <v>49895</v>
      </c>
      <c r="F1502" t="s">
        <v>293</v>
      </c>
      <c r="G1502" t="str">
        <f>HYPERLINK("http://www.ncbi.nlm.nih.gov/Taxonomy/Browser/wwwtax.cgi?mode=Info&amp;id=49895&amp;lvl=3&amp;lin=f&amp;keep=1&amp;srchmode=1&amp;unlock","Polypterus ornatipinnis")</f>
        <v>Polypterus ornatipinnis</v>
      </c>
      <c r="H1502" t="s">
        <v>1222</v>
      </c>
      <c r="I1502" t="str">
        <f>HYPERLINK("http://www.ncbi.nlm.nih.gov/protein/ACS27705.1","ryanodine receptor 1b, partial")</f>
        <v>ryanodine receptor 1b, partial</v>
      </c>
      <c r="J1502">
        <v>321.24</v>
      </c>
      <c r="K1502" t="s">
        <v>19</v>
      </c>
      <c r="L1502">
        <v>276</v>
      </c>
      <c r="M1502">
        <v>9.75</v>
      </c>
      <c r="N1502">
        <v>3.07</v>
      </c>
      <c r="O1502" t="s">
        <v>19</v>
      </c>
      <c r="P1502" t="s">
        <v>20</v>
      </c>
      <c r="Q1502" t="s">
        <v>19</v>
      </c>
      <c r="R1502" t="str">
        <f>HYPERLINK("https://cfpub.epa.gov/ecotox/explore.cfm?ncbi=49895","Explore in ECOTOX")</f>
        <v>Explore in ECOTOX</v>
      </c>
    </row>
    <row r="1503" spans="1:18" x14ac:dyDescent="0.45">
      <c r="A1503" t="s">
        <v>1264</v>
      </c>
      <c r="B1503">
        <v>8</v>
      </c>
      <c r="C1503" t="str">
        <f>HYPERLINK("http://www.ncbi.nlm.nih.gov/protein/KAI6060082.1","KAI6060082.1")</f>
        <v>KAI6060082.1</v>
      </c>
      <c r="D1503">
        <v>13262</v>
      </c>
      <c r="E1503" t="str">
        <f>HYPERLINK("http://www.ncbi.nlm.nih.gov/Taxonomy/Browser/wwwtax.cgi?mode=Info&amp;id=8832&amp;lvl=3&amp;lin=f&amp;keep=1&amp;srchmode=1&amp;unlock","8832")</f>
        <v>8832</v>
      </c>
      <c r="F1503" t="s">
        <v>241</v>
      </c>
      <c r="G1503" t="str">
        <f>HYPERLINK("http://www.ncbi.nlm.nih.gov/Taxonomy/Browser/wwwtax.cgi?mode=Info&amp;id=8832&amp;lvl=3&amp;lin=f&amp;keep=1&amp;srchmode=1&amp;unlock","Aix galericulata")</f>
        <v>Aix galericulata</v>
      </c>
      <c r="H1503" t="s">
        <v>1223</v>
      </c>
      <c r="I1503" t="str">
        <f>HYPERLINK("http://www.ncbi.nlm.nih.gov/protein/KAI6060082.1","Ryanodine receptor 1")</f>
        <v>Ryanodine receptor 1</v>
      </c>
      <c r="J1503">
        <v>239.19</v>
      </c>
      <c r="K1503" t="s">
        <v>22</v>
      </c>
      <c r="L1503">
        <v>276</v>
      </c>
      <c r="M1503">
        <v>9.75</v>
      </c>
      <c r="N1503">
        <v>2.29</v>
      </c>
      <c r="O1503" t="s">
        <v>19</v>
      </c>
      <c r="P1503" t="s">
        <v>20</v>
      </c>
      <c r="Q1503" t="s">
        <v>19</v>
      </c>
      <c r="R1503" t="str">
        <f>HYPERLINK("https://cfpub.epa.gov/ecotox/explore.cfm?ncbi=8832","Explore in ECOTOX")</f>
        <v>Explore in ECOTOX</v>
      </c>
    </row>
    <row r="1504" spans="1:18" x14ac:dyDescent="0.45">
      <c r="A1504" t="s">
        <v>1264</v>
      </c>
      <c r="B1504">
        <v>8</v>
      </c>
      <c r="C1504" t="str">
        <f>HYPERLINK("http://www.ncbi.nlm.nih.gov/protein/ORX85369.1","ORX85369.1")</f>
        <v>ORX85369.1</v>
      </c>
      <c r="D1504">
        <v>16095</v>
      </c>
      <c r="E1504" t="str">
        <f>HYPERLINK("http://www.ncbi.nlm.nih.gov/Taxonomy/Browser/wwwtax.cgi?mode=Info&amp;id=1314790&amp;lvl=3&amp;lin=f&amp;keep=1&amp;srchmode=1&amp;unlock","1314790")</f>
        <v>1314790</v>
      </c>
      <c r="F1504" t="s">
        <v>1224</v>
      </c>
      <c r="G1504" t="str">
        <f>HYPERLINK("http://www.ncbi.nlm.nih.gov/Taxonomy/Browser/wwwtax.cgi?mode=Info&amp;id=1314790&amp;lvl=3&amp;lin=f&amp;keep=1&amp;srchmode=1&amp;unlock","Basidiobolus meristosporus CBS 931.73")</f>
        <v>Basidiobolus meristosporus CBS 931.73</v>
      </c>
      <c r="H1504" t="s">
        <v>1225</v>
      </c>
      <c r="I1504" t="str">
        <f>HYPERLINK("http://www.ncbi.nlm.nih.gov/protein/ORX85369.1","hypothetical protein K493DRAFT_341790")</f>
        <v>hypothetical protein K493DRAFT_341790</v>
      </c>
      <c r="J1504">
        <v>195.28</v>
      </c>
      <c r="K1504" t="s">
        <v>22</v>
      </c>
      <c r="L1504">
        <v>276</v>
      </c>
      <c r="M1504">
        <v>9.75</v>
      </c>
      <c r="N1504">
        <v>1.87</v>
      </c>
      <c r="O1504" t="s">
        <v>22</v>
      </c>
      <c r="P1504" t="s">
        <v>20</v>
      </c>
      <c r="Q1504" t="s">
        <v>19</v>
      </c>
      <c r="R1504" t="str">
        <f>HYPERLINK("https://cfpub.epa.gov/ecotox/explore.cfm?ncbi=1314790","Explore in ECOTOX")</f>
        <v>Explore in ECOTOX</v>
      </c>
    </row>
    <row r="1505" spans="1:18" x14ac:dyDescent="0.45">
      <c r="A1505" t="s">
        <v>1264</v>
      </c>
      <c r="B1505">
        <v>8</v>
      </c>
      <c r="C1505" t="str">
        <f>HYPERLINK("http://www.ncbi.nlm.nih.gov/protein/KAG0179979.1","KAG0179979.1")</f>
        <v>KAG0179979.1</v>
      </c>
      <c r="D1505">
        <v>10175</v>
      </c>
      <c r="E1505" t="str">
        <f>HYPERLINK("http://www.ncbi.nlm.nih.gov/Taxonomy/Browser/wwwtax.cgi?mode=Info&amp;id=2184031&amp;lvl=3&amp;lin=f&amp;keep=1&amp;srchmode=1&amp;unlock","2184031")</f>
        <v>2184031</v>
      </c>
      <c r="F1505" t="s">
        <v>1226</v>
      </c>
      <c r="G1505" t="str">
        <f>HYPERLINK("http://www.ncbi.nlm.nih.gov/Taxonomy/Browser/wwwtax.cgi?mode=Info&amp;id=2184031&amp;lvl=3&amp;lin=f&amp;keep=1&amp;srchmode=1&amp;unlock","Apophysomyces sp. BC1021")</f>
        <v>Apophysomyces sp. BC1021</v>
      </c>
      <c r="H1505" t="s">
        <v>1227</v>
      </c>
      <c r="I1505" t="str">
        <f>HYPERLINK("http://www.ncbi.nlm.nih.gov/protein/KAG0179979.1","hypothetical protein DFQ29_001424")</f>
        <v>hypothetical protein DFQ29_001424</v>
      </c>
      <c r="J1505">
        <v>194.13</v>
      </c>
      <c r="K1505" t="s">
        <v>22</v>
      </c>
      <c r="L1505">
        <v>276</v>
      </c>
      <c r="M1505">
        <v>9.75</v>
      </c>
      <c r="N1505">
        <v>1.86</v>
      </c>
      <c r="O1505" t="s">
        <v>22</v>
      </c>
      <c r="P1505" t="s">
        <v>20</v>
      </c>
      <c r="Q1505" t="s">
        <v>19</v>
      </c>
      <c r="R1505" t="str">
        <f>HYPERLINK("https://cfpub.epa.gov/ecotox/explore.cfm?ncbi=2184031","Explore in ECOTOX")</f>
        <v>Explore in ECOTOX</v>
      </c>
    </row>
    <row r="1506" spans="1:18" x14ac:dyDescent="0.45">
      <c r="A1506" t="s">
        <v>1264</v>
      </c>
      <c r="B1506">
        <v>8</v>
      </c>
      <c r="C1506" t="str">
        <f>HYPERLINK("http://www.ncbi.nlm.nih.gov/protein/KAG0190512.1","KAG0190512.1")</f>
        <v>KAG0190512.1</v>
      </c>
      <c r="D1506">
        <v>11629</v>
      </c>
      <c r="E1506" t="str">
        <f>HYPERLINK("http://www.ncbi.nlm.nih.gov/Taxonomy/Browser/wwwtax.cgi?mode=Info&amp;id=2184029&amp;lvl=3&amp;lin=f&amp;keep=1&amp;srchmode=1&amp;unlock","2184029")</f>
        <v>2184029</v>
      </c>
      <c r="F1506" t="s">
        <v>1226</v>
      </c>
      <c r="G1506" t="str">
        <f>HYPERLINK("http://www.ncbi.nlm.nih.gov/Taxonomy/Browser/wwwtax.cgi?mode=Info&amp;id=2184029&amp;lvl=3&amp;lin=f&amp;keep=1&amp;srchmode=1&amp;unlock","Apophysomyces sp. BC1034")</f>
        <v>Apophysomyces sp. BC1034</v>
      </c>
      <c r="H1506" t="s">
        <v>1227</v>
      </c>
      <c r="I1506" t="str">
        <f>HYPERLINK("http://www.ncbi.nlm.nih.gov/protein/KAG0190512.1","hypothetical protein DFQ28_001951")</f>
        <v>hypothetical protein DFQ28_001951</v>
      </c>
      <c r="J1506">
        <v>193.74</v>
      </c>
      <c r="K1506" t="s">
        <v>22</v>
      </c>
      <c r="L1506">
        <v>276</v>
      </c>
      <c r="M1506">
        <v>9.75</v>
      </c>
      <c r="N1506">
        <v>1.85</v>
      </c>
      <c r="O1506" t="s">
        <v>22</v>
      </c>
      <c r="P1506" t="s">
        <v>20</v>
      </c>
      <c r="Q1506" t="s">
        <v>19</v>
      </c>
      <c r="R1506" t="str">
        <f>HYPERLINK("https://cfpub.epa.gov/ecotox/explore.cfm?ncbi=2184029","Explore in ECOTOX")</f>
        <v>Explore in ECOTOX</v>
      </c>
    </row>
    <row r="1507" spans="1:18" x14ac:dyDescent="0.45">
      <c r="A1507" t="s">
        <v>1264</v>
      </c>
      <c r="B1507">
        <v>8</v>
      </c>
      <c r="C1507" t="str">
        <f>HYPERLINK("http://www.ncbi.nlm.nih.gov/protein/KAF7730560.1","KAF7730560.1")</f>
        <v>KAF7730560.1</v>
      </c>
      <c r="D1507">
        <v>9528</v>
      </c>
      <c r="E1507" t="str">
        <f>HYPERLINK("http://www.ncbi.nlm.nih.gov/Taxonomy/Browser/wwwtax.cgi?mode=Info&amp;id=679940&amp;lvl=3&amp;lin=f&amp;keep=1&amp;srchmode=1&amp;unlock","679940")</f>
        <v>679940</v>
      </c>
      <c r="F1507" t="s">
        <v>1226</v>
      </c>
      <c r="G1507" t="str">
        <f>HYPERLINK("http://www.ncbi.nlm.nih.gov/Taxonomy/Browser/wwwtax.cgi?mode=Info&amp;id=679940&amp;lvl=3&amp;lin=f&amp;keep=1&amp;srchmode=1&amp;unlock","Apophysomyces ossiformis")</f>
        <v>Apophysomyces ossiformis</v>
      </c>
      <c r="H1507" t="s">
        <v>1227</v>
      </c>
      <c r="I1507" t="str">
        <f>HYPERLINK("http://www.ncbi.nlm.nih.gov/protein/KAF7730560.1","hypothetical protein EC973_001941")</f>
        <v>hypothetical protein EC973_001941</v>
      </c>
      <c r="J1507">
        <v>190.66</v>
      </c>
      <c r="K1507" t="s">
        <v>22</v>
      </c>
      <c r="L1507">
        <v>276</v>
      </c>
      <c r="M1507">
        <v>9.75</v>
      </c>
      <c r="N1507">
        <v>1.82</v>
      </c>
      <c r="O1507" t="s">
        <v>22</v>
      </c>
      <c r="P1507" t="s">
        <v>20</v>
      </c>
      <c r="Q1507" t="s">
        <v>19</v>
      </c>
      <c r="R1507" t="str">
        <f>HYPERLINK("https://cfpub.epa.gov/ecotox/explore.cfm?ncbi=679940","Explore in ECOTOX")</f>
        <v>Explore in ECOTOX</v>
      </c>
    </row>
    <row r="1508" spans="1:18" x14ac:dyDescent="0.45">
      <c r="A1508" t="s">
        <v>1264</v>
      </c>
      <c r="B1508">
        <v>8</v>
      </c>
      <c r="C1508" t="str">
        <f>HYPERLINK("http://www.ncbi.nlm.nih.gov/protein/XP_029227132.1","XP_029227132.1")</f>
        <v>XP_029227132.1</v>
      </c>
      <c r="D1508">
        <v>20328</v>
      </c>
      <c r="E1508" t="str">
        <f>HYPERLINK("http://www.ncbi.nlm.nih.gov/Taxonomy/Browser/wwwtax.cgi?mode=Info&amp;id=83891&amp;lvl=3&amp;lin=f&amp;keep=1&amp;srchmode=1&amp;unlock","83891")</f>
        <v>83891</v>
      </c>
      <c r="F1508" t="s">
        <v>1228</v>
      </c>
      <c r="G1508" t="str">
        <f>HYPERLINK("http://www.ncbi.nlm.nih.gov/Taxonomy/Browser/wwwtax.cgi?mode=Info&amp;id=83891&amp;lvl=3&amp;lin=f&amp;keep=1&amp;srchmode=1&amp;unlock","Trypanosoma conorhini")</f>
        <v>Trypanosoma conorhini</v>
      </c>
      <c r="H1508" t="s">
        <v>1229</v>
      </c>
      <c r="I1508" t="str">
        <f>HYPERLINK("http://www.ncbi.nlm.nih.gov/protein/XP_029227132.1","inositol 1,4,5-trisphosphate receptor")</f>
        <v>inositol 1,4,5-trisphosphate receptor</v>
      </c>
      <c r="J1508">
        <v>188.73</v>
      </c>
      <c r="K1508" t="s">
        <v>22</v>
      </c>
      <c r="L1508">
        <v>276</v>
      </c>
      <c r="M1508">
        <v>9.75</v>
      </c>
      <c r="N1508">
        <v>1.81</v>
      </c>
      <c r="O1508" t="s">
        <v>22</v>
      </c>
      <c r="P1508" t="s">
        <v>20</v>
      </c>
      <c r="Q1508" t="s">
        <v>19</v>
      </c>
      <c r="R1508" t="str">
        <f>HYPERLINK("https://cfpub.epa.gov/ecotox/explore.cfm?ncbi=83891","Explore in ECOTOX")</f>
        <v>Explore in ECOTOX</v>
      </c>
    </row>
    <row r="1509" spans="1:18" x14ac:dyDescent="0.45">
      <c r="A1509" t="s">
        <v>1264</v>
      </c>
      <c r="B1509">
        <v>8</v>
      </c>
      <c r="C1509" t="str">
        <f>HYPERLINK("http://www.ncbi.nlm.nih.gov/protein/XP_009312767.1","XP_009312767.1")</f>
        <v>XP_009312767.1</v>
      </c>
      <c r="D1509">
        <v>21204</v>
      </c>
      <c r="E1509" t="str">
        <f>HYPERLINK("http://www.ncbi.nlm.nih.gov/Taxonomy/Browser/wwwtax.cgi?mode=Info&amp;id=71804&amp;lvl=3&amp;lin=f&amp;keep=1&amp;srchmode=1&amp;unlock","71804")</f>
        <v>71804</v>
      </c>
      <c r="F1509" t="s">
        <v>1228</v>
      </c>
      <c r="G1509" t="str">
        <f>HYPERLINK("http://www.ncbi.nlm.nih.gov/Taxonomy/Browser/wwwtax.cgi?mode=Info&amp;id=71804&amp;lvl=3&amp;lin=f&amp;keep=1&amp;srchmode=1&amp;unlock","Trypanosoma grayi")</f>
        <v>Trypanosoma grayi</v>
      </c>
      <c r="H1509" t="s">
        <v>1229</v>
      </c>
      <c r="I1509" t="str">
        <f>HYPERLINK("http://www.ncbi.nlm.nih.gov/protein/XP_009312767.1","inositol 1,4,5-trisphosphate receptor")</f>
        <v>inositol 1,4,5-trisphosphate receptor</v>
      </c>
      <c r="J1509">
        <v>185.65</v>
      </c>
      <c r="K1509" t="s">
        <v>22</v>
      </c>
      <c r="L1509">
        <v>276</v>
      </c>
      <c r="M1509">
        <v>9.75</v>
      </c>
      <c r="N1509">
        <v>1.78</v>
      </c>
      <c r="O1509" t="s">
        <v>22</v>
      </c>
      <c r="P1509" t="s">
        <v>20</v>
      </c>
      <c r="Q1509" t="s">
        <v>19</v>
      </c>
      <c r="R1509" t="str">
        <f>HYPERLINK("https://cfpub.epa.gov/ecotox/explore.cfm?ncbi=71804","Explore in ECOTOX")</f>
        <v>Explore in ECOTOX</v>
      </c>
    </row>
    <row r="1510" spans="1:18" x14ac:dyDescent="0.45">
      <c r="A1510" t="s">
        <v>1264</v>
      </c>
      <c r="B1510">
        <v>8</v>
      </c>
      <c r="C1510" t="str">
        <f>HYPERLINK("http://www.ncbi.nlm.nih.gov/protein/XP_009493566.1","XP_009493566.1")</f>
        <v>XP_009493566.1</v>
      </c>
      <c r="D1510">
        <v>12622</v>
      </c>
      <c r="E1510" t="str">
        <f>HYPERLINK("http://www.ncbi.nlm.nih.gov/Taxonomy/Browser/wwwtax.cgi?mode=Info&amp;id=691883&amp;lvl=3&amp;lin=f&amp;keep=1&amp;srchmode=1&amp;unlock","691883")</f>
        <v>691883</v>
      </c>
      <c r="F1510" t="s">
        <v>1230</v>
      </c>
      <c r="G1510" t="str">
        <f>HYPERLINK("http://www.ncbi.nlm.nih.gov/Taxonomy/Browser/wwwtax.cgi?mode=Info&amp;id=691883&amp;lvl=3&amp;lin=f&amp;keep=1&amp;srchmode=1&amp;unlock","Fonticula alba")</f>
        <v>Fonticula alba</v>
      </c>
      <c r="H1510" t="s">
        <v>1231</v>
      </c>
      <c r="I1510" t="str">
        <f>HYPERLINK("http://www.ncbi.nlm.nih.gov/protein/XP_009493566.1","hypothetical protein H696_01395")</f>
        <v>hypothetical protein H696_01395</v>
      </c>
      <c r="J1510">
        <v>185.27</v>
      </c>
      <c r="K1510" t="s">
        <v>22</v>
      </c>
      <c r="L1510">
        <v>276</v>
      </c>
      <c r="M1510">
        <v>9.75</v>
      </c>
      <c r="N1510">
        <v>1.77</v>
      </c>
      <c r="O1510" t="s">
        <v>22</v>
      </c>
      <c r="P1510" t="s">
        <v>20</v>
      </c>
      <c r="Q1510" t="s">
        <v>19</v>
      </c>
      <c r="R1510" t="str">
        <f>HYPERLINK("https://cfpub.epa.gov/ecotox/explore.cfm?ncbi=691883","Explore in ECOTOX")</f>
        <v>Explore in ECOTOX</v>
      </c>
    </row>
    <row r="1511" spans="1:18" x14ac:dyDescent="0.45">
      <c r="A1511" t="s">
        <v>1264</v>
      </c>
      <c r="B1511">
        <v>8</v>
      </c>
      <c r="C1511" t="str">
        <f>HYPERLINK("http://www.ncbi.nlm.nih.gov/protein/EKF26918.1","EKF26918.1")</f>
        <v>EKF26918.1</v>
      </c>
      <c r="D1511">
        <v>10317</v>
      </c>
      <c r="E1511" t="str">
        <f>HYPERLINK("http://www.ncbi.nlm.nih.gov/Taxonomy/Browser/wwwtax.cgi?mode=Info&amp;id=85056&amp;lvl=3&amp;lin=f&amp;keep=1&amp;srchmode=1&amp;unlock","85056")</f>
        <v>85056</v>
      </c>
      <c r="F1511" t="s">
        <v>1228</v>
      </c>
      <c r="G1511" t="str">
        <f>HYPERLINK("http://www.ncbi.nlm.nih.gov/Taxonomy/Browser/wwwtax.cgi?mode=Info&amp;id=85056&amp;lvl=3&amp;lin=f&amp;keep=1&amp;srchmode=1&amp;unlock","Trypanosoma cruzi marinkellei")</f>
        <v>Trypanosoma cruzi marinkellei</v>
      </c>
      <c r="H1511" t="s">
        <v>1229</v>
      </c>
      <c r="I1511" t="str">
        <f>HYPERLINK("http://www.ncbi.nlm.nih.gov/protein/EKF26918.1","hypothetical protein MOQ_009372")</f>
        <v>hypothetical protein MOQ_009372</v>
      </c>
      <c r="J1511">
        <v>185.27</v>
      </c>
      <c r="K1511" t="s">
        <v>22</v>
      </c>
      <c r="L1511">
        <v>276</v>
      </c>
      <c r="M1511">
        <v>9.75</v>
      </c>
      <c r="N1511">
        <v>1.77</v>
      </c>
      <c r="O1511" t="s">
        <v>22</v>
      </c>
      <c r="P1511" t="s">
        <v>20</v>
      </c>
      <c r="Q1511" t="s">
        <v>19</v>
      </c>
      <c r="R1511" t="str">
        <f>HYPERLINK("https://cfpub.epa.gov/ecotox/explore.cfm?ncbi=85056","Explore in ECOTOX")</f>
        <v>Explore in ECOTOX</v>
      </c>
    </row>
    <row r="1512" spans="1:18" x14ac:dyDescent="0.45">
      <c r="A1512" t="s">
        <v>1264</v>
      </c>
      <c r="B1512">
        <v>8</v>
      </c>
      <c r="C1512" t="str">
        <f>HYPERLINK("http://www.ncbi.nlm.nih.gov/protein/EKG08721.1","EKG08721.1")</f>
        <v>EKG08721.1</v>
      </c>
      <c r="D1512">
        <v>179033</v>
      </c>
      <c r="E1512" t="str">
        <f>HYPERLINK("http://www.ncbi.nlm.nih.gov/Taxonomy/Browser/wwwtax.cgi?mode=Info&amp;id=5693&amp;lvl=3&amp;lin=f&amp;keep=1&amp;srchmode=1&amp;unlock","5693")</f>
        <v>5693</v>
      </c>
      <c r="F1512" t="s">
        <v>1228</v>
      </c>
      <c r="G1512" t="str">
        <f>HYPERLINK("http://www.ncbi.nlm.nih.gov/Taxonomy/Browser/wwwtax.cgi?mode=Info&amp;id=5693&amp;lvl=3&amp;lin=f&amp;keep=1&amp;srchmode=1&amp;unlock","Trypanosoma cruzi")</f>
        <v>Trypanosoma cruzi</v>
      </c>
      <c r="H1512" t="s">
        <v>1229</v>
      </c>
      <c r="I1512" t="str">
        <f>HYPERLINK("http://www.ncbi.nlm.nih.gov/protein/EKG08721.1","hypothetical protein TCSYLVIO_000121")</f>
        <v>hypothetical protein TCSYLVIO_000121</v>
      </c>
      <c r="J1512">
        <v>184.5</v>
      </c>
      <c r="K1512" t="s">
        <v>22</v>
      </c>
      <c r="L1512">
        <v>276</v>
      </c>
      <c r="M1512">
        <v>9.75</v>
      </c>
      <c r="N1512">
        <v>1.76</v>
      </c>
      <c r="O1512" t="s">
        <v>22</v>
      </c>
      <c r="P1512" t="s">
        <v>20</v>
      </c>
      <c r="Q1512" t="s">
        <v>19</v>
      </c>
      <c r="R1512" t="str">
        <f>HYPERLINK("https://cfpub.epa.gov/ecotox/explore.cfm?ncbi=5693","Explore in ECOTOX")</f>
        <v>Explore in ECOTOX</v>
      </c>
    </row>
    <row r="1513" spans="1:18" x14ac:dyDescent="0.45">
      <c r="A1513" t="s">
        <v>1264</v>
      </c>
      <c r="B1513">
        <v>8</v>
      </c>
      <c r="C1513" t="str">
        <f>HYPERLINK("http://www.ncbi.nlm.nih.gov/protein/ESS63463.1","ESS63463.1")</f>
        <v>ESS63463.1</v>
      </c>
      <c r="D1513">
        <v>11348</v>
      </c>
      <c r="E1513" t="str">
        <f>HYPERLINK("http://www.ncbi.nlm.nih.gov/Taxonomy/Browser/wwwtax.cgi?mode=Info&amp;id=1416333&amp;lvl=3&amp;lin=f&amp;keep=1&amp;srchmode=1&amp;unlock","1416333")</f>
        <v>1416333</v>
      </c>
      <c r="F1513" t="s">
        <v>1228</v>
      </c>
      <c r="G1513" t="str">
        <f>HYPERLINK("http://www.ncbi.nlm.nih.gov/Taxonomy/Browser/wwwtax.cgi?mode=Info&amp;id=1416333&amp;lvl=3&amp;lin=f&amp;keep=1&amp;srchmode=1&amp;unlock","Trypanosoma cruzi Dm28c")</f>
        <v>Trypanosoma cruzi Dm28c</v>
      </c>
      <c r="H1513" t="s">
        <v>1229</v>
      </c>
      <c r="I1513" t="str">
        <f>HYPERLINK("http://www.ncbi.nlm.nih.gov/protein/ESS63463.1","hypothetical protein TCDM_08713")</f>
        <v>hypothetical protein TCDM_08713</v>
      </c>
      <c r="J1513">
        <v>183.34</v>
      </c>
      <c r="K1513" t="s">
        <v>22</v>
      </c>
      <c r="L1513">
        <v>276</v>
      </c>
      <c r="M1513">
        <v>9.75</v>
      </c>
      <c r="N1513">
        <v>1.75</v>
      </c>
      <c r="O1513" t="s">
        <v>22</v>
      </c>
      <c r="P1513" t="s">
        <v>20</v>
      </c>
      <c r="Q1513" t="s">
        <v>19</v>
      </c>
      <c r="R1513" t="str">
        <f>HYPERLINK("https://cfpub.epa.gov/ecotox/explore.cfm?ncbi=1416333","Explore in ECOTOX")</f>
        <v>Explore in ECOTOX</v>
      </c>
    </row>
    <row r="1514" spans="1:18" x14ac:dyDescent="0.45">
      <c r="A1514" t="s">
        <v>1264</v>
      </c>
      <c r="B1514">
        <v>8</v>
      </c>
      <c r="C1514" t="str">
        <f>HYPERLINK("http://www.ncbi.nlm.nih.gov/protein/CDW78570.1","CDW78570.1")</f>
        <v>CDW78570.1</v>
      </c>
      <c r="D1514">
        <v>20871</v>
      </c>
      <c r="E1514" t="str">
        <f>HYPERLINK("http://www.ncbi.nlm.nih.gov/Taxonomy/Browser/wwwtax.cgi?mode=Info&amp;id=5949&amp;lvl=3&amp;lin=f&amp;keep=1&amp;srchmode=1&amp;unlock","5949")</f>
        <v>5949</v>
      </c>
      <c r="F1514" t="s">
        <v>1232</v>
      </c>
      <c r="G1514" t="str">
        <f>HYPERLINK("http://www.ncbi.nlm.nih.gov/Taxonomy/Browser/wwwtax.cgi?mode=Info&amp;id=5949&amp;lvl=3&amp;lin=f&amp;keep=1&amp;srchmode=1&amp;unlock","Stylonychia lemnae")</f>
        <v>Stylonychia lemnae</v>
      </c>
      <c r="H1514" t="s">
        <v>1233</v>
      </c>
      <c r="I1514" t="str">
        <f>HYPERLINK("http://www.ncbi.nlm.nih.gov/protein/CDW78570.1","cation channel family protein")</f>
        <v>cation channel family protein</v>
      </c>
      <c r="J1514">
        <v>182.96</v>
      </c>
      <c r="K1514" t="s">
        <v>22</v>
      </c>
      <c r="L1514">
        <v>276</v>
      </c>
      <c r="M1514">
        <v>9.75</v>
      </c>
      <c r="N1514">
        <v>1.75</v>
      </c>
      <c r="O1514" t="s">
        <v>22</v>
      </c>
      <c r="P1514" t="s">
        <v>20</v>
      </c>
      <c r="Q1514" t="s">
        <v>19</v>
      </c>
      <c r="R1514" t="str">
        <f>HYPERLINK("https://cfpub.epa.gov/ecotox/explore.cfm?ncbi=5949","Explore in ECOTOX")</f>
        <v>Explore in ECOTOX</v>
      </c>
    </row>
    <row r="1515" spans="1:18" x14ac:dyDescent="0.45">
      <c r="A1515" t="s">
        <v>1264</v>
      </c>
      <c r="B1515">
        <v>8</v>
      </c>
      <c r="C1515" t="str">
        <f>HYPERLINK("http://www.ncbi.nlm.nih.gov/protein/KAJ3421656.1","KAJ3421656.1")</f>
        <v>KAJ3421656.1</v>
      </c>
      <c r="D1515">
        <v>8331</v>
      </c>
      <c r="E1515" t="str">
        <f>HYPERLINK("http://www.ncbi.nlm.nih.gov/Taxonomy/Browser/wwwtax.cgi?mode=Info&amp;id=2732419&amp;lvl=3&amp;lin=f&amp;keep=1&amp;srchmode=1&amp;unlock","2732419")</f>
        <v>2732419</v>
      </c>
      <c r="F1515" t="s">
        <v>1234</v>
      </c>
      <c r="G1515" t="str">
        <f>HYPERLINK("http://www.ncbi.nlm.nih.gov/Taxonomy/Browser/wwwtax.cgi?mode=Info&amp;id=2732419&amp;lvl=3&amp;lin=f&amp;keep=1&amp;srchmode=1&amp;unlock","Polyrhizophydium stewartii")</f>
        <v>Polyrhizophydium stewartii</v>
      </c>
      <c r="H1515" t="s">
        <v>1235</v>
      </c>
      <c r="I1515" t="str">
        <f>HYPERLINK("http://www.ncbi.nlm.nih.gov/protein/KAJ3421656.1","hypothetical protein HK105_002785")</f>
        <v>hypothetical protein HK105_002785</v>
      </c>
      <c r="J1515">
        <v>181.03</v>
      </c>
      <c r="K1515" t="s">
        <v>22</v>
      </c>
      <c r="L1515">
        <v>276</v>
      </c>
      <c r="M1515">
        <v>9.75</v>
      </c>
      <c r="N1515">
        <v>1.73</v>
      </c>
      <c r="O1515" t="s">
        <v>22</v>
      </c>
      <c r="P1515" t="s">
        <v>20</v>
      </c>
      <c r="Q1515" t="s">
        <v>19</v>
      </c>
      <c r="R1515" t="str">
        <f>HYPERLINK("https://cfpub.epa.gov/ecotox/explore.cfm?ncbi=2732419","Explore in ECOTOX")</f>
        <v>Explore in ECOTOX</v>
      </c>
    </row>
    <row r="1516" spans="1:18" x14ac:dyDescent="0.45">
      <c r="A1516" t="s">
        <v>1264</v>
      </c>
      <c r="B1516">
        <v>8</v>
      </c>
      <c r="C1516" t="str">
        <f>HYPERLINK("http://www.ncbi.nlm.nih.gov/protein/CUG89031.1","CUG89031.1")</f>
        <v>CUG89031.1</v>
      </c>
      <c r="D1516">
        <v>18387</v>
      </c>
      <c r="E1516" t="str">
        <f>HYPERLINK("http://www.ncbi.nlm.nih.gov/Taxonomy/Browser/wwwtax.cgi?mode=Info&amp;id=75058&amp;lvl=3&amp;lin=f&amp;keep=1&amp;srchmode=1&amp;unlock","75058")</f>
        <v>75058</v>
      </c>
      <c r="F1516" t="s">
        <v>1228</v>
      </c>
      <c r="G1516" t="str">
        <f>HYPERLINK("http://www.ncbi.nlm.nih.gov/Taxonomy/Browser/wwwtax.cgi?mode=Info&amp;id=75058&amp;lvl=3&amp;lin=f&amp;keep=1&amp;srchmode=1&amp;unlock","Bodo saltans")</f>
        <v>Bodo saltans</v>
      </c>
      <c r="H1516" t="s">
        <v>1229</v>
      </c>
      <c r="I1516" t="str">
        <f>HYPERLINK("http://www.ncbi.nlm.nih.gov/protein/CUG89031.1","transmembrane protein, putative")</f>
        <v>transmembrane protein, putative</v>
      </c>
      <c r="J1516">
        <v>179.1</v>
      </c>
      <c r="K1516" t="s">
        <v>22</v>
      </c>
      <c r="L1516">
        <v>276</v>
      </c>
      <c r="M1516">
        <v>9.75</v>
      </c>
      <c r="N1516">
        <v>1.71</v>
      </c>
      <c r="O1516" t="s">
        <v>22</v>
      </c>
      <c r="P1516" t="s">
        <v>20</v>
      </c>
      <c r="Q1516" t="s">
        <v>19</v>
      </c>
      <c r="R1516" t="str">
        <f>HYPERLINK("https://cfpub.epa.gov/ecotox/explore.cfm?ncbi=75058","Explore in ECOTOX")</f>
        <v>Explore in ECOTOX</v>
      </c>
    </row>
    <row r="1517" spans="1:18" x14ac:dyDescent="0.45">
      <c r="A1517" t="s">
        <v>1264</v>
      </c>
      <c r="B1517">
        <v>8</v>
      </c>
      <c r="C1517" t="str">
        <f>HYPERLINK("http://www.ncbi.nlm.nih.gov/protein/RHW71032.1","RHW71032.1")</f>
        <v>RHW71032.1</v>
      </c>
      <c r="D1517">
        <v>7611</v>
      </c>
      <c r="E1517" t="str">
        <f>HYPERLINK("http://www.ncbi.nlm.nih.gov/Taxonomy/Browser/wwwtax.cgi?mode=Info&amp;id=630700&amp;lvl=3&amp;lin=f&amp;keep=1&amp;srchmode=1&amp;unlock","630700")</f>
        <v>630700</v>
      </c>
      <c r="F1517" t="s">
        <v>1228</v>
      </c>
      <c r="G1517" t="str">
        <f>HYPERLINK("http://www.ncbi.nlm.nih.gov/Taxonomy/Browser/wwwtax.cgi?mode=Info&amp;id=630700&amp;lvl=3&amp;lin=f&amp;keep=1&amp;srchmode=1&amp;unlock","Trypanosoma brucei equiperdum")</f>
        <v>Trypanosoma brucei equiperdum</v>
      </c>
      <c r="H1517" t="s">
        <v>1229</v>
      </c>
      <c r="I1517" t="str">
        <f>HYPERLINK("http://www.ncbi.nlm.nih.gov/protein/RHW71032.1","inositol 1")</f>
        <v>inositol 1</v>
      </c>
      <c r="J1517">
        <v>179.1</v>
      </c>
      <c r="K1517" t="s">
        <v>22</v>
      </c>
      <c r="L1517">
        <v>276</v>
      </c>
      <c r="M1517">
        <v>9.75</v>
      </c>
      <c r="N1517">
        <v>1.71</v>
      </c>
      <c r="O1517" t="s">
        <v>22</v>
      </c>
      <c r="P1517" t="s">
        <v>20</v>
      </c>
      <c r="Q1517" t="s">
        <v>19</v>
      </c>
      <c r="R1517" t="str">
        <f>HYPERLINK("https://cfpub.epa.gov/ecotox/explore.cfm?ncbi=630700","Explore in ECOTOX")</f>
        <v>Explore in ECOTOX</v>
      </c>
    </row>
    <row r="1518" spans="1:18" x14ac:dyDescent="0.45">
      <c r="A1518" t="s">
        <v>1264</v>
      </c>
      <c r="B1518">
        <v>8</v>
      </c>
      <c r="C1518" t="str">
        <f>HYPERLINK("http://www.ncbi.nlm.nih.gov/protein/XP_051428230.1","XP_051428230.1")</f>
        <v>XP_051428230.1</v>
      </c>
      <c r="D1518">
        <v>21767</v>
      </c>
      <c r="E1518" t="str">
        <f>HYPERLINK("http://www.ncbi.nlm.nih.gov/Taxonomy/Browser/wwwtax.cgi?mode=Info&amp;id=64574&amp;lvl=3&amp;lin=f&amp;keep=1&amp;srchmode=1&amp;unlock","64574")</f>
        <v>64574</v>
      </c>
      <c r="F1518" t="s">
        <v>1226</v>
      </c>
      <c r="G1518" t="str">
        <f>HYPERLINK("http://www.ncbi.nlm.nih.gov/Taxonomy/Browser/wwwtax.cgi?mode=Info&amp;id=64574&amp;lvl=3&amp;lin=f&amp;keep=1&amp;srchmode=1&amp;unlock","Radiomyces spectabilis")</f>
        <v>Radiomyces spectabilis</v>
      </c>
      <c r="H1518" t="s">
        <v>1227</v>
      </c>
      <c r="I1518" t="str">
        <f>HYPERLINK("http://www.ncbi.nlm.nih.gov/protein/XP_051428230.1","uncharacterized protein BYT42DRAFT_609468")</f>
        <v>uncharacterized protein BYT42DRAFT_609468</v>
      </c>
      <c r="J1518">
        <v>179.1</v>
      </c>
      <c r="K1518" t="s">
        <v>22</v>
      </c>
      <c r="L1518">
        <v>276</v>
      </c>
      <c r="M1518">
        <v>9.75</v>
      </c>
      <c r="N1518">
        <v>1.71</v>
      </c>
      <c r="O1518" t="s">
        <v>22</v>
      </c>
      <c r="P1518" t="s">
        <v>20</v>
      </c>
      <c r="Q1518" t="s">
        <v>19</v>
      </c>
      <c r="R1518" t="str">
        <f>HYPERLINK("https://cfpub.epa.gov/ecotox/explore.cfm?ncbi=64574","Explore in ECOTOX")</f>
        <v>Explore in ECOTOX</v>
      </c>
    </row>
    <row r="1519" spans="1:18" x14ac:dyDescent="0.45">
      <c r="A1519" t="s">
        <v>1264</v>
      </c>
      <c r="B1519">
        <v>8</v>
      </c>
      <c r="C1519" t="str">
        <f>HYPERLINK("http://www.ncbi.nlm.nih.gov/protein/XP_011775562.1","XP_011775562.1")</f>
        <v>XP_011775562.1</v>
      </c>
      <c r="D1519">
        <v>19492</v>
      </c>
      <c r="E1519" t="str">
        <f>HYPERLINK("http://www.ncbi.nlm.nih.gov/Taxonomy/Browser/wwwtax.cgi?mode=Info&amp;id=679716&amp;lvl=3&amp;lin=f&amp;keep=1&amp;srchmode=1&amp;unlock","679716")</f>
        <v>679716</v>
      </c>
      <c r="F1519" t="s">
        <v>1228</v>
      </c>
      <c r="G1519" t="str">
        <f>HYPERLINK("http://www.ncbi.nlm.nih.gov/Taxonomy/Browser/wwwtax.cgi?mode=Info&amp;id=679716&amp;lvl=3&amp;lin=f&amp;keep=1&amp;srchmode=1&amp;unlock","Trypanosoma brucei gambiense DAL972")</f>
        <v>Trypanosoma brucei gambiense DAL972</v>
      </c>
      <c r="H1519" t="s">
        <v>1229</v>
      </c>
      <c r="I1519" t="str">
        <f>HYPERLINK("http://www.ncbi.nlm.nih.gov/protein/XP_011775562.1","hypothetical protein, conserved")</f>
        <v>hypothetical protein, conserved</v>
      </c>
      <c r="J1519">
        <v>179.1</v>
      </c>
      <c r="K1519" t="s">
        <v>22</v>
      </c>
      <c r="L1519">
        <v>276</v>
      </c>
      <c r="M1519">
        <v>9.75</v>
      </c>
      <c r="N1519">
        <v>1.71</v>
      </c>
      <c r="O1519" t="s">
        <v>22</v>
      </c>
      <c r="P1519" t="s">
        <v>20</v>
      </c>
      <c r="Q1519" t="s">
        <v>19</v>
      </c>
      <c r="R1519" t="str">
        <f>HYPERLINK("https://cfpub.epa.gov/ecotox/explore.cfm?ncbi=679716","Explore in ECOTOX")</f>
        <v>Explore in ECOTOX</v>
      </c>
    </row>
    <row r="1520" spans="1:18" x14ac:dyDescent="0.45">
      <c r="A1520" t="s">
        <v>1264</v>
      </c>
      <c r="B1520">
        <v>8</v>
      </c>
      <c r="C1520" t="str">
        <f>HYPERLINK("http://www.ncbi.nlm.nih.gov/protein/KAI8144447.1","KAI8144447.1")</f>
        <v>KAI8144447.1</v>
      </c>
      <c r="D1520">
        <v>14099</v>
      </c>
      <c r="E1520" t="str">
        <f>HYPERLINK("http://www.ncbi.nlm.nih.gov/Taxonomy/Browser/wwwtax.cgi?mode=Info&amp;id=1329386&amp;lvl=3&amp;lin=f&amp;keep=1&amp;srchmode=1&amp;unlock","1329386")</f>
        <v>1329386</v>
      </c>
      <c r="F1520" t="s">
        <v>1226</v>
      </c>
      <c r="G1520" t="str">
        <f>HYPERLINK("http://www.ncbi.nlm.nih.gov/Taxonomy/Browser/wwwtax.cgi?mode=Info&amp;id=1329386&amp;lvl=3&amp;lin=f&amp;keep=1&amp;srchmode=1&amp;unlock","Fennellomyces sp. T-0311")</f>
        <v>Fennellomyces sp. T-0311</v>
      </c>
      <c r="H1520" t="s">
        <v>1227</v>
      </c>
      <c r="I1520" t="str">
        <f>HYPERLINK("http://www.ncbi.nlm.nih.gov/protein/KAI8144447.1","hypothetical protein BJV82DRAFT_607368")</f>
        <v>hypothetical protein BJV82DRAFT_607368</v>
      </c>
      <c r="J1520">
        <v>178.72</v>
      </c>
      <c r="K1520" t="s">
        <v>22</v>
      </c>
      <c r="L1520">
        <v>276</v>
      </c>
      <c r="M1520">
        <v>9.75</v>
      </c>
      <c r="N1520">
        <v>1.71</v>
      </c>
      <c r="O1520" t="s">
        <v>22</v>
      </c>
      <c r="P1520" t="s">
        <v>20</v>
      </c>
      <c r="Q1520" t="s">
        <v>19</v>
      </c>
      <c r="R1520" t="str">
        <f>HYPERLINK("https://cfpub.epa.gov/ecotox/explore.cfm?ncbi=1329386","Explore in ECOTOX")</f>
        <v>Explore in ECOTOX</v>
      </c>
    </row>
    <row r="1521" spans="1:18" x14ac:dyDescent="0.45">
      <c r="A1521" t="s">
        <v>1264</v>
      </c>
      <c r="B1521">
        <v>8</v>
      </c>
      <c r="C1521" t="str">
        <f>HYPERLINK("http://www.ncbi.nlm.nih.gov/protein/AAX69757.1","AAX69757.1")</f>
        <v>AAX69757.1</v>
      </c>
      <c r="D1521">
        <v>12700</v>
      </c>
      <c r="E1521" t="str">
        <f>HYPERLINK("http://www.ncbi.nlm.nih.gov/Taxonomy/Browser/wwwtax.cgi?mode=Info&amp;id=5691&amp;lvl=3&amp;lin=f&amp;keep=1&amp;srchmode=1&amp;unlock","5691")</f>
        <v>5691</v>
      </c>
      <c r="F1521" t="s">
        <v>1228</v>
      </c>
      <c r="G1521" t="str">
        <f>HYPERLINK("http://www.ncbi.nlm.nih.gov/Taxonomy/Browser/wwwtax.cgi?mode=Info&amp;id=5691&amp;lvl=3&amp;lin=f&amp;keep=1&amp;srchmode=1&amp;unlock","Trypanosoma brucei")</f>
        <v>Trypanosoma brucei</v>
      </c>
      <c r="H1521" t="s">
        <v>1229</v>
      </c>
      <c r="I1521" t="str">
        <f>HYPERLINK("http://www.ncbi.nlm.nih.gov/protein/AAX69757.1","hypothetical protein, conserved")</f>
        <v>hypothetical protein, conserved</v>
      </c>
      <c r="J1521">
        <v>177.18</v>
      </c>
      <c r="K1521" t="s">
        <v>22</v>
      </c>
      <c r="L1521">
        <v>276</v>
      </c>
      <c r="M1521">
        <v>9.75</v>
      </c>
      <c r="N1521">
        <v>1.69</v>
      </c>
      <c r="O1521" t="s">
        <v>22</v>
      </c>
      <c r="P1521" t="s">
        <v>20</v>
      </c>
      <c r="Q1521" t="s">
        <v>19</v>
      </c>
      <c r="R1521" t="str">
        <f>HYPERLINK("https://cfpub.epa.gov/ecotox/explore.cfm?ncbi=5691","Explore in ECOTOX")</f>
        <v>Explore in ECOTOX</v>
      </c>
    </row>
    <row r="1522" spans="1:18" x14ac:dyDescent="0.45">
      <c r="A1522" t="s">
        <v>1264</v>
      </c>
      <c r="B1522">
        <v>8</v>
      </c>
      <c r="C1522" t="str">
        <f>HYPERLINK("http://www.ncbi.nlm.nih.gov/protein/XP_847110.1","XP_847110.1")</f>
        <v>XP_847110.1</v>
      </c>
      <c r="D1522">
        <v>18261</v>
      </c>
      <c r="E1522" t="str">
        <f>HYPERLINK("http://www.ncbi.nlm.nih.gov/Taxonomy/Browser/wwwtax.cgi?mode=Info&amp;id=185431&amp;lvl=3&amp;lin=f&amp;keep=1&amp;srchmode=1&amp;unlock","185431")</f>
        <v>185431</v>
      </c>
      <c r="F1522" t="s">
        <v>1228</v>
      </c>
      <c r="G1522" t="str">
        <f>HYPERLINK("http://www.ncbi.nlm.nih.gov/Taxonomy/Browser/wwwtax.cgi?mode=Info&amp;id=185431&amp;lvl=3&amp;lin=f&amp;keep=1&amp;srchmode=1&amp;unlock","Trypanosoma brucei brucei TREU927")</f>
        <v>Trypanosoma brucei brucei TREU927</v>
      </c>
      <c r="H1522" t="s">
        <v>1229</v>
      </c>
      <c r="I1522" t="str">
        <f>HYPERLINK("http://www.ncbi.nlm.nih.gov/protein/XP_847110.1","hypothetical protein, conserved")</f>
        <v>hypothetical protein, conserved</v>
      </c>
      <c r="J1522">
        <v>177.18</v>
      </c>
      <c r="K1522" t="s">
        <v>22</v>
      </c>
      <c r="L1522">
        <v>276</v>
      </c>
      <c r="M1522">
        <v>9.75</v>
      </c>
      <c r="N1522">
        <v>1.69</v>
      </c>
      <c r="O1522" t="s">
        <v>22</v>
      </c>
      <c r="P1522" t="s">
        <v>20</v>
      </c>
      <c r="Q1522" t="s">
        <v>19</v>
      </c>
      <c r="R1522" t="str">
        <f>HYPERLINK("https://cfpub.epa.gov/ecotox/explore.cfm?ncbi=185431","Explore in ECOTOX")</f>
        <v>Explore in ECOTOX</v>
      </c>
    </row>
    <row r="1523" spans="1:18" x14ac:dyDescent="0.45">
      <c r="A1523" t="s">
        <v>1264</v>
      </c>
      <c r="B1523">
        <v>8</v>
      </c>
      <c r="C1523" t="str">
        <f>HYPERLINK("http://www.ncbi.nlm.nih.gov/protein/SCU66199.1","SCU66199.1")</f>
        <v>SCU66199.1</v>
      </c>
      <c r="D1523">
        <v>7761</v>
      </c>
      <c r="E1523" t="str">
        <f>HYPERLINK("http://www.ncbi.nlm.nih.gov/Taxonomy/Browser/wwwtax.cgi?mode=Info&amp;id=5694&amp;lvl=3&amp;lin=f&amp;keep=1&amp;srchmode=1&amp;unlock","5694")</f>
        <v>5694</v>
      </c>
      <c r="F1523" t="s">
        <v>1228</v>
      </c>
      <c r="G1523" t="str">
        <f>HYPERLINK("http://www.ncbi.nlm.nih.gov/Taxonomy/Browser/wwwtax.cgi?mode=Info&amp;id=5694&amp;lvl=3&amp;lin=f&amp;keep=1&amp;srchmode=1&amp;unlock","Trypanosoma equiperdum")</f>
        <v>Trypanosoma equiperdum</v>
      </c>
      <c r="H1523" t="s">
        <v>1229</v>
      </c>
      <c r="I1523" t="str">
        <f>HYPERLINK("http://www.ncbi.nlm.nih.gov/protein/SCU66199.1","inositol 1,4,5-trisphosphate receptor")</f>
        <v>inositol 1,4,5-trisphosphate receptor</v>
      </c>
      <c r="J1523">
        <v>177.18</v>
      </c>
      <c r="K1523" t="s">
        <v>22</v>
      </c>
      <c r="L1523">
        <v>276</v>
      </c>
      <c r="M1523">
        <v>9.75</v>
      </c>
      <c r="N1523">
        <v>1.69</v>
      </c>
      <c r="O1523" t="s">
        <v>22</v>
      </c>
      <c r="P1523" t="s">
        <v>20</v>
      </c>
      <c r="Q1523" t="s">
        <v>19</v>
      </c>
      <c r="R1523" t="str">
        <f>HYPERLINK("https://cfpub.epa.gov/ecotox/explore.cfm?ncbi=5694","Explore in ECOTOX")</f>
        <v>Explore in ECOTOX</v>
      </c>
    </row>
    <row r="1524" spans="1:18" x14ac:dyDescent="0.45">
      <c r="A1524" t="s">
        <v>1264</v>
      </c>
      <c r="B1524">
        <v>8</v>
      </c>
      <c r="C1524" t="str">
        <f>HYPERLINK("http://www.ncbi.nlm.nih.gov/protein/XP_052979973.1","XP_052979973.1")</f>
        <v>XP_052979973.1</v>
      </c>
      <c r="D1524">
        <v>27965</v>
      </c>
      <c r="E1524" t="str">
        <f>HYPERLINK("http://www.ncbi.nlm.nih.gov/Taxonomy/Browser/wwwtax.cgi?mode=Info&amp;id=64656&amp;lvl=3&amp;lin=f&amp;keep=1&amp;srchmode=1&amp;unlock","64656")</f>
        <v>64656</v>
      </c>
      <c r="F1524" t="s">
        <v>1226</v>
      </c>
      <c r="G1524" t="str">
        <f>HYPERLINK("http://www.ncbi.nlm.nih.gov/Taxonomy/Browser/wwwtax.cgi?mode=Info&amp;id=64656&amp;lvl=3&amp;lin=f&amp;keep=1&amp;srchmode=1&amp;unlock","Zychaea mexicana")</f>
        <v>Zychaea mexicana</v>
      </c>
      <c r="H1524" t="s">
        <v>1227</v>
      </c>
      <c r="I1524" t="str">
        <f>HYPERLINK("http://www.ncbi.nlm.nih.gov/protein/XP_052979973.1","uncharacterized protein BDB00DRAFT_822221")</f>
        <v>uncharacterized protein BDB00DRAFT_822221</v>
      </c>
      <c r="J1524">
        <v>176.41</v>
      </c>
      <c r="K1524" t="s">
        <v>22</v>
      </c>
      <c r="L1524">
        <v>276</v>
      </c>
      <c r="M1524">
        <v>9.75</v>
      </c>
      <c r="N1524">
        <v>1.69</v>
      </c>
      <c r="O1524" t="s">
        <v>22</v>
      </c>
      <c r="P1524" t="s">
        <v>20</v>
      </c>
      <c r="Q1524" t="s">
        <v>19</v>
      </c>
      <c r="R1524" t="str">
        <f>HYPERLINK("https://cfpub.epa.gov/ecotox/explore.cfm?ncbi=64656","Explore in ECOTOX")</f>
        <v>Explore in ECOTOX</v>
      </c>
    </row>
    <row r="1525" spans="1:18" x14ac:dyDescent="0.45">
      <c r="A1525" t="s">
        <v>1264</v>
      </c>
      <c r="B1525">
        <v>8</v>
      </c>
      <c r="C1525" t="str">
        <f>HYPERLINK("http://www.ncbi.nlm.nih.gov/protein/KAI9249172.1","KAI9249172.1")</f>
        <v>KAI9249172.1</v>
      </c>
      <c r="D1525">
        <v>14496</v>
      </c>
      <c r="E1525" t="str">
        <f>HYPERLINK("http://www.ncbi.nlm.nih.gov/Taxonomy/Browser/wwwtax.cgi?mode=Info&amp;id=60185&amp;lvl=3&amp;lin=f&amp;keep=1&amp;srchmode=1&amp;unlock","60185")</f>
        <v>60185</v>
      </c>
      <c r="F1525" t="s">
        <v>1226</v>
      </c>
      <c r="G1525" t="str">
        <f>HYPERLINK("http://www.ncbi.nlm.nih.gov/Taxonomy/Browser/wwwtax.cgi?mode=Info&amp;id=60185&amp;lvl=3&amp;lin=f&amp;keep=1&amp;srchmode=1&amp;unlock","Phascolomyces articulosus")</f>
        <v>Phascolomyces articulosus</v>
      </c>
      <c r="H1525" t="s">
        <v>1227</v>
      </c>
      <c r="I1525" t="str">
        <f>HYPERLINK("http://www.ncbi.nlm.nih.gov/protein/KAI9249172.1","hypothetical protein BDA99DRAFT_575816")</f>
        <v>hypothetical protein BDA99DRAFT_575816</v>
      </c>
      <c r="J1525">
        <v>176.41</v>
      </c>
      <c r="K1525" t="s">
        <v>22</v>
      </c>
      <c r="L1525">
        <v>276</v>
      </c>
      <c r="M1525">
        <v>9.75</v>
      </c>
      <c r="N1525">
        <v>1.69</v>
      </c>
      <c r="O1525" t="s">
        <v>22</v>
      </c>
      <c r="P1525" t="s">
        <v>20</v>
      </c>
      <c r="Q1525" t="s">
        <v>19</v>
      </c>
      <c r="R1525" t="str">
        <f>HYPERLINK("https://cfpub.epa.gov/ecotox/explore.cfm?ncbi=60185","Explore in ECOTOX")</f>
        <v>Explore in ECOTOX</v>
      </c>
    </row>
    <row r="1526" spans="1:18" x14ac:dyDescent="0.45">
      <c r="A1526" t="s">
        <v>1264</v>
      </c>
      <c r="B1526">
        <v>8</v>
      </c>
      <c r="C1526" t="str">
        <f>HYPERLINK("http://www.ncbi.nlm.nih.gov/protein/OAD02504.1","OAD02504.1")</f>
        <v>OAD02504.1</v>
      </c>
      <c r="D1526">
        <v>11660</v>
      </c>
      <c r="E1526" t="str">
        <f>HYPERLINK("http://www.ncbi.nlm.nih.gov/Taxonomy/Browser/wwwtax.cgi?mode=Info&amp;id=747725&amp;lvl=3&amp;lin=f&amp;keep=1&amp;srchmode=1&amp;unlock","747725")</f>
        <v>747725</v>
      </c>
      <c r="F1526" t="s">
        <v>1226</v>
      </c>
      <c r="G1526" t="str">
        <f>HYPERLINK("http://www.ncbi.nlm.nih.gov/Taxonomy/Browser/wwwtax.cgi?mode=Info&amp;id=747725&amp;lvl=3&amp;lin=f&amp;keep=1&amp;srchmode=1&amp;unlock","Mucor lusitanicus CBS 277.49")</f>
        <v>Mucor lusitanicus CBS 277.49</v>
      </c>
      <c r="H1526" t="s">
        <v>1227</v>
      </c>
      <c r="I1526" t="str">
        <f>HYPERLINK("http://www.ncbi.nlm.nih.gov/protein/OAD02504.1","hypothetical protein MUCCIDRAFT_111891")</f>
        <v>hypothetical protein MUCCIDRAFT_111891</v>
      </c>
      <c r="J1526">
        <v>176.41</v>
      </c>
      <c r="K1526" t="s">
        <v>22</v>
      </c>
      <c r="L1526">
        <v>276</v>
      </c>
      <c r="M1526">
        <v>9.75</v>
      </c>
      <c r="N1526">
        <v>1.69</v>
      </c>
      <c r="O1526" t="s">
        <v>22</v>
      </c>
      <c r="P1526" t="s">
        <v>20</v>
      </c>
      <c r="Q1526" t="s">
        <v>19</v>
      </c>
      <c r="R1526" t="str">
        <f>HYPERLINK("https://cfpub.epa.gov/ecotox/explore.cfm?ncbi=747725","Explore in ECOTOX")</f>
        <v>Explore in ECOTOX</v>
      </c>
    </row>
    <row r="1527" spans="1:18" x14ac:dyDescent="0.45">
      <c r="A1527" t="s">
        <v>1264</v>
      </c>
      <c r="B1527">
        <v>8</v>
      </c>
      <c r="C1527" t="str">
        <f>HYPERLINK("http://www.ncbi.nlm.nih.gov/protein/KAF1806889.1","KAF1806889.1")</f>
        <v>KAF1806889.1</v>
      </c>
      <c r="D1527">
        <v>11917</v>
      </c>
      <c r="E1527" t="str">
        <f>HYPERLINK("http://www.ncbi.nlm.nih.gov/Taxonomy/Browser/wwwtax.cgi?mode=Info&amp;id=29924&amp;lvl=3&amp;lin=f&amp;keep=1&amp;srchmode=1&amp;unlock","29924")</f>
        <v>29924</v>
      </c>
      <c r="F1527" t="s">
        <v>1226</v>
      </c>
      <c r="G1527" t="str">
        <f>HYPERLINK("http://www.ncbi.nlm.nih.gov/Taxonomy/Browser/wwwtax.cgi?mode=Info&amp;id=29924&amp;lvl=3&amp;lin=f&amp;keep=1&amp;srchmode=1&amp;unlock","Mucor lusitanicus")</f>
        <v>Mucor lusitanicus</v>
      </c>
      <c r="H1527" t="s">
        <v>1227</v>
      </c>
      <c r="I1527" t="str">
        <f>HYPERLINK("http://www.ncbi.nlm.nih.gov/protein/KAF1806889.1","hypothetical protein FB192DRAFT_1352816")</f>
        <v>hypothetical protein FB192DRAFT_1352816</v>
      </c>
      <c r="J1527">
        <v>176.02</v>
      </c>
      <c r="K1527" t="s">
        <v>22</v>
      </c>
      <c r="L1527">
        <v>276</v>
      </c>
      <c r="M1527">
        <v>9.75</v>
      </c>
      <c r="N1527">
        <v>1.68</v>
      </c>
      <c r="O1527" t="s">
        <v>22</v>
      </c>
      <c r="P1527" t="s">
        <v>20</v>
      </c>
      <c r="Q1527" t="s">
        <v>19</v>
      </c>
      <c r="R1527" t="str">
        <f>HYPERLINK("https://cfpub.epa.gov/ecotox/explore.cfm?ncbi=29924","Explore in ECOTOX")</f>
        <v>Explore in ECOTOX</v>
      </c>
    </row>
    <row r="1528" spans="1:18" x14ac:dyDescent="0.45">
      <c r="A1528" t="s">
        <v>1264</v>
      </c>
      <c r="B1528">
        <v>8</v>
      </c>
      <c r="C1528" t="str">
        <f>HYPERLINK("http://www.ncbi.nlm.nih.gov/protein/KAI7851268.1","KAI7851268.1")</f>
        <v>KAI7851268.1</v>
      </c>
      <c r="D1528">
        <v>14689</v>
      </c>
      <c r="E1528" t="str">
        <f>HYPERLINK("http://www.ncbi.nlm.nih.gov/Taxonomy/Browser/wwwtax.cgi?mode=Info&amp;id=101103&amp;lvl=3&amp;lin=f&amp;keep=1&amp;srchmode=1&amp;unlock","101103")</f>
        <v>101103</v>
      </c>
      <c r="F1528" t="s">
        <v>1226</v>
      </c>
      <c r="G1528" t="str">
        <f>HYPERLINK("http://www.ncbi.nlm.nih.gov/Taxonomy/Browser/wwwtax.cgi?mode=Info&amp;id=101103&amp;lvl=3&amp;lin=f&amp;keep=1&amp;srchmode=1&amp;unlock","Circinella umbellata")</f>
        <v>Circinella umbellata</v>
      </c>
      <c r="H1528" t="s">
        <v>1227</v>
      </c>
      <c r="I1528" t="str">
        <f>HYPERLINK("http://www.ncbi.nlm.nih.gov/protein/KAI7851268.1","hypothetical protein BDC45DRAFT_572076")</f>
        <v>hypothetical protein BDC45DRAFT_572076</v>
      </c>
      <c r="J1528">
        <v>176.02</v>
      </c>
      <c r="K1528" t="s">
        <v>22</v>
      </c>
      <c r="L1528">
        <v>276</v>
      </c>
      <c r="M1528">
        <v>9.75</v>
      </c>
      <c r="N1528">
        <v>1.68</v>
      </c>
      <c r="O1528" t="s">
        <v>22</v>
      </c>
      <c r="P1528" t="s">
        <v>20</v>
      </c>
      <c r="Q1528" t="s">
        <v>19</v>
      </c>
      <c r="R1528" t="str">
        <f>HYPERLINK("https://cfpub.epa.gov/ecotox/explore.cfm?ncbi=101103","Explore in ECOTOX")</f>
        <v>Explore in ECOTOX</v>
      </c>
    </row>
    <row r="1529" spans="1:18" x14ac:dyDescent="0.45">
      <c r="A1529" t="s">
        <v>1264</v>
      </c>
      <c r="B1529">
        <v>8</v>
      </c>
      <c r="C1529" t="str">
        <f>HYPERLINK("http://www.ncbi.nlm.nih.gov/protein/GAN04326.1","GAN04326.1")</f>
        <v>GAN04326.1</v>
      </c>
      <c r="D1529">
        <v>11331</v>
      </c>
      <c r="E1529" t="str">
        <f>HYPERLINK("http://www.ncbi.nlm.nih.gov/Taxonomy/Browser/wwwtax.cgi?mode=Info&amp;id=91626&amp;lvl=3&amp;lin=f&amp;keep=1&amp;srchmode=1&amp;unlock","91626")</f>
        <v>91626</v>
      </c>
      <c r="F1529" t="s">
        <v>1226</v>
      </c>
      <c r="G1529" t="str">
        <f>HYPERLINK("http://www.ncbi.nlm.nih.gov/Taxonomy/Browser/wwwtax.cgi?mode=Info&amp;id=91626&amp;lvl=3&amp;lin=f&amp;keep=1&amp;srchmode=1&amp;unlock","Mucor ambiguus")</f>
        <v>Mucor ambiguus</v>
      </c>
      <c r="H1529" t="s">
        <v>1227</v>
      </c>
      <c r="I1529" t="str">
        <f>HYPERLINK("http://www.ncbi.nlm.nih.gov/protein/GAN04326.1","conserved hypothetical protein")</f>
        <v>conserved hypothetical protein</v>
      </c>
      <c r="J1529">
        <v>175.64</v>
      </c>
      <c r="K1529" t="s">
        <v>22</v>
      </c>
      <c r="L1529">
        <v>276</v>
      </c>
      <c r="M1529">
        <v>9.75</v>
      </c>
      <c r="N1529">
        <v>1.68</v>
      </c>
      <c r="O1529" t="s">
        <v>22</v>
      </c>
      <c r="P1529" t="s">
        <v>20</v>
      </c>
      <c r="Q1529" t="s">
        <v>19</v>
      </c>
      <c r="R1529" t="str">
        <f>HYPERLINK("https://cfpub.epa.gov/ecotox/explore.cfm?ncbi=91626","Explore in ECOTOX")</f>
        <v>Explore in ECOTOX</v>
      </c>
    </row>
    <row r="1530" spans="1:18" x14ac:dyDescent="0.45">
      <c r="A1530" t="s">
        <v>1264</v>
      </c>
      <c r="B1530">
        <v>8</v>
      </c>
      <c r="C1530" t="str">
        <f>HYPERLINK("http://www.ncbi.nlm.nih.gov/protein/KAJ3091045.1","KAJ3091045.1")</f>
        <v>KAJ3091045.1</v>
      </c>
      <c r="D1530">
        <v>13723</v>
      </c>
      <c r="E1530" t="str">
        <f>HYPERLINK("http://www.ncbi.nlm.nih.gov/Taxonomy/Browser/wwwtax.cgi?mode=Info&amp;id=2654861&amp;lvl=3&amp;lin=f&amp;keep=1&amp;srchmode=1&amp;unlock","2654861")</f>
        <v>2654861</v>
      </c>
      <c r="F1530" t="s">
        <v>1234</v>
      </c>
      <c r="G1530" t="str">
        <f>HYPERLINK("http://www.ncbi.nlm.nih.gov/Taxonomy/Browser/wwwtax.cgi?mode=Info&amp;id=2654861&amp;lvl=3&amp;lin=f&amp;keep=1&amp;srchmode=1&amp;unlock","Quaeritorhiza haematococci")</f>
        <v>Quaeritorhiza haematococci</v>
      </c>
      <c r="H1530" t="s">
        <v>1235</v>
      </c>
      <c r="I1530" t="str">
        <f>HYPERLINK("http://www.ncbi.nlm.nih.gov/protein/KAJ3091045.1","hypothetical protein HK102_001865")</f>
        <v>hypothetical protein HK102_001865</v>
      </c>
      <c r="J1530">
        <v>175.25</v>
      </c>
      <c r="K1530" t="s">
        <v>22</v>
      </c>
      <c r="L1530">
        <v>276</v>
      </c>
      <c r="M1530">
        <v>9.75</v>
      </c>
      <c r="N1530">
        <v>1.68</v>
      </c>
      <c r="O1530" t="s">
        <v>22</v>
      </c>
      <c r="P1530" t="s">
        <v>20</v>
      </c>
      <c r="Q1530" t="s">
        <v>19</v>
      </c>
      <c r="R1530" t="str">
        <f>HYPERLINK("https://cfpub.epa.gov/ecotox/explore.cfm?ncbi=2654861","Explore in ECOTOX")</f>
        <v>Explore in ECOTOX</v>
      </c>
    </row>
    <row r="1531" spans="1:18" x14ac:dyDescent="0.45">
      <c r="A1531" t="s">
        <v>1264</v>
      </c>
      <c r="B1531">
        <v>8</v>
      </c>
      <c r="C1531" t="str">
        <f>HYPERLINK("http://www.ncbi.nlm.nih.gov/protein/KAJ3106266.1","KAJ3106266.1")</f>
        <v>KAJ3106266.1</v>
      </c>
      <c r="D1531">
        <v>10410</v>
      </c>
      <c r="E1531" t="str">
        <f>HYPERLINK("http://www.ncbi.nlm.nih.gov/Taxonomy/Browser/wwwtax.cgi?mode=Info&amp;id=261098&amp;lvl=3&amp;lin=f&amp;keep=1&amp;srchmode=1&amp;unlock","261098")</f>
        <v>261098</v>
      </c>
      <c r="F1531" t="s">
        <v>1234</v>
      </c>
      <c r="G1531" t="str">
        <f>HYPERLINK("http://www.ncbi.nlm.nih.gov/Taxonomy/Browser/wwwtax.cgi?mode=Info&amp;id=261098&amp;lvl=3&amp;lin=f&amp;keep=1&amp;srchmode=1&amp;unlock","Phlyctochytrium planicorne")</f>
        <v>Phlyctochytrium planicorne</v>
      </c>
      <c r="H1531" t="s">
        <v>1235</v>
      </c>
      <c r="I1531" t="str">
        <f>HYPERLINK("http://www.ncbi.nlm.nih.gov/protein/KAJ3106266.1","hypothetical protein HDU97_006717")</f>
        <v>hypothetical protein HDU97_006717</v>
      </c>
      <c r="J1531">
        <v>174.87</v>
      </c>
      <c r="K1531" t="s">
        <v>22</v>
      </c>
      <c r="L1531">
        <v>276</v>
      </c>
      <c r="M1531">
        <v>9.75</v>
      </c>
      <c r="N1531">
        <v>1.67</v>
      </c>
      <c r="O1531" t="s">
        <v>22</v>
      </c>
      <c r="P1531" t="s">
        <v>20</v>
      </c>
      <c r="Q1531" t="s">
        <v>19</v>
      </c>
      <c r="R1531" t="str">
        <f>HYPERLINK("https://cfpub.epa.gov/ecotox/explore.cfm?ncbi=261098","Explore in ECOTOX")</f>
        <v>Explore in ECOTOX</v>
      </c>
    </row>
    <row r="1532" spans="1:18" x14ac:dyDescent="0.45">
      <c r="A1532" t="s">
        <v>1264</v>
      </c>
      <c r="B1532">
        <v>8</v>
      </c>
      <c r="C1532" t="str">
        <f>HYPERLINK("http://www.ncbi.nlm.nih.gov/protein/KAH6928546.1","KAH6928546.1")</f>
        <v>KAH6928546.1</v>
      </c>
      <c r="D1532">
        <v>29777</v>
      </c>
      <c r="E1532" t="str">
        <f>HYPERLINK("http://www.ncbi.nlm.nih.gov/Taxonomy/Browser/wwwtax.cgi?mode=Info&amp;id=266040&amp;lvl=3&amp;lin=f&amp;keep=1&amp;srchmode=1&amp;unlock","266040")</f>
        <v>266040</v>
      </c>
      <c r="F1532" t="s">
        <v>904</v>
      </c>
      <c r="G1532" t="str">
        <f>HYPERLINK("http://www.ncbi.nlm.nih.gov/Taxonomy/Browser/wwwtax.cgi?mode=Info&amp;id=266040&amp;lvl=3&amp;lin=f&amp;keep=1&amp;srchmode=1&amp;unlock","Hyalomma asiaticum")</f>
        <v>Hyalomma asiaticum</v>
      </c>
      <c r="H1532" t="s">
        <v>951</v>
      </c>
      <c r="I1532" t="str">
        <f>HYPERLINK("http://www.ncbi.nlm.nih.gov/protein/KAH6928546.1","hypothetical protein HPB50_016883")</f>
        <v>hypothetical protein HPB50_016883</v>
      </c>
      <c r="J1532">
        <v>174.87</v>
      </c>
      <c r="K1532" t="s">
        <v>22</v>
      </c>
      <c r="L1532">
        <v>276</v>
      </c>
      <c r="M1532">
        <v>9.75</v>
      </c>
      <c r="N1532">
        <v>1.67</v>
      </c>
      <c r="O1532" t="s">
        <v>19</v>
      </c>
      <c r="P1532" t="s">
        <v>20</v>
      </c>
      <c r="Q1532" t="s">
        <v>19</v>
      </c>
      <c r="R1532" t="str">
        <f>HYPERLINK("https://cfpub.epa.gov/ecotox/explore.cfm?ncbi=266040","Explore in ECOTOX")</f>
        <v>Explore in ECOTOX</v>
      </c>
    </row>
    <row r="1533" spans="1:18" x14ac:dyDescent="0.45">
      <c r="A1533" t="s">
        <v>1264</v>
      </c>
      <c r="B1533">
        <v>8</v>
      </c>
      <c r="C1533" t="str">
        <f>HYPERLINK("http://www.ncbi.nlm.nih.gov/protein/KAI8801199.1","KAI8801199.1")</f>
        <v>KAI8801199.1</v>
      </c>
      <c r="D1533">
        <v>16307</v>
      </c>
      <c r="E1533" t="str">
        <f>HYPERLINK("http://www.ncbi.nlm.nih.gov/Taxonomy/Browser/wwwtax.cgi?mode=Info&amp;id=109936&amp;lvl=3&amp;lin=f&amp;keep=1&amp;srchmode=1&amp;unlock","109936")</f>
        <v>109936</v>
      </c>
      <c r="F1533" t="s">
        <v>1234</v>
      </c>
      <c r="G1533" t="str">
        <f>HYPERLINK("http://www.ncbi.nlm.nih.gov/Taxonomy/Browser/wwwtax.cgi?mode=Info&amp;id=109936&amp;lvl=3&amp;lin=f&amp;keep=1&amp;srchmode=1&amp;unlock","Cladochytrium replicatum")</f>
        <v>Cladochytrium replicatum</v>
      </c>
      <c r="H1533" t="s">
        <v>1235</v>
      </c>
      <c r="I1533" t="str">
        <f>HYPERLINK("http://www.ncbi.nlm.nih.gov/protein/KAI8801199.1","hypothetical protein BJ742DRAFT_838177")</f>
        <v>hypothetical protein BJ742DRAFT_838177</v>
      </c>
      <c r="J1533">
        <v>174.48</v>
      </c>
      <c r="K1533" t="s">
        <v>22</v>
      </c>
      <c r="L1533">
        <v>276</v>
      </c>
      <c r="M1533">
        <v>9.75</v>
      </c>
      <c r="N1533">
        <v>1.67</v>
      </c>
      <c r="O1533" t="s">
        <v>22</v>
      </c>
      <c r="P1533" t="s">
        <v>20</v>
      </c>
      <c r="Q1533" t="s">
        <v>19</v>
      </c>
      <c r="R1533" t="str">
        <f>HYPERLINK("https://cfpub.epa.gov/ecotox/explore.cfm?ncbi=109936","Explore in ECOTOX")</f>
        <v>Explore in ECOTOX</v>
      </c>
    </row>
    <row r="1534" spans="1:18" x14ac:dyDescent="0.45">
      <c r="A1534" t="s">
        <v>1264</v>
      </c>
      <c r="B1534">
        <v>8</v>
      </c>
      <c r="C1534" t="str">
        <f>HYPERLINK("http://www.ncbi.nlm.nih.gov/protein/KAI9475738.1","KAI9475738.1")</f>
        <v>KAI9475738.1</v>
      </c>
      <c r="D1534">
        <v>11677</v>
      </c>
      <c r="E1534" t="str">
        <f>HYPERLINK("http://www.ncbi.nlm.nih.gov/Taxonomy/Browser/wwwtax.cgi?mode=Info&amp;id=64631&amp;lvl=3&amp;lin=f&amp;keep=1&amp;srchmode=1&amp;unlock","64631")</f>
        <v>64631</v>
      </c>
      <c r="F1534" t="s">
        <v>1226</v>
      </c>
      <c r="G1534" t="str">
        <f>HYPERLINK("http://www.ncbi.nlm.nih.gov/Taxonomy/Browser/wwwtax.cgi?mode=Info&amp;id=64631&amp;lvl=3&amp;lin=f&amp;keep=1&amp;srchmode=1&amp;unlock","Benjaminiella poitrasii")</f>
        <v>Benjaminiella poitrasii</v>
      </c>
      <c r="H1534" t="s">
        <v>1227</v>
      </c>
      <c r="I1534" t="str">
        <f>HYPERLINK("http://www.ncbi.nlm.nih.gov/protein/KAI9475738.1","MAG: hypothetical protein EXX96DRAFT_574447")</f>
        <v>MAG: hypothetical protein EXX96DRAFT_574447</v>
      </c>
      <c r="J1534">
        <v>174.1</v>
      </c>
      <c r="K1534" t="s">
        <v>22</v>
      </c>
      <c r="L1534">
        <v>276</v>
      </c>
      <c r="M1534">
        <v>9.75</v>
      </c>
      <c r="N1534">
        <v>1.67</v>
      </c>
      <c r="O1534" t="s">
        <v>22</v>
      </c>
      <c r="P1534" t="s">
        <v>20</v>
      </c>
      <c r="Q1534" t="s">
        <v>19</v>
      </c>
      <c r="R1534" t="str">
        <f>HYPERLINK("https://cfpub.epa.gov/ecotox/explore.cfm?ncbi=64631","Explore in ECOTOX")</f>
        <v>Explore in ECOTOX</v>
      </c>
    </row>
    <row r="1535" spans="1:18" x14ac:dyDescent="0.45">
      <c r="A1535" t="s">
        <v>1264</v>
      </c>
      <c r="B1535">
        <v>8</v>
      </c>
      <c r="C1535" t="str">
        <f>HYPERLINK("http://www.ncbi.nlm.nih.gov/protein/KAI8878216.1","KAI8878216.1")</f>
        <v>KAI8878216.1</v>
      </c>
      <c r="D1535">
        <v>16992</v>
      </c>
      <c r="E1535" t="str">
        <f>HYPERLINK("http://www.ncbi.nlm.nih.gov/Taxonomy/Browser/wwwtax.cgi?mode=Info&amp;id=1314798&amp;lvl=3&amp;lin=f&amp;keep=1&amp;srchmode=1&amp;unlock","1314798")</f>
        <v>1314798</v>
      </c>
      <c r="F1535" t="s">
        <v>1226</v>
      </c>
      <c r="G1535" t="str">
        <f>HYPERLINK("http://www.ncbi.nlm.nih.gov/Taxonomy/Browser/wwwtax.cgi?mode=Info&amp;id=1314798&amp;lvl=3&amp;lin=f&amp;keep=1&amp;srchmode=1&amp;unlock","Backusella circina FSU 941")</f>
        <v>Backusella circina FSU 941</v>
      </c>
      <c r="H1535" t="s">
        <v>1227</v>
      </c>
      <c r="I1535" t="str">
        <f>HYPERLINK("http://www.ncbi.nlm.nih.gov/protein/KAI8878216.1","hypothetical protein K501DRAFT_228820")</f>
        <v>hypothetical protein K501DRAFT_228820</v>
      </c>
      <c r="J1535">
        <v>173.71</v>
      </c>
      <c r="K1535" t="s">
        <v>22</v>
      </c>
      <c r="L1535">
        <v>276</v>
      </c>
      <c r="M1535">
        <v>9.75</v>
      </c>
      <c r="N1535">
        <v>1.66</v>
      </c>
      <c r="O1535" t="s">
        <v>22</v>
      </c>
      <c r="P1535" t="s">
        <v>20</v>
      </c>
      <c r="Q1535" t="s">
        <v>19</v>
      </c>
      <c r="R1535" t="str">
        <f>HYPERLINK("https://cfpub.epa.gov/ecotox/explore.cfm?ncbi=1314798","Explore in ECOTOX")</f>
        <v>Explore in ECOTOX</v>
      </c>
    </row>
    <row r="1536" spans="1:18" x14ac:dyDescent="0.45">
      <c r="A1536" t="s">
        <v>1264</v>
      </c>
      <c r="B1536">
        <v>8</v>
      </c>
      <c r="C1536" t="str">
        <f>HYPERLINK("http://www.ncbi.nlm.nih.gov/protein/RKP13226.1","RKP13226.1")</f>
        <v>RKP13226.1</v>
      </c>
      <c r="D1536">
        <v>4301</v>
      </c>
      <c r="E1536" t="str">
        <f>HYPERLINK("http://www.ncbi.nlm.nih.gov/Taxonomy/Browser/wwwtax.cgi?mode=Info&amp;id=1907219&amp;lvl=3&amp;lin=f&amp;keep=1&amp;srchmode=1&amp;unlock","1907219")</f>
        <v>1907219</v>
      </c>
      <c r="F1536" t="s">
        <v>1236</v>
      </c>
      <c r="G1536" t="str">
        <f>HYPERLINK("http://www.ncbi.nlm.nih.gov/Taxonomy/Browser/wwwtax.cgi?mode=Info&amp;id=1907219&amp;lvl=3&amp;lin=f&amp;keep=1&amp;srchmode=1&amp;unlock","Piptocephalis cylindrospora")</f>
        <v>Piptocephalis cylindrospora</v>
      </c>
      <c r="H1536" t="s">
        <v>1225</v>
      </c>
      <c r="I1536" t="str">
        <f>HYPERLINK("http://www.ncbi.nlm.nih.gov/protein/RKP13226.1","hypothetical protein BJ684DRAFT_20267")</f>
        <v>hypothetical protein BJ684DRAFT_20267</v>
      </c>
      <c r="J1536">
        <v>172.94</v>
      </c>
      <c r="K1536" t="s">
        <v>22</v>
      </c>
      <c r="L1536">
        <v>276</v>
      </c>
      <c r="M1536">
        <v>9.75</v>
      </c>
      <c r="N1536">
        <v>1.65</v>
      </c>
      <c r="O1536" t="s">
        <v>22</v>
      </c>
      <c r="P1536" t="s">
        <v>20</v>
      </c>
      <c r="Q1536" t="s">
        <v>19</v>
      </c>
      <c r="R1536" t="str">
        <f>HYPERLINK("https://cfpub.epa.gov/ecotox/explore.cfm?ncbi=1907219","Explore in ECOTOX")</f>
        <v>Explore in ECOTOX</v>
      </c>
    </row>
    <row r="1537" spans="1:18" x14ac:dyDescent="0.45">
      <c r="A1537" t="s">
        <v>1264</v>
      </c>
      <c r="B1537">
        <v>8</v>
      </c>
      <c r="C1537" t="str">
        <f>HYPERLINK("http://www.ncbi.nlm.nih.gov/protein/XP_018299153.1","XP_018299153.1")</f>
        <v>XP_018299153.1</v>
      </c>
      <c r="D1537">
        <v>33066</v>
      </c>
      <c r="E1537" t="str">
        <f>HYPERLINK("http://www.ncbi.nlm.nih.gov/Taxonomy/Browser/wwwtax.cgi?mode=Info&amp;id=763407&amp;lvl=3&amp;lin=f&amp;keep=1&amp;srchmode=1&amp;unlock","763407")</f>
        <v>763407</v>
      </c>
      <c r="F1537" t="s">
        <v>1226</v>
      </c>
      <c r="G1537" t="str">
        <f>HYPERLINK("http://www.ncbi.nlm.nih.gov/Taxonomy/Browser/wwwtax.cgi?mode=Info&amp;id=763407&amp;lvl=3&amp;lin=f&amp;keep=1&amp;srchmode=1&amp;unlock","Phycomyces blakesleeanus NRRL 1555(-)")</f>
        <v>Phycomyces blakesleeanus NRRL 1555(-)</v>
      </c>
      <c r="H1537" t="s">
        <v>1227</v>
      </c>
      <c r="I1537" t="str">
        <f>HYPERLINK("http://www.ncbi.nlm.nih.gov/protein/XP_018299153.1","IP3 receptor")</f>
        <v>IP3 receptor</v>
      </c>
      <c r="J1537">
        <v>172.17</v>
      </c>
      <c r="K1537" t="s">
        <v>22</v>
      </c>
      <c r="L1537">
        <v>276</v>
      </c>
      <c r="M1537">
        <v>9.75</v>
      </c>
      <c r="N1537">
        <v>1.65</v>
      </c>
      <c r="O1537" t="s">
        <v>22</v>
      </c>
      <c r="P1537" t="s">
        <v>20</v>
      </c>
      <c r="Q1537" t="s">
        <v>19</v>
      </c>
      <c r="R1537" t="str">
        <f>HYPERLINK("https://cfpub.epa.gov/ecotox/explore.cfm?ncbi=763407","Explore in ECOTOX")</f>
        <v>Explore in ECOTOX</v>
      </c>
    </row>
    <row r="1538" spans="1:18" x14ac:dyDescent="0.45">
      <c r="A1538" t="s">
        <v>1264</v>
      </c>
      <c r="B1538">
        <v>8</v>
      </c>
      <c r="C1538" t="str">
        <f>HYPERLINK("http://www.ncbi.nlm.nih.gov/protein/XP_051383129.1","XP_051383129.1")</f>
        <v>XP_051383129.1</v>
      </c>
      <c r="D1538">
        <v>21826</v>
      </c>
      <c r="E1538" t="str">
        <f>HYPERLINK("http://www.ncbi.nlm.nih.gov/Taxonomy/Browser/wwwtax.cgi?mode=Info&amp;id=90255&amp;lvl=3&amp;lin=f&amp;keep=1&amp;srchmode=1&amp;unlock","90255")</f>
        <v>90255</v>
      </c>
      <c r="F1538" t="s">
        <v>1226</v>
      </c>
      <c r="G1538" t="str">
        <f>HYPERLINK("http://www.ncbi.nlm.nih.gov/Taxonomy/Browser/wwwtax.cgi?mode=Info&amp;id=90255&amp;lvl=3&amp;lin=f&amp;keep=1&amp;srchmode=1&amp;unlock","Cokeromyces recurvatus")</f>
        <v>Cokeromyces recurvatus</v>
      </c>
      <c r="H1538" t="s">
        <v>1227</v>
      </c>
      <c r="I1538" t="str">
        <f>HYPERLINK("http://www.ncbi.nlm.nih.gov/protein/XP_051383129.1","uncharacterized protein BX663DRAFT_507611")</f>
        <v>uncharacterized protein BX663DRAFT_507611</v>
      </c>
      <c r="J1538">
        <v>172.17</v>
      </c>
      <c r="K1538" t="s">
        <v>22</v>
      </c>
      <c r="L1538">
        <v>276</v>
      </c>
      <c r="M1538">
        <v>9.75</v>
      </c>
      <c r="N1538">
        <v>1.65</v>
      </c>
      <c r="O1538" t="s">
        <v>22</v>
      </c>
      <c r="P1538" t="s">
        <v>20</v>
      </c>
      <c r="Q1538" t="s">
        <v>19</v>
      </c>
      <c r="R1538" t="str">
        <f>HYPERLINK("https://cfpub.epa.gov/ecotox/explore.cfm?ncbi=90255","Explore in ECOTOX")</f>
        <v>Explore in ECOTOX</v>
      </c>
    </row>
    <row r="1539" spans="1:18" x14ac:dyDescent="0.45">
      <c r="A1539" t="s">
        <v>1264</v>
      </c>
      <c r="B1539">
        <v>8</v>
      </c>
      <c r="C1539" t="str">
        <f>HYPERLINK("http://www.ncbi.nlm.nih.gov/protein/EPB84881.1","EPB84881.1")</f>
        <v>EPB84881.1</v>
      </c>
      <c r="D1539">
        <v>12213</v>
      </c>
      <c r="E1539" t="str">
        <f>HYPERLINK("http://www.ncbi.nlm.nih.gov/Taxonomy/Browser/wwwtax.cgi?mode=Info&amp;id=1220926&amp;lvl=3&amp;lin=f&amp;keep=1&amp;srchmode=1&amp;unlock","1220926")</f>
        <v>1220926</v>
      </c>
      <c r="F1539" t="s">
        <v>1226</v>
      </c>
      <c r="G1539" t="str">
        <f>HYPERLINK("http://www.ncbi.nlm.nih.gov/Taxonomy/Browser/wwwtax.cgi?mode=Info&amp;id=1220926&amp;lvl=3&amp;lin=f&amp;keep=1&amp;srchmode=1&amp;unlock","Mucor circinelloides 1006PhL")</f>
        <v>Mucor circinelloides 1006PhL</v>
      </c>
      <c r="H1539" t="s">
        <v>1227</v>
      </c>
      <c r="I1539" t="str">
        <f>HYPERLINK("http://www.ncbi.nlm.nih.gov/protein/EPB84881.1","hypothetical protein HMPREF1544_08383")</f>
        <v>hypothetical protein HMPREF1544_08383</v>
      </c>
      <c r="J1539">
        <v>171.01</v>
      </c>
      <c r="K1539" t="s">
        <v>22</v>
      </c>
      <c r="L1539">
        <v>276</v>
      </c>
      <c r="M1539">
        <v>9.75</v>
      </c>
      <c r="N1539">
        <v>1.64</v>
      </c>
      <c r="O1539" t="s">
        <v>22</v>
      </c>
      <c r="P1539" t="s">
        <v>20</v>
      </c>
      <c r="Q1539" t="s">
        <v>19</v>
      </c>
      <c r="R1539" t="str">
        <f>HYPERLINK("https://cfpub.epa.gov/ecotox/explore.cfm?ncbi=1220926","Explore in ECOTOX")</f>
        <v>Explore in ECOTOX</v>
      </c>
    </row>
    <row r="1540" spans="1:18" x14ac:dyDescent="0.45">
      <c r="A1540" t="s">
        <v>1264</v>
      </c>
      <c r="B1540">
        <v>8</v>
      </c>
      <c r="C1540" t="str">
        <f>HYPERLINK("http://www.ncbi.nlm.nih.gov/protein/AAA88319.1","AAA88319.1")</f>
        <v>AAA88319.1</v>
      </c>
      <c r="D1540">
        <v>3238</v>
      </c>
      <c r="E1540" t="str">
        <f>HYPERLINK("http://www.ncbi.nlm.nih.gov/Taxonomy/Browser/wwwtax.cgi?mode=Info&amp;id=10092&amp;lvl=3&amp;lin=f&amp;keep=1&amp;srchmode=1&amp;unlock","10092")</f>
        <v>10092</v>
      </c>
      <c r="F1540" t="s">
        <v>96</v>
      </c>
      <c r="G1540" t="str">
        <f>HYPERLINK("http://www.ncbi.nlm.nih.gov/Taxonomy/Browser/wwwtax.cgi?mode=Info&amp;id=10092&amp;lvl=3&amp;lin=f&amp;keep=1&amp;srchmode=1&amp;unlock","Mus musculus domesticus")</f>
        <v>Mus musculus domesticus</v>
      </c>
      <c r="H1540" t="s">
        <v>1237</v>
      </c>
      <c r="I1540" t="str">
        <f>HYPERLINK("http://www.ncbi.nlm.nih.gov/protein/AAA88319.1","putative")</f>
        <v>putative</v>
      </c>
      <c r="J1540">
        <v>166.78</v>
      </c>
      <c r="K1540" t="s">
        <v>22</v>
      </c>
      <c r="L1540">
        <v>276</v>
      </c>
      <c r="M1540">
        <v>9.75</v>
      </c>
      <c r="N1540">
        <v>1.6</v>
      </c>
      <c r="O1540" t="s">
        <v>19</v>
      </c>
      <c r="P1540" t="s">
        <v>20</v>
      </c>
      <c r="Q1540" t="s">
        <v>19</v>
      </c>
      <c r="R1540" t="str">
        <f>HYPERLINK("https://cfpub.epa.gov/ecotox/explore.cfm?ncbi=10092","Explore in ECOTOX")</f>
        <v>Explore in ECOTOX</v>
      </c>
    </row>
    <row r="1541" spans="1:18" x14ac:dyDescent="0.45">
      <c r="A1541" t="s">
        <v>1266</v>
      </c>
      <c r="B1541">
        <v>8</v>
      </c>
      <c r="C1541" t="str">
        <f>HYPERLINK("http://www.ncbi.nlm.nih.gov/protein/XP_039539628.1","XP_039539628.1")</f>
        <v>XP_039539628.1</v>
      </c>
      <c r="D1541">
        <v>96127</v>
      </c>
      <c r="E1541" t="str">
        <f>HYPERLINK("http://www.ncbi.nlm.nih.gov/Taxonomy/Browser/wwwtax.cgi?mode=Info&amp;id=90988&amp;lvl=3&amp;lin=f&amp;keep=1&amp;srchmode=1&amp;unlock","90988")</f>
        <v>90988</v>
      </c>
      <c r="F1541" t="s">
        <v>17</v>
      </c>
      <c r="G1541" t="str">
        <f>HYPERLINK("http://www.ncbi.nlm.nih.gov/Taxonomy/Browser/wwwtax.cgi?mode=Info&amp;id=90988&amp;lvl=3&amp;lin=f&amp;keep=1&amp;srchmode=1&amp;unlock","Pimephales promelas")</f>
        <v>Pimephales promelas</v>
      </c>
      <c r="H1541" t="s">
        <v>18</v>
      </c>
      <c r="I1541" t="str">
        <f>HYPERLINK("http://www.ncbi.nlm.nih.gov/protein/XP_039539628.1","LOW QUALITY PROTEIN: ryanodine receptor 2")</f>
        <v>LOW QUALITY PROTEIN: ryanodine receptor 2</v>
      </c>
      <c r="J1541">
        <v>10262.9</v>
      </c>
      <c r="K1541" t="s">
        <v>19</v>
      </c>
      <c r="L1541">
        <v>1210</v>
      </c>
      <c r="M1541">
        <v>7.13</v>
      </c>
      <c r="N1541">
        <v>100</v>
      </c>
      <c r="O1541" t="s">
        <v>19</v>
      </c>
      <c r="P1541" t="s">
        <v>1267</v>
      </c>
      <c r="Q1541" t="s">
        <v>19</v>
      </c>
      <c r="R1541" t="str">
        <f>HYPERLINK("https://cfpub.epa.gov/ecotox/explore.cfm?ncbi=90988","Explore in ECOTOX")</f>
        <v>Explore in ECOTOX</v>
      </c>
    </row>
    <row r="1542" spans="1:18" x14ac:dyDescent="0.45">
      <c r="A1542" t="s">
        <v>1266</v>
      </c>
      <c r="B1542">
        <v>8</v>
      </c>
      <c r="C1542" t="str">
        <f>HYPERLINK("http://www.ncbi.nlm.nih.gov/protein/XP_048026287.1","XP_048026287.1")</f>
        <v>XP_048026287.1</v>
      </c>
      <c r="D1542">
        <v>60768</v>
      </c>
      <c r="E1542" t="str">
        <f>HYPERLINK("http://www.ncbi.nlm.nih.gov/Taxonomy/Browser/wwwtax.cgi?mode=Info&amp;id=75352&amp;lvl=3&amp;lin=f&amp;keep=1&amp;srchmode=1&amp;unlock","75352")</f>
        <v>75352</v>
      </c>
      <c r="F1542" t="s">
        <v>17</v>
      </c>
      <c r="G1542" t="str">
        <f>HYPERLINK("http://www.ncbi.nlm.nih.gov/Taxonomy/Browser/wwwtax.cgi?mode=Info&amp;id=75352&amp;lvl=3&amp;lin=f&amp;keep=1&amp;srchmode=1&amp;unlock","Megalobrama amblycephala")</f>
        <v>Megalobrama amblycephala</v>
      </c>
      <c r="H1542" t="s">
        <v>23</v>
      </c>
      <c r="I1542" t="str">
        <f>HYPERLINK("http://www.ncbi.nlm.nih.gov/protein/XP_048026287.1","LOW QUALITY PROTEIN: ryanodine receptor 2")</f>
        <v>LOW QUALITY PROTEIN: ryanodine receptor 2</v>
      </c>
      <c r="J1542">
        <v>9902.31</v>
      </c>
      <c r="K1542" t="s">
        <v>19</v>
      </c>
      <c r="L1542">
        <v>1210</v>
      </c>
      <c r="M1542">
        <v>7.13</v>
      </c>
      <c r="N1542">
        <v>96.49</v>
      </c>
      <c r="O1542" t="s">
        <v>19</v>
      </c>
      <c r="P1542" t="s">
        <v>1267</v>
      </c>
      <c r="Q1542" t="s">
        <v>19</v>
      </c>
      <c r="R1542" t="str">
        <f>HYPERLINK("https://cfpub.epa.gov/ecotox/explore.cfm?ncbi=75352","Explore in ECOTOX")</f>
        <v>Explore in ECOTOX</v>
      </c>
    </row>
    <row r="1543" spans="1:18" x14ac:dyDescent="0.45">
      <c r="A1543" t="s">
        <v>1266</v>
      </c>
      <c r="B1543">
        <v>8</v>
      </c>
      <c r="C1543" t="str">
        <f>HYPERLINK("http://www.ncbi.nlm.nih.gov/protein/XP_051770910.1","XP_051770910.1")</f>
        <v>XP_051770910.1</v>
      </c>
      <c r="D1543">
        <v>61666</v>
      </c>
      <c r="E1543" t="str">
        <f>HYPERLINK("http://www.ncbi.nlm.nih.gov/Taxonomy/Browser/wwwtax.cgi?mode=Info&amp;id=7959&amp;lvl=3&amp;lin=f&amp;keep=1&amp;srchmode=1&amp;unlock","7959")</f>
        <v>7959</v>
      </c>
      <c r="F1543" t="s">
        <v>17</v>
      </c>
      <c r="G1543" t="str">
        <f>HYPERLINK("http://www.ncbi.nlm.nih.gov/Taxonomy/Browser/wwwtax.cgi?mode=Info&amp;id=7959&amp;lvl=3&amp;lin=f&amp;keep=1&amp;srchmode=1&amp;unlock","Ctenopharyngodon idella")</f>
        <v>Ctenopharyngodon idella</v>
      </c>
      <c r="H1543" t="s">
        <v>24</v>
      </c>
      <c r="I1543" t="str">
        <f>HYPERLINK("http://www.ncbi.nlm.nih.gov/protein/XP_051770910.1","ryanodine receptor 2 isoform X1")</f>
        <v>ryanodine receptor 2 isoform X1</v>
      </c>
      <c r="J1543">
        <v>9898.84</v>
      </c>
      <c r="K1543" t="s">
        <v>19</v>
      </c>
      <c r="L1543">
        <v>1210</v>
      </c>
      <c r="M1543">
        <v>7.13</v>
      </c>
      <c r="N1543">
        <v>96.45</v>
      </c>
      <c r="O1543" t="s">
        <v>19</v>
      </c>
      <c r="P1543" t="s">
        <v>1267</v>
      </c>
      <c r="Q1543" t="s">
        <v>19</v>
      </c>
      <c r="R1543" t="str">
        <f>HYPERLINK("https://cfpub.epa.gov/ecotox/explore.cfm?ncbi=7959","Explore in ECOTOX")</f>
        <v>Explore in ECOTOX</v>
      </c>
    </row>
    <row r="1544" spans="1:18" x14ac:dyDescent="0.45">
      <c r="A1544" t="s">
        <v>1266</v>
      </c>
      <c r="B1544">
        <v>8</v>
      </c>
      <c r="C1544" t="str">
        <f>HYPERLINK("http://www.ncbi.nlm.nih.gov/protein/XP_050979743.1","XP_050979743.1")</f>
        <v>XP_050979743.1</v>
      </c>
      <c r="D1544">
        <v>110562</v>
      </c>
      <c r="E1544" t="str">
        <f>HYPERLINK("http://www.ncbi.nlm.nih.gov/Taxonomy/Browser/wwwtax.cgi?mode=Info&amp;id=84645&amp;lvl=3&amp;lin=f&amp;keep=1&amp;srchmode=1&amp;unlock","84645")</f>
        <v>84645</v>
      </c>
      <c r="F1544" t="s">
        <v>17</v>
      </c>
      <c r="G1544" t="str">
        <f>HYPERLINK("http://www.ncbi.nlm.nih.gov/Taxonomy/Browser/wwwtax.cgi?mode=Info&amp;id=84645&amp;lvl=3&amp;lin=f&amp;keep=1&amp;srchmode=1&amp;unlock","Labeo rohita")</f>
        <v>Labeo rohita</v>
      </c>
      <c r="H1544" t="s">
        <v>30</v>
      </c>
      <c r="I1544" t="str">
        <f>HYPERLINK("http://www.ncbi.nlm.nih.gov/protein/XP_050979743.1","ryanodine receptor 2 isoform X3")</f>
        <v>ryanodine receptor 2 isoform X3</v>
      </c>
      <c r="J1544">
        <v>9827.58</v>
      </c>
      <c r="K1544" t="s">
        <v>19</v>
      </c>
      <c r="L1544">
        <v>1210</v>
      </c>
      <c r="M1544">
        <v>7.13</v>
      </c>
      <c r="N1544">
        <v>95.76</v>
      </c>
      <c r="O1544" t="s">
        <v>19</v>
      </c>
      <c r="P1544" t="s">
        <v>1267</v>
      </c>
      <c r="Q1544" t="s">
        <v>19</v>
      </c>
      <c r="R1544" t="str">
        <f>HYPERLINK("https://cfpub.epa.gov/ecotox/explore.cfm?ncbi=84645","Explore in ECOTOX")</f>
        <v>Explore in ECOTOX</v>
      </c>
    </row>
    <row r="1545" spans="1:18" x14ac:dyDescent="0.45">
      <c r="A1545" t="s">
        <v>1266</v>
      </c>
      <c r="B1545">
        <v>8</v>
      </c>
      <c r="C1545" t="str">
        <f>HYPERLINK("http://www.ncbi.nlm.nih.gov/protein/XP_058650590.1","XP_058650590.1")</f>
        <v>XP_058650590.1</v>
      </c>
      <c r="D1545">
        <v>80341</v>
      </c>
      <c r="E1545" t="str">
        <f>HYPERLINK("http://www.ncbi.nlm.nih.gov/Taxonomy/Browser/wwwtax.cgi?mode=Info&amp;id=369639&amp;lvl=3&amp;lin=f&amp;keep=1&amp;srchmode=1&amp;unlock","369639")</f>
        <v>369639</v>
      </c>
      <c r="F1545" t="s">
        <v>17</v>
      </c>
      <c r="G1545" t="str">
        <f>HYPERLINK("http://www.ncbi.nlm.nih.gov/Taxonomy/Browser/wwwtax.cgi?mode=Info&amp;id=369639&amp;lvl=3&amp;lin=f&amp;keep=1&amp;srchmode=1&amp;unlock","Onychostoma macrolepis")</f>
        <v>Onychostoma macrolepis</v>
      </c>
      <c r="H1545" t="s">
        <v>21</v>
      </c>
      <c r="I1545" t="str">
        <f>HYPERLINK("http://www.ncbi.nlm.nih.gov/protein/XP_058650590.1","LOW QUALITY PROTEIN: ryanodine receptor 2")</f>
        <v>LOW QUALITY PROTEIN: ryanodine receptor 2</v>
      </c>
      <c r="J1545">
        <v>9551.7800000000007</v>
      </c>
      <c r="K1545" t="s">
        <v>19</v>
      </c>
      <c r="L1545">
        <v>1210</v>
      </c>
      <c r="M1545">
        <v>7.13</v>
      </c>
      <c r="N1545">
        <v>93.07</v>
      </c>
      <c r="O1545" t="s">
        <v>19</v>
      </c>
      <c r="P1545" t="s">
        <v>1267</v>
      </c>
      <c r="Q1545" t="s">
        <v>19</v>
      </c>
      <c r="R1545" t="str">
        <f>HYPERLINK("https://cfpub.epa.gov/ecotox/explore.cfm?ncbi=369639","Explore in ECOTOX")</f>
        <v>Explore in ECOTOX</v>
      </c>
    </row>
    <row r="1546" spans="1:18" x14ac:dyDescent="0.45">
      <c r="A1546" t="s">
        <v>1266</v>
      </c>
      <c r="B1546">
        <v>8</v>
      </c>
      <c r="C1546" t="str">
        <f>HYPERLINK("http://www.ncbi.nlm.nih.gov/protein/XP_043087137.1","XP_043087137.1")</f>
        <v>XP_043087137.1</v>
      </c>
      <c r="D1546">
        <v>48795</v>
      </c>
      <c r="E1546" t="str">
        <f>HYPERLINK("http://www.ncbi.nlm.nih.gov/Taxonomy/Browser/wwwtax.cgi?mode=Info&amp;id=1606681&amp;lvl=3&amp;lin=f&amp;keep=1&amp;srchmode=1&amp;unlock","1606681")</f>
        <v>1606681</v>
      </c>
      <c r="F1546" t="s">
        <v>17</v>
      </c>
      <c r="G1546" t="str">
        <f>HYPERLINK("http://www.ncbi.nlm.nih.gov/Taxonomy/Browser/wwwtax.cgi?mode=Info&amp;id=1606681&amp;lvl=3&amp;lin=f&amp;keep=1&amp;srchmode=1&amp;unlock","Puntigrus tetrazona")</f>
        <v>Puntigrus tetrazona</v>
      </c>
      <c r="H1546" t="s">
        <v>27</v>
      </c>
      <c r="I1546" t="str">
        <f>HYPERLINK("http://www.ncbi.nlm.nih.gov/protein/XP_043087137.1","LOW QUALITY PROTEIN: ryanodine receptor 2")</f>
        <v>LOW QUALITY PROTEIN: ryanodine receptor 2</v>
      </c>
      <c r="J1546">
        <v>9532.1299999999992</v>
      </c>
      <c r="K1546" t="s">
        <v>19</v>
      </c>
      <c r="L1546">
        <v>1210</v>
      </c>
      <c r="M1546">
        <v>7.13</v>
      </c>
      <c r="N1546">
        <v>92.88</v>
      </c>
      <c r="O1546" t="s">
        <v>19</v>
      </c>
      <c r="P1546" t="s">
        <v>1267</v>
      </c>
      <c r="Q1546" t="s">
        <v>19</v>
      </c>
      <c r="R1546" t="str">
        <f>HYPERLINK("https://cfpub.epa.gov/ecotox/explore.cfm?ncbi=1606681","Explore in ECOTOX")</f>
        <v>Explore in ECOTOX</v>
      </c>
    </row>
    <row r="1547" spans="1:18" x14ac:dyDescent="0.45">
      <c r="A1547" t="s">
        <v>1266</v>
      </c>
      <c r="B1547">
        <v>8</v>
      </c>
      <c r="C1547" t="str">
        <f>HYPERLINK("http://www.ncbi.nlm.nih.gov/protein/XP_056100114.1","XP_056100114.1")</f>
        <v>XP_056100114.1</v>
      </c>
      <c r="D1547">
        <v>40181</v>
      </c>
      <c r="E1547" t="str">
        <f>HYPERLINK("http://www.ncbi.nlm.nih.gov/Taxonomy/Browser/wwwtax.cgi?mode=Info&amp;id=3034132&amp;lvl=3&amp;lin=f&amp;keep=1&amp;srchmode=1&amp;unlock","3034132")</f>
        <v>3034132</v>
      </c>
      <c r="F1547" t="s">
        <v>17</v>
      </c>
      <c r="G1547" t="str">
        <f>HYPERLINK("http://www.ncbi.nlm.nih.gov/Taxonomy/Browser/wwwtax.cgi?mode=Info&amp;id=3034132&amp;lvl=3&amp;lin=f&amp;keep=1&amp;srchmode=1&amp;unlock","Rhinichthys klamathensis goyatoka")</f>
        <v>Rhinichthys klamathensis goyatoka</v>
      </c>
      <c r="H1547" t="s">
        <v>21</v>
      </c>
      <c r="I1547" t="str">
        <f>HYPERLINK("http://www.ncbi.nlm.nih.gov/protein/XP_056100114.1","ryanodine receptor 2")</f>
        <v>ryanodine receptor 2</v>
      </c>
      <c r="J1547">
        <v>9522.1200000000008</v>
      </c>
      <c r="K1547" t="s">
        <v>19</v>
      </c>
      <c r="L1547">
        <v>1210</v>
      </c>
      <c r="M1547">
        <v>7.13</v>
      </c>
      <c r="N1547">
        <v>92.78</v>
      </c>
      <c r="O1547" t="s">
        <v>19</v>
      </c>
      <c r="P1547" t="s">
        <v>1267</v>
      </c>
      <c r="Q1547" t="s">
        <v>19</v>
      </c>
      <c r="R1547" t="str">
        <f>HYPERLINK("https://cfpub.epa.gov/ecotox/explore.cfm?ncbi=3034132","Explore in ECOTOX")</f>
        <v>Explore in ECOTOX</v>
      </c>
    </row>
    <row r="1548" spans="1:18" x14ac:dyDescent="0.45">
      <c r="A1548" t="s">
        <v>1266</v>
      </c>
      <c r="B1548">
        <v>8</v>
      </c>
      <c r="C1548" t="str">
        <f>HYPERLINK("http://www.ncbi.nlm.nih.gov/protein/KAK2875993.1","KAK2875993.1")</f>
        <v>KAK2875993.1</v>
      </c>
      <c r="D1548">
        <v>25876</v>
      </c>
      <c r="E1548" t="str">
        <f>HYPERLINK("http://www.ncbi.nlm.nih.gov/Taxonomy/Browser/wwwtax.cgi?mode=Info&amp;id=172907&amp;lvl=3&amp;lin=f&amp;keep=1&amp;srchmode=1&amp;unlock","172907")</f>
        <v>172907</v>
      </c>
      <c r="F1548" t="s">
        <v>17</v>
      </c>
      <c r="G1548" t="str">
        <f>HYPERLINK("http://www.ncbi.nlm.nih.gov/Taxonomy/Browser/wwwtax.cgi?mode=Info&amp;id=172907&amp;lvl=3&amp;lin=f&amp;keep=1&amp;srchmode=1&amp;unlock","Cirrhinus molitorella")</f>
        <v>Cirrhinus molitorella</v>
      </c>
      <c r="H1548" t="s">
        <v>31</v>
      </c>
      <c r="I1548" t="str">
        <f>HYPERLINK("http://www.ncbi.nlm.nih.gov/protein/KAK2875993.1","hypothetical protein Q8A67_020089")</f>
        <v>hypothetical protein Q8A67_020089</v>
      </c>
      <c r="J1548">
        <v>9512.49</v>
      </c>
      <c r="K1548" t="s">
        <v>19</v>
      </c>
      <c r="L1548">
        <v>1210</v>
      </c>
      <c r="M1548">
        <v>7.13</v>
      </c>
      <c r="N1548">
        <v>92.69</v>
      </c>
      <c r="O1548" t="s">
        <v>19</v>
      </c>
      <c r="P1548" t="s">
        <v>1267</v>
      </c>
      <c r="Q1548" t="s">
        <v>19</v>
      </c>
      <c r="R1548" t="str">
        <f>HYPERLINK("https://cfpub.epa.gov/ecotox/explore.cfm?ncbi=172907","Explore in ECOTOX")</f>
        <v>Explore in ECOTOX</v>
      </c>
    </row>
    <row r="1549" spans="1:18" x14ac:dyDescent="0.45">
      <c r="A1549" t="s">
        <v>1266</v>
      </c>
      <c r="B1549">
        <v>8</v>
      </c>
      <c r="C1549" t="str">
        <f>HYPERLINK("http://www.ncbi.nlm.nih.gov/protein/XP_026078039.1","XP_026078039.1")</f>
        <v>XP_026078039.1</v>
      </c>
      <c r="D1549">
        <v>99050</v>
      </c>
      <c r="E1549" t="str">
        <f>HYPERLINK("http://www.ncbi.nlm.nih.gov/Taxonomy/Browser/wwwtax.cgi?mode=Info&amp;id=7957&amp;lvl=3&amp;lin=f&amp;keep=1&amp;srchmode=1&amp;unlock","7957")</f>
        <v>7957</v>
      </c>
      <c r="F1549" t="s">
        <v>17</v>
      </c>
      <c r="G1549" t="str">
        <f>HYPERLINK("http://www.ncbi.nlm.nih.gov/Taxonomy/Browser/wwwtax.cgi?mode=Info&amp;id=7957&amp;lvl=3&amp;lin=f&amp;keep=1&amp;srchmode=1&amp;unlock","Carassius auratus")</f>
        <v>Carassius auratus</v>
      </c>
      <c r="H1549" t="s">
        <v>29</v>
      </c>
      <c r="I1549" t="str">
        <f>HYPERLINK("http://www.ncbi.nlm.nih.gov/protein/XP_026078039.1","ryanodine receptor 2 isoform X1")</f>
        <v>ryanodine receptor 2 isoform X1</v>
      </c>
      <c r="J1549">
        <v>9507.48</v>
      </c>
      <c r="K1549" t="s">
        <v>19</v>
      </c>
      <c r="L1549">
        <v>1210</v>
      </c>
      <c r="M1549">
        <v>7.13</v>
      </c>
      <c r="N1549">
        <v>92.64</v>
      </c>
      <c r="O1549" t="s">
        <v>19</v>
      </c>
      <c r="P1549" t="s">
        <v>1267</v>
      </c>
      <c r="Q1549" t="s">
        <v>19</v>
      </c>
      <c r="R1549" t="str">
        <f>HYPERLINK("https://cfpub.epa.gov/ecotox/explore.cfm?ncbi=7957","Explore in ECOTOX")</f>
        <v>Explore in ECOTOX</v>
      </c>
    </row>
    <row r="1550" spans="1:18" x14ac:dyDescent="0.45">
      <c r="A1550" t="s">
        <v>1266</v>
      </c>
      <c r="B1550">
        <v>8</v>
      </c>
      <c r="C1550" t="str">
        <f>HYPERLINK("http://www.ncbi.nlm.nih.gov/protein/XP_052468031.1","XP_052468031.1")</f>
        <v>XP_052468031.1</v>
      </c>
      <c r="D1550">
        <v>91592</v>
      </c>
      <c r="E1550" t="str">
        <f>HYPERLINK("http://www.ncbi.nlm.nih.gov/Taxonomy/Browser/wwwtax.cgi?mode=Info&amp;id=101364&amp;lvl=3&amp;lin=f&amp;keep=1&amp;srchmode=1&amp;unlock","101364")</f>
        <v>101364</v>
      </c>
      <c r="F1550" t="s">
        <v>17</v>
      </c>
      <c r="G1550" t="str">
        <f>HYPERLINK("http://www.ncbi.nlm.nih.gov/Taxonomy/Browser/wwwtax.cgi?mode=Info&amp;id=101364&amp;lvl=3&amp;lin=f&amp;keep=1&amp;srchmode=1&amp;unlock","Carassius gibelio")</f>
        <v>Carassius gibelio</v>
      </c>
      <c r="H1550" t="s">
        <v>28</v>
      </c>
      <c r="I1550" t="str">
        <f>HYPERLINK("http://www.ncbi.nlm.nih.gov/protein/XP_052468031.1","ryanodine receptor 2 isoform X4")</f>
        <v>ryanodine receptor 2 isoform X4</v>
      </c>
      <c r="J1550">
        <v>9504.7900000000009</v>
      </c>
      <c r="K1550" t="s">
        <v>19</v>
      </c>
      <c r="L1550">
        <v>1210</v>
      </c>
      <c r="M1550">
        <v>7.13</v>
      </c>
      <c r="N1550">
        <v>92.61</v>
      </c>
      <c r="O1550" t="s">
        <v>19</v>
      </c>
      <c r="P1550" t="s">
        <v>1267</v>
      </c>
      <c r="Q1550" t="s">
        <v>19</v>
      </c>
      <c r="R1550" t="str">
        <f>HYPERLINK("https://cfpub.epa.gov/ecotox/explore.cfm?ncbi=101364","Explore in ECOTOX")</f>
        <v>Explore in ECOTOX</v>
      </c>
    </row>
    <row r="1551" spans="1:18" x14ac:dyDescent="0.45">
      <c r="A1551" t="s">
        <v>1266</v>
      </c>
      <c r="B1551">
        <v>8</v>
      </c>
      <c r="C1551" t="str">
        <f>HYPERLINK("http://www.ncbi.nlm.nih.gov/protein/XP_059387481.1","XP_059387481.1")</f>
        <v>XP_059387481.1</v>
      </c>
      <c r="D1551">
        <v>74399</v>
      </c>
      <c r="E1551" t="str">
        <f>HYPERLINK("http://www.ncbi.nlm.nih.gov/Taxonomy/Browser/wwwtax.cgi?mode=Info&amp;id=217509&amp;lvl=3&amp;lin=f&amp;keep=1&amp;srchmode=1&amp;unlock","217509")</f>
        <v>217509</v>
      </c>
      <c r="F1551" t="s">
        <v>17</v>
      </c>
      <c r="G1551" t="str">
        <f>HYPERLINK("http://www.ncbi.nlm.nih.gov/Taxonomy/Browser/wwwtax.cgi?mode=Info&amp;id=217509&amp;lvl=3&amp;lin=f&amp;keep=1&amp;srchmode=1&amp;unlock","Carassius carassius")</f>
        <v>Carassius carassius</v>
      </c>
      <c r="H1551" t="s">
        <v>25</v>
      </c>
      <c r="I1551" t="str">
        <f>HYPERLINK("http://www.ncbi.nlm.nih.gov/protein/XP_059387481.1","ryanodine receptor 2 isoform X1")</f>
        <v>ryanodine receptor 2 isoform X1</v>
      </c>
      <c r="J1551">
        <v>9490.92</v>
      </c>
      <c r="K1551" t="s">
        <v>19</v>
      </c>
      <c r="L1551">
        <v>1210</v>
      </c>
      <c r="M1551">
        <v>7.13</v>
      </c>
      <c r="N1551">
        <v>92.48</v>
      </c>
      <c r="O1551" t="s">
        <v>19</v>
      </c>
      <c r="P1551" t="s">
        <v>1267</v>
      </c>
      <c r="Q1551" t="s">
        <v>19</v>
      </c>
      <c r="R1551" t="str">
        <f>HYPERLINK("https://cfpub.epa.gov/ecotox/explore.cfm?ncbi=217509","Explore in ECOTOX")</f>
        <v>Explore in ECOTOX</v>
      </c>
    </row>
    <row r="1552" spans="1:18" x14ac:dyDescent="0.45">
      <c r="A1552" t="s">
        <v>1266</v>
      </c>
      <c r="B1552">
        <v>8</v>
      </c>
      <c r="C1552" t="str">
        <f>HYPERLINK("http://www.ncbi.nlm.nih.gov/protein/XP_051523808.1","XP_051523808.1")</f>
        <v>XP_051523808.1</v>
      </c>
      <c r="D1552">
        <v>81242</v>
      </c>
      <c r="E1552" t="str">
        <f>HYPERLINK("http://www.ncbi.nlm.nih.gov/Taxonomy/Browser/wwwtax.cgi?mode=Info&amp;id=70543&amp;lvl=3&amp;lin=f&amp;keep=1&amp;srchmode=1&amp;unlock","70543")</f>
        <v>70543</v>
      </c>
      <c r="F1552" t="s">
        <v>17</v>
      </c>
      <c r="G1552" t="str">
        <f>HYPERLINK("http://www.ncbi.nlm.nih.gov/Taxonomy/Browser/wwwtax.cgi?mode=Info&amp;id=70543&amp;lvl=3&amp;lin=f&amp;keep=1&amp;srchmode=1&amp;unlock","Myxocyprinus asiaticus")</f>
        <v>Myxocyprinus asiaticus</v>
      </c>
      <c r="H1552" t="s">
        <v>32</v>
      </c>
      <c r="I1552" t="str">
        <f>HYPERLINK("http://www.ncbi.nlm.nih.gov/protein/XP_051523808.1","ryanodine receptor 2")</f>
        <v>ryanodine receptor 2</v>
      </c>
      <c r="J1552">
        <v>9474.74</v>
      </c>
      <c r="K1552" t="s">
        <v>19</v>
      </c>
      <c r="L1552">
        <v>1210</v>
      </c>
      <c r="M1552">
        <v>7.13</v>
      </c>
      <c r="N1552">
        <v>92.32</v>
      </c>
      <c r="O1552" t="s">
        <v>19</v>
      </c>
      <c r="P1552" t="s">
        <v>1267</v>
      </c>
      <c r="Q1552" t="s">
        <v>19</v>
      </c>
      <c r="R1552" t="str">
        <f>HYPERLINK("https://cfpub.epa.gov/ecotox/explore.cfm?ncbi=70543","Explore in ECOTOX")</f>
        <v>Explore in ECOTOX</v>
      </c>
    </row>
    <row r="1553" spans="1:18" x14ac:dyDescent="0.45">
      <c r="A1553" t="s">
        <v>1266</v>
      </c>
      <c r="B1553">
        <v>8</v>
      </c>
      <c r="C1553" t="str">
        <f>HYPERLINK("http://www.ncbi.nlm.nih.gov/protein/XP_055031660.1","XP_055031660.1")</f>
        <v>XP_055031660.1</v>
      </c>
      <c r="D1553">
        <v>54879</v>
      </c>
      <c r="E1553" t="str">
        <f>HYPERLINK("http://www.ncbi.nlm.nih.gov/Taxonomy/Browser/wwwtax.cgi?mode=Info&amp;id=75329&amp;lvl=3&amp;lin=f&amp;keep=1&amp;srchmode=1&amp;unlock","75329")</f>
        <v>75329</v>
      </c>
      <c r="F1553" t="s">
        <v>17</v>
      </c>
      <c r="G1553" t="str">
        <f>HYPERLINK("http://www.ncbi.nlm.nih.gov/Taxonomy/Browser/wwwtax.cgi?mode=Info&amp;id=75329&amp;lvl=3&amp;lin=f&amp;keep=1&amp;srchmode=1&amp;unlock","Misgurnus anguillicaudatus")</f>
        <v>Misgurnus anguillicaudatus</v>
      </c>
      <c r="H1553" t="s">
        <v>36</v>
      </c>
      <c r="I1553" t="str">
        <f>HYPERLINK("http://www.ncbi.nlm.nih.gov/protein/XP_055031660.1","ryanodine receptor 2 isoform X1")</f>
        <v>ryanodine receptor 2 isoform X1</v>
      </c>
      <c r="J1553">
        <v>9459.33</v>
      </c>
      <c r="K1553" t="s">
        <v>19</v>
      </c>
      <c r="L1553">
        <v>1210</v>
      </c>
      <c r="M1553">
        <v>7.13</v>
      </c>
      <c r="N1553">
        <v>92.17</v>
      </c>
      <c r="O1553" t="s">
        <v>19</v>
      </c>
      <c r="P1553" t="s">
        <v>1267</v>
      </c>
      <c r="Q1553" t="s">
        <v>19</v>
      </c>
      <c r="R1553" t="str">
        <f>HYPERLINK("https://cfpub.epa.gov/ecotox/explore.cfm?ncbi=75329","Explore in ECOTOX")</f>
        <v>Explore in ECOTOX</v>
      </c>
    </row>
    <row r="1554" spans="1:18" x14ac:dyDescent="0.45">
      <c r="A1554" t="s">
        <v>1266</v>
      </c>
      <c r="B1554">
        <v>8</v>
      </c>
      <c r="C1554" t="str">
        <f>HYPERLINK("http://www.ncbi.nlm.nih.gov/protein/XP_056627770.1","XP_056627770.1")</f>
        <v>XP_056627770.1</v>
      </c>
      <c r="D1554">
        <v>44187</v>
      </c>
      <c r="E1554" t="str">
        <f>HYPERLINK("http://www.ncbi.nlm.nih.gov/Taxonomy/Browser/wwwtax.cgi?mode=Info&amp;id=1582913&amp;lvl=3&amp;lin=f&amp;keep=1&amp;srchmode=1&amp;unlock","1582913")</f>
        <v>1582913</v>
      </c>
      <c r="F1554" t="s">
        <v>17</v>
      </c>
      <c r="G1554" t="str">
        <f>HYPERLINK("http://www.ncbi.nlm.nih.gov/Taxonomy/Browser/wwwtax.cgi?mode=Info&amp;id=1582913&amp;lvl=3&amp;lin=f&amp;keep=1&amp;srchmode=1&amp;unlock","Triplophysa dalaica")</f>
        <v>Triplophysa dalaica</v>
      </c>
      <c r="H1554" t="s">
        <v>33</v>
      </c>
      <c r="I1554" t="str">
        <f>HYPERLINK("http://www.ncbi.nlm.nih.gov/protein/XP_056627770.1","ryanodine receptor 2 isoform X4")</f>
        <v>ryanodine receptor 2 isoform X4</v>
      </c>
      <c r="J1554">
        <v>9450.09</v>
      </c>
      <c r="K1554" t="s">
        <v>19</v>
      </c>
      <c r="L1554">
        <v>1210</v>
      </c>
      <c r="M1554">
        <v>7.13</v>
      </c>
      <c r="N1554">
        <v>92.08</v>
      </c>
      <c r="O1554" t="s">
        <v>19</v>
      </c>
      <c r="P1554" t="s">
        <v>1267</v>
      </c>
      <c r="Q1554" t="s">
        <v>19</v>
      </c>
      <c r="R1554" t="str">
        <f>HYPERLINK("https://cfpub.epa.gov/ecotox/explore.cfm?ncbi=1582913","Explore in ECOTOX")</f>
        <v>Explore in ECOTOX</v>
      </c>
    </row>
    <row r="1555" spans="1:18" x14ac:dyDescent="0.45">
      <c r="A1555" t="s">
        <v>1266</v>
      </c>
      <c r="B1555">
        <v>8</v>
      </c>
      <c r="C1555" t="str">
        <f>HYPERLINK("http://www.ncbi.nlm.nih.gov/protein/XP_051958659.1","XP_051958659.1")</f>
        <v>XP_051958659.1</v>
      </c>
      <c r="D1555">
        <v>66368</v>
      </c>
      <c r="E1555" t="str">
        <f>HYPERLINK("http://www.ncbi.nlm.nih.gov/Taxonomy/Browser/wwwtax.cgi?mode=Info&amp;id=154827&amp;lvl=3&amp;lin=f&amp;keep=1&amp;srchmode=1&amp;unlock","154827")</f>
        <v>154827</v>
      </c>
      <c r="F1555" t="s">
        <v>17</v>
      </c>
      <c r="G1555" t="str">
        <f>HYPERLINK("http://www.ncbi.nlm.nih.gov/Taxonomy/Browser/wwwtax.cgi?mode=Info&amp;id=154827&amp;lvl=3&amp;lin=f&amp;keep=1&amp;srchmode=1&amp;unlock","Xyrauchen texanus")</f>
        <v>Xyrauchen texanus</v>
      </c>
      <c r="H1555" t="s">
        <v>34</v>
      </c>
      <c r="I1555" t="str">
        <f>HYPERLINK("http://www.ncbi.nlm.nih.gov/protein/XP_051958659.1","ryanodine receptor 2")</f>
        <v>ryanodine receptor 2</v>
      </c>
      <c r="J1555">
        <v>9445.85</v>
      </c>
      <c r="K1555" t="s">
        <v>19</v>
      </c>
      <c r="L1555">
        <v>1210</v>
      </c>
      <c r="M1555">
        <v>7.13</v>
      </c>
      <c r="N1555">
        <v>92.04</v>
      </c>
      <c r="O1555" t="s">
        <v>19</v>
      </c>
      <c r="P1555" t="s">
        <v>1267</v>
      </c>
      <c r="Q1555" t="s">
        <v>19</v>
      </c>
      <c r="R1555" t="str">
        <f>HYPERLINK("https://cfpub.epa.gov/ecotox/explore.cfm?ncbi=154827","Explore in ECOTOX")</f>
        <v>Explore in ECOTOX</v>
      </c>
    </row>
    <row r="1556" spans="1:18" x14ac:dyDescent="0.45">
      <c r="A1556" t="s">
        <v>1266</v>
      </c>
      <c r="B1556">
        <v>8</v>
      </c>
      <c r="C1556" t="str">
        <f>HYPERLINK("http://www.ncbi.nlm.nih.gov/protein/XP_042624085.1","XP_042624085.1")</f>
        <v>XP_042624085.1</v>
      </c>
      <c r="D1556">
        <v>134023</v>
      </c>
      <c r="E1556" t="str">
        <f>HYPERLINK("http://www.ncbi.nlm.nih.gov/Taxonomy/Browser/wwwtax.cgi?mode=Info&amp;id=7962&amp;lvl=3&amp;lin=f&amp;keep=1&amp;srchmode=1&amp;unlock","7962")</f>
        <v>7962</v>
      </c>
      <c r="F1556" t="s">
        <v>17</v>
      </c>
      <c r="G1556" t="str">
        <f>HYPERLINK("http://www.ncbi.nlm.nih.gov/Taxonomy/Browser/wwwtax.cgi?mode=Info&amp;id=7962&amp;lvl=3&amp;lin=f&amp;keep=1&amp;srchmode=1&amp;unlock","Cyprinus carpio")</f>
        <v>Cyprinus carpio</v>
      </c>
      <c r="H1556" t="s">
        <v>35</v>
      </c>
      <c r="I1556" t="str">
        <f>HYPERLINK("http://www.ncbi.nlm.nih.gov/protein/XP_042624085.1","LOW QUALITY PROTEIN: ryanodine receptor 2")</f>
        <v>LOW QUALITY PROTEIN: ryanodine receptor 2</v>
      </c>
      <c r="J1556">
        <v>9386.5300000000007</v>
      </c>
      <c r="K1556" t="s">
        <v>19</v>
      </c>
      <c r="L1556">
        <v>1210</v>
      </c>
      <c r="M1556">
        <v>7.13</v>
      </c>
      <c r="N1556">
        <v>91.46</v>
      </c>
      <c r="O1556" t="s">
        <v>19</v>
      </c>
      <c r="P1556" t="s">
        <v>1267</v>
      </c>
      <c r="Q1556" t="s">
        <v>19</v>
      </c>
      <c r="R1556" t="str">
        <f>HYPERLINK("https://cfpub.epa.gov/ecotox/explore.cfm?ncbi=7962","Explore in ECOTOX")</f>
        <v>Explore in ECOTOX</v>
      </c>
    </row>
    <row r="1557" spans="1:18" x14ac:dyDescent="0.45">
      <c r="A1557" t="s">
        <v>1266</v>
      </c>
      <c r="B1557">
        <v>8</v>
      </c>
      <c r="C1557" t="str">
        <f>HYPERLINK("http://www.ncbi.nlm.nih.gov/protein/XP_057215190.1","XP_057215190.1")</f>
        <v>XP_057215190.1</v>
      </c>
      <c r="D1557">
        <v>70292</v>
      </c>
      <c r="E1557" t="str">
        <f>HYPERLINK("http://www.ncbi.nlm.nih.gov/Taxonomy/Browser/wwwtax.cgi?mode=Info&amp;id=992332&amp;lvl=3&amp;lin=f&amp;keep=1&amp;srchmode=1&amp;unlock","992332")</f>
        <v>992332</v>
      </c>
      <c r="F1557" t="s">
        <v>17</v>
      </c>
      <c r="G1557" t="str">
        <f>HYPERLINK("http://www.ncbi.nlm.nih.gov/Taxonomy/Browser/wwwtax.cgi?mode=Info&amp;id=992332&amp;lvl=3&amp;lin=f&amp;keep=1&amp;srchmode=1&amp;unlock","Triplophysa rosa")</f>
        <v>Triplophysa rosa</v>
      </c>
      <c r="H1557" t="s">
        <v>33</v>
      </c>
      <c r="I1557" t="str">
        <f>HYPERLINK("http://www.ncbi.nlm.nih.gov/protein/XP_057215190.1","ryanodine receptor 2")</f>
        <v>ryanodine receptor 2</v>
      </c>
      <c r="J1557">
        <v>9299.86</v>
      </c>
      <c r="K1557" t="s">
        <v>19</v>
      </c>
      <c r="L1557">
        <v>1210</v>
      </c>
      <c r="M1557">
        <v>7.13</v>
      </c>
      <c r="N1557">
        <v>90.62</v>
      </c>
      <c r="O1557" t="s">
        <v>19</v>
      </c>
      <c r="P1557" t="s">
        <v>1267</v>
      </c>
      <c r="Q1557" t="s">
        <v>19</v>
      </c>
      <c r="R1557" t="str">
        <f>HYPERLINK("https://cfpub.epa.gov/ecotox/explore.cfm?ncbi=992332","Explore in ECOTOX")</f>
        <v>Explore in ECOTOX</v>
      </c>
    </row>
    <row r="1558" spans="1:18" x14ac:dyDescent="0.45">
      <c r="A1558" t="s">
        <v>1266</v>
      </c>
      <c r="B1558">
        <v>8</v>
      </c>
      <c r="C1558" t="str">
        <f>HYPERLINK("http://www.ncbi.nlm.nih.gov/protein/XP_036427880.1","XP_036427880.1")</f>
        <v>XP_036427880.1</v>
      </c>
      <c r="D1558">
        <v>43804</v>
      </c>
      <c r="E1558" t="str">
        <f>HYPERLINK("http://www.ncbi.nlm.nih.gov/Taxonomy/Browser/wwwtax.cgi?mode=Info&amp;id=42526&amp;lvl=3&amp;lin=f&amp;keep=1&amp;srchmode=1&amp;unlock","42526")</f>
        <v>42526</v>
      </c>
      <c r="F1558" t="s">
        <v>17</v>
      </c>
      <c r="G1558" t="str">
        <f>HYPERLINK("http://www.ncbi.nlm.nih.gov/Taxonomy/Browser/wwwtax.cgi?mode=Info&amp;id=42526&amp;lvl=3&amp;lin=f&amp;keep=1&amp;srchmode=1&amp;unlock","Colossoma macropomum")</f>
        <v>Colossoma macropomum</v>
      </c>
      <c r="H1558" t="s">
        <v>38</v>
      </c>
      <c r="I1558" t="str">
        <f>HYPERLINK("http://www.ncbi.nlm.nih.gov/protein/XP_036427880.1","LOW QUALITY PROTEIN: ryanodine receptor 2")</f>
        <v>LOW QUALITY PROTEIN: ryanodine receptor 2</v>
      </c>
      <c r="J1558">
        <v>9295.6200000000008</v>
      </c>
      <c r="K1558" t="s">
        <v>19</v>
      </c>
      <c r="L1558">
        <v>1210</v>
      </c>
      <c r="M1558">
        <v>7.13</v>
      </c>
      <c r="N1558">
        <v>90.57</v>
      </c>
      <c r="O1558" t="s">
        <v>19</v>
      </c>
      <c r="P1558" t="s">
        <v>1267</v>
      </c>
      <c r="Q1558" t="s">
        <v>19</v>
      </c>
      <c r="R1558" t="str">
        <f>HYPERLINK("https://cfpub.epa.gov/ecotox/explore.cfm?ncbi=42526","Explore in ECOTOX")</f>
        <v>Explore in ECOTOX</v>
      </c>
    </row>
    <row r="1559" spans="1:18" x14ac:dyDescent="0.45">
      <c r="A1559" t="s">
        <v>1266</v>
      </c>
      <c r="B1559">
        <v>8</v>
      </c>
      <c r="C1559" t="str">
        <f>HYPERLINK("http://www.ncbi.nlm.nih.gov/protein/XP_037400045.1","XP_037400045.1")</f>
        <v>XP_037400045.1</v>
      </c>
      <c r="D1559">
        <v>50772</v>
      </c>
      <c r="E1559" t="str">
        <f>HYPERLINK("http://www.ncbi.nlm.nih.gov/Taxonomy/Browser/wwwtax.cgi?mode=Info&amp;id=42514&amp;lvl=3&amp;lin=f&amp;keep=1&amp;srchmode=1&amp;unlock","42514")</f>
        <v>42514</v>
      </c>
      <c r="F1559" t="s">
        <v>17</v>
      </c>
      <c r="G1559" t="str">
        <f>HYPERLINK("http://www.ncbi.nlm.nih.gov/Taxonomy/Browser/wwwtax.cgi?mode=Info&amp;id=42514&amp;lvl=3&amp;lin=f&amp;keep=1&amp;srchmode=1&amp;unlock","Pygocentrus nattereri")</f>
        <v>Pygocentrus nattereri</v>
      </c>
      <c r="H1559" t="s">
        <v>39</v>
      </c>
      <c r="I1559" t="str">
        <f>HYPERLINK("http://www.ncbi.nlm.nih.gov/protein/XP_037400045.1","ryanodine receptor 2 isoform X23")</f>
        <v>ryanodine receptor 2 isoform X23</v>
      </c>
      <c r="J1559">
        <v>9287.15</v>
      </c>
      <c r="K1559" t="s">
        <v>19</v>
      </c>
      <c r="L1559">
        <v>1210</v>
      </c>
      <c r="M1559">
        <v>7.13</v>
      </c>
      <c r="N1559">
        <v>90.49</v>
      </c>
      <c r="O1559" t="s">
        <v>19</v>
      </c>
      <c r="P1559" t="s">
        <v>1267</v>
      </c>
      <c r="Q1559" t="s">
        <v>19</v>
      </c>
      <c r="R1559" t="str">
        <f>HYPERLINK("https://cfpub.epa.gov/ecotox/explore.cfm?ncbi=42514","Explore in ECOTOX")</f>
        <v>Explore in ECOTOX</v>
      </c>
    </row>
    <row r="1560" spans="1:18" x14ac:dyDescent="0.45">
      <c r="A1560" t="s">
        <v>1266</v>
      </c>
      <c r="B1560">
        <v>8</v>
      </c>
      <c r="C1560" t="str">
        <f>HYPERLINK("http://www.ncbi.nlm.nih.gov/protein/XP_049320484.1","XP_049320484.1")</f>
        <v>XP_049320484.1</v>
      </c>
      <c r="D1560">
        <v>77276</v>
      </c>
      <c r="E1560" t="str">
        <f>HYPERLINK("http://www.ncbi.nlm.nih.gov/Taxonomy/Browser/wwwtax.cgi?mode=Info&amp;id=7994&amp;lvl=3&amp;lin=f&amp;keep=1&amp;srchmode=1&amp;unlock","7994")</f>
        <v>7994</v>
      </c>
      <c r="F1560" t="s">
        <v>17</v>
      </c>
      <c r="G1560" t="str">
        <f>HYPERLINK("http://www.ncbi.nlm.nih.gov/Taxonomy/Browser/wwwtax.cgi?mode=Info&amp;id=7994&amp;lvl=3&amp;lin=f&amp;keep=1&amp;srchmode=1&amp;unlock","Astyanax mexicanus")</f>
        <v>Astyanax mexicanus</v>
      </c>
      <c r="H1560" t="s">
        <v>37</v>
      </c>
      <c r="I1560" t="str">
        <f>HYPERLINK("http://www.ncbi.nlm.nih.gov/protein/XP_049320484.1","ryanodine receptor 2 isoform X3")</f>
        <v>ryanodine receptor 2 isoform X3</v>
      </c>
      <c r="J1560">
        <v>9241.69</v>
      </c>
      <c r="K1560" t="s">
        <v>19</v>
      </c>
      <c r="L1560">
        <v>1210</v>
      </c>
      <c r="M1560">
        <v>7.13</v>
      </c>
      <c r="N1560">
        <v>90.05</v>
      </c>
      <c r="O1560" t="s">
        <v>19</v>
      </c>
      <c r="P1560" t="s">
        <v>1267</v>
      </c>
      <c r="Q1560" t="s">
        <v>19</v>
      </c>
      <c r="R1560" t="str">
        <f>HYPERLINK("https://cfpub.epa.gov/ecotox/explore.cfm?ncbi=7994","Explore in ECOTOX")</f>
        <v>Explore in ECOTOX</v>
      </c>
    </row>
    <row r="1561" spans="1:18" x14ac:dyDescent="0.45">
      <c r="A1561" t="s">
        <v>1266</v>
      </c>
      <c r="B1561">
        <v>8</v>
      </c>
      <c r="C1561" t="str">
        <f>HYPERLINK("http://www.ncbi.nlm.nih.gov/protein/XP_058262189.1","XP_058262189.1")</f>
        <v>XP_058262189.1</v>
      </c>
      <c r="D1561">
        <v>69182</v>
      </c>
      <c r="E1561" t="str">
        <f>HYPERLINK("http://www.ncbi.nlm.nih.gov/Taxonomy/Browser/wwwtax.cgi?mode=Info&amp;id=337641&amp;lvl=3&amp;lin=f&amp;keep=1&amp;srchmode=1&amp;unlock","337641")</f>
        <v>337641</v>
      </c>
      <c r="F1561" t="s">
        <v>17</v>
      </c>
      <c r="G1561" t="str">
        <f>HYPERLINK("http://www.ncbi.nlm.nih.gov/Taxonomy/Browser/wwwtax.cgi?mode=Info&amp;id=337641&amp;lvl=3&amp;lin=f&amp;keep=1&amp;srchmode=1&amp;unlock","Hemibagrus wyckioides")</f>
        <v>Hemibagrus wyckioides</v>
      </c>
      <c r="H1561" t="s">
        <v>45</v>
      </c>
      <c r="I1561" t="str">
        <f>HYPERLINK("http://www.ncbi.nlm.nih.gov/protein/XP_058262189.1","ryanodine receptor 2 isoform X11")</f>
        <v>ryanodine receptor 2 isoform X11</v>
      </c>
      <c r="J1561">
        <v>9212.42</v>
      </c>
      <c r="K1561" t="s">
        <v>19</v>
      </c>
      <c r="L1561">
        <v>1210</v>
      </c>
      <c r="M1561">
        <v>7.13</v>
      </c>
      <c r="N1561">
        <v>89.76</v>
      </c>
      <c r="O1561" t="s">
        <v>19</v>
      </c>
      <c r="P1561" t="s">
        <v>1267</v>
      </c>
      <c r="Q1561" t="s">
        <v>19</v>
      </c>
      <c r="R1561" t="str">
        <f>HYPERLINK("https://cfpub.epa.gov/ecotox/explore.cfm?ncbi=337641","Explore in ECOTOX")</f>
        <v>Explore in ECOTOX</v>
      </c>
    </row>
    <row r="1562" spans="1:18" x14ac:dyDescent="0.45">
      <c r="A1562" t="s">
        <v>1266</v>
      </c>
      <c r="B1562">
        <v>8</v>
      </c>
      <c r="C1562" t="str">
        <f>HYPERLINK("http://www.ncbi.nlm.nih.gov/protein/XP_016377141.1","XP_016377141.1")</f>
        <v>XP_016377141.1</v>
      </c>
      <c r="D1562">
        <v>68583</v>
      </c>
      <c r="E1562" t="str">
        <f>HYPERLINK("http://www.ncbi.nlm.nih.gov/Taxonomy/Browser/wwwtax.cgi?mode=Info&amp;id=307959&amp;lvl=3&amp;lin=f&amp;keep=1&amp;srchmode=1&amp;unlock","307959")</f>
        <v>307959</v>
      </c>
      <c r="F1562" t="s">
        <v>17</v>
      </c>
      <c r="G1562" t="str">
        <f>HYPERLINK("http://www.ncbi.nlm.nih.gov/Taxonomy/Browser/wwwtax.cgi?mode=Info&amp;id=307959&amp;lvl=3&amp;lin=f&amp;keep=1&amp;srchmode=1&amp;unlock","Sinocyclocheilus rhinocerous")</f>
        <v>Sinocyclocheilus rhinocerous</v>
      </c>
      <c r="H1562" t="s">
        <v>21</v>
      </c>
      <c r="I1562" t="str">
        <f>HYPERLINK("http://www.ncbi.nlm.nih.gov/protein/XP_016377141.1","PREDICTED: ryanodine receptor 2")</f>
        <v>PREDICTED: ryanodine receptor 2</v>
      </c>
      <c r="J1562">
        <v>9207.0300000000007</v>
      </c>
      <c r="K1562" t="s">
        <v>19</v>
      </c>
      <c r="L1562">
        <v>1210</v>
      </c>
      <c r="M1562">
        <v>7.13</v>
      </c>
      <c r="N1562">
        <v>89.71</v>
      </c>
      <c r="O1562" t="s">
        <v>19</v>
      </c>
      <c r="P1562" t="s">
        <v>1267</v>
      </c>
      <c r="Q1562" t="s">
        <v>19</v>
      </c>
      <c r="R1562" t="str">
        <f>HYPERLINK("https://cfpub.epa.gov/ecotox/explore.cfm?ncbi=307959","Explore in ECOTOX")</f>
        <v>Explore in ECOTOX</v>
      </c>
    </row>
    <row r="1563" spans="1:18" x14ac:dyDescent="0.45">
      <c r="A1563" t="s">
        <v>1266</v>
      </c>
      <c r="B1563">
        <v>8</v>
      </c>
      <c r="C1563" t="str">
        <f>HYPERLINK("http://www.ncbi.nlm.nih.gov/protein/XP_035260547.1","XP_035260547.1")</f>
        <v>XP_035260547.1</v>
      </c>
      <c r="D1563">
        <v>86970</v>
      </c>
      <c r="E1563" t="str">
        <f>HYPERLINK("http://www.ncbi.nlm.nih.gov/Taxonomy/Browser/wwwtax.cgi?mode=Info&amp;id=7936&amp;lvl=3&amp;lin=f&amp;keep=1&amp;srchmode=1&amp;unlock","7936")</f>
        <v>7936</v>
      </c>
      <c r="F1563" t="s">
        <v>17</v>
      </c>
      <c r="G1563" t="str">
        <f>HYPERLINK("http://www.ncbi.nlm.nih.gov/Taxonomy/Browser/wwwtax.cgi?mode=Info&amp;id=7936&amp;lvl=3&amp;lin=f&amp;keep=1&amp;srchmode=1&amp;unlock","Anguilla anguilla")</f>
        <v>Anguilla anguilla</v>
      </c>
      <c r="H1563" t="s">
        <v>282</v>
      </c>
      <c r="I1563" t="str">
        <f>HYPERLINK("http://www.ncbi.nlm.nih.gov/protein/XP_035260547.1","ryanodine receptor 2 isoform X4")</f>
        <v>ryanodine receptor 2 isoform X4</v>
      </c>
      <c r="J1563">
        <v>9202.7900000000009</v>
      </c>
      <c r="K1563" t="s">
        <v>19</v>
      </c>
      <c r="L1563">
        <v>1210</v>
      </c>
      <c r="M1563">
        <v>7.13</v>
      </c>
      <c r="N1563">
        <v>89.67</v>
      </c>
      <c r="O1563" t="s">
        <v>19</v>
      </c>
      <c r="P1563" t="s">
        <v>1267</v>
      </c>
      <c r="Q1563" t="s">
        <v>19</v>
      </c>
      <c r="R1563" t="str">
        <f>HYPERLINK("https://cfpub.epa.gov/ecotox/explore.cfm?ncbi=7936","Explore in ECOTOX")</f>
        <v>Explore in ECOTOX</v>
      </c>
    </row>
    <row r="1564" spans="1:18" x14ac:dyDescent="0.45">
      <c r="A1564" t="s">
        <v>1266</v>
      </c>
      <c r="B1564">
        <v>8</v>
      </c>
      <c r="C1564" t="str">
        <f>HYPERLINK("http://www.ncbi.nlm.nih.gov/protein/XP_046710503.1","XP_046710503.1")</f>
        <v>XP_046710503.1</v>
      </c>
      <c r="D1564">
        <v>91563</v>
      </c>
      <c r="E1564" t="str">
        <f>HYPERLINK("http://www.ncbi.nlm.nih.gov/Taxonomy/Browser/wwwtax.cgi?mode=Info&amp;id=175797&amp;lvl=3&amp;lin=f&amp;keep=1&amp;srchmode=1&amp;unlock","175797")</f>
        <v>175797</v>
      </c>
      <c r="F1564" t="s">
        <v>17</v>
      </c>
      <c r="G1564" t="str">
        <f>HYPERLINK("http://www.ncbi.nlm.nih.gov/Taxonomy/Browser/wwwtax.cgi?mode=Info&amp;id=175797&amp;lvl=3&amp;lin=f&amp;keep=1&amp;srchmode=1&amp;unlock","Silurus meridionalis")</f>
        <v>Silurus meridionalis</v>
      </c>
      <c r="H1564" t="s">
        <v>172</v>
      </c>
      <c r="I1564" t="str">
        <f>HYPERLINK("http://www.ncbi.nlm.nih.gov/protein/XP_046710503.1","ryanodine receptor 2 isoform X3")</f>
        <v>ryanodine receptor 2 isoform X3</v>
      </c>
      <c r="J1564">
        <v>9199.7099999999991</v>
      </c>
      <c r="K1564" t="s">
        <v>19</v>
      </c>
      <c r="L1564">
        <v>1210</v>
      </c>
      <c r="M1564">
        <v>7.13</v>
      </c>
      <c r="N1564">
        <v>89.64</v>
      </c>
      <c r="O1564" t="s">
        <v>19</v>
      </c>
      <c r="P1564" t="s">
        <v>1267</v>
      </c>
      <c r="Q1564" t="s">
        <v>19</v>
      </c>
      <c r="R1564" t="str">
        <f>HYPERLINK("https://cfpub.epa.gov/ecotox/explore.cfm?ncbi=175797","Explore in ECOTOX")</f>
        <v>Explore in ECOTOX</v>
      </c>
    </row>
    <row r="1565" spans="1:18" x14ac:dyDescent="0.45">
      <c r="A1565" t="s">
        <v>1266</v>
      </c>
      <c r="B1565">
        <v>8</v>
      </c>
      <c r="C1565" t="str">
        <f>HYPERLINK("http://www.ncbi.nlm.nih.gov/protein/XP_028826297.1","XP_028826297.1")</f>
        <v>XP_028826297.1</v>
      </c>
      <c r="D1565">
        <v>50098</v>
      </c>
      <c r="E1565" t="str">
        <f>HYPERLINK("http://www.ncbi.nlm.nih.gov/Taxonomy/Browser/wwwtax.cgi?mode=Info&amp;id=299321&amp;lvl=3&amp;lin=f&amp;keep=1&amp;srchmode=1&amp;unlock","299321")</f>
        <v>299321</v>
      </c>
      <c r="F1565" t="s">
        <v>17</v>
      </c>
      <c r="G1565" t="str">
        <f>HYPERLINK("http://www.ncbi.nlm.nih.gov/Taxonomy/Browser/wwwtax.cgi?mode=Info&amp;id=299321&amp;lvl=3&amp;lin=f&amp;keep=1&amp;srchmode=1&amp;unlock","Denticeps clupeoides")</f>
        <v>Denticeps clupeoides</v>
      </c>
      <c r="H1565" t="s">
        <v>48</v>
      </c>
      <c r="I1565" t="str">
        <f>HYPERLINK("http://www.ncbi.nlm.nih.gov/protein/XP_028826297.1","ryanodine receptor 2 isoform X9")</f>
        <v>ryanodine receptor 2 isoform X9</v>
      </c>
      <c r="J1565">
        <v>9196.6299999999992</v>
      </c>
      <c r="K1565" t="s">
        <v>19</v>
      </c>
      <c r="L1565">
        <v>1210</v>
      </c>
      <c r="M1565">
        <v>7.13</v>
      </c>
      <c r="N1565">
        <v>89.61</v>
      </c>
      <c r="O1565" t="s">
        <v>19</v>
      </c>
      <c r="P1565" t="s">
        <v>1267</v>
      </c>
      <c r="Q1565" t="s">
        <v>19</v>
      </c>
      <c r="R1565" t="str">
        <f>HYPERLINK("https://cfpub.epa.gov/ecotox/explore.cfm?ncbi=299321","Explore in ECOTOX")</f>
        <v>Explore in ECOTOX</v>
      </c>
    </row>
    <row r="1566" spans="1:18" x14ac:dyDescent="0.45">
      <c r="A1566" t="s">
        <v>1266</v>
      </c>
      <c r="B1566">
        <v>8</v>
      </c>
      <c r="C1566" t="str">
        <f>HYPERLINK("http://www.ncbi.nlm.nih.gov/protein/XP_030630748.1","XP_030630748.1")</f>
        <v>XP_030630748.1</v>
      </c>
      <c r="D1566">
        <v>30218</v>
      </c>
      <c r="E1566" t="str">
        <f>HYPERLINK("http://www.ncbi.nlm.nih.gov/Taxonomy/Browser/wwwtax.cgi?mode=Info&amp;id=29144&amp;lvl=3&amp;lin=f&amp;keep=1&amp;srchmode=1&amp;unlock","29144")</f>
        <v>29144</v>
      </c>
      <c r="F1566" t="s">
        <v>17</v>
      </c>
      <c r="G1566" t="str">
        <f>HYPERLINK("http://www.ncbi.nlm.nih.gov/Taxonomy/Browser/wwwtax.cgi?mode=Info&amp;id=29144&amp;lvl=3&amp;lin=f&amp;keep=1&amp;srchmode=1&amp;unlock","Chanos chanos")</f>
        <v>Chanos chanos</v>
      </c>
      <c r="H1566" t="s">
        <v>231</v>
      </c>
      <c r="I1566" t="str">
        <f>HYPERLINK("http://www.ncbi.nlm.nih.gov/protein/XP_030630748.1","ryanodine receptor 2")</f>
        <v>ryanodine receptor 2</v>
      </c>
      <c r="J1566">
        <v>9190.4599999999991</v>
      </c>
      <c r="K1566" t="s">
        <v>19</v>
      </c>
      <c r="L1566">
        <v>1210</v>
      </c>
      <c r="M1566">
        <v>7.13</v>
      </c>
      <c r="N1566">
        <v>89.55</v>
      </c>
      <c r="O1566" t="s">
        <v>19</v>
      </c>
      <c r="P1566" t="s">
        <v>1267</v>
      </c>
      <c r="Q1566" t="s">
        <v>19</v>
      </c>
      <c r="R1566" t="str">
        <f>HYPERLINK("https://cfpub.epa.gov/ecotox/explore.cfm?ncbi=29144","Explore in ECOTOX")</f>
        <v>Explore in ECOTOX</v>
      </c>
    </row>
    <row r="1567" spans="1:18" x14ac:dyDescent="0.45">
      <c r="A1567" t="s">
        <v>1266</v>
      </c>
      <c r="B1567">
        <v>8</v>
      </c>
      <c r="C1567" t="str">
        <f>HYPERLINK("http://www.ncbi.nlm.nih.gov/protein/KAB5555790.1","KAB5555790.1")</f>
        <v>KAB5555790.1</v>
      </c>
      <c r="D1567">
        <v>68828</v>
      </c>
      <c r="E1567" t="str">
        <f>HYPERLINK("http://www.ncbi.nlm.nih.gov/Taxonomy/Browser/wwwtax.cgi?mode=Info&amp;id=310915&amp;lvl=3&amp;lin=f&amp;keep=1&amp;srchmode=1&amp;unlock","310915")</f>
        <v>310915</v>
      </c>
      <c r="F1567" t="s">
        <v>17</v>
      </c>
      <c r="G1567" t="str">
        <f>HYPERLINK("http://www.ncbi.nlm.nih.gov/Taxonomy/Browser/wwwtax.cgi?mode=Info&amp;id=310915&amp;lvl=3&amp;lin=f&amp;keep=1&amp;srchmode=1&amp;unlock","Pangasianodon hypophthalmus")</f>
        <v>Pangasianodon hypophthalmus</v>
      </c>
      <c r="H1567" t="s">
        <v>344</v>
      </c>
      <c r="I1567" t="str">
        <f>HYPERLINK("http://www.ncbi.nlm.nih.gov/protein/KAB5555790.1","hypothetical protein PHYPO_G00038150")</f>
        <v>hypothetical protein PHYPO_G00038150</v>
      </c>
      <c r="J1567">
        <v>9181.6</v>
      </c>
      <c r="K1567" t="s">
        <v>19</v>
      </c>
      <c r="L1567">
        <v>1210</v>
      </c>
      <c r="M1567">
        <v>7.13</v>
      </c>
      <c r="N1567">
        <v>89.46</v>
      </c>
      <c r="O1567" t="s">
        <v>19</v>
      </c>
      <c r="P1567" t="s">
        <v>1267</v>
      </c>
      <c r="Q1567" t="s">
        <v>19</v>
      </c>
      <c r="R1567" t="str">
        <f>HYPERLINK("https://cfpub.epa.gov/ecotox/explore.cfm?ncbi=310915","Explore in ECOTOX")</f>
        <v>Explore in ECOTOX</v>
      </c>
    </row>
    <row r="1568" spans="1:18" x14ac:dyDescent="0.45">
      <c r="A1568" t="s">
        <v>1266</v>
      </c>
      <c r="B1568">
        <v>8</v>
      </c>
      <c r="C1568" t="str">
        <f>HYPERLINK("http://www.ncbi.nlm.nih.gov/protein/XP_056325013.1","XP_056325013.1")</f>
        <v>XP_056325013.1</v>
      </c>
      <c r="D1568">
        <v>36531</v>
      </c>
      <c r="E1568" t="str">
        <f>HYPERLINK("http://www.ncbi.nlm.nih.gov/Taxonomy/Browser/wwwtax.cgi?mode=Info&amp;id=1142201&amp;lvl=3&amp;lin=f&amp;keep=1&amp;srchmode=1&amp;unlock","1142201")</f>
        <v>1142201</v>
      </c>
      <c r="F1568" t="s">
        <v>17</v>
      </c>
      <c r="G1568" t="str">
        <f>HYPERLINK("http://www.ncbi.nlm.nih.gov/Taxonomy/Browser/wwwtax.cgi?mode=Info&amp;id=1142201&amp;lvl=3&amp;lin=f&amp;keep=1&amp;srchmode=1&amp;unlock","Danio aesculapii")</f>
        <v>Danio aesculapii</v>
      </c>
      <c r="H1568" t="s">
        <v>21</v>
      </c>
      <c r="I1568" t="str">
        <f>HYPERLINK("http://www.ncbi.nlm.nih.gov/protein/XP_056325013.1","LOW QUALITY PROTEIN: ryanodine receptor 2-like")</f>
        <v>LOW QUALITY PROTEIN: ryanodine receptor 2-like</v>
      </c>
      <c r="J1568">
        <v>9181.2199999999993</v>
      </c>
      <c r="K1568" t="s">
        <v>19</v>
      </c>
      <c r="L1568">
        <v>1210</v>
      </c>
      <c r="M1568">
        <v>7.13</v>
      </c>
      <c r="N1568">
        <v>89.46</v>
      </c>
      <c r="O1568" t="s">
        <v>19</v>
      </c>
      <c r="P1568" t="s">
        <v>1267</v>
      </c>
      <c r="Q1568" t="s">
        <v>19</v>
      </c>
      <c r="R1568" t="str">
        <f>HYPERLINK("https://cfpub.epa.gov/ecotox/explore.cfm?ncbi=1142201","Explore in ECOTOX")</f>
        <v>Explore in ECOTOX</v>
      </c>
    </row>
    <row r="1569" spans="1:18" x14ac:dyDescent="0.45">
      <c r="A1569" t="s">
        <v>1266</v>
      </c>
      <c r="B1569">
        <v>8</v>
      </c>
      <c r="C1569" t="str">
        <f>HYPERLINK("http://www.ncbi.nlm.nih.gov/protein/XP_061087166.1","XP_061087166.1")</f>
        <v>XP_061087166.1</v>
      </c>
      <c r="D1569">
        <v>71858</v>
      </c>
      <c r="E1569" t="str">
        <f>HYPERLINK("http://www.ncbi.nlm.nih.gov/Taxonomy/Browser/wwwtax.cgi?mode=Info&amp;id=82655&amp;lvl=3&amp;lin=f&amp;keep=1&amp;srchmode=1&amp;unlock","82655")</f>
        <v>82655</v>
      </c>
      <c r="F1569" t="s">
        <v>17</v>
      </c>
      <c r="G1569" t="str">
        <f>HYPERLINK("http://www.ncbi.nlm.nih.gov/Taxonomy/Browser/wwwtax.cgi?mode=Info&amp;id=82655&amp;lvl=3&amp;lin=f&amp;keep=1&amp;srchmode=1&amp;unlock","Conger conger")</f>
        <v>Conger conger</v>
      </c>
      <c r="H1569" t="s">
        <v>268</v>
      </c>
      <c r="I1569" t="str">
        <f>HYPERLINK("http://www.ncbi.nlm.nih.gov/protein/XP_061087166.1","ryanodine receptor 2-like")</f>
        <v>ryanodine receptor 2-like</v>
      </c>
      <c r="J1569">
        <v>9175.82</v>
      </c>
      <c r="K1569" t="s">
        <v>19</v>
      </c>
      <c r="L1569">
        <v>1210</v>
      </c>
      <c r="M1569">
        <v>7.13</v>
      </c>
      <c r="N1569">
        <v>89.41</v>
      </c>
      <c r="O1569" t="s">
        <v>19</v>
      </c>
      <c r="P1569" t="s">
        <v>1267</v>
      </c>
      <c r="Q1569" t="s">
        <v>19</v>
      </c>
      <c r="R1569" t="str">
        <f>HYPERLINK("https://cfpub.epa.gov/ecotox/explore.cfm?ncbi=82655","Explore in ECOTOX")</f>
        <v>Explore in ECOTOX</v>
      </c>
    </row>
    <row r="1570" spans="1:18" x14ac:dyDescent="0.45">
      <c r="A1570" t="s">
        <v>1266</v>
      </c>
      <c r="B1570">
        <v>8</v>
      </c>
      <c r="C1570" t="str">
        <f>HYPERLINK("http://www.ncbi.nlm.nih.gov/protein/XP_053540885.1","XP_053540885.1")</f>
        <v>XP_053540885.1</v>
      </c>
      <c r="D1570">
        <v>54807</v>
      </c>
      <c r="E1570" t="str">
        <f>HYPERLINK("http://www.ncbi.nlm.nih.gov/Taxonomy/Browser/wwwtax.cgi?mode=Info&amp;id=7998&amp;lvl=3&amp;lin=f&amp;keep=1&amp;srchmode=1&amp;unlock","7998")</f>
        <v>7998</v>
      </c>
      <c r="F1570" t="s">
        <v>17</v>
      </c>
      <c r="G1570" t="str">
        <f>HYPERLINK("http://www.ncbi.nlm.nih.gov/Taxonomy/Browser/wwwtax.cgi?mode=Info&amp;id=7998&amp;lvl=3&amp;lin=f&amp;keep=1&amp;srchmode=1&amp;unlock","Ictalurus punctatus")</f>
        <v>Ictalurus punctatus</v>
      </c>
      <c r="H1570" t="s">
        <v>40</v>
      </c>
      <c r="I1570" t="str">
        <f>HYPERLINK("http://www.ncbi.nlm.nih.gov/protein/XP_053540885.1","ryanodine receptor 2 isoform X7")</f>
        <v>ryanodine receptor 2 isoform X7</v>
      </c>
      <c r="J1570">
        <v>9157.34</v>
      </c>
      <c r="K1570" t="s">
        <v>19</v>
      </c>
      <c r="L1570">
        <v>1210</v>
      </c>
      <c r="M1570">
        <v>7.13</v>
      </c>
      <c r="N1570">
        <v>89.23</v>
      </c>
      <c r="O1570" t="s">
        <v>19</v>
      </c>
      <c r="P1570" t="s">
        <v>1267</v>
      </c>
      <c r="Q1570" t="s">
        <v>19</v>
      </c>
      <c r="R1570" t="str">
        <f>HYPERLINK("https://cfpub.epa.gov/ecotox/explore.cfm?ncbi=7998","Explore in ECOTOX")</f>
        <v>Explore in ECOTOX</v>
      </c>
    </row>
    <row r="1571" spans="1:18" x14ac:dyDescent="0.45">
      <c r="A1571" t="s">
        <v>1266</v>
      </c>
      <c r="B1571">
        <v>8</v>
      </c>
      <c r="C1571" t="str">
        <f>HYPERLINK("http://www.ncbi.nlm.nih.gov/protein/XP_053495894.1","XP_053495894.1")</f>
        <v>XP_053495894.1</v>
      </c>
      <c r="D1571">
        <v>45079</v>
      </c>
      <c r="E1571" t="str">
        <f>HYPERLINK("http://www.ncbi.nlm.nih.gov/Taxonomy/Browser/wwwtax.cgi?mode=Info&amp;id=66913&amp;lvl=3&amp;lin=f&amp;keep=1&amp;srchmode=1&amp;unlock","66913")</f>
        <v>66913</v>
      </c>
      <c r="F1571" t="s">
        <v>17</v>
      </c>
      <c r="G1571" t="str">
        <f>HYPERLINK("http://www.ncbi.nlm.nih.gov/Taxonomy/Browser/wwwtax.cgi?mode=Info&amp;id=66913&amp;lvl=3&amp;lin=f&amp;keep=1&amp;srchmode=1&amp;unlock","Ictalurus furcatus")</f>
        <v>Ictalurus furcatus</v>
      </c>
      <c r="H1571" t="s">
        <v>42</v>
      </c>
      <c r="I1571" t="str">
        <f>HYPERLINK("http://www.ncbi.nlm.nih.gov/protein/XP_053495894.1","ryanodine receptor 2")</f>
        <v>ryanodine receptor 2</v>
      </c>
      <c r="J1571">
        <v>9151.94</v>
      </c>
      <c r="K1571" t="s">
        <v>19</v>
      </c>
      <c r="L1571">
        <v>1210</v>
      </c>
      <c r="M1571">
        <v>7.13</v>
      </c>
      <c r="N1571">
        <v>89.17</v>
      </c>
      <c r="O1571" t="s">
        <v>19</v>
      </c>
      <c r="P1571" t="s">
        <v>1267</v>
      </c>
      <c r="Q1571" t="s">
        <v>19</v>
      </c>
      <c r="R1571" t="str">
        <f>HYPERLINK("https://cfpub.epa.gov/ecotox/explore.cfm?ncbi=66913","Explore in ECOTOX")</f>
        <v>Explore in ECOTOX</v>
      </c>
    </row>
    <row r="1572" spans="1:18" x14ac:dyDescent="0.45">
      <c r="A1572" t="s">
        <v>1266</v>
      </c>
      <c r="B1572">
        <v>8</v>
      </c>
      <c r="C1572" t="str">
        <f>HYPERLINK("http://www.ncbi.nlm.nih.gov/protein/MCI4384536.1","MCI4384536.1")</f>
        <v>MCI4384536.1</v>
      </c>
      <c r="D1572">
        <v>22058</v>
      </c>
      <c r="E1572" t="str">
        <f>HYPERLINK("http://www.ncbi.nlm.nih.gov/Taxonomy/Browser/wwwtax.cgi?mode=Info&amp;id=30993&amp;lvl=3&amp;lin=f&amp;keep=1&amp;srchmode=1&amp;unlock","30993")</f>
        <v>30993</v>
      </c>
      <c r="F1572" t="s">
        <v>17</v>
      </c>
      <c r="G1572" t="str">
        <f>HYPERLINK("http://www.ncbi.nlm.nih.gov/Taxonomy/Browser/wwwtax.cgi?mode=Info&amp;id=30993&amp;lvl=3&amp;lin=f&amp;keep=1&amp;srchmode=1&amp;unlock","Pangasianodon gigas")</f>
        <v>Pangasianodon gigas</v>
      </c>
      <c r="H1572" t="s">
        <v>176</v>
      </c>
      <c r="I1572" t="str">
        <f>HYPERLINK("http://www.ncbi.nlm.nih.gov/protein/MCI4384536.1","hypothetical protein")</f>
        <v>hypothetical protein</v>
      </c>
      <c r="J1572">
        <v>9147.32</v>
      </c>
      <c r="K1572" t="s">
        <v>19</v>
      </c>
      <c r="L1572">
        <v>1210</v>
      </c>
      <c r="M1572">
        <v>7.13</v>
      </c>
      <c r="N1572">
        <v>89.13</v>
      </c>
      <c r="O1572" t="s">
        <v>19</v>
      </c>
      <c r="P1572" t="s">
        <v>1267</v>
      </c>
      <c r="Q1572" t="s">
        <v>19</v>
      </c>
      <c r="R1572" t="str">
        <f>HYPERLINK("https://cfpub.epa.gov/ecotox/explore.cfm?ncbi=30993","Explore in ECOTOX")</f>
        <v>Explore in ECOTOX</v>
      </c>
    </row>
    <row r="1573" spans="1:18" x14ac:dyDescent="0.45">
      <c r="A1573" t="s">
        <v>1266</v>
      </c>
      <c r="B1573">
        <v>8</v>
      </c>
      <c r="C1573" t="str">
        <f>HYPERLINK("http://www.ncbi.nlm.nih.gov/protein/XP_047673437.1","XP_047673437.1")</f>
        <v>XP_047673437.1</v>
      </c>
      <c r="D1573">
        <v>56318</v>
      </c>
      <c r="E1573" t="str">
        <f>HYPERLINK("http://www.ncbi.nlm.nih.gov/Taxonomy/Browser/wwwtax.cgi?mode=Info&amp;id=1234273&amp;lvl=3&amp;lin=f&amp;keep=1&amp;srchmode=1&amp;unlock","1234273")</f>
        <v>1234273</v>
      </c>
      <c r="F1573" t="s">
        <v>17</v>
      </c>
      <c r="G1573" t="str">
        <f>HYPERLINK("http://www.ncbi.nlm.nih.gov/Taxonomy/Browser/wwwtax.cgi?mode=Info&amp;id=1234273&amp;lvl=3&amp;lin=f&amp;keep=1&amp;srchmode=1&amp;unlock","Tachysurus fulvidraco")</f>
        <v>Tachysurus fulvidraco</v>
      </c>
      <c r="H1573" t="s">
        <v>47</v>
      </c>
      <c r="I1573" t="str">
        <f>HYPERLINK("http://www.ncbi.nlm.nih.gov/protein/XP_047673437.1","ryanodine receptor 2 isoform X2")</f>
        <v>ryanodine receptor 2 isoform X2</v>
      </c>
      <c r="J1573">
        <v>9145.39</v>
      </c>
      <c r="K1573" t="s">
        <v>19</v>
      </c>
      <c r="L1573">
        <v>1210</v>
      </c>
      <c r="M1573">
        <v>7.13</v>
      </c>
      <c r="N1573">
        <v>89.11</v>
      </c>
      <c r="O1573" t="s">
        <v>19</v>
      </c>
      <c r="P1573" t="s">
        <v>1267</v>
      </c>
      <c r="Q1573" t="s">
        <v>19</v>
      </c>
      <c r="R1573" t="str">
        <f>HYPERLINK("https://cfpub.epa.gov/ecotox/explore.cfm?ncbi=1234273","Explore in ECOTOX")</f>
        <v>Explore in ECOTOX</v>
      </c>
    </row>
    <row r="1574" spans="1:18" x14ac:dyDescent="0.45">
      <c r="A1574" t="s">
        <v>1266</v>
      </c>
      <c r="B1574">
        <v>8</v>
      </c>
      <c r="C1574" t="str">
        <f>HYPERLINK("http://www.ncbi.nlm.nih.gov/protein/KAG7492743.1","KAG7492743.1")</f>
        <v>KAG7492743.1</v>
      </c>
      <c r="D1574">
        <v>23906</v>
      </c>
      <c r="E1574" t="str">
        <f>HYPERLINK("http://www.ncbi.nlm.nih.gov/Taxonomy/Browser/wwwtax.cgi?mode=Info&amp;id=7932&amp;lvl=3&amp;lin=f&amp;keep=1&amp;srchmode=1&amp;unlock","7932")</f>
        <v>7932</v>
      </c>
      <c r="F1574" t="s">
        <v>17</v>
      </c>
      <c r="G1574" t="str">
        <f>HYPERLINK("http://www.ncbi.nlm.nih.gov/Taxonomy/Browser/wwwtax.cgi?mode=Info&amp;id=7932&amp;lvl=3&amp;lin=f&amp;keep=1&amp;srchmode=1&amp;unlock","Megalops atlanticus")</f>
        <v>Megalops atlanticus</v>
      </c>
      <c r="H1574" t="s">
        <v>44</v>
      </c>
      <c r="I1574" t="str">
        <f>HYPERLINK("http://www.ncbi.nlm.nih.gov/protein/KAG7492743.1","hypothetical protein MATL_G00017210")</f>
        <v>hypothetical protein MATL_G00017210</v>
      </c>
      <c r="J1574">
        <v>9141.93</v>
      </c>
      <c r="K1574" t="s">
        <v>19</v>
      </c>
      <c r="L1574">
        <v>1210</v>
      </c>
      <c r="M1574">
        <v>7.13</v>
      </c>
      <c r="N1574">
        <v>89.08</v>
      </c>
      <c r="O1574" t="s">
        <v>19</v>
      </c>
      <c r="P1574" t="s">
        <v>1267</v>
      </c>
      <c r="Q1574" t="s">
        <v>19</v>
      </c>
      <c r="R1574" t="str">
        <f>HYPERLINK("https://cfpub.epa.gov/ecotox/explore.cfm?ncbi=7932","Explore in ECOTOX")</f>
        <v>Explore in ECOTOX</v>
      </c>
    </row>
    <row r="1575" spans="1:18" x14ac:dyDescent="0.45">
      <c r="A1575" t="s">
        <v>1266</v>
      </c>
      <c r="B1575">
        <v>8</v>
      </c>
      <c r="C1575" t="str">
        <f>HYPERLINK("http://www.ncbi.nlm.nih.gov/protein/XP_060751069.1","XP_060751069.1")</f>
        <v>XP_060751069.1</v>
      </c>
      <c r="D1575">
        <v>64250</v>
      </c>
      <c r="E1575" t="str">
        <f>HYPERLINK("http://www.ncbi.nlm.nih.gov/Taxonomy/Browser/wwwtax.cgi?mode=Info&amp;id=175792&amp;lvl=3&amp;lin=f&amp;keep=1&amp;srchmode=1&amp;unlock","175792")</f>
        <v>175792</v>
      </c>
      <c r="F1575" t="s">
        <v>17</v>
      </c>
      <c r="G1575" t="str">
        <f>HYPERLINK("http://www.ncbi.nlm.nih.gov/Taxonomy/Browser/wwwtax.cgi?mode=Info&amp;id=175792&amp;lvl=3&amp;lin=f&amp;keep=1&amp;srchmode=1&amp;unlock","Tachysurus vachellii")</f>
        <v>Tachysurus vachellii</v>
      </c>
      <c r="H1575" t="s">
        <v>45</v>
      </c>
      <c r="I1575" t="str">
        <f>HYPERLINK("http://www.ncbi.nlm.nih.gov/protein/XP_060751069.1","ryanodine receptor 2")</f>
        <v>ryanodine receptor 2</v>
      </c>
      <c r="J1575">
        <v>9108.7999999999993</v>
      </c>
      <c r="K1575" t="s">
        <v>19</v>
      </c>
      <c r="L1575">
        <v>1210</v>
      </c>
      <c r="M1575">
        <v>7.13</v>
      </c>
      <c r="N1575">
        <v>88.75</v>
      </c>
      <c r="O1575" t="s">
        <v>19</v>
      </c>
      <c r="P1575" t="s">
        <v>1267</v>
      </c>
      <c r="Q1575" t="s">
        <v>19</v>
      </c>
      <c r="R1575" t="str">
        <f>HYPERLINK("https://cfpub.epa.gov/ecotox/explore.cfm?ncbi=175792","Explore in ECOTOX")</f>
        <v>Explore in ECOTOX</v>
      </c>
    </row>
    <row r="1576" spans="1:18" x14ac:dyDescent="0.45">
      <c r="A1576" t="s">
        <v>1266</v>
      </c>
      <c r="B1576">
        <v>8</v>
      </c>
      <c r="C1576" t="str">
        <f>HYPERLINK("http://www.ncbi.nlm.nih.gov/protein/XP_046888335.1","XP_046888335.1")</f>
        <v>XP_046888335.1</v>
      </c>
      <c r="D1576">
        <v>38520</v>
      </c>
      <c r="E1576" t="str">
        <f>HYPERLINK("http://www.ncbi.nlm.nih.gov/Taxonomy/Browser/wwwtax.cgi?mode=Info&amp;id=137520&amp;lvl=3&amp;lin=f&amp;keep=1&amp;srchmode=1&amp;unlock","137520")</f>
        <v>137520</v>
      </c>
      <c r="F1576" t="s">
        <v>17</v>
      </c>
      <c r="G1576" t="str">
        <f>HYPERLINK("http://www.ncbi.nlm.nih.gov/Taxonomy/Browser/wwwtax.cgi?mode=Info&amp;id=137520&amp;lvl=3&amp;lin=f&amp;keep=1&amp;srchmode=1&amp;unlock","Hypomesus transpacificus")</f>
        <v>Hypomesus transpacificus</v>
      </c>
      <c r="H1576" t="s">
        <v>70</v>
      </c>
      <c r="I1576" t="str">
        <f>HYPERLINK("http://www.ncbi.nlm.nih.gov/protein/XP_046888335.1","ryanodine receptor 2")</f>
        <v>ryanodine receptor 2</v>
      </c>
      <c r="J1576">
        <v>9107.26</v>
      </c>
      <c r="K1576" t="s">
        <v>19</v>
      </c>
      <c r="L1576">
        <v>1210</v>
      </c>
      <c r="M1576">
        <v>7.13</v>
      </c>
      <c r="N1576">
        <v>88.74</v>
      </c>
      <c r="O1576" t="s">
        <v>19</v>
      </c>
      <c r="P1576" t="s">
        <v>1267</v>
      </c>
      <c r="Q1576" t="s">
        <v>19</v>
      </c>
      <c r="R1576" t="str">
        <f>HYPERLINK("https://cfpub.epa.gov/ecotox/explore.cfm?ncbi=137520","Explore in ECOTOX")</f>
        <v>Explore in ECOTOX</v>
      </c>
    </row>
    <row r="1577" spans="1:18" x14ac:dyDescent="0.45">
      <c r="A1577" t="s">
        <v>1266</v>
      </c>
      <c r="B1577">
        <v>8</v>
      </c>
      <c r="C1577" t="str">
        <f>HYPERLINK("http://www.ncbi.nlm.nih.gov/protein/XP_048842689.1","XP_048842689.1")</f>
        <v>XP_048842689.1</v>
      </c>
      <c r="D1577">
        <v>62344</v>
      </c>
      <c r="E1577" t="str">
        <f>HYPERLINK("http://www.ncbi.nlm.nih.gov/Taxonomy/Browser/wwwtax.cgi?mode=Info&amp;id=42636&amp;lvl=3&amp;lin=f&amp;keep=1&amp;srchmode=1&amp;unlock","42636")</f>
        <v>42636</v>
      </c>
      <c r="F1577" t="s">
        <v>17</v>
      </c>
      <c r="G1577" t="str">
        <f>HYPERLINK("http://www.ncbi.nlm.nih.gov/Taxonomy/Browser/wwwtax.cgi?mode=Info&amp;id=42636&amp;lvl=3&amp;lin=f&amp;keep=1&amp;srchmode=1&amp;unlock","Brienomyrus brachyistius")</f>
        <v>Brienomyrus brachyistius</v>
      </c>
      <c r="H1577" t="s">
        <v>79</v>
      </c>
      <c r="I1577" t="str">
        <f>HYPERLINK("http://www.ncbi.nlm.nih.gov/protein/XP_048842689.1","ryanodine receptor 2 isoform X3")</f>
        <v>ryanodine receptor 2 isoform X3</v>
      </c>
      <c r="J1577">
        <v>9095.32</v>
      </c>
      <c r="K1577" t="s">
        <v>19</v>
      </c>
      <c r="L1577">
        <v>1210</v>
      </c>
      <c r="M1577">
        <v>7.13</v>
      </c>
      <c r="N1577">
        <v>88.62</v>
      </c>
      <c r="O1577" t="s">
        <v>19</v>
      </c>
      <c r="P1577" t="s">
        <v>1267</v>
      </c>
      <c r="Q1577" t="s">
        <v>19</v>
      </c>
      <c r="R1577" t="str">
        <f>HYPERLINK("https://cfpub.epa.gov/ecotox/explore.cfm?ncbi=42636","Explore in ECOTOX")</f>
        <v>Explore in ECOTOX</v>
      </c>
    </row>
    <row r="1578" spans="1:18" x14ac:dyDescent="0.45">
      <c r="A1578" t="s">
        <v>1266</v>
      </c>
      <c r="B1578">
        <v>8</v>
      </c>
      <c r="C1578" t="str">
        <f>HYPERLINK("http://www.ncbi.nlm.nih.gov/protein/XP_029104698.1","XP_029104698.1")</f>
        <v>XP_029104698.1</v>
      </c>
      <c r="D1578">
        <v>72575</v>
      </c>
      <c r="E1578" t="str">
        <f>HYPERLINK("http://www.ncbi.nlm.nih.gov/Taxonomy/Browser/wwwtax.cgi?mode=Info&amp;id=113540&amp;lvl=3&amp;lin=f&amp;keep=1&amp;srchmode=1&amp;unlock","113540")</f>
        <v>113540</v>
      </c>
      <c r="F1578" t="s">
        <v>17</v>
      </c>
      <c r="G1578" t="str">
        <f>HYPERLINK("http://www.ncbi.nlm.nih.gov/Taxonomy/Browser/wwwtax.cgi?mode=Info&amp;id=113540&amp;lvl=3&amp;lin=f&amp;keep=1&amp;srchmode=1&amp;unlock","Scleropages formosus")</f>
        <v>Scleropages formosus</v>
      </c>
      <c r="H1578" t="s">
        <v>105</v>
      </c>
      <c r="I1578" t="str">
        <f>HYPERLINK("http://www.ncbi.nlm.nih.gov/protein/XP_029104698.1","ryanodine receptor 2 isoform X1")</f>
        <v>ryanodine receptor 2 isoform X1</v>
      </c>
      <c r="J1578">
        <v>9074.9</v>
      </c>
      <c r="K1578" t="s">
        <v>19</v>
      </c>
      <c r="L1578">
        <v>1210</v>
      </c>
      <c r="M1578">
        <v>7.13</v>
      </c>
      <c r="N1578">
        <v>88.42</v>
      </c>
      <c r="O1578" t="s">
        <v>19</v>
      </c>
      <c r="P1578" t="s">
        <v>1267</v>
      </c>
      <c r="Q1578" t="s">
        <v>19</v>
      </c>
      <c r="R1578" t="str">
        <f>HYPERLINK("https://cfpub.epa.gov/ecotox/explore.cfm?ncbi=113540","Explore in ECOTOX")</f>
        <v>Explore in ECOTOX</v>
      </c>
    </row>
    <row r="1579" spans="1:18" x14ac:dyDescent="0.45">
      <c r="A1579" t="s">
        <v>1266</v>
      </c>
      <c r="B1579">
        <v>8</v>
      </c>
      <c r="C1579" t="str">
        <f>HYPERLINK("http://www.ncbi.nlm.nih.gov/protein/KAI1886940.1","KAI1886940.1")</f>
        <v>KAI1886940.1</v>
      </c>
      <c r="D1579">
        <v>23597</v>
      </c>
      <c r="E1579" t="str">
        <f>HYPERLINK("http://www.ncbi.nlm.nih.gov/Taxonomy/Browser/wwwtax.cgi?mode=Info&amp;id=1534307&amp;lvl=3&amp;lin=f&amp;keep=1&amp;srchmode=1&amp;unlock","1534307")</f>
        <v>1534307</v>
      </c>
      <c r="F1579" t="s">
        <v>17</v>
      </c>
      <c r="G1579" t="str">
        <f>HYPERLINK("http://www.ncbi.nlm.nih.gov/Taxonomy/Browser/wwwtax.cgi?mode=Info&amp;id=1534307&amp;lvl=3&amp;lin=f&amp;keep=1&amp;srchmode=1&amp;unlock","Albula goreensis")</f>
        <v>Albula goreensis</v>
      </c>
      <c r="H1579" t="s">
        <v>110</v>
      </c>
      <c r="I1579" t="str">
        <f>HYPERLINK("http://www.ncbi.nlm.nih.gov/protein/KAI1886940.1","hypothetical protein AGOR_G00200940")</f>
        <v>hypothetical protein AGOR_G00200940</v>
      </c>
      <c r="J1579">
        <v>9040.6200000000008</v>
      </c>
      <c r="K1579" t="s">
        <v>19</v>
      </c>
      <c r="L1579">
        <v>1210</v>
      </c>
      <c r="M1579">
        <v>7.13</v>
      </c>
      <c r="N1579">
        <v>88.09</v>
      </c>
      <c r="O1579" t="s">
        <v>19</v>
      </c>
      <c r="P1579" t="s">
        <v>1267</v>
      </c>
      <c r="Q1579" t="s">
        <v>19</v>
      </c>
      <c r="R1579" t="str">
        <f>HYPERLINK("https://cfpub.epa.gov/ecotox/explore.cfm?ncbi=1534307","Explore in ECOTOX")</f>
        <v>Explore in ECOTOX</v>
      </c>
    </row>
    <row r="1580" spans="1:18" x14ac:dyDescent="0.45">
      <c r="A1580" t="s">
        <v>1266</v>
      </c>
      <c r="B1580">
        <v>8</v>
      </c>
      <c r="C1580" t="str">
        <f>HYPERLINK("http://www.ncbi.nlm.nih.gov/protein/XP_041938494.1","XP_041938494.1")</f>
        <v>XP_041938494.1</v>
      </c>
      <c r="D1580">
        <v>56130</v>
      </c>
      <c r="E1580" t="str">
        <f>HYPERLINK("http://www.ncbi.nlm.nih.gov/Taxonomy/Browser/wwwtax.cgi?mode=Info&amp;id=34773&amp;lvl=3&amp;lin=f&amp;keep=1&amp;srchmode=1&amp;unlock","34773")</f>
        <v>34773</v>
      </c>
      <c r="F1580" t="s">
        <v>17</v>
      </c>
      <c r="G1580" t="str">
        <f>HYPERLINK("http://www.ncbi.nlm.nih.gov/Taxonomy/Browser/wwwtax.cgi?mode=Info&amp;id=34773&amp;lvl=3&amp;lin=f&amp;keep=1&amp;srchmode=1&amp;unlock","Alosa sapidissima")</f>
        <v>Alosa sapidissima</v>
      </c>
      <c r="H1580" t="s">
        <v>46</v>
      </c>
      <c r="I1580" t="str">
        <f>HYPERLINK("http://www.ncbi.nlm.nih.gov/protein/XP_041938494.1","ryanodine receptor 2 isoform X1")</f>
        <v>ryanodine receptor 2 isoform X1</v>
      </c>
      <c r="J1580">
        <v>9040.23</v>
      </c>
      <c r="K1580" t="s">
        <v>19</v>
      </c>
      <c r="L1580">
        <v>1210</v>
      </c>
      <c r="M1580">
        <v>7.13</v>
      </c>
      <c r="N1580">
        <v>88.09</v>
      </c>
      <c r="O1580" t="s">
        <v>19</v>
      </c>
      <c r="P1580" t="s">
        <v>1267</v>
      </c>
      <c r="Q1580" t="s">
        <v>19</v>
      </c>
      <c r="R1580" t="str">
        <f>HYPERLINK("https://cfpub.epa.gov/ecotox/explore.cfm?ncbi=34773","Explore in ECOTOX")</f>
        <v>Explore in ECOTOX</v>
      </c>
    </row>
    <row r="1581" spans="1:18" x14ac:dyDescent="0.45">
      <c r="A1581" t="s">
        <v>1266</v>
      </c>
      <c r="B1581">
        <v>8</v>
      </c>
      <c r="C1581" t="str">
        <f>HYPERLINK("http://www.ncbi.nlm.nih.gov/protein/XP_048089636.1","XP_048089636.1")</f>
        <v>XP_048089636.1</v>
      </c>
      <c r="D1581">
        <v>70070</v>
      </c>
      <c r="E1581" t="str">
        <f>HYPERLINK("http://www.ncbi.nlm.nih.gov/Taxonomy/Browser/wwwtax.cgi?mode=Info&amp;id=278164&amp;lvl=3&amp;lin=f&amp;keep=1&amp;srchmode=1&amp;unlock","278164")</f>
        <v>278164</v>
      </c>
      <c r="F1581" t="s">
        <v>17</v>
      </c>
      <c r="G1581" t="str">
        <f>HYPERLINK("http://www.ncbi.nlm.nih.gov/Taxonomy/Browser/wwwtax.cgi?mode=Info&amp;id=278164&amp;lvl=3&amp;lin=f&amp;keep=1&amp;srchmode=1&amp;unlock","Alosa alosa")</f>
        <v>Alosa alosa</v>
      </c>
      <c r="H1581" t="s">
        <v>201</v>
      </c>
      <c r="I1581" t="str">
        <f>HYPERLINK("http://www.ncbi.nlm.nih.gov/protein/XP_048089636.1","ryanodine receptor 2 isoform X1")</f>
        <v>ryanodine receptor 2 isoform X1</v>
      </c>
      <c r="J1581">
        <v>9037.92</v>
      </c>
      <c r="K1581" t="s">
        <v>19</v>
      </c>
      <c r="L1581">
        <v>1210</v>
      </c>
      <c r="M1581">
        <v>7.13</v>
      </c>
      <c r="N1581">
        <v>88.06</v>
      </c>
      <c r="O1581" t="s">
        <v>19</v>
      </c>
      <c r="P1581" t="s">
        <v>1267</v>
      </c>
      <c r="Q1581" t="s">
        <v>19</v>
      </c>
      <c r="R1581" t="str">
        <f>HYPERLINK("https://cfpub.epa.gov/ecotox/explore.cfm?ncbi=278164","Explore in ECOTOX")</f>
        <v>Explore in ECOTOX</v>
      </c>
    </row>
    <row r="1582" spans="1:18" x14ac:dyDescent="0.45">
      <c r="A1582" t="s">
        <v>1266</v>
      </c>
      <c r="B1582">
        <v>8</v>
      </c>
      <c r="C1582" t="str">
        <f>HYPERLINK("http://www.ncbi.nlm.nih.gov/protein/XP_015218326.1","XP_015218326.1")</f>
        <v>XP_015218326.1</v>
      </c>
      <c r="D1582">
        <v>41888</v>
      </c>
      <c r="E1582" t="str">
        <f>HYPERLINK("http://www.ncbi.nlm.nih.gov/Taxonomy/Browser/wwwtax.cgi?mode=Info&amp;id=7918&amp;lvl=3&amp;lin=f&amp;keep=1&amp;srchmode=1&amp;unlock","7918")</f>
        <v>7918</v>
      </c>
      <c r="F1582" t="s">
        <v>17</v>
      </c>
      <c r="G1582" t="str">
        <f>HYPERLINK("http://www.ncbi.nlm.nih.gov/Taxonomy/Browser/wwwtax.cgi?mode=Info&amp;id=7918&amp;lvl=3&amp;lin=f&amp;keep=1&amp;srchmode=1&amp;unlock","Lepisosteus oculatus")</f>
        <v>Lepisosteus oculatus</v>
      </c>
      <c r="H1582" t="s">
        <v>240</v>
      </c>
      <c r="I1582" t="str">
        <f>HYPERLINK("http://www.ncbi.nlm.nih.gov/protein/XP_015218326.1","PREDICTED: ryanodine receptor 2 isoform X7")</f>
        <v>PREDICTED: ryanodine receptor 2 isoform X7</v>
      </c>
      <c r="J1582">
        <v>9024.83</v>
      </c>
      <c r="K1582" t="s">
        <v>19</v>
      </c>
      <c r="L1582">
        <v>1210</v>
      </c>
      <c r="M1582">
        <v>7.13</v>
      </c>
      <c r="N1582">
        <v>87.94</v>
      </c>
      <c r="O1582" t="s">
        <v>19</v>
      </c>
      <c r="P1582" t="s">
        <v>1267</v>
      </c>
      <c r="Q1582" t="s">
        <v>19</v>
      </c>
      <c r="R1582" t="str">
        <f>HYPERLINK("https://cfpub.epa.gov/ecotox/explore.cfm?ncbi=7918","Explore in ECOTOX")</f>
        <v>Explore in ECOTOX</v>
      </c>
    </row>
    <row r="1583" spans="1:18" x14ac:dyDescent="0.45">
      <c r="A1583" t="s">
        <v>1266</v>
      </c>
      <c r="B1583">
        <v>8</v>
      </c>
      <c r="C1583" t="str">
        <f>HYPERLINK("http://www.ncbi.nlm.nih.gov/protein/XP_035389751.1","XP_035389751.1")</f>
        <v>XP_035389751.1</v>
      </c>
      <c r="D1583">
        <v>45401</v>
      </c>
      <c r="E1583" t="str">
        <f>HYPERLINK("http://www.ncbi.nlm.nih.gov/Taxonomy/Browser/wwwtax.cgi?mode=Info&amp;id=8005&amp;lvl=3&amp;lin=f&amp;keep=1&amp;srchmode=1&amp;unlock","8005")</f>
        <v>8005</v>
      </c>
      <c r="F1583" t="s">
        <v>17</v>
      </c>
      <c r="G1583" t="str">
        <f>HYPERLINK("http://www.ncbi.nlm.nih.gov/Taxonomy/Browser/wwwtax.cgi?mode=Info&amp;id=8005&amp;lvl=3&amp;lin=f&amp;keep=1&amp;srchmode=1&amp;unlock","Electrophorus electricus")</f>
        <v>Electrophorus electricus</v>
      </c>
      <c r="H1583" t="s">
        <v>51</v>
      </c>
      <c r="I1583" t="str">
        <f>HYPERLINK("http://www.ncbi.nlm.nih.gov/protein/XP_035389751.1","ryanodine receptor 2 isoform X1")</f>
        <v>ryanodine receptor 2 isoform X1</v>
      </c>
      <c r="J1583">
        <v>9006.7199999999993</v>
      </c>
      <c r="K1583" t="s">
        <v>19</v>
      </c>
      <c r="L1583">
        <v>1210</v>
      </c>
      <c r="M1583">
        <v>7.13</v>
      </c>
      <c r="N1583">
        <v>87.76</v>
      </c>
      <c r="O1583" t="s">
        <v>19</v>
      </c>
      <c r="P1583" t="s">
        <v>1267</v>
      </c>
      <c r="Q1583" t="s">
        <v>19</v>
      </c>
      <c r="R1583" t="str">
        <f>HYPERLINK("https://cfpub.epa.gov/ecotox/explore.cfm?ncbi=8005","Explore in ECOTOX")</f>
        <v>Explore in ECOTOX</v>
      </c>
    </row>
    <row r="1584" spans="1:18" x14ac:dyDescent="0.45">
      <c r="A1584" t="s">
        <v>1266</v>
      </c>
      <c r="B1584">
        <v>8</v>
      </c>
      <c r="C1584" t="str">
        <f>HYPERLINK("http://www.ncbi.nlm.nih.gov/protein/XP_033467469.1","XP_033467469.1")</f>
        <v>XP_033467469.1</v>
      </c>
      <c r="D1584">
        <v>43085</v>
      </c>
      <c r="E1584" t="str">
        <f>HYPERLINK("http://www.ncbi.nlm.nih.gov/Taxonomy/Browser/wwwtax.cgi?mode=Info&amp;id=310571&amp;lvl=3&amp;lin=f&amp;keep=1&amp;srchmode=1&amp;unlock","310571")</f>
        <v>310571</v>
      </c>
      <c r="F1584" t="s">
        <v>17</v>
      </c>
      <c r="G1584" t="str">
        <f>HYPERLINK("http://www.ncbi.nlm.nih.gov/Taxonomy/Browser/wwwtax.cgi?mode=Info&amp;id=310571&amp;lvl=3&amp;lin=f&amp;keep=1&amp;srchmode=1&amp;unlock","Epinephelus lanceolatus")</f>
        <v>Epinephelus lanceolatus</v>
      </c>
      <c r="H1584" t="s">
        <v>335</v>
      </c>
      <c r="I1584" t="str">
        <f>HYPERLINK("http://www.ncbi.nlm.nih.gov/protein/XP_033467469.1","ryanodine receptor 2-like isoform X2")</f>
        <v>ryanodine receptor 2-like isoform X2</v>
      </c>
      <c r="J1584">
        <v>8970.51</v>
      </c>
      <c r="K1584" t="s">
        <v>19</v>
      </c>
      <c r="L1584">
        <v>1210</v>
      </c>
      <c r="M1584">
        <v>7.13</v>
      </c>
      <c r="N1584">
        <v>87.41</v>
      </c>
      <c r="O1584" t="s">
        <v>19</v>
      </c>
      <c r="P1584" t="s">
        <v>1267</v>
      </c>
      <c r="Q1584" t="s">
        <v>19</v>
      </c>
      <c r="R1584" t="str">
        <f>HYPERLINK("https://cfpub.epa.gov/ecotox/explore.cfm?ncbi=310571","Explore in ECOTOX")</f>
        <v>Explore in ECOTOX</v>
      </c>
    </row>
    <row r="1585" spans="1:18" x14ac:dyDescent="0.45">
      <c r="A1585" t="s">
        <v>1266</v>
      </c>
      <c r="B1585">
        <v>8</v>
      </c>
      <c r="C1585" t="str">
        <f>HYPERLINK("http://www.ncbi.nlm.nih.gov/protein/XP_031416799.1","XP_031416799.1")</f>
        <v>XP_031416799.1</v>
      </c>
      <c r="D1585">
        <v>47169</v>
      </c>
      <c r="E1585" t="str">
        <f>HYPERLINK("http://www.ncbi.nlm.nih.gov/Taxonomy/Browser/wwwtax.cgi?mode=Info&amp;id=7950&amp;lvl=3&amp;lin=f&amp;keep=1&amp;srchmode=1&amp;unlock","7950")</f>
        <v>7950</v>
      </c>
      <c r="F1585" t="s">
        <v>17</v>
      </c>
      <c r="G1585" t="str">
        <f>HYPERLINK("http://www.ncbi.nlm.nih.gov/Taxonomy/Browser/wwwtax.cgi?mode=Info&amp;id=7950&amp;lvl=3&amp;lin=f&amp;keep=1&amp;srchmode=1&amp;unlock","Clupea harengus")</f>
        <v>Clupea harengus</v>
      </c>
      <c r="H1585" t="s">
        <v>375</v>
      </c>
      <c r="I1585" t="str">
        <f>HYPERLINK("http://www.ncbi.nlm.nih.gov/protein/XP_031416799.1","ryanodine receptor 2 isoform X2")</f>
        <v>ryanodine receptor 2 isoform X2</v>
      </c>
      <c r="J1585">
        <v>8968.2000000000007</v>
      </c>
      <c r="K1585" t="s">
        <v>19</v>
      </c>
      <c r="L1585">
        <v>1210</v>
      </c>
      <c r="M1585">
        <v>7.13</v>
      </c>
      <c r="N1585">
        <v>87.38</v>
      </c>
      <c r="O1585" t="s">
        <v>19</v>
      </c>
      <c r="P1585" t="s">
        <v>1267</v>
      </c>
      <c r="Q1585" t="s">
        <v>19</v>
      </c>
      <c r="R1585" t="str">
        <f>HYPERLINK("https://cfpub.epa.gov/ecotox/explore.cfm?ncbi=7950","Explore in ECOTOX")</f>
        <v>Explore in ECOTOX</v>
      </c>
    </row>
    <row r="1586" spans="1:18" x14ac:dyDescent="0.45">
      <c r="A1586" t="s">
        <v>1266</v>
      </c>
      <c r="B1586">
        <v>8</v>
      </c>
      <c r="C1586" t="str">
        <f>HYPERLINK("http://www.ncbi.nlm.nih.gov/protein/XP_027145188.1","XP_027145188.1")</f>
        <v>XP_027145188.1</v>
      </c>
      <c r="D1586">
        <v>94610</v>
      </c>
      <c r="E1586" t="str">
        <f>HYPERLINK("http://www.ncbi.nlm.nih.gov/Taxonomy/Browser/wwwtax.cgi?mode=Info&amp;id=215358&amp;lvl=3&amp;lin=f&amp;keep=1&amp;srchmode=1&amp;unlock","215358")</f>
        <v>215358</v>
      </c>
      <c r="F1586" t="s">
        <v>17</v>
      </c>
      <c r="G1586" t="str">
        <f>HYPERLINK("http://www.ncbi.nlm.nih.gov/Taxonomy/Browser/wwwtax.cgi?mode=Info&amp;id=215358&amp;lvl=3&amp;lin=f&amp;keep=1&amp;srchmode=1&amp;unlock","Larimichthys crocea")</f>
        <v>Larimichthys crocea</v>
      </c>
      <c r="H1586" t="s">
        <v>55</v>
      </c>
      <c r="I1586" t="str">
        <f>HYPERLINK("http://www.ncbi.nlm.nih.gov/protein/XP_027145188.1","ryanodine receptor 2 isoform X1")</f>
        <v>ryanodine receptor 2 isoform X1</v>
      </c>
      <c r="J1586">
        <v>8952.02</v>
      </c>
      <c r="K1586" t="s">
        <v>19</v>
      </c>
      <c r="L1586">
        <v>1210</v>
      </c>
      <c r="M1586">
        <v>7.13</v>
      </c>
      <c r="N1586">
        <v>87.23</v>
      </c>
      <c r="O1586" t="s">
        <v>19</v>
      </c>
      <c r="P1586" t="s">
        <v>1267</v>
      </c>
      <c r="Q1586" t="s">
        <v>19</v>
      </c>
      <c r="R1586" t="str">
        <f>HYPERLINK("https://cfpub.epa.gov/ecotox/explore.cfm?ncbi=215358","Explore in ECOTOX")</f>
        <v>Explore in ECOTOX</v>
      </c>
    </row>
    <row r="1587" spans="1:18" x14ac:dyDescent="0.45">
      <c r="A1587" t="s">
        <v>1266</v>
      </c>
      <c r="B1587">
        <v>8</v>
      </c>
      <c r="C1587" t="str">
        <f>HYPERLINK("http://www.ncbi.nlm.nih.gov/protein/XP_049418693.1","XP_049418693.1")</f>
        <v>XP_049418693.1</v>
      </c>
      <c r="D1587">
        <v>45353</v>
      </c>
      <c r="E1587" t="str">
        <f>HYPERLINK("http://www.ncbi.nlm.nih.gov/Taxonomy/Browser/wwwtax.cgi?mode=Info&amp;id=293821&amp;lvl=3&amp;lin=f&amp;keep=1&amp;srchmode=1&amp;unlock","293821")</f>
        <v>293821</v>
      </c>
      <c r="F1587" t="s">
        <v>17</v>
      </c>
      <c r="G1587" t="str">
        <f>HYPERLINK("http://www.ncbi.nlm.nih.gov/Taxonomy/Browser/wwwtax.cgi?mode=Info&amp;id=293821&amp;lvl=3&amp;lin=f&amp;keep=1&amp;srchmode=1&amp;unlock","Epinephelus fuscoguttatus")</f>
        <v>Epinephelus fuscoguttatus</v>
      </c>
      <c r="H1587" t="s">
        <v>366</v>
      </c>
      <c r="I1587" t="str">
        <f>HYPERLINK("http://www.ncbi.nlm.nih.gov/protein/XP_049418693.1","ryanodine receptor 2")</f>
        <v>ryanodine receptor 2</v>
      </c>
      <c r="J1587">
        <v>8939.7000000000007</v>
      </c>
      <c r="K1587" t="s">
        <v>19</v>
      </c>
      <c r="L1587">
        <v>1210</v>
      </c>
      <c r="M1587">
        <v>7.13</v>
      </c>
      <c r="N1587">
        <v>87.11</v>
      </c>
      <c r="O1587" t="s">
        <v>19</v>
      </c>
      <c r="P1587" t="s">
        <v>1267</v>
      </c>
      <c r="Q1587" t="s">
        <v>19</v>
      </c>
      <c r="R1587" t="str">
        <f>HYPERLINK("https://cfpub.epa.gov/ecotox/explore.cfm?ncbi=293821","Explore in ECOTOX")</f>
        <v>Explore in ECOTOX</v>
      </c>
    </row>
    <row r="1588" spans="1:18" x14ac:dyDescent="0.45">
      <c r="A1588" t="s">
        <v>1266</v>
      </c>
      <c r="B1588">
        <v>8</v>
      </c>
      <c r="C1588" t="str">
        <f>HYPERLINK("http://www.ncbi.nlm.nih.gov/protein/XP_042363756.1","XP_042363756.1")</f>
        <v>XP_042363756.1</v>
      </c>
      <c r="D1588">
        <v>36414</v>
      </c>
      <c r="E1588" t="str">
        <f>HYPERLINK("http://www.ncbi.nlm.nih.gov/Taxonomy/Browser/wwwtax.cgi?mode=Info&amp;id=160734&amp;lvl=3&amp;lin=f&amp;keep=1&amp;srchmode=1&amp;unlock","160734")</f>
        <v>160734</v>
      </c>
      <c r="F1588" t="s">
        <v>17</v>
      </c>
      <c r="G1588" t="str">
        <f>HYPERLINK("http://www.ncbi.nlm.nih.gov/Taxonomy/Browser/wwwtax.cgi?mode=Info&amp;id=160734&amp;lvl=3&amp;lin=f&amp;keep=1&amp;srchmode=1&amp;unlock","Plectropomus leopardus")</f>
        <v>Plectropomus leopardus</v>
      </c>
      <c r="H1588" t="s">
        <v>391</v>
      </c>
      <c r="I1588" t="str">
        <f>HYPERLINK("http://www.ncbi.nlm.nih.gov/protein/XP_042363756.1","ryanodine receptor 2")</f>
        <v>ryanodine receptor 2</v>
      </c>
      <c r="J1588">
        <v>8924.67</v>
      </c>
      <c r="K1588" t="s">
        <v>19</v>
      </c>
      <c r="L1588">
        <v>1210</v>
      </c>
      <c r="M1588">
        <v>7.13</v>
      </c>
      <c r="N1588">
        <v>86.96</v>
      </c>
      <c r="O1588" t="s">
        <v>19</v>
      </c>
      <c r="P1588" t="s">
        <v>1267</v>
      </c>
      <c r="Q1588" t="s">
        <v>19</v>
      </c>
      <c r="R1588" t="str">
        <f>HYPERLINK("https://cfpub.epa.gov/ecotox/explore.cfm?ncbi=160734","Explore in ECOTOX")</f>
        <v>Explore in ECOTOX</v>
      </c>
    </row>
    <row r="1589" spans="1:18" x14ac:dyDescent="0.45">
      <c r="A1589" t="s">
        <v>1266</v>
      </c>
      <c r="B1589">
        <v>8</v>
      </c>
      <c r="C1589" t="str">
        <f>HYPERLINK("http://www.ncbi.nlm.nih.gov/protein/XP_030255112.1","XP_030255112.1")</f>
        <v>XP_030255112.1</v>
      </c>
      <c r="D1589">
        <v>54212</v>
      </c>
      <c r="E1589" t="str">
        <f>HYPERLINK("http://www.ncbi.nlm.nih.gov/Taxonomy/Browser/wwwtax.cgi?mode=Info&amp;id=8175&amp;lvl=3&amp;lin=f&amp;keep=1&amp;srchmode=1&amp;unlock","8175")</f>
        <v>8175</v>
      </c>
      <c r="F1589" t="s">
        <v>17</v>
      </c>
      <c r="G1589" t="str">
        <f>HYPERLINK("http://www.ncbi.nlm.nih.gov/Taxonomy/Browser/wwwtax.cgi?mode=Info&amp;id=8175&amp;lvl=3&amp;lin=f&amp;keep=1&amp;srchmode=1&amp;unlock","Sparus aurata")</f>
        <v>Sparus aurata</v>
      </c>
      <c r="H1589" t="s">
        <v>84</v>
      </c>
      <c r="I1589" t="str">
        <f>HYPERLINK("http://www.ncbi.nlm.nih.gov/protein/XP_030255112.1","ryanodine receptor 2 isoform X1")</f>
        <v>ryanodine receptor 2 isoform X1</v>
      </c>
      <c r="J1589">
        <v>8916.9699999999993</v>
      </c>
      <c r="K1589" t="s">
        <v>19</v>
      </c>
      <c r="L1589">
        <v>1210</v>
      </c>
      <c r="M1589">
        <v>7.13</v>
      </c>
      <c r="N1589">
        <v>86.89</v>
      </c>
      <c r="O1589" t="s">
        <v>19</v>
      </c>
      <c r="P1589" t="s">
        <v>1267</v>
      </c>
      <c r="Q1589" t="s">
        <v>19</v>
      </c>
      <c r="R1589" t="str">
        <f>HYPERLINK("https://cfpub.epa.gov/ecotox/explore.cfm?ncbi=8175","Explore in ECOTOX")</f>
        <v>Explore in ECOTOX</v>
      </c>
    </row>
    <row r="1590" spans="1:18" x14ac:dyDescent="0.45">
      <c r="A1590" t="s">
        <v>1266</v>
      </c>
      <c r="B1590">
        <v>8</v>
      </c>
      <c r="C1590" t="str">
        <f>HYPERLINK("http://www.ncbi.nlm.nih.gov/protein/XP_056222884.1","XP_056222884.1")</f>
        <v>XP_056222884.1</v>
      </c>
      <c r="D1590">
        <v>42717</v>
      </c>
      <c r="E1590" t="str">
        <f>HYPERLINK("http://www.ncbi.nlm.nih.gov/Taxonomy/Browser/wwwtax.cgi?mode=Info&amp;id=2871759&amp;lvl=3&amp;lin=f&amp;keep=1&amp;srchmode=1&amp;unlock","2871759")</f>
        <v>2871759</v>
      </c>
      <c r="F1590" t="s">
        <v>17</v>
      </c>
      <c r="G1590" t="str">
        <f>HYPERLINK("http://www.ncbi.nlm.nih.gov/Taxonomy/Browser/wwwtax.cgi?mode=Info&amp;id=2871759&amp;lvl=3&amp;lin=f&amp;keep=1&amp;srchmode=1&amp;unlock","Seriola aureovittata")</f>
        <v>Seriola aureovittata</v>
      </c>
      <c r="H1590" t="s">
        <v>54</v>
      </c>
      <c r="I1590" t="str">
        <f>HYPERLINK("http://www.ncbi.nlm.nih.gov/protein/XP_056222884.1","ryanodine receptor 2 isoform X1")</f>
        <v>ryanodine receptor 2 isoform X1</v>
      </c>
      <c r="J1590">
        <v>8916.9699999999993</v>
      </c>
      <c r="K1590" t="s">
        <v>19</v>
      </c>
      <c r="L1590">
        <v>1210</v>
      </c>
      <c r="M1590">
        <v>7.13</v>
      </c>
      <c r="N1590">
        <v>86.89</v>
      </c>
      <c r="O1590" t="s">
        <v>19</v>
      </c>
      <c r="P1590" t="s">
        <v>1267</v>
      </c>
      <c r="Q1590" t="s">
        <v>19</v>
      </c>
      <c r="R1590" t="str">
        <f>HYPERLINK("https://cfpub.epa.gov/ecotox/explore.cfm?ncbi=2871759","Explore in ECOTOX")</f>
        <v>Explore in ECOTOX</v>
      </c>
    </row>
    <row r="1591" spans="1:18" x14ac:dyDescent="0.45">
      <c r="A1591" t="s">
        <v>1266</v>
      </c>
      <c r="B1591">
        <v>8</v>
      </c>
      <c r="C1591" t="str">
        <f>HYPERLINK("http://www.ncbi.nlm.nih.gov/protein/XP_023686623.1","XP_023686623.1")</f>
        <v>XP_023686623.1</v>
      </c>
      <c r="D1591">
        <v>55302</v>
      </c>
      <c r="E1591" t="str">
        <f>HYPERLINK("http://www.ncbi.nlm.nih.gov/Taxonomy/Browser/wwwtax.cgi?mode=Info&amp;id=1676925&amp;lvl=3&amp;lin=f&amp;keep=1&amp;srchmode=1&amp;unlock","1676925")</f>
        <v>1676925</v>
      </c>
      <c r="F1591" t="s">
        <v>17</v>
      </c>
      <c r="G1591" t="str">
        <f>HYPERLINK("http://www.ncbi.nlm.nih.gov/Taxonomy/Browser/wwwtax.cgi?mode=Info&amp;id=1676925&amp;lvl=3&amp;lin=f&amp;keep=1&amp;srchmode=1&amp;unlock","Paramormyrops kingsleyae")</f>
        <v>Paramormyrops kingsleyae</v>
      </c>
      <c r="H1591" t="s">
        <v>79</v>
      </c>
      <c r="I1591" t="str">
        <f>HYPERLINK("http://www.ncbi.nlm.nih.gov/protein/XP_023686623.1","ryanodine receptor 2 isoform X4")</f>
        <v>ryanodine receptor 2 isoform X4</v>
      </c>
      <c r="J1591">
        <v>8910.0400000000009</v>
      </c>
      <c r="K1591" t="s">
        <v>19</v>
      </c>
      <c r="L1591">
        <v>1210</v>
      </c>
      <c r="M1591">
        <v>7.13</v>
      </c>
      <c r="N1591">
        <v>86.82</v>
      </c>
      <c r="O1591" t="s">
        <v>19</v>
      </c>
      <c r="P1591" t="s">
        <v>1267</v>
      </c>
      <c r="Q1591" t="s">
        <v>19</v>
      </c>
      <c r="R1591" t="str">
        <f>HYPERLINK("https://cfpub.epa.gov/ecotox/explore.cfm?ncbi=1676925","Explore in ECOTOX")</f>
        <v>Explore in ECOTOX</v>
      </c>
    </row>
    <row r="1592" spans="1:18" x14ac:dyDescent="0.45">
      <c r="A1592" t="s">
        <v>1266</v>
      </c>
      <c r="B1592">
        <v>8</v>
      </c>
      <c r="C1592" t="str">
        <f>HYPERLINK("http://www.ncbi.nlm.nih.gov/protein/XP_059180664.1","XP_059180664.1")</f>
        <v>XP_059180664.1</v>
      </c>
      <c r="D1592">
        <v>36369</v>
      </c>
      <c r="E1592" t="str">
        <f>HYPERLINK("http://www.ncbi.nlm.nih.gov/Taxonomy/Browser/wwwtax.cgi?mode=Info&amp;id=184440&amp;lvl=3&amp;lin=f&amp;keep=1&amp;srchmode=1&amp;unlock","184440")</f>
        <v>184440</v>
      </c>
      <c r="F1592" t="s">
        <v>17</v>
      </c>
      <c r="G1592" t="str">
        <f>HYPERLINK("http://www.ncbi.nlm.nih.gov/Taxonomy/Browser/wwwtax.cgi?mode=Info&amp;id=184440&amp;lvl=3&amp;lin=f&amp;keep=1&amp;srchmode=1&amp;unlock","Centropristis striata")</f>
        <v>Centropristis striata</v>
      </c>
      <c r="H1592" t="s">
        <v>397</v>
      </c>
      <c r="I1592" t="str">
        <f>HYPERLINK("http://www.ncbi.nlm.nih.gov/protein/XP_059180664.1","ryanodine receptor 2-like")</f>
        <v>ryanodine receptor 2-like</v>
      </c>
      <c r="J1592">
        <v>8903.49</v>
      </c>
      <c r="K1592" t="s">
        <v>19</v>
      </c>
      <c r="L1592">
        <v>1210</v>
      </c>
      <c r="M1592">
        <v>7.13</v>
      </c>
      <c r="N1592">
        <v>86.75</v>
      </c>
      <c r="O1592" t="s">
        <v>19</v>
      </c>
      <c r="P1592" t="s">
        <v>1267</v>
      </c>
      <c r="Q1592" t="s">
        <v>19</v>
      </c>
      <c r="R1592" t="str">
        <f>HYPERLINK("https://cfpub.epa.gov/ecotox/explore.cfm?ncbi=184440","Explore in ECOTOX")</f>
        <v>Explore in ECOTOX</v>
      </c>
    </row>
    <row r="1593" spans="1:18" x14ac:dyDescent="0.45">
      <c r="A1593" t="s">
        <v>1266</v>
      </c>
      <c r="B1593">
        <v>8</v>
      </c>
      <c r="C1593" t="str">
        <f>HYPERLINK("http://www.ncbi.nlm.nih.gov/protein/XP_051273064.1","XP_051273064.1")</f>
        <v>XP_051273064.1</v>
      </c>
      <c r="D1593">
        <v>57329</v>
      </c>
      <c r="E1593" t="str">
        <f>HYPERLINK("http://www.ncbi.nlm.nih.gov/Taxonomy/Browser/wwwtax.cgi?mode=Info&amp;id=13489&amp;lvl=3&amp;lin=f&amp;keep=1&amp;srchmode=1&amp;unlock","13489")</f>
        <v>13489</v>
      </c>
      <c r="F1593" t="s">
        <v>17</v>
      </c>
      <c r="G1593" t="str">
        <f>HYPERLINK("http://www.ncbi.nlm.nih.gov/Taxonomy/Browser/wwwtax.cgi?mode=Info&amp;id=13489&amp;lvl=3&amp;lin=f&amp;keep=1&amp;srchmode=1&amp;unlock","Dicentrarchus labrax")</f>
        <v>Dicentrarchus labrax</v>
      </c>
      <c r="H1593" t="s">
        <v>77</v>
      </c>
      <c r="I1593" t="str">
        <f>HYPERLINK("http://www.ncbi.nlm.nih.gov/protein/XP_051273064.1","ryanodine receptor 2 isoform X1")</f>
        <v>ryanodine receptor 2 isoform X1</v>
      </c>
      <c r="J1593">
        <v>8901.56</v>
      </c>
      <c r="K1593" t="s">
        <v>19</v>
      </c>
      <c r="L1593">
        <v>1210</v>
      </c>
      <c r="M1593">
        <v>7.13</v>
      </c>
      <c r="N1593">
        <v>86.74</v>
      </c>
      <c r="O1593" t="s">
        <v>19</v>
      </c>
      <c r="P1593" t="s">
        <v>1267</v>
      </c>
      <c r="Q1593" t="s">
        <v>19</v>
      </c>
      <c r="R1593" t="str">
        <f>HYPERLINK("https://cfpub.epa.gov/ecotox/explore.cfm?ncbi=13489","Explore in ECOTOX")</f>
        <v>Explore in ECOTOX</v>
      </c>
    </row>
    <row r="1594" spans="1:18" x14ac:dyDescent="0.45">
      <c r="A1594" t="s">
        <v>1266</v>
      </c>
      <c r="B1594">
        <v>8</v>
      </c>
      <c r="C1594" t="str">
        <f>HYPERLINK("http://www.ncbi.nlm.nih.gov/protein/XP_036936940.1","XP_036936940.1")</f>
        <v>XP_036936940.1</v>
      </c>
      <c r="D1594">
        <v>54713</v>
      </c>
      <c r="E1594" t="str">
        <f>HYPERLINK("http://www.ncbi.nlm.nih.gov/Taxonomy/Browser/wwwtax.cgi?mode=Info&amp;id=8177&amp;lvl=3&amp;lin=f&amp;keep=1&amp;srchmode=1&amp;unlock","8177")</f>
        <v>8177</v>
      </c>
      <c r="F1594" t="s">
        <v>17</v>
      </c>
      <c r="G1594" t="str">
        <f>HYPERLINK("http://www.ncbi.nlm.nih.gov/Taxonomy/Browser/wwwtax.cgi?mode=Info&amp;id=8177&amp;lvl=3&amp;lin=f&amp;keep=1&amp;srchmode=1&amp;unlock","Acanthopagrus latus")</f>
        <v>Acanthopagrus latus</v>
      </c>
      <c r="H1594" t="s">
        <v>100</v>
      </c>
      <c r="I1594" t="str">
        <f>HYPERLINK("http://www.ncbi.nlm.nih.gov/protein/XP_036936940.1","ryanodine receptor 2 isoform X2")</f>
        <v>ryanodine receptor 2 isoform X2</v>
      </c>
      <c r="J1594">
        <v>8901.18</v>
      </c>
      <c r="K1594" t="s">
        <v>19</v>
      </c>
      <c r="L1594">
        <v>1210</v>
      </c>
      <c r="M1594">
        <v>7.13</v>
      </c>
      <c r="N1594">
        <v>86.73</v>
      </c>
      <c r="O1594" t="s">
        <v>19</v>
      </c>
      <c r="P1594" t="s">
        <v>1267</v>
      </c>
      <c r="Q1594" t="s">
        <v>19</v>
      </c>
      <c r="R1594" t="str">
        <f>HYPERLINK("https://cfpub.epa.gov/ecotox/explore.cfm?ncbi=8177","Explore in ECOTOX")</f>
        <v>Explore in ECOTOX</v>
      </c>
    </row>
    <row r="1595" spans="1:18" x14ac:dyDescent="0.45">
      <c r="A1595" t="s">
        <v>1266</v>
      </c>
      <c r="B1595">
        <v>8</v>
      </c>
      <c r="C1595" t="str">
        <f>HYPERLINK("http://www.ncbi.nlm.nih.gov/protein/XP_022621736.1","XP_022621736.1")</f>
        <v>XP_022621736.1</v>
      </c>
      <c r="D1595">
        <v>32913</v>
      </c>
      <c r="E1595" t="str">
        <f>HYPERLINK("http://www.ncbi.nlm.nih.gov/Taxonomy/Browser/wwwtax.cgi?mode=Info&amp;id=41447&amp;lvl=3&amp;lin=f&amp;keep=1&amp;srchmode=1&amp;unlock","41447")</f>
        <v>41447</v>
      </c>
      <c r="F1595" t="s">
        <v>17</v>
      </c>
      <c r="G1595" t="str">
        <f>HYPERLINK("http://www.ncbi.nlm.nih.gov/Taxonomy/Browser/wwwtax.cgi?mode=Info&amp;id=41447&amp;lvl=3&amp;lin=f&amp;keep=1&amp;srchmode=1&amp;unlock","Seriola dumerili")</f>
        <v>Seriola dumerili</v>
      </c>
      <c r="H1595" t="s">
        <v>57</v>
      </c>
      <c r="I1595" t="str">
        <f>HYPERLINK("http://www.ncbi.nlm.nih.gov/protein/XP_022621736.1","ryanodine receptor 2")</f>
        <v>ryanodine receptor 2</v>
      </c>
      <c r="J1595">
        <v>8899.64</v>
      </c>
      <c r="K1595" t="s">
        <v>19</v>
      </c>
      <c r="L1595">
        <v>1210</v>
      </c>
      <c r="M1595">
        <v>7.13</v>
      </c>
      <c r="N1595">
        <v>86.72</v>
      </c>
      <c r="O1595" t="s">
        <v>19</v>
      </c>
      <c r="P1595" t="s">
        <v>1267</v>
      </c>
      <c r="Q1595" t="s">
        <v>19</v>
      </c>
      <c r="R1595" t="str">
        <f>HYPERLINK("https://cfpub.epa.gov/ecotox/explore.cfm?ncbi=41447","Explore in ECOTOX")</f>
        <v>Explore in ECOTOX</v>
      </c>
    </row>
    <row r="1596" spans="1:18" x14ac:dyDescent="0.45">
      <c r="A1596" t="s">
        <v>1266</v>
      </c>
      <c r="B1596">
        <v>8</v>
      </c>
      <c r="C1596" t="str">
        <f>HYPERLINK("http://www.ncbi.nlm.nih.gov/protein/XP_049916289.1","XP_049916289.1")</f>
        <v>XP_049916289.1</v>
      </c>
      <c r="D1596">
        <v>42914</v>
      </c>
      <c r="E1596" t="str">
        <f>HYPERLINK("http://www.ncbi.nlm.nih.gov/Taxonomy/Browser/wwwtax.cgi?mode=Info&amp;id=300413&amp;lvl=3&amp;lin=f&amp;keep=1&amp;srchmode=1&amp;unlock","300413")</f>
        <v>300413</v>
      </c>
      <c r="F1596" t="s">
        <v>17</v>
      </c>
      <c r="G1596" t="str">
        <f>HYPERLINK("http://www.ncbi.nlm.nih.gov/Taxonomy/Browser/wwwtax.cgi?mode=Info&amp;id=300413&amp;lvl=3&amp;lin=f&amp;keep=1&amp;srchmode=1&amp;unlock","Epinephelus moara")</f>
        <v>Epinephelus moara</v>
      </c>
      <c r="H1596" t="s">
        <v>392</v>
      </c>
      <c r="I1596" t="str">
        <f>HYPERLINK("http://www.ncbi.nlm.nih.gov/protein/XP_049916289.1","ryanodine receptor 2")</f>
        <v>ryanodine receptor 2</v>
      </c>
      <c r="J1596">
        <v>8897.33</v>
      </c>
      <c r="K1596" t="s">
        <v>19</v>
      </c>
      <c r="L1596">
        <v>1210</v>
      </c>
      <c r="M1596">
        <v>7.13</v>
      </c>
      <c r="N1596">
        <v>86.69</v>
      </c>
      <c r="O1596" t="s">
        <v>19</v>
      </c>
      <c r="P1596" t="s">
        <v>1267</v>
      </c>
      <c r="Q1596" t="s">
        <v>19</v>
      </c>
      <c r="R1596" t="str">
        <f>HYPERLINK("https://cfpub.epa.gov/ecotox/explore.cfm?ncbi=300413","Explore in ECOTOX")</f>
        <v>Explore in ECOTOX</v>
      </c>
    </row>
    <row r="1597" spans="1:18" x14ac:dyDescent="0.45">
      <c r="A1597" t="s">
        <v>1266</v>
      </c>
      <c r="B1597">
        <v>8</v>
      </c>
      <c r="C1597" t="str">
        <f>HYPERLINK("http://www.ncbi.nlm.nih.gov/protein/XP_042253638.1","XP_042253638.1")</f>
        <v>XP_042253638.1</v>
      </c>
      <c r="D1597">
        <v>49622</v>
      </c>
      <c r="E1597" t="str">
        <f>HYPERLINK("http://www.ncbi.nlm.nih.gov/Taxonomy/Browser/wwwtax.cgi?mode=Info&amp;id=8240&amp;lvl=3&amp;lin=f&amp;keep=1&amp;srchmode=1&amp;unlock","8240")</f>
        <v>8240</v>
      </c>
      <c r="F1597" t="s">
        <v>17</v>
      </c>
      <c r="G1597" t="str">
        <f>HYPERLINK("http://www.ncbi.nlm.nih.gov/Taxonomy/Browser/wwwtax.cgi?mode=Info&amp;id=8240&amp;lvl=3&amp;lin=f&amp;keep=1&amp;srchmode=1&amp;unlock","Thunnus maccoyii")</f>
        <v>Thunnus maccoyii</v>
      </c>
      <c r="H1597" t="s">
        <v>420</v>
      </c>
      <c r="I1597" t="str">
        <f>HYPERLINK("http://www.ncbi.nlm.nih.gov/protein/XP_042253638.1","ryanodine receptor 2")</f>
        <v>ryanodine receptor 2</v>
      </c>
      <c r="J1597">
        <v>8895.7800000000007</v>
      </c>
      <c r="K1597" t="s">
        <v>19</v>
      </c>
      <c r="L1597">
        <v>1210</v>
      </c>
      <c r="M1597">
        <v>7.13</v>
      </c>
      <c r="N1597">
        <v>86.68</v>
      </c>
      <c r="O1597" t="s">
        <v>19</v>
      </c>
      <c r="P1597" t="s">
        <v>1267</v>
      </c>
      <c r="Q1597" t="s">
        <v>19</v>
      </c>
      <c r="R1597" t="str">
        <f>HYPERLINK("https://cfpub.epa.gov/ecotox/explore.cfm?ncbi=8240","Explore in ECOTOX")</f>
        <v>Explore in ECOTOX</v>
      </c>
    </row>
    <row r="1598" spans="1:18" x14ac:dyDescent="0.45">
      <c r="A1598" t="s">
        <v>1266</v>
      </c>
      <c r="B1598">
        <v>8</v>
      </c>
      <c r="C1598" t="str">
        <f>HYPERLINK("http://www.ncbi.nlm.nih.gov/protein/XP_044194253.1","XP_044194253.1")</f>
        <v>XP_044194253.1</v>
      </c>
      <c r="D1598">
        <v>48680</v>
      </c>
      <c r="E1598" t="str">
        <f>HYPERLINK("http://www.ncbi.nlm.nih.gov/Taxonomy/Browser/wwwtax.cgi?mode=Info&amp;id=8236&amp;lvl=3&amp;lin=f&amp;keep=1&amp;srchmode=1&amp;unlock","8236")</f>
        <v>8236</v>
      </c>
      <c r="F1598" t="s">
        <v>17</v>
      </c>
      <c r="G1598" t="str">
        <f>HYPERLINK("http://www.ncbi.nlm.nih.gov/Taxonomy/Browser/wwwtax.cgi?mode=Info&amp;id=8236&amp;lvl=3&amp;lin=f&amp;keep=1&amp;srchmode=1&amp;unlock","Thunnus albacares")</f>
        <v>Thunnus albacares</v>
      </c>
      <c r="H1598" t="s">
        <v>424</v>
      </c>
      <c r="I1598" t="str">
        <f>HYPERLINK("http://www.ncbi.nlm.nih.gov/protein/XP_044194253.1","ryanodine receptor 2")</f>
        <v>ryanodine receptor 2</v>
      </c>
      <c r="J1598">
        <v>8894.6299999999992</v>
      </c>
      <c r="K1598" t="s">
        <v>19</v>
      </c>
      <c r="L1598">
        <v>1210</v>
      </c>
      <c r="M1598">
        <v>7.13</v>
      </c>
      <c r="N1598">
        <v>86.67</v>
      </c>
      <c r="O1598" t="s">
        <v>19</v>
      </c>
      <c r="P1598" t="s">
        <v>1267</v>
      </c>
      <c r="Q1598" t="s">
        <v>19</v>
      </c>
      <c r="R1598" t="str">
        <f>HYPERLINK("https://cfpub.epa.gov/ecotox/explore.cfm?ncbi=8236","Explore in ECOTOX")</f>
        <v>Explore in ECOTOX</v>
      </c>
    </row>
    <row r="1599" spans="1:18" x14ac:dyDescent="0.45">
      <c r="A1599" t="s">
        <v>1266</v>
      </c>
      <c r="B1599">
        <v>8</v>
      </c>
      <c r="C1599" t="str">
        <f>HYPERLINK("http://www.ncbi.nlm.nih.gov/protein/XP_041819349.1","XP_041819349.1")</f>
        <v>XP_041819349.1</v>
      </c>
      <c r="D1599">
        <v>33964</v>
      </c>
      <c r="E1599" t="str">
        <f>HYPERLINK("http://www.ncbi.nlm.nih.gov/Taxonomy/Browser/wwwtax.cgi?mode=Info&amp;id=109905&amp;lvl=3&amp;lin=f&amp;keep=1&amp;srchmode=1&amp;unlock","109905")</f>
        <v>109905</v>
      </c>
      <c r="F1599" t="s">
        <v>17</v>
      </c>
      <c r="G1599" t="str">
        <f>HYPERLINK("http://www.ncbi.nlm.nih.gov/Taxonomy/Browser/wwwtax.cgi?mode=Info&amp;id=109905&amp;lvl=3&amp;lin=f&amp;keep=1&amp;srchmode=1&amp;unlock","Chelmon rostratus")</f>
        <v>Chelmon rostratus</v>
      </c>
      <c r="H1599" t="s">
        <v>64</v>
      </c>
      <c r="I1599" t="str">
        <f>HYPERLINK("http://www.ncbi.nlm.nih.gov/protein/XP_041819349.1","ryanodine receptor 2")</f>
        <v>ryanodine receptor 2</v>
      </c>
      <c r="J1599">
        <v>8891.5499999999993</v>
      </c>
      <c r="K1599" t="s">
        <v>19</v>
      </c>
      <c r="L1599">
        <v>1210</v>
      </c>
      <c r="M1599">
        <v>7.13</v>
      </c>
      <c r="N1599">
        <v>86.64</v>
      </c>
      <c r="O1599" t="s">
        <v>19</v>
      </c>
      <c r="P1599" t="s">
        <v>1267</v>
      </c>
      <c r="Q1599" t="s">
        <v>19</v>
      </c>
      <c r="R1599" t="str">
        <f>HYPERLINK("https://cfpub.epa.gov/ecotox/explore.cfm?ncbi=109905","Explore in ECOTOX")</f>
        <v>Explore in ECOTOX</v>
      </c>
    </row>
    <row r="1600" spans="1:18" x14ac:dyDescent="0.45">
      <c r="A1600" t="s">
        <v>1266</v>
      </c>
      <c r="B1600">
        <v>8</v>
      </c>
      <c r="C1600" t="str">
        <f>HYPERLINK("http://www.ncbi.nlm.nih.gov/protein/XP_029604479.1","XP_029604479.1")</f>
        <v>XP_029604479.1</v>
      </c>
      <c r="D1600">
        <v>88731</v>
      </c>
      <c r="E1600" t="str">
        <f>HYPERLINK("http://www.ncbi.nlm.nih.gov/Taxonomy/Browser/wwwtax.cgi?mode=Info&amp;id=8032&amp;lvl=3&amp;lin=f&amp;keep=1&amp;srchmode=1&amp;unlock","8032")</f>
        <v>8032</v>
      </c>
      <c r="F1600" t="s">
        <v>17</v>
      </c>
      <c r="G1600" t="str">
        <f>HYPERLINK("http://www.ncbi.nlm.nih.gov/Taxonomy/Browser/wwwtax.cgi?mode=Info&amp;id=8032&amp;lvl=3&amp;lin=f&amp;keep=1&amp;srchmode=1&amp;unlock","Salmo trutta")</f>
        <v>Salmo trutta</v>
      </c>
      <c r="H1600" t="s">
        <v>150</v>
      </c>
      <c r="I1600" t="str">
        <f>HYPERLINK("http://www.ncbi.nlm.nih.gov/protein/XP_029604479.1","ryanodine receptor 2")</f>
        <v>ryanodine receptor 2</v>
      </c>
      <c r="J1600">
        <v>8887.7000000000007</v>
      </c>
      <c r="K1600" t="s">
        <v>19</v>
      </c>
      <c r="L1600">
        <v>1210</v>
      </c>
      <c r="M1600">
        <v>7.13</v>
      </c>
      <c r="N1600">
        <v>86.6</v>
      </c>
      <c r="O1600" t="s">
        <v>19</v>
      </c>
      <c r="P1600" t="s">
        <v>1267</v>
      </c>
      <c r="Q1600" t="s">
        <v>19</v>
      </c>
      <c r="R1600" t="str">
        <f>HYPERLINK("https://cfpub.epa.gov/ecotox/explore.cfm?ncbi=8032","Explore in ECOTOX")</f>
        <v>Explore in ECOTOX</v>
      </c>
    </row>
    <row r="1601" spans="1:18" x14ac:dyDescent="0.45">
      <c r="A1601" t="s">
        <v>1266</v>
      </c>
      <c r="B1601">
        <v>8</v>
      </c>
      <c r="C1601" t="str">
        <f>HYPERLINK("http://www.ncbi.nlm.nih.gov/protein/XP_029933954.1","XP_029933954.1")</f>
        <v>XP_029933954.1</v>
      </c>
      <c r="D1601">
        <v>38178</v>
      </c>
      <c r="E1601" t="str">
        <f>HYPERLINK("http://www.ncbi.nlm.nih.gov/Taxonomy/Browser/wwwtax.cgi?mode=Info&amp;id=586833&amp;lvl=3&amp;lin=f&amp;keep=1&amp;srchmode=1&amp;unlock","586833")</f>
        <v>586833</v>
      </c>
      <c r="F1601" t="s">
        <v>17</v>
      </c>
      <c r="G1601" t="str">
        <f>HYPERLINK("http://www.ncbi.nlm.nih.gov/Taxonomy/Browser/wwwtax.cgi?mode=Info&amp;id=586833&amp;lvl=3&amp;lin=f&amp;keep=1&amp;srchmode=1&amp;unlock","Myripristis murdjan")</f>
        <v>Myripristis murdjan</v>
      </c>
      <c r="H1601" t="s">
        <v>53</v>
      </c>
      <c r="I1601" t="str">
        <f>HYPERLINK("http://www.ncbi.nlm.nih.gov/protein/XP_029933954.1","ryanodine receptor 2")</f>
        <v>ryanodine receptor 2</v>
      </c>
      <c r="J1601">
        <v>8887.31</v>
      </c>
      <c r="K1601" t="s">
        <v>19</v>
      </c>
      <c r="L1601">
        <v>1210</v>
      </c>
      <c r="M1601">
        <v>7.13</v>
      </c>
      <c r="N1601">
        <v>86.6</v>
      </c>
      <c r="O1601" t="s">
        <v>19</v>
      </c>
      <c r="P1601" t="s">
        <v>1267</v>
      </c>
      <c r="Q1601" t="s">
        <v>19</v>
      </c>
      <c r="R1601" t="str">
        <f>HYPERLINK("https://cfpub.epa.gov/ecotox/explore.cfm?ncbi=586833","Explore in ECOTOX")</f>
        <v>Explore in ECOTOX</v>
      </c>
    </row>
    <row r="1602" spans="1:18" x14ac:dyDescent="0.45">
      <c r="A1602" t="s">
        <v>1266</v>
      </c>
      <c r="B1602">
        <v>8</v>
      </c>
      <c r="C1602" t="str">
        <f>HYPERLINK("http://www.ncbi.nlm.nih.gov/protein/XP_018521997.1","XP_018521997.1")</f>
        <v>XP_018521997.1</v>
      </c>
      <c r="D1602">
        <v>45877</v>
      </c>
      <c r="E1602" t="str">
        <f>HYPERLINK("http://www.ncbi.nlm.nih.gov/Taxonomy/Browser/wwwtax.cgi?mode=Info&amp;id=8187&amp;lvl=3&amp;lin=f&amp;keep=1&amp;srchmode=1&amp;unlock","8187")</f>
        <v>8187</v>
      </c>
      <c r="F1602" t="s">
        <v>17</v>
      </c>
      <c r="G1602" t="str">
        <f>HYPERLINK("http://www.ncbi.nlm.nih.gov/Taxonomy/Browser/wwwtax.cgi?mode=Info&amp;id=8187&amp;lvl=3&amp;lin=f&amp;keep=1&amp;srchmode=1&amp;unlock","Lates calcarifer")</f>
        <v>Lates calcarifer</v>
      </c>
      <c r="H1602" t="s">
        <v>388</v>
      </c>
      <c r="I1602" t="str">
        <f>HYPERLINK("http://www.ncbi.nlm.nih.gov/protein/XP_018521997.1","ryanodine receptor 2 isoform X1")</f>
        <v>ryanodine receptor 2 isoform X1</v>
      </c>
      <c r="J1602">
        <v>8885</v>
      </c>
      <c r="K1602" t="s">
        <v>19</v>
      </c>
      <c r="L1602">
        <v>1210</v>
      </c>
      <c r="M1602">
        <v>7.13</v>
      </c>
      <c r="N1602">
        <v>86.57</v>
      </c>
      <c r="O1602" t="s">
        <v>19</v>
      </c>
      <c r="P1602" t="s">
        <v>1267</v>
      </c>
      <c r="Q1602" t="s">
        <v>19</v>
      </c>
      <c r="R1602" t="str">
        <f>HYPERLINK("https://cfpub.epa.gov/ecotox/explore.cfm?ncbi=8187","Explore in ECOTOX")</f>
        <v>Explore in ECOTOX</v>
      </c>
    </row>
    <row r="1603" spans="1:18" x14ac:dyDescent="0.45">
      <c r="A1603" t="s">
        <v>1266</v>
      </c>
      <c r="B1603">
        <v>8</v>
      </c>
      <c r="C1603" t="str">
        <f>HYPERLINK("http://www.ncbi.nlm.nih.gov/protein/XP_035853645.1","XP_035853645.1")</f>
        <v>XP_035853645.1</v>
      </c>
      <c r="D1603">
        <v>56708</v>
      </c>
      <c r="E1603" t="str">
        <f>HYPERLINK("http://www.ncbi.nlm.nih.gov/Taxonomy/Browser/wwwtax.cgi?mode=Info&amp;id=283035&amp;lvl=3&amp;lin=f&amp;keep=1&amp;srchmode=1&amp;unlock","283035")</f>
        <v>283035</v>
      </c>
      <c r="F1603" t="s">
        <v>17</v>
      </c>
      <c r="G1603" t="str">
        <f>HYPERLINK("http://www.ncbi.nlm.nih.gov/Taxonomy/Browser/wwwtax.cgi?mode=Info&amp;id=283035&amp;lvl=3&amp;lin=f&amp;keep=1&amp;srchmode=1&amp;unlock","Sander lucioperca")</f>
        <v>Sander lucioperca</v>
      </c>
      <c r="H1603" t="s">
        <v>99</v>
      </c>
      <c r="I1603" t="str">
        <f>HYPERLINK("http://www.ncbi.nlm.nih.gov/protein/XP_035853645.1","ryanodine receptor 2 isoform X1")</f>
        <v>ryanodine receptor 2 isoform X1</v>
      </c>
      <c r="J1603">
        <v>8880.76</v>
      </c>
      <c r="K1603" t="s">
        <v>19</v>
      </c>
      <c r="L1603">
        <v>1210</v>
      </c>
      <c r="M1603">
        <v>7.13</v>
      </c>
      <c r="N1603">
        <v>86.53</v>
      </c>
      <c r="O1603" t="s">
        <v>19</v>
      </c>
      <c r="P1603" t="s">
        <v>1267</v>
      </c>
      <c r="Q1603" t="s">
        <v>19</v>
      </c>
      <c r="R1603" t="str">
        <f>HYPERLINK("https://cfpub.epa.gov/ecotox/explore.cfm?ncbi=283035","Explore in ECOTOX")</f>
        <v>Explore in ECOTOX</v>
      </c>
    </row>
    <row r="1604" spans="1:18" x14ac:dyDescent="0.45">
      <c r="A1604" t="s">
        <v>1266</v>
      </c>
      <c r="B1604">
        <v>8</v>
      </c>
      <c r="C1604" t="str">
        <f>HYPERLINK("http://www.ncbi.nlm.nih.gov/protein/XP_046234119.1","XP_046234119.1")</f>
        <v>XP_046234119.1</v>
      </c>
      <c r="D1604">
        <v>48619</v>
      </c>
      <c r="E1604" t="str">
        <f>HYPERLINK("http://www.ncbi.nlm.nih.gov/Taxonomy/Browser/wwwtax.cgi?mode=Info&amp;id=75038&amp;lvl=3&amp;lin=f&amp;keep=1&amp;srchmode=1&amp;unlock","75038")</f>
        <v>75038</v>
      </c>
      <c r="F1604" t="s">
        <v>17</v>
      </c>
      <c r="G1604" t="str">
        <f>HYPERLINK("http://www.ncbi.nlm.nih.gov/Taxonomy/Browser/wwwtax.cgi?mode=Info&amp;id=75038&amp;lvl=3&amp;lin=f&amp;keep=1&amp;srchmode=1&amp;unlock","Scatophagus argus")</f>
        <v>Scatophagus argus</v>
      </c>
      <c r="H1604" t="s">
        <v>407</v>
      </c>
      <c r="I1604" t="str">
        <f>HYPERLINK("http://www.ncbi.nlm.nih.gov/protein/XP_046234119.1","ryanodine receptor 2 isoform X1")</f>
        <v>ryanodine receptor 2 isoform X1</v>
      </c>
      <c r="J1604">
        <v>8877.68</v>
      </c>
      <c r="K1604" t="s">
        <v>19</v>
      </c>
      <c r="L1604">
        <v>1210</v>
      </c>
      <c r="M1604">
        <v>7.13</v>
      </c>
      <c r="N1604">
        <v>86.5</v>
      </c>
      <c r="O1604" t="s">
        <v>19</v>
      </c>
      <c r="P1604" t="s">
        <v>1267</v>
      </c>
      <c r="Q1604" t="s">
        <v>19</v>
      </c>
      <c r="R1604" t="str">
        <f>HYPERLINK("https://cfpub.epa.gov/ecotox/explore.cfm?ncbi=75038","Explore in ECOTOX")</f>
        <v>Explore in ECOTOX</v>
      </c>
    </row>
    <row r="1605" spans="1:18" x14ac:dyDescent="0.45">
      <c r="A1605" t="s">
        <v>1266</v>
      </c>
      <c r="B1605">
        <v>8</v>
      </c>
      <c r="C1605" t="str">
        <f>HYPERLINK("http://www.ncbi.nlm.nih.gov/protein/XP_047183586.1","XP_047183586.1")</f>
        <v>XP_047183586.1</v>
      </c>
      <c r="D1605">
        <v>104790</v>
      </c>
      <c r="E1605" t="str">
        <f>HYPERLINK("http://www.ncbi.nlm.nih.gov/Taxonomy/Browser/wwwtax.cgi?mode=Info&amp;id=52904&amp;lvl=3&amp;lin=f&amp;keep=1&amp;srchmode=1&amp;unlock","52904")</f>
        <v>52904</v>
      </c>
      <c r="F1605" t="s">
        <v>17</v>
      </c>
      <c r="G1605" t="str">
        <f>HYPERLINK("http://www.ncbi.nlm.nih.gov/Taxonomy/Browser/wwwtax.cgi?mode=Info&amp;id=52904&amp;lvl=3&amp;lin=f&amp;keep=1&amp;srchmode=1&amp;unlock","Scophthalmus maximus")</f>
        <v>Scophthalmus maximus</v>
      </c>
      <c r="H1605" t="s">
        <v>58</v>
      </c>
      <c r="I1605" t="str">
        <f>HYPERLINK("http://www.ncbi.nlm.nih.gov/protein/XP_047183586.1","ryanodine receptor 2 isoform X1")</f>
        <v>ryanodine receptor 2 isoform X1</v>
      </c>
      <c r="J1605">
        <v>8876.14</v>
      </c>
      <c r="K1605" t="s">
        <v>19</v>
      </c>
      <c r="L1605">
        <v>1210</v>
      </c>
      <c r="M1605">
        <v>7.13</v>
      </c>
      <c r="N1605">
        <v>86.49</v>
      </c>
      <c r="O1605" t="s">
        <v>19</v>
      </c>
      <c r="P1605" t="s">
        <v>1267</v>
      </c>
      <c r="Q1605" t="s">
        <v>19</v>
      </c>
      <c r="R1605" t="str">
        <f>HYPERLINK("https://cfpub.epa.gov/ecotox/explore.cfm?ncbi=52904","Explore in ECOTOX")</f>
        <v>Explore in ECOTOX</v>
      </c>
    </row>
    <row r="1606" spans="1:18" x14ac:dyDescent="0.45">
      <c r="A1606" t="s">
        <v>1266</v>
      </c>
      <c r="B1606">
        <v>8</v>
      </c>
      <c r="C1606" t="str">
        <f>HYPERLINK("http://www.ncbi.nlm.nih.gov/protein/XP_040885320.1","XP_040885320.1")</f>
        <v>XP_040885320.1</v>
      </c>
      <c r="D1606">
        <v>38459</v>
      </c>
      <c r="E1606" t="str">
        <f>HYPERLINK("http://www.ncbi.nlm.nih.gov/Taxonomy/Browser/wwwtax.cgi?mode=Info&amp;id=941984&amp;lvl=3&amp;lin=f&amp;keep=1&amp;srchmode=1&amp;unlock","941984")</f>
        <v>941984</v>
      </c>
      <c r="F1606" t="s">
        <v>17</v>
      </c>
      <c r="G1606" t="str">
        <f>HYPERLINK("http://www.ncbi.nlm.nih.gov/Taxonomy/Browser/wwwtax.cgi?mode=Info&amp;id=941984&amp;lvl=3&amp;lin=f&amp;keep=1&amp;srchmode=1&amp;unlock","Toxotes jaculatrix")</f>
        <v>Toxotes jaculatrix</v>
      </c>
      <c r="H1606" t="s">
        <v>78</v>
      </c>
      <c r="I1606" t="str">
        <f>HYPERLINK("http://www.ncbi.nlm.nih.gov/protein/XP_040885320.1","ryanodine receptor 2")</f>
        <v>ryanodine receptor 2</v>
      </c>
      <c r="J1606">
        <v>8871.52</v>
      </c>
      <c r="K1606" t="s">
        <v>19</v>
      </c>
      <c r="L1606">
        <v>1210</v>
      </c>
      <c r="M1606">
        <v>7.13</v>
      </c>
      <c r="N1606">
        <v>86.44</v>
      </c>
      <c r="O1606" t="s">
        <v>19</v>
      </c>
      <c r="P1606" t="s">
        <v>1267</v>
      </c>
      <c r="Q1606" t="s">
        <v>19</v>
      </c>
      <c r="R1606" t="str">
        <f>HYPERLINK("https://cfpub.epa.gov/ecotox/explore.cfm?ncbi=941984","Explore in ECOTOX")</f>
        <v>Explore in ECOTOX</v>
      </c>
    </row>
    <row r="1607" spans="1:18" x14ac:dyDescent="0.45">
      <c r="A1607" t="s">
        <v>1266</v>
      </c>
      <c r="B1607">
        <v>8</v>
      </c>
      <c r="C1607" t="str">
        <f>HYPERLINK("http://www.ncbi.nlm.nih.gov/protein/XP_053197113.1","XP_053197113.1")</f>
        <v>XP_053197113.1</v>
      </c>
      <c r="D1607">
        <v>30754</v>
      </c>
      <c r="E1607" t="str">
        <f>HYPERLINK("http://www.ncbi.nlm.nih.gov/Taxonomy/Browser/wwwtax.cgi?mode=Info&amp;id=13676&amp;lvl=3&amp;lin=f&amp;keep=1&amp;srchmode=1&amp;unlock","13676")</f>
        <v>13676</v>
      </c>
      <c r="F1607" t="s">
        <v>17</v>
      </c>
      <c r="G1607" t="str">
        <f>HYPERLINK("http://www.ncbi.nlm.nih.gov/Taxonomy/Browser/wwwtax.cgi?mode=Info&amp;id=13676&amp;lvl=3&amp;lin=f&amp;keep=1&amp;srchmode=1&amp;unlock","Scomber japonicus")</f>
        <v>Scomber japonicus</v>
      </c>
      <c r="H1607" t="s">
        <v>87</v>
      </c>
      <c r="I1607" t="str">
        <f>HYPERLINK("http://www.ncbi.nlm.nih.gov/protein/XP_053197113.1","ryanodine receptor 2")</f>
        <v>ryanodine receptor 2</v>
      </c>
      <c r="J1607">
        <v>8870.75</v>
      </c>
      <c r="K1607" t="s">
        <v>19</v>
      </c>
      <c r="L1607">
        <v>1210</v>
      </c>
      <c r="M1607">
        <v>7.13</v>
      </c>
      <c r="N1607">
        <v>86.44</v>
      </c>
      <c r="O1607" t="s">
        <v>19</v>
      </c>
      <c r="P1607" t="s">
        <v>1267</v>
      </c>
      <c r="Q1607" t="s">
        <v>19</v>
      </c>
      <c r="R1607" t="str">
        <f>HYPERLINK("https://cfpub.epa.gov/ecotox/explore.cfm?ncbi=13676","Explore in ECOTOX")</f>
        <v>Explore in ECOTOX</v>
      </c>
    </row>
    <row r="1608" spans="1:18" x14ac:dyDescent="0.45">
      <c r="A1608" t="s">
        <v>1266</v>
      </c>
      <c r="B1608">
        <v>8</v>
      </c>
      <c r="C1608" t="str">
        <f>HYPERLINK("http://www.ncbi.nlm.nih.gov/protein/XP_034148457.1","XP_034148457.1")</f>
        <v>XP_034148457.1</v>
      </c>
      <c r="D1608">
        <v>59810</v>
      </c>
      <c r="E1608" t="str">
        <f>HYPERLINK("http://www.ncbi.nlm.nih.gov/Taxonomy/Browser/wwwtax.cgi?mode=Info&amp;id=8010&amp;lvl=3&amp;lin=f&amp;keep=1&amp;srchmode=1&amp;unlock","8010")</f>
        <v>8010</v>
      </c>
      <c r="F1608" t="s">
        <v>17</v>
      </c>
      <c r="G1608" t="str">
        <f>HYPERLINK("http://www.ncbi.nlm.nih.gov/Taxonomy/Browser/wwwtax.cgi?mode=Info&amp;id=8010&amp;lvl=3&amp;lin=f&amp;keep=1&amp;srchmode=1&amp;unlock","Esox lucius")</f>
        <v>Esox lucius</v>
      </c>
      <c r="H1608" t="s">
        <v>49</v>
      </c>
      <c r="I1608" t="str">
        <f>HYPERLINK("http://www.ncbi.nlm.nih.gov/protein/XP_034148457.1","ryanodine receptor 2 isoform X6")</f>
        <v>ryanodine receptor 2 isoform X6</v>
      </c>
      <c r="J1608">
        <v>8869.59</v>
      </c>
      <c r="K1608" t="s">
        <v>19</v>
      </c>
      <c r="L1608">
        <v>1210</v>
      </c>
      <c r="M1608">
        <v>7.13</v>
      </c>
      <c r="N1608">
        <v>86.42</v>
      </c>
      <c r="O1608" t="s">
        <v>19</v>
      </c>
      <c r="P1608" t="s">
        <v>1267</v>
      </c>
      <c r="Q1608" t="s">
        <v>19</v>
      </c>
      <c r="R1608" t="str">
        <f>HYPERLINK("https://cfpub.epa.gov/ecotox/explore.cfm?ncbi=8010","Explore in ECOTOX")</f>
        <v>Explore in ECOTOX</v>
      </c>
    </row>
    <row r="1609" spans="1:18" x14ac:dyDescent="0.45">
      <c r="A1609" t="s">
        <v>1266</v>
      </c>
      <c r="B1609">
        <v>8</v>
      </c>
      <c r="C1609" t="str">
        <f>HYPERLINK("http://www.ncbi.nlm.nih.gov/protein/XP_022064442.1","XP_022064442.1")</f>
        <v>XP_022064442.1</v>
      </c>
      <c r="D1609">
        <v>46396</v>
      </c>
      <c r="E1609" t="str">
        <f>HYPERLINK("http://www.ncbi.nlm.nih.gov/Taxonomy/Browser/wwwtax.cgi?mode=Info&amp;id=80966&amp;lvl=3&amp;lin=f&amp;keep=1&amp;srchmode=1&amp;unlock","80966")</f>
        <v>80966</v>
      </c>
      <c r="F1609" t="s">
        <v>17</v>
      </c>
      <c r="G1609" t="str">
        <f>HYPERLINK("http://www.ncbi.nlm.nih.gov/Taxonomy/Browser/wwwtax.cgi?mode=Info&amp;id=80966&amp;lvl=3&amp;lin=f&amp;keep=1&amp;srchmode=1&amp;unlock","Acanthochromis polyacanthus")</f>
        <v>Acanthochromis polyacanthus</v>
      </c>
      <c r="H1609" t="s">
        <v>88</v>
      </c>
      <c r="I1609" t="str">
        <f>HYPERLINK("http://www.ncbi.nlm.nih.gov/protein/XP_022064442.1","ryanodine receptor 2")</f>
        <v>ryanodine receptor 2</v>
      </c>
      <c r="J1609">
        <v>8866.1200000000008</v>
      </c>
      <c r="K1609" t="s">
        <v>19</v>
      </c>
      <c r="L1609">
        <v>1210</v>
      </c>
      <c r="M1609">
        <v>7.13</v>
      </c>
      <c r="N1609">
        <v>86.39</v>
      </c>
      <c r="O1609" t="s">
        <v>19</v>
      </c>
      <c r="P1609" t="s">
        <v>1267</v>
      </c>
      <c r="Q1609" t="s">
        <v>19</v>
      </c>
      <c r="R1609" t="str">
        <f>HYPERLINK("https://cfpub.epa.gov/ecotox/explore.cfm?ncbi=80966","Explore in ECOTOX")</f>
        <v>Explore in ECOTOX</v>
      </c>
    </row>
    <row r="1610" spans="1:18" x14ac:dyDescent="0.45">
      <c r="A1610" t="s">
        <v>1266</v>
      </c>
      <c r="B1610">
        <v>8</v>
      </c>
      <c r="C1610" t="str">
        <f>HYPERLINK("http://www.ncbi.nlm.nih.gov/protein/XP_038591762.1","XP_038591762.1")</f>
        <v>XP_038591762.1</v>
      </c>
      <c r="D1610">
        <v>48388</v>
      </c>
      <c r="E1610" t="str">
        <f>HYPERLINK("http://www.ncbi.nlm.nih.gov/Taxonomy/Browser/wwwtax.cgi?mode=Info&amp;id=27706&amp;lvl=3&amp;lin=f&amp;keep=1&amp;srchmode=1&amp;unlock","27706")</f>
        <v>27706</v>
      </c>
      <c r="F1610" t="s">
        <v>17</v>
      </c>
      <c r="G1610" t="str">
        <f>HYPERLINK("http://www.ncbi.nlm.nih.gov/Taxonomy/Browser/wwwtax.cgi?mode=Info&amp;id=27706&amp;lvl=3&amp;lin=f&amp;keep=1&amp;srchmode=1&amp;unlock","Micropterus salmoides")</f>
        <v>Micropterus salmoides</v>
      </c>
      <c r="H1610" t="s">
        <v>71</v>
      </c>
      <c r="I1610" t="str">
        <f>HYPERLINK("http://www.ncbi.nlm.nih.gov/protein/XP_038591762.1","ryanodine receptor 2")</f>
        <v>ryanodine receptor 2</v>
      </c>
      <c r="J1610">
        <v>8865.74</v>
      </c>
      <c r="K1610" t="s">
        <v>19</v>
      </c>
      <c r="L1610">
        <v>1210</v>
      </c>
      <c r="M1610">
        <v>7.13</v>
      </c>
      <c r="N1610">
        <v>86.39</v>
      </c>
      <c r="O1610" t="s">
        <v>19</v>
      </c>
      <c r="P1610" t="s">
        <v>1267</v>
      </c>
      <c r="Q1610" t="s">
        <v>19</v>
      </c>
      <c r="R1610" t="str">
        <f>HYPERLINK("https://cfpub.epa.gov/ecotox/explore.cfm?ncbi=27706","Explore in ECOTOX")</f>
        <v>Explore in ECOTOX</v>
      </c>
    </row>
    <row r="1611" spans="1:18" x14ac:dyDescent="0.45">
      <c r="A1611" t="s">
        <v>1266</v>
      </c>
      <c r="B1611">
        <v>8</v>
      </c>
      <c r="C1611" t="str">
        <f>HYPERLINK("http://www.ncbi.nlm.nih.gov/protein/XP_034425489.1","XP_034425489.1")</f>
        <v>XP_034425489.1</v>
      </c>
      <c r="D1611">
        <v>47303</v>
      </c>
      <c r="E1611" t="str">
        <f>HYPERLINK("http://www.ncbi.nlm.nih.gov/Taxonomy/Browser/wwwtax.cgi?mode=Info&amp;id=8267&amp;lvl=3&amp;lin=f&amp;keep=1&amp;srchmode=1&amp;unlock","8267")</f>
        <v>8267</v>
      </c>
      <c r="F1611" t="s">
        <v>17</v>
      </c>
      <c r="G1611" t="str">
        <f>HYPERLINK("http://www.ncbi.nlm.nih.gov/Taxonomy/Browser/wwwtax.cgi?mode=Info&amp;id=8267&amp;lvl=3&amp;lin=f&amp;keep=1&amp;srchmode=1&amp;unlock","Hippoglossus hippoglossus")</f>
        <v>Hippoglossus hippoglossus</v>
      </c>
      <c r="H1611" t="s">
        <v>108</v>
      </c>
      <c r="I1611" t="str">
        <f>HYPERLINK("http://www.ncbi.nlm.nih.gov/protein/XP_034425489.1","ryanodine receptor 2 isoform X7")</f>
        <v>ryanodine receptor 2 isoform X7</v>
      </c>
      <c r="J1611">
        <v>8864.9699999999993</v>
      </c>
      <c r="K1611" t="s">
        <v>19</v>
      </c>
      <c r="L1611">
        <v>1210</v>
      </c>
      <c r="M1611">
        <v>7.13</v>
      </c>
      <c r="N1611">
        <v>86.38</v>
      </c>
      <c r="O1611" t="s">
        <v>19</v>
      </c>
      <c r="P1611" t="s">
        <v>1267</v>
      </c>
      <c r="Q1611" t="s">
        <v>19</v>
      </c>
      <c r="R1611" t="str">
        <f>HYPERLINK("https://cfpub.epa.gov/ecotox/explore.cfm?ncbi=8267","Explore in ECOTOX")</f>
        <v>Explore in ECOTOX</v>
      </c>
    </row>
    <row r="1612" spans="1:18" x14ac:dyDescent="0.45">
      <c r="A1612" t="s">
        <v>1266</v>
      </c>
      <c r="B1612">
        <v>8</v>
      </c>
      <c r="C1612" t="str">
        <f>HYPERLINK("http://www.ncbi.nlm.nih.gov/protein/XP_036815943.1","XP_036815943.1")</f>
        <v>XP_036815943.1</v>
      </c>
      <c r="D1612">
        <v>150927</v>
      </c>
      <c r="E1612" t="str">
        <f>HYPERLINK("http://www.ncbi.nlm.nih.gov/Taxonomy/Browser/wwwtax.cgi?mode=Info&amp;id=8022&amp;lvl=3&amp;lin=f&amp;keep=1&amp;srchmode=1&amp;unlock","8022")</f>
        <v>8022</v>
      </c>
      <c r="F1612" t="s">
        <v>17</v>
      </c>
      <c r="G1612" t="str">
        <f>HYPERLINK("http://www.ncbi.nlm.nih.gov/Taxonomy/Browser/wwwtax.cgi?mode=Info&amp;id=8022&amp;lvl=3&amp;lin=f&amp;keep=1&amp;srchmode=1&amp;unlock","Oncorhynchus mykiss")</f>
        <v>Oncorhynchus mykiss</v>
      </c>
      <c r="H1612" t="s">
        <v>158</v>
      </c>
      <c r="I1612" t="str">
        <f>HYPERLINK("http://www.ncbi.nlm.nih.gov/protein/XP_036815943.1","ryanodine receptor 2")</f>
        <v>ryanodine receptor 2</v>
      </c>
      <c r="J1612">
        <v>8863.0400000000009</v>
      </c>
      <c r="K1612" t="s">
        <v>19</v>
      </c>
      <c r="L1612">
        <v>1210</v>
      </c>
      <c r="M1612">
        <v>7.13</v>
      </c>
      <c r="N1612">
        <v>86.36</v>
      </c>
      <c r="O1612" t="s">
        <v>19</v>
      </c>
      <c r="P1612" t="s">
        <v>1267</v>
      </c>
      <c r="Q1612" t="s">
        <v>19</v>
      </c>
      <c r="R1612" t="str">
        <f>HYPERLINK("https://cfpub.epa.gov/ecotox/explore.cfm?ncbi=8022","Explore in ECOTOX")</f>
        <v>Explore in ECOTOX</v>
      </c>
    </row>
    <row r="1613" spans="1:18" x14ac:dyDescent="0.45">
      <c r="A1613" t="s">
        <v>1266</v>
      </c>
      <c r="B1613">
        <v>8</v>
      </c>
      <c r="C1613" t="str">
        <f>HYPERLINK("http://www.ncbi.nlm.nih.gov/protein/XP_028991032.1","XP_028991032.1")</f>
        <v>XP_028991032.1</v>
      </c>
      <c r="D1613">
        <v>52191</v>
      </c>
      <c r="E1613" t="str">
        <f>HYPERLINK("http://www.ncbi.nlm.nih.gov/Taxonomy/Browser/wwwtax.cgi?mode=Info&amp;id=158456&amp;lvl=3&amp;lin=f&amp;keep=1&amp;srchmode=1&amp;unlock","158456")</f>
        <v>158456</v>
      </c>
      <c r="F1613" t="s">
        <v>17</v>
      </c>
      <c r="G1613" t="str">
        <f>HYPERLINK("http://www.ncbi.nlm.nih.gov/Taxonomy/Browser/wwwtax.cgi?mode=Info&amp;id=158456&amp;lvl=3&amp;lin=f&amp;keep=1&amp;srchmode=1&amp;unlock","Betta splendens")</f>
        <v>Betta splendens</v>
      </c>
      <c r="H1613" t="s">
        <v>102</v>
      </c>
      <c r="I1613" t="str">
        <f>HYPERLINK("http://www.ncbi.nlm.nih.gov/protein/XP_028991032.1","ryanodine receptor 2 isoform X6")</f>
        <v>ryanodine receptor 2 isoform X6</v>
      </c>
      <c r="J1613">
        <v>8857.26</v>
      </c>
      <c r="K1613" t="s">
        <v>19</v>
      </c>
      <c r="L1613">
        <v>1210</v>
      </c>
      <c r="M1613">
        <v>7.13</v>
      </c>
      <c r="N1613">
        <v>86.3</v>
      </c>
      <c r="O1613" t="s">
        <v>19</v>
      </c>
      <c r="P1613" t="s">
        <v>1267</v>
      </c>
      <c r="Q1613" t="s">
        <v>19</v>
      </c>
      <c r="R1613" t="str">
        <f>HYPERLINK("https://cfpub.epa.gov/ecotox/explore.cfm?ncbi=158456","Explore in ECOTOX")</f>
        <v>Explore in ECOTOX</v>
      </c>
    </row>
    <row r="1614" spans="1:18" x14ac:dyDescent="0.45">
      <c r="A1614" t="s">
        <v>1266</v>
      </c>
      <c r="B1614">
        <v>8</v>
      </c>
      <c r="C1614" t="str">
        <f>HYPERLINK("http://www.ncbi.nlm.nih.gov/protein/XP_039643712.1","XP_039643712.1")</f>
        <v>XP_039643712.1</v>
      </c>
      <c r="D1614">
        <v>74384</v>
      </c>
      <c r="E1614" t="str">
        <f>HYPERLINK("http://www.ncbi.nlm.nih.gov/Taxonomy/Browser/wwwtax.cgi?mode=Info&amp;id=8168&amp;lvl=3&amp;lin=f&amp;keep=1&amp;srchmode=1&amp;unlock","8168")</f>
        <v>8168</v>
      </c>
      <c r="F1614" t="s">
        <v>17</v>
      </c>
      <c r="G1614" t="str">
        <f>HYPERLINK("http://www.ncbi.nlm.nih.gov/Taxonomy/Browser/wwwtax.cgi?mode=Info&amp;id=8168&amp;lvl=3&amp;lin=f&amp;keep=1&amp;srchmode=1&amp;unlock","Perca fluviatilis")</f>
        <v>Perca fluviatilis</v>
      </c>
      <c r="H1614" t="s">
        <v>118</v>
      </c>
      <c r="I1614" t="str">
        <f>HYPERLINK("http://www.ncbi.nlm.nih.gov/protein/XP_039643712.1","LOW QUALITY PROTEIN: ryanodine receptor 2")</f>
        <v>LOW QUALITY PROTEIN: ryanodine receptor 2</v>
      </c>
      <c r="J1614">
        <v>8855.34</v>
      </c>
      <c r="K1614" t="s">
        <v>19</v>
      </c>
      <c r="L1614">
        <v>1210</v>
      </c>
      <c r="M1614">
        <v>7.13</v>
      </c>
      <c r="N1614">
        <v>86.28</v>
      </c>
      <c r="O1614" t="s">
        <v>19</v>
      </c>
      <c r="P1614" t="s">
        <v>1267</v>
      </c>
      <c r="Q1614" t="s">
        <v>19</v>
      </c>
      <c r="R1614" t="str">
        <f>HYPERLINK("https://cfpub.epa.gov/ecotox/explore.cfm?ncbi=8168","Explore in ECOTOX")</f>
        <v>Explore in ECOTOX</v>
      </c>
    </row>
    <row r="1615" spans="1:18" x14ac:dyDescent="0.45">
      <c r="A1615" t="s">
        <v>1266</v>
      </c>
      <c r="B1615">
        <v>8</v>
      </c>
      <c r="C1615" t="str">
        <f>HYPERLINK("http://www.ncbi.nlm.nih.gov/protein/XP_026207613.1","XP_026207613.1")</f>
        <v>XP_026207613.1</v>
      </c>
      <c r="D1615">
        <v>40663</v>
      </c>
      <c r="E1615" t="str">
        <f>HYPERLINK("http://www.ncbi.nlm.nih.gov/Taxonomy/Browser/wwwtax.cgi?mode=Info&amp;id=64144&amp;lvl=3&amp;lin=f&amp;keep=1&amp;srchmode=1&amp;unlock","64144")</f>
        <v>64144</v>
      </c>
      <c r="F1615" t="s">
        <v>17</v>
      </c>
      <c r="G1615" t="str">
        <f>HYPERLINK("http://www.ncbi.nlm.nih.gov/Taxonomy/Browser/wwwtax.cgi?mode=Info&amp;id=64144&amp;lvl=3&amp;lin=f&amp;keep=1&amp;srchmode=1&amp;unlock","Anabas testudineus")</f>
        <v>Anabas testudineus</v>
      </c>
      <c r="H1615" t="s">
        <v>140</v>
      </c>
      <c r="I1615" t="str">
        <f>HYPERLINK("http://www.ncbi.nlm.nih.gov/protein/XP_026207613.1","LOW QUALITY PROTEIN: ryanodine receptor 2")</f>
        <v>LOW QUALITY PROTEIN: ryanodine receptor 2</v>
      </c>
      <c r="J1615">
        <v>8855.34</v>
      </c>
      <c r="K1615" t="s">
        <v>19</v>
      </c>
      <c r="L1615">
        <v>1210</v>
      </c>
      <c r="M1615">
        <v>7.13</v>
      </c>
      <c r="N1615">
        <v>86.28</v>
      </c>
      <c r="O1615" t="s">
        <v>19</v>
      </c>
      <c r="P1615" t="s">
        <v>1267</v>
      </c>
      <c r="Q1615" t="s">
        <v>19</v>
      </c>
      <c r="R1615" t="str">
        <f>HYPERLINK("https://cfpub.epa.gov/ecotox/explore.cfm?ncbi=64144","Explore in ECOTOX")</f>
        <v>Explore in ECOTOX</v>
      </c>
    </row>
    <row r="1616" spans="1:18" x14ac:dyDescent="0.45">
      <c r="A1616" t="s">
        <v>1266</v>
      </c>
      <c r="B1616">
        <v>8</v>
      </c>
      <c r="C1616" t="str">
        <f>HYPERLINK("http://www.ncbi.nlm.nih.gov/protein/XP_045543800.1","XP_045543800.1")</f>
        <v>XP_045543800.1</v>
      </c>
      <c r="D1616">
        <v>111662</v>
      </c>
      <c r="E1616" t="str">
        <f>HYPERLINK("http://www.ncbi.nlm.nih.gov/Taxonomy/Browser/wwwtax.cgi?mode=Info&amp;id=8030&amp;lvl=3&amp;lin=f&amp;keep=1&amp;srchmode=1&amp;unlock","8030")</f>
        <v>8030</v>
      </c>
      <c r="F1616" t="s">
        <v>17</v>
      </c>
      <c r="G1616" t="str">
        <f>HYPERLINK("http://www.ncbi.nlm.nih.gov/Taxonomy/Browser/wwwtax.cgi?mode=Info&amp;id=8030&amp;lvl=3&amp;lin=f&amp;keep=1&amp;srchmode=1&amp;unlock","Salmo salar")</f>
        <v>Salmo salar</v>
      </c>
      <c r="H1616" t="s">
        <v>155</v>
      </c>
      <c r="I1616" t="str">
        <f>HYPERLINK("http://www.ncbi.nlm.nih.gov/protein/XP_045543800.1","ryanodine receptor 2-like")</f>
        <v>ryanodine receptor 2-like</v>
      </c>
      <c r="J1616">
        <v>8853.7999999999993</v>
      </c>
      <c r="K1616" t="s">
        <v>19</v>
      </c>
      <c r="L1616">
        <v>1210</v>
      </c>
      <c r="M1616">
        <v>7.13</v>
      </c>
      <c r="N1616">
        <v>86.27</v>
      </c>
      <c r="O1616" t="s">
        <v>19</v>
      </c>
      <c r="P1616" t="s">
        <v>1267</v>
      </c>
      <c r="Q1616" t="s">
        <v>19</v>
      </c>
      <c r="R1616" t="str">
        <f>HYPERLINK("https://cfpub.epa.gov/ecotox/explore.cfm?ncbi=8030","Explore in ECOTOX")</f>
        <v>Explore in ECOTOX</v>
      </c>
    </row>
    <row r="1617" spans="1:18" x14ac:dyDescent="0.45">
      <c r="A1617" t="s">
        <v>1266</v>
      </c>
      <c r="B1617">
        <v>8</v>
      </c>
      <c r="C1617" t="str">
        <f>HYPERLINK("http://www.ncbi.nlm.nih.gov/protein/XP_029312100.1","XP_029312100.1")</f>
        <v>XP_029312100.1</v>
      </c>
      <c r="D1617">
        <v>37869</v>
      </c>
      <c r="E1617" t="str">
        <f>HYPERLINK("http://www.ncbi.nlm.nih.gov/Taxonomy/Browser/wwwtax.cgi?mode=Info&amp;id=56716&amp;lvl=3&amp;lin=f&amp;keep=1&amp;srchmode=1&amp;unlock","56716")</f>
        <v>56716</v>
      </c>
      <c r="F1617" t="s">
        <v>17</v>
      </c>
      <c r="G1617" t="str">
        <f>HYPERLINK("http://www.ncbi.nlm.nih.gov/Taxonomy/Browser/wwwtax.cgi?mode=Info&amp;id=56716&amp;lvl=3&amp;lin=f&amp;keep=1&amp;srchmode=1&amp;unlock","Cottoperca gobio")</f>
        <v>Cottoperca gobio</v>
      </c>
      <c r="H1617" t="s">
        <v>162</v>
      </c>
      <c r="I1617" t="str">
        <f>HYPERLINK("http://www.ncbi.nlm.nih.gov/protein/XP_029312100.1","ryanodine receptor 2")</f>
        <v>ryanodine receptor 2</v>
      </c>
      <c r="J1617">
        <v>8848.7900000000009</v>
      </c>
      <c r="K1617" t="s">
        <v>19</v>
      </c>
      <c r="L1617">
        <v>1210</v>
      </c>
      <c r="M1617">
        <v>7.13</v>
      </c>
      <c r="N1617">
        <v>86.22</v>
      </c>
      <c r="O1617" t="s">
        <v>19</v>
      </c>
      <c r="P1617" t="s">
        <v>1267</v>
      </c>
      <c r="Q1617" t="s">
        <v>19</v>
      </c>
      <c r="R1617" t="str">
        <f>HYPERLINK("https://cfpub.epa.gov/ecotox/explore.cfm?ncbi=56716","Explore in ECOTOX")</f>
        <v>Explore in ECOTOX</v>
      </c>
    </row>
    <row r="1618" spans="1:18" x14ac:dyDescent="0.45">
      <c r="A1618" t="s">
        <v>1266</v>
      </c>
      <c r="B1618">
        <v>8</v>
      </c>
      <c r="C1618" t="str">
        <f>HYPERLINK("http://www.ncbi.nlm.nih.gov/protein/XP_023120645.2","XP_023120645.2")</f>
        <v>XP_023120645.2</v>
      </c>
      <c r="D1618">
        <v>47453</v>
      </c>
      <c r="E1618" t="str">
        <f>HYPERLINK("http://www.ncbi.nlm.nih.gov/Taxonomy/Browser/wwwtax.cgi?mode=Info&amp;id=80972&amp;lvl=3&amp;lin=f&amp;keep=1&amp;srchmode=1&amp;unlock","80972")</f>
        <v>80972</v>
      </c>
      <c r="F1618" t="s">
        <v>17</v>
      </c>
      <c r="G1618" t="str">
        <f>HYPERLINK("http://www.ncbi.nlm.nih.gov/Taxonomy/Browser/wwwtax.cgi?mode=Info&amp;id=80972&amp;lvl=3&amp;lin=f&amp;keep=1&amp;srchmode=1&amp;unlock","Amphiprion ocellaris")</f>
        <v>Amphiprion ocellaris</v>
      </c>
      <c r="H1618" t="s">
        <v>56</v>
      </c>
      <c r="I1618" t="str">
        <f>HYPERLINK("http://www.ncbi.nlm.nih.gov/protein/XP_023120645.2","ryanodine receptor 2 isoform X5")</f>
        <v>ryanodine receptor 2 isoform X5</v>
      </c>
      <c r="J1618">
        <v>8846.48</v>
      </c>
      <c r="K1618" t="s">
        <v>19</v>
      </c>
      <c r="L1618">
        <v>1210</v>
      </c>
      <c r="M1618">
        <v>7.13</v>
      </c>
      <c r="N1618">
        <v>86.2</v>
      </c>
      <c r="O1618" t="s">
        <v>19</v>
      </c>
      <c r="P1618" t="s">
        <v>1267</v>
      </c>
      <c r="Q1618" t="s">
        <v>19</v>
      </c>
      <c r="R1618" t="str">
        <f>HYPERLINK("https://cfpub.epa.gov/ecotox/explore.cfm?ncbi=80972","Explore in ECOTOX")</f>
        <v>Explore in ECOTOX</v>
      </c>
    </row>
    <row r="1619" spans="1:18" x14ac:dyDescent="0.45">
      <c r="A1619" t="s">
        <v>1266</v>
      </c>
      <c r="B1619">
        <v>8</v>
      </c>
      <c r="C1619" t="str">
        <f>HYPERLINK("http://www.ncbi.nlm.nih.gov/protein/XP_043870193.1","XP_043870193.1")</f>
        <v>XP_043870193.1</v>
      </c>
      <c r="D1619">
        <v>91952</v>
      </c>
      <c r="E1619" t="str">
        <f>HYPERLINK("http://www.ncbi.nlm.nih.gov/Taxonomy/Browser/wwwtax.cgi?mode=Info&amp;id=28829&amp;lvl=3&amp;lin=f&amp;keep=1&amp;srchmode=1&amp;unlock","28829")</f>
        <v>28829</v>
      </c>
      <c r="F1619" t="s">
        <v>17</v>
      </c>
      <c r="G1619" t="str">
        <f>HYPERLINK("http://www.ncbi.nlm.nih.gov/Taxonomy/Browser/wwwtax.cgi?mode=Info&amp;id=28829&amp;lvl=3&amp;lin=f&amp;keep=1&amp;srchmode=1&amp;unlock","Solea senegalensis")</f>
        <v>Solea senegalensis</v>
      </c>
      <c r="H1619" t="s">
        <v>60</v>
      </c>
      <c r="I1619" t="str">
        <f>HYPERLINK("http://www.ncbi.nlm.nih.gov/protein/XP_043870193.1","ryanodine receptor 2 isoform X1")</f>
        <v>ryanodine receptor 2 isoform X1</v>
      </c>
      <c r="J1619">
        <v>8845.32</v>
      </c>
      <c r="K1619" t="s">
        <v>19</v>
      </c>
      <c r="L1619">
        <v>1210</v>
      </c>
      <c r="M1619">
        <v>7.13</v>
      </c>
      <c r="N1619">
        <v>86.19</v>
      </c>
      <c r="O1619" t="s">
        <v>19</v>
      </c>
      <c r="P1619" t="s">
        <v>1267</v>
      </c>
      <c r="Q1619" t="s">
        <v>19</v>
      </c>
      <c r="R1619" t="str">
        <f>HYPERLINK("https://cfpub.epa.gov/ecotox/explore.cfm?ncbi=28829","Explore in ECOTOX")</f>
        <v>Explore in ECOTOX</v>
      </c>
    </row>
    <row r="1620" spans="1:18" x14ac:dyDescent="0.45">
      <c r="A1620" t="s">
        <v>1266</v>
      </c>
      <c r="B1620">
        <v>8</v>
      </c>
      <c r="C1620" t="str">
        <f>HYPERLINK("http://www.ncbi.nlm.nih.gov/protein/XP_058476952.1","XP_058476952.1")</f>
        <v>XP_058476952.1</v>
      </c>
      <c r="D1620">
        <v>43057</v>
      </c>
      <c r="E1620" t="str">
        <f>HYPERLINK("http://www.ncbi.nlm.nih.gov/Taxonomy/Browser/wwwtax.cgi?mode=Info&amp;id=90069&amp;lvl=3&amp;lin=f&amp;keep=1&amp;srchmode=1&amp;unlock","90069")</f>
        <v>90069</v>
      </c>
      <c r="F1620" t="s">
        <v>17</v>
      </c>
      <c r="G1620" t="str">
        <f>HYPERLINK("http://www.ncbi.nlm.nih.gov/Taxonomy/Browser/wwwtax.cgi?mode=Info&amp;id=90069&amp;lvl=3&amp;lin=f&amp;keep=1&amp;srchmode=1&amp;unlock","Solea solea")</f>
        <v>Solea solea</v>
      </c>
      <c r="H1620" t="s">
        <v>90</v>
      </c>
      <c r="I1620" t="str">
        <f>HYPERLINK("http://www.ncbi.nlm.nih.gov/protein/XP_058476952.1","ryanodine receptor 2 isoform X15")</f>
        <v>ryanodine receptor 2 isoform X15</v>
      </c>
      <c r="J1620">
        <v>8843.7800000000007</v>
      </c>
      <c r="K1620" t="s">
        <v>19</v>
      </c>
      <c r="L1620">
        <v>1210</v>
      </c>
      <c r="M1620">
        <v>7.13</v>
      </c>
      <c r="N1620">
        <v>86.17</v>
      </c>
      <c r="O1620" t="s">
        <v>19</v>
      </c>
      <c r="P1620" t="s">
        <v>1267</v>
      </c>
      <c r="Q1620" t="s">
        <v>19</v>
      </c>
      <c r="R1620" t="str">
        <f>HYPERLINK("https://cfpub.epa.gov/ecotox/explore.cfm?ncbi=90069","Explore in ECOTOX")</f>
        <v>Explore in ECOTOX</v>
      </c>
    </row>
    <row r="1621" spans="1:18" x14ac:dyDescent="0.45">
      <c r="A1621" t="s">
        <v>1266</v>
      </c>
      <c r="B1621">
        <v>8</v>
      </c>
      <c r="C1621" t="str">
        <f>HYPERLINK("http://www.ncbi.nlm.nih.gov/protein/XP_019938872.1","XP_019938872.1")</f>
        <v>XP_019938872.1</v>
      </c>
      <c r="D1621">
        <v>37917</v>
      </c>
      <c r="E1621" t="str">
        <f>HYPERLINK("http://www.ncbi.nlm.nih.gov/Taxonomy/Browser/wwwtax.cgi?mode=Info&amp;id=8255&amp;lvl=3&amp;lin=f&amp;keep=1&amp;srchmode=1&amp;unlock","8255")</f>
        <v>8255</v>
      </c>
      <c r="F1621" t="s">
        <v>17</v>
      </c>
      <c r="G1621" t="str">
        <f>HYPERLINK("http://www.ncbi.nlm.nih.gov/Taxonomy/Browser/wwwtax.cgi?mode=Info&amp;id=8255&amp;lvl=3&amp;lin=f&amp;keep=1&amp;srchmode=1&amp;unlock","Paralichthys olivaceus")</f>
        <v>Paralichthys olivaceus</v>
      </c>
      <c r="H1621" t="s">
        <v>83</v>
      </c>
      <c r="I1621" t="str">
        <f>HYPERLINK("http://www.ncbi.nlm.nih.gov/protein/XP_019938872.1","PREDICTED: ryanodine receptor 2")</f>
        <v>PREDICTED: ryanodine receptor 2</v>
      </c>
      <c r="J1621">
        <v>8843.7800000000007</v>
      </c>
      <c r="K1621" t="s">
        <v>19</v>
      </c>
      <c r="L1621">
        <v>1210</v>
      </c>
      <c r="M1621">
        <v>7.13</v>
      </c>
      <c r="N1621">
        <v>86.17</v>
      </c>
      <c r="O1621" t="s">
        <v>19</v>
      </c>
      <c r="P1621" t="s">
        <v>1267</v>
      </c>
      <c r="Q1621" t="s">
        <v>19</v>
      </c>
      <c r="R1621" t="str">
        <f>HYPERLINK("https://cfpub.epa.gov/ecotox/explore.cfm?ncbi=8255","Explore in ECOTOX")</f>
        <v>Explore in ECOTOX</v>
      </c>
    </row>
    <row r="1622" spans="1:18" x14ac:dyDescent="0.45">
      <c r="A1622" t="s">
        <v>1266</v>
      </c>
      <c r="B1622">
        <v>8</v>
      </c>
      <c r="C1622" t="str">
        <f>HYPERLINK("http://www.ncbi.nlm.nih.gov/protein/XP_053270386.1","XP_053270386.1")</f>
        <v>XP_053270386.1</v>
      </c>
      <c r="D1622">
        <v>85261</v>
      </c>
      <c r="E1622" t="str">
        <f>HYPERLINK("http://www.ncbi.nlm.nih.gov/Taxonomy/Browser/wwwtax.cgi?mode=Info&amp;id=8262&amp;lvl=3&amp;lin=f&amp;keep=1&amp;srchmode=1&amp;unlock","8262")</f>
        <v>8262</v>
      </c>
      <c r="F1622" t="s">
        <v>17</v>
      </c>
      <c r="G1622" t="str">
        <f>HYPERLINK("http://www.ncbi.nlm.nih.gov/Taxonomy/Browser/wwwtax.cgi?mode=Info&amp;id=8262&amp;lvl=3&amp;lin=f&amp;keep=1&amp;srchmode=1&amp;unlock","Pleuronectes platessa")</f>
        <v>Pleuronectes platessa</v>
      </c>
      <c r="H1622" t="s">
        <v>121</v>
      </c>
      <c r="I1622" t="str">
        <f>HYPERLINK("http://www.ncbi.nlm.nih.gov/protein/XP_053270386.1","ryanodine receptor 2")</f>
        <v>ryanodine receptor 2</v>
      </c>
      <c r="J1622">
        <v>8834.92</v>
      </c>
      <c r="K1622" t="s">
        <v>19</v>
      </c>
      <c r="L1622">
        <v>1210</v>
      </c>
      <c r="M1622">
        <v>7.13</v>
      </c>
      <c r="N1622">
        <v>86.09</v>
      </c>
      <c r="O1622" t="s">
        <v>19</v>
      </c>
      <c r="P1622" t="s">
        <v>1267</v>
      </c>
      <c r="Q1622" t="s">
        <v>19</v>
      </c>
      <c r="R1622" t="str">
        <f>HYPERLINK("https://cfpub.epa.gov/ecotox/explore.cfm?ncbi=8262","Explore in ECOTOX")</f>
        <v>Explore in ECOTOX</v>
      </c>
    </row>
    <row r="1623" spans="1:18" x14ac:dyDescent="0.45">
      <c r="A1623" t="s">
        <v>1266</v>
      </c>
      <c r="B1623">
        <v>8</v>
      </c>
      <c r="C1623" t="str">
        <f>HYPERLINK("http://www.ncbi.nlm.nih.gov/protein/XP_045924805.1","XP_045924805.1")</f>
        <v>XP_045924805.1</v>
      </c>
      <c r="D1623">
        <v>48490</v>
      </c>
      <c r="E1623" t="str">
        <f>HYPERLINK("http://www.ncbi.nlm.nih.gov/Taxonomy/Browser/wwwtax.cgi?mode=Info&amp;id=147949&amp;lvl=3&amp;lin=f&amp;keep=1&amp;srchmode=1&amp;unlock","147949")</f>
        <v>147949</v>
      </c>
      <c r="F1623" t="s">
        <v>17</v>
      </c>
      <c r="G1623" t="str">
        <f>HYPERLINK("http://www.ncbi.nlm.nih.gov/Taxonomy/Browser/wwwtax.cgi?mode=Info&amp;id=147949&amp;lvl=3&amp;lin=f&amp;keep=1&amp;srchmode=1&amp;unlock","Micropterus dolomieu")</f>
        <v>Micropterus dolomieu</v>
      </c>
      <c r="H1623" t="s">
        <v>82</v>
      </c>
      <c r="I1623" t="str">
        <f>HYPERLINK("http://www.ncbi.nlm.nih.gov/protein/XP_045924805.1","ryanodine receptor 2")</f>
        <v>ryanodine receptor 2</v>
      </c>
      <c r="J1623">
        <v>8834.5400000000009</v>
      </c>
      <c r="K1623" t="s">
        <v>19</v>
      </c>
      <c r="L1623">
        <v>1210</v>
      </c>
      <c r="M1623">
        <v>7.13</v>
      </c>
      <c r="N1623">
        <v>86.08</v>
      </c>
      <c r="O1623" t="s">
        <v>19</v>
      </c>
      <c r="P1623" t="s">
        <v>1267</v>
      </c>
      <c r="Q1623" t="s">
        <v>19</v>
      </c>
      <c r="R1623" t="str">
        <f>HYPERLINK("https://cfpub.epa.gov/ecotox/explore.cfm?ncbi=147949","Explore in ECOTOX")</f>
        <v>Explore in ECOTOX</v>
      </c>
    </row>
    <row r="1624" spans="1:18" x14ac:dyDescent="0.45">
      <c r="A1624" t="s">
        <v>1266</v>
      </c>
      <c r="B1624">
        <v>8</v>
      </c>
      <c r="C1624" t="str">
        <f>HYPERLINK("http://www.ncbi.nlm.nih.gov/protein/XP_037609997.1","XP_037609997.1")</f>
        <v>XP_037609997.1</v>
      </c>
      <c r="D1624">
        <v>50721</v>
      </c>
      <c r="E1624" t="str">
        <f>HYPERLINK("http://www.ncbi.nlm.nih.gov/Taxonomy/Browser/wwwtax.cgi?mode=Info&amp;id=72105&amp;lvl=3&amp;lin=f&amp;keep=1&amp;srchmode=1&amp;unlock","72105")</f>
        <v>72105</v>
      </c>
      <c r="F1624" t="s">
        <v>17</v>
      </c>
      <c r="G1624" t="str">
        <f>HYPERLINK("http://www.ncbi.nlm.nih.gov/Taxonomy/Browser/wwwtax.cgi?mode=Info&amp;id=72105&amp;lvl=3&amp;lin=f&amp;keep=1&amp;srchmode=1&amp;unlock","Sebastes umbrosus")</f>
        <v>Sebastes umbrosus</v>
      </c>
      <c r="H1624" t="s">
        <v>455</v>
      </c>
      <c r="I1624" t="str">
        <f>HYPERLINK("http://www.ncbi.nlm.nih.gov/protein/XP_037609997.1","ryanodine receptor 2 isoform X1")</f>
        <v>ryanodine receptor 2 isoform X1</v>
      </c>
      <c r="J1624">
        <v>8832.61</v>
      </c>
      <c r="K1624" t="s">
        <v>19</v>
      </c>
      <c r="L1624">
        <v>1210</v>
      </c>
      <c r="M1624">
        <v>7.13</v>
      </c>
      <c r="N1624">
        <v>86.06</v>
      </c>
      <c r="O1624" t="s">
        <v>19</v>
      </c>
      <c r="P1624" t="s">
        <v>1267</v>
      </c>
      <c r="Q1624" t="s">
        <v>19</v>
      </c>
      <c r="R1624" t="str">
        <f>HYPERLINK("https://cfpub.epa.gov/ecotox/explore.cfm?ncbi=72105","Explore in ECOTOX")</f>
        <v>Explore in ECOTOX</v>
      </c>
    </row>
    <row r="1625" spans="1:18" x14ac:dyDescent="0.45">
      <c r="A1625" t="s">
        <v>1266</v>
      </c>
      <c r="B1625">
        <v>8</v>
      </c>
      <c r="C1625" t="str">
        <f>HYPERLINK("http://www.ncbi.nlm.nih.gov/protein/XP_060950446.1","XP_060950446.1")</f>
        <v>XP_060950446.1</v>
      </c>
      <c r="D1625">
        <v>30038</v>
      </c>
      <c r="E1625" t="str">
        <f>HYPERLINK("http://www.ncbi.nlm.nih.gov/Taxonomy/Browser/wwwtax.cgi?mode=Info&amp;id=27771&amp;lvl=3&amp;lin=f&amp;keep=1&amp;srchmode=1&amp;unlock","27771")</f>
        <v>27771</v>
      </c>
      <c r="F1625" t="s">
        <v>17</v>
      </c>
      <c r="G1625" t="str">
        <f>HYPERLINK("http://www.ncbi.nlm.nih.gov/Taxonomy/Browser/wwwtax.cgi?mode=Info&amp;id=27771&amp;lvl=3&amp;lin=f&amp;keep=1&amp;srchmode=1&amp;unlock","Limanda limanda")</f>
        <v>Limanda limanda</v>
      </c>
      <c r="H1625" t="s">
        <v>131</v>
      </c>
      <c r="I1625" t="str">
        <f>HYPERLINK("http://www.ncbi.nlm.nih.gov/protein/XP_060950446.1","ryanodine receptor 2")</f>
        <v>ryanodine receptor 2</v>
      </c>
      <c r="J1625">
        <v>8832.23</v>
      </c>
      <c r="K1625" t="s">
        <v>19</v>
      </c>
      <c r="L1625">
        <v>1210</v>
      </c>
      <c r="M1625">
        <v>7.13</v>
      </c>
      <c r="N1625">
        <v>86.06</v>
      </c>
      <c r="O1625" t="s">
        <v>19</v>
      </c>
      <c r="P1625" t="s">
        <v>1267</v>
      </c>
      <c r="Q1625" t="s">
        <v>19</v>
      </c>
      <c r="R1625" t="str">
        <f>HYPERLINK("https://cfpub.epa.gov/ecotox/explore.cfm?ncbi=27771","Explore in ECOTOX")</f>
        <v>Explore in ECOTOX</v>
      </c>
    </row>
    <row r="1626" spans="1:18" x14ac:dyDescent="0.45">
      <c r="A1626" t="s">
        <v>1266</v>
      </c>
      <c r="B1626">
        <v>8</v>
      </c>
      <c r="C1626" t="str">
        <f>HYPERLINK("http://www.ncbi.nlm.nih.gov/protein/XP_055768088.1","XP_055768088.1")</f>
        <v>XP_055768088.1</v>
      </c>
      <c r="D1626">
        <v>83509</v>
      </c>
      <c r="E1626" t="str">
        <f>HYPERLINK("http://www.ncbi.nlm.nih.gov/Taxonomy/Browser/wwwtax.cgi?mode=Info&amp;id=8038&amp;lvl=3&amp;lin=f&amp;keep=1&amp;srchmode=1&amp;unlock","8038")</f>
        <v>8038</v>
      </c>
      <c r="F1626" t="s">
        <v>17</v>
      </c>
      <c r="G1626" t="str">
        <f>HYPERLINK("http://www.ncbi.nlm.nih.gov/Taxonomy/Browser/wwwtax.cgi?mode=Info&amp;id=8038&amp;lvl=3&amp;lin=f&amp;keep=1&amp;srchmode=1&amp;unlock","Salvelinus fontinalis")</f>
        <v>Salvelinus fontinalis</v>
      </c>
      <c r="H1626" t="s">
        <v>149</v>
      </c>
      <c r="I1626" t="str">
        <f>HYPERLINK("http://www.ncbi.nlm.nih.gov/protein/XP_055768088.1","ryanodine receptor 2-like")</f>
        <v>ryanodine receptor 2-like</v>
      </c>
      <c r="J1626">
        <v>8831.4599999999991</v>
      </c>
      <c r="K1626" t="s">
        <v>19</v>
      </c>
      <c r="L1626">
        <v>1210</v>
      </c>
      <c r="M1626">
        <v>7.13</v>
      </c>
      <c r="N1626">
        <v>86.05</v>
      </c>
      <c r="O1626" t="s">
        <v>19</v>
      </c>
      <c r="P1626" t="s">
        <v>1267</v>
      </c>
      <c r="Q1626" t="s">
        <v>19</v>
      </c>
      <c r="R1626" t="str">
        <f>HYPERLINK("https://cfpub.epa.gov/ecotox/explore.cfm?ncbi=8038","Explore in ECOTOX")</f>
        <v>Explore in ECOTOX</v>
      </c>
    </row>
    <row r="1627" spans="1:18" x14ac:dyDescent="0.45">
      <c r="A1627" t="s">
        <v>1266</v>
      </c>
      <c r="B1627">
        <v>8</v>
      </c>
      <c r="C1627" t="str">
        <f>HYPERLINK("http://www.ncbi.nlm.nih.gov/protein/XP_028423370.1","XP_028423370.1")</f>
        <v>XP_028423370.1</v>
      </c>
      <c r="D1627">
        <v>65002</v>
      </c>
      <c r="E1627" t="str">
        <f>HYPERLINK("http://www.ncbi.nlm.nih.gov/Taxonomy/Browser/wwwtax.cgi?mode=Info&amp;id=8167&amp;lvl=3&amp;lin=f&amp;keep=1&amp;srchmode=1&amp;unlock","8167")</f>
        <v>8167</v>
      </c>
      <c r="F1627" t="s">
        <v>17</v>
      </c>
      <c r="G1627" t="str">
        <f>HYPERLINK("http://www.ncbi.nlm.nih.gov/Taxonomy/Browser/wwwtax.cgi?mode=Info&amp;id=8167&amp;lvl=3&amp;lin=f&amp;keep=1&amp;srchmode=1&amp;unlock","Perca flavescens")</f>
        <v>Perca flavescens</v>
      </c>
      <c r="H1627" t="s">
        <v>67</v>
      </c>
      <c r="I1627" t="str">
        <f>HYPERLINK("http://www.ncbi.nlm.nih.gov/protein/XP_028423370.1","ryanodine receptor 2 isoform X4")</f>
        <v>ryanodine receptor 2 isoform X4</v>
      </c>
      <c r="J1627">
        <v>8830.69</v>
      </c>
      <c r="K1627" t="s">
        <v>19</v>
      </c>
      <c r="L1627">
        <v>1210</v>
      </c>
      <c r="M1627">
        <v>7.13</v>
      </c>
      <c r="N1627">
        <v>86.04</v>
      </c>
      <c r="O1627" t="s">
        <v>19</v>
      </c>
      <c r="P1627" t="s">
        <v>1267</v>
      </c>
      <c r="Q1627" t="s">
        <v>19</v>
      </c>
      <c r="R1627" t="str">
        <f>HYPERLINK("https://cfpub.epa.gov/ecotox/explore.cfm?ncbi=8167","Explore in ECOTOX")</f>
        <v>Explore in ECOTOX</v>
      </c>
    </row>
    <row r="1628" spans="1:18" x14ac:dyDescent="0.45">
      <c r="A1628" t="s">
        <v>1266</v>
      </c>
      <c r="B1628">
        <v>8</v>
      </c>
      <c r="C1628" t="str">
        <f>HYPERLINK("http://www.ncbi.nlm.nih.gov/protein/MBN3297056.1","MBN3297056.1")</f>
        <v>MBN3297056.1</v>
      </c>
      <c r="D1628">
        <v>16716</v>
      </c>
      <c r="E1628" t="str">
        <f>HYPERLINK("http://www.ncbi.nlm.nih.gov/Taxonomy/Browser/wwwtax.cgi?mode=Info&amp;id=7924&amp;lvl=3&amp;lin=f&amp;keep=1&amp;srchmode=1&amp;unlock","7924")</f>
        <v>7924</v>
      </c>
      <c r="F1628" t="s">
        <v>17</v>
      </c>
      <c r="G1628" t="str">
        <f>HYPERLINK("http://www.ncbi.nlm.nih.gov/Taxonomy/Browser/wwwtax.cgi?mode=Info&amp;id=7924&amp;lvl=3&amp;lin=f&amp;keep=1&amp;srchmode=1&amp;unlock","Amia calva")</f>
        <v>Amia calva</v>
      </c>
      <c r="H1628" t="s">
        <v>487</v>
      </c>
      <c r="I1628" t="str">
        <f>HYPERLINK("http://www.ncbi.nlm.nih.gov/protein/MBN3297056.1","RYR2 protein")</f>
        <v>RYR2 protein</v>
      </c>
      <c r="J1628">
        <v>8829.92</v>
      </c>
      <c r="K1628" t="s">
        <v>19</v>
      </c>
      <c r="L1628">
        <v>1210</v>
      </c>
      <c r="M1628">
        <v>7.13</v>
      </c>
      <c r="N1628">
        <v>86.04</v>
      </c>
      <c r="O1628" t="s">
        <v>19</v>
      </c>
      <c r="P1628" t="s">
        <v>1267</v>
      </c>
      <c r="Q1628" t="s">
        <v>19</v>
      </c>
      <c r="R1628" t="str">
        <f>HYPERLINK("https://cfpub.epa.gov/ecotox/explore.cfm?ncbi=7924","Explore in ECOTOX")</f>
        <v>Explore in ECOTOX</v>
      </c>
    </row>
    <row r="1629" spans="1:18" x14ac:dyDescent="0.45">
      <c r="A1629" t="s">
        <v>1266</v>
      </c>
      <c r="B1629">
        <v>8</v>
      </c>
      <c r="C1629" t="str">
        <f>HYPERLINK("http://www.ncbi.nlm.nih.gov/protein/XP_039594622.1","XP_039594622.1")</f>
        <v>XP_039594622.1</v>
      </c>
      <c r="D1629">
        <v>64397</v>
      </c>
      <c r="E1629" t="str">
        <f>HYPERLINK("http://www.ncbi.nlm.nih.gov/Taxonomy/Browser/wwwtax.cgi?mode=Info&amp;id=55291&amp;lvl=3&amp;lin=f&amp;keep=1&amp;srchmode=1&amp;unlock","55291")</f>
        <v>55291</v>
      </c>
      <c r="F1629" t="s">
        <v>293</v>
      </c>
      <c r="G1629" t="str">
        <f>HYPERLINK("http://www.ncbi.nlm.nih.gov/Taxonomy/Browser/wwwtax.cgi?mode=Info&amp;id=55291&amp;lvl=3&amp;lin=f&amp;keep=1&amp;srchmode=1&amp;unlock","Polypterus senegalus")</f>
        <v>Polypterus senegalus</v>
      </c>
      <c r="H1629" t="s">
        <v>294</v>
      </c>
      <c r="I1629" t="str">
        <f>HYPERLINK("http://www.ncbi.nlm.nih.gov/protein/XP_039594622.1","ryanodine receptor 2 isoform X3")</f>
        <v>ryanodine receptor 2 isoform X3</v>
      </c>
      <c r="J1629">
        <v>8826.83</v>
      </c>
      <c r="K1629" t="s">
        <v>19</v>
      </c>
      <c r="L1629">
        <v>1210</v>
      </c>
      <c r="M1629">
        <v>7.13</v>
      </c>
      <c r="N1629">
        <v>86.01</v>
      </c>
      <c r="O1629" t="s">
        <v>19</v>
      </c>
      <c r="P1629" t="s">
        <v>1267</v>
      </c>
      <c r="Q1629" t="s">
        <v>19</v>
      </c>
      <c r="R1629" t="str">
        <f>HYPERLINK("https://cfpub.epa.gov/ecotox/explore.cfm?ncbi=55291","Explore in ECOTOX")</f>
        <v>Explore in ECOTOX</v>
      </c>
    </row>
    <row r="1630" spans="1:18" x14ac:dyDescent="0.45">
      <c r="A1630" t="s">
        <v>1266</v>
      </c>
      <c r="B1630">
        <v>8</v>
      </c>
      <c r="C1630" t="str">
        <f>HYPERLINK("http://www.ncbi.nlm.nih.gov/protein/XP_051775519.1","XP_051775519.1")</f>
        <v>XP_051775519.1</v>
      </c>
      <c r="D1630">
        <v>40308</v>
      </c>
      <c r="E1630" t="str">
        <f>HYPERLINK("http://www.ncbi.nlm.nih.gov/Taxonomy/Browser/wwwtax.cgi?mode=Info&amp;id=27687&amp;lvl=3&amp;lin=f&amp;keep=1&amp;srchmode=1&amp;unlock","27687")</f>
        <v>27687</v>
      </c>
      <c r="F1630" t="s">
        <v>293</v>
      </c>
      <c r="G1630" t="str">
        <f>HYPERLINK("http://www.ncbi.nlm.nih.gov/Taxonomy/Browser/wwwtax.cgi?mode=Info&amp;id=27687&amp;lvl=3&amp;lin=f&amp;keep=1&amp;srchmode=1&amp;unlock","Erpetoichthys calabaricus")</f>
        <v>Erpetoichthys calabaricus</v>
      </c>
      <c r="H1630" t="s">
        <v>304</v>
      </c>
      <c r="I1630" t="str">
        <f>HYPERLINK("http://www.ncbi.nlm.nih.gov/protein/XP_051775519.1","ryanodine receptor 2 isoform X1")</f>
        <v>ryanodine receptor 2 isoform X1</v>
      </c>
      <c r="J1630">
        <v>8824.52</v>
      </c>
      <c r="K1630" t="s">
        <v>19</v>
      </c>
      <c r="L1630">
        <v>1210</v>
      </c>
      <c r="M1630">
        <v>7.13</v>
      </c>
      <c r="N1630">
        <v>85.98</v>
      </c>
      <c r="O1630" t="s">
        <v>19</v>
      </c>
      <c r="P1630" t="s">
        <v>1267</v>
      </c>
      <c r="Q1630" t="s">
        <v>19</v>
      </c>
      <c r="R1630" t="str">
        <f>HYPERLINK("https://cfpub.epa.gov/ecotox/explore.cfm?ncbi=27687","Explore in ECOTOX")</f>
        <v>Explore in ECOTOX</v>
      </c>
    </row>
    <row r="1631" spans="1:18" x14ac:dyDescent="0.45">
      <c r="A1631" t="s">
        <v>1266</v>
      </c>
      <c r="B1631">
        <v>8</v>
      </c>
      <c r="C1631" t="str">
        <f>HYPERLINK("http://www.ncbi.nlm.nih.gov/protein/XP_056152781.1","XP_056152781.1")</f>
        <v>XP_056152781.1</v>
      </c>
      <c r="D1631">
        <v>29577</v>
      </c>
      <c r="E1631" t="str">
        <f>HYPERLINK("http://www.ncbi.nlm.nih.gov/Taxonomy/Browser/wwwtax.cgi?mode=Info&amp;id=2546036&amp;lvl=3&amp;lin=f&amp;keep=1&amp;srchmode=1&amp;unlock","2546036")</f>
        <v>2546036</v>
      </c>
      <c r="F1631" t="s">
        <v>17</v>
      </c>
      <c r="G1631" t="str">
        <f>HYPERLINK("http://www.ncbi.nlm.nih.gov/Taxonomy/Browser/wwwtax.cgi?mode=Info&amp;id=2546036&amp;lvl=3&amp;lin=f&amp;keep=1&amp;srchmode=1&amp;unlock","Lampris incognitus")</f>
        <v>Lampris incognitus</v>
      </c>
      <c r="H1631" t="s">
        <v>422</v>
      </c>
      <c r="I1631" t="str">
        <f>HYPERLINK("http://www.ncbi.nlm.nih.gov/protein/XP_056152781.1","LOW QUALITY PROTEIN: ryanodine receptor 2")</f>
        <v>LOW QUALITY PROTEIN: ryanodine receptor 2</v>
      </c>
      <c r="J1631">
        <v>8820.2900000000009</v>
      </c>
      <c r="K1631" t="s">
        <v>19</v>
      </c>
      <c r="L1631">
        <v>1210</v>
      </c>
      <c r="M1631">
        <v>7.13</v>
      </c>
      <c r="N1631">
        <v>85.94</v>
      </c>
      <c r="O1631" t="s">
        <v>19</v>
      </c>
      <c r="P1631" t="s">
        <v>1267</v>
      </c>
      <c r="Q1631" t="s">
        <v>19</v>
      </c>
      <c r="R1631" t="str">
        <f>HYPERLINK("https://cfpub.epa.gov/ecotox/explore.cfm?ncbi=2546036","Explore in ECOTOX")</f>
        <v>Explore in ECOTOX</v>
      </c>
    </row>
    <row r="1632" spans="1:18" x14ac:dyDescent="0.45">
      <c r="A1632" t="s">
        <v>1266</v>
      </c>
      <c r="B1632">
        <v>8</v>
      </c>
      <c r="C1632" t="str">
        <f>HYPERLINK("http://www.ncbi.nlm.nih.gov/protein/KAK2910763.1","KAK2910763.1")</f>
        <v>KAK2910763.1</v>
      </c>
      <c r="D1632">
        <v>47003</v>
      </c>
      <c r="E1632" t="str">
        <f>HYPERLINK("http://www.ncbi.nlm.nih.gov/Taxonomy/Browser/wwwtax.cgi?mode=Info&amp;id=215402&amp;lvl=3&amp;lin=f&amp;keep=1&amp;srchmode=1&amp;unlock","215402")</f>
        <v>215402</v>
      </c>
      <c r="F1632" t="s">
        <v>17</v>
      </c>
      <c r="G1632" t="str">
        <f>HYPERLINK("http://www.ncbi.nlm.nih.gov/Taxonomy/Browser/wwwtax.cgi?mode=Info&amp;id=215402&amp;lvl=3&amp;lin=f&amp;keep=1&amp;srchmode=1&amp;unlock","Channa argus")</f>
        <v>Channa argus</v>
      </c>
      <c r="H1632" t="s">
        <v>112</v>
      </c>
      <c r="I1632" t="str">
        <f>HYPERLINK("http://www.ncbi.nlm.nih.gov/protein/KAK2910763.1","hypothetical protein Q8A73_008478")</f>
        <v>hypothetical protein Q8A73_008478</v>
      </c>
      <c r="J1632">
        <v>8819.1299999999992</v>
      </c>
      <c r="K1632" t="s">
        <v>19</v>
      </c>
      <c r="L1632">
        <v>1210</v>
      </c>
      <c r="M1632">
        <v>7.13</v>
      </c>
      <c r="N1632">
        <v>85.93</v>
      </c>
      <c r="O1632" t="s">
        <v>19</v>
      </c>
      <c r="P1632" t="s">
        <v>1267</v>
      </c>
      <c r="Q1632" t="s">
        <v>19</v>
      </c>
      <c r="R1632" t="str">
        <f>HYPERLINK("https://cfpub.epa.gov/ecotox/explore.cfm?ncbi=215402","Explore in ECOTOX")</f>
        <v>Explore in ECOTOX</v>
      </c>
    </row>
    <row r="1633" spans="1:18" x14ac:dyDescent="0.45">
      <c r="A1633" t="s">
        <v>1266</v>
      </c>
      <c r="B1633">
        <v>8</v>
      </c>
      <c r="C1633" t="str">
        <f>HYPERLINK("http://www.ncbi.nlm.nih.gov/protein/XP_034070776.1","XP_034070776.1")</f>
        <v>XP_034070776.1</v>
      </c>
      <c r="D1633">
        <v>45873</v>
      </c>
      <c r="E1633" t="str">
        <f>HYPERLINK("http://www.ncbi.nlm.nih.gov/Taxonomy/Browser/wwwtax.cgi?mode=Info&amp;id=8218&amp;lvl=3&amp;lin=f&amp;keep=1&amp;srchmode=1&amp;unlock","8218")</f>
        <v>8218</v>
      </c>
      <c r="F1633" t="s">
        <v>17</v>
      </c>
      <c r="G1633" t="str">
        <f>HYPERLINK("http://www.ncbi.nlm.nih.gov/Taxonomy/Browser/wwwtax.cgi?mode=Info&amp;id=8218&amp;lvl=3&amp;lin=f&amp;keep=1&amp;srchmode=1&amp;unlock","Gymnodraco acuticeps")</f>
        <v>Gymnodraco acuticeps</v>
      </c>
      <c r="H1633" t="s">
        <v>161</v>
      </c>
      <c r="I1633" t="str">
        <f>HYPERLINK("http://www.ncbi.nlm.nih.gov/protein/XP_034070776.1","ryanodine receptor 2 isoform X3")</f>
        <v>ryanodine receptor 2 isoform X3</v>
      </c>
      <c r="J1633">
        <v>8818.74</v>
      </c>
      <c r="K1633" t="s">
        <v>19</v>
      </c>
      <c r="L1633">
        <v>1210</v>
      </c>
      <c r="M1633">
        <v>7.13</v>
      </c>
      <c r="N1633">
        <v>85.93</v>
      </c>
      <c r="O1633" t="s">
        <v>19</v>
      </c>
      <c r="P1633" t="s">
        <v>1267</v>
      </c>
      <c r="Q1633" t="s">
        <v>19</v>
      </c>
      <c r="R1633" t="str">
        <f>HYPERLINK("https://cfpub.epa.gov/ecotox/explore.cfm?ncbi=8218","Explore in ECOTOX")</f>
        <v>Explore in ECOTOX</v>
      </c>
    </row>
    <row r="1634" spans="1:18" x14ac:dyDescent="0.45">
      <c r="A1634" t="s">
        <v>1266</v>
      </c>
      <c r="B1634">
        <v>8</v>
      </c>
      <c r="C1634" t="str">
        <f>HYPERLINK("http://www.ncbi.nlm.nih.gov/protein/XP_047194377.1","XP_047194377.1")</f>
        <v>XP_047194377.1</v>
      </c>
      <c r="D1634">
        <v>42151</v>
      </c>
      <c r="E1634" t="str">
        <f>HYPERLINK("http://www.ncbi.nlm.nih.gov/Taxonomy/Browser/wwwtax.cgi?mode=Info&amp;id=195615&amp;lvl=3&amp;lin=f&amp;keep=1&amp;srchmode=1&amp;unlock","195615")</f>
        <v>195615</v>
      </c>
      <c r="F1634" t="s">
        <v>17</v>
      </c>
      <c r="G1634" t="str">
        <f>HYPERLINK("http://www.ncbi.nlm.nih.gov/Taxonomy/Browser/wwwtax.cgi?mode=Info&amp;id=195615&amp;lvl=3&amp;lin=f&amp;keep=1&amp;srchmode=1&amp;unlock","Hippoglossus stenolepis")</f>
        <v>Hippoglossus stenolepis</v>
      </c>
      <c r="H1634" t="s">
        <v>104</v>
      </c>
      <c r="I1634" t="str">
        <f>HYPERLINK("http://www.ncbi.nlm.nih.gov/protein/XP_047194377.1","ryanodine receptor 2")</f>
        <v>ryanodine receptor 2</v>
      </c>
      <c r="J1634">
        <v>8815.66</v>
      </c>
      <c r="K1634" t="s">
        <v>19</v>
      </c>
      <c r="L1634">
        <v>1210</v>
      </c>
      <c r="M1634">
        <v>7.13</v>
      </c>
      <c r="N1634">
        <v>85.9</v>
      </c>
      <c r="O1634" t="s">
        <v>19</v>
      </c>
      <c r="P1634" t="s">
        <v>1267</v>
      </c>
      <c r="Q1634" t="s">
        <v>19</v>
      </c>
      <c r="R1634" t="str">
        <f>HYPERLINK("https://cfpub.epa.gov/ecotox/explore.cfm?ncbi=195615","Explore in ECOTOX")</f>
        <v>Explore in ECOTOX</v>
      </c>
    </row>
    <row r="1635" spans="1:18" x14ac:dyDescent="0.45">
      <c r="A1635" t="s">
        <v>1266</v>
      </c>
      <c r="B1635">
        <v>8</v>
      </c>
      <c r="C1635" t="str">
        <f>HYPERLINK("http://www.ncbi.nlm.nih.gov/protein/XP_034415362.1","XP_034415362.1")</f>
        <v>XP_034415362.1</v>
      </c>
      <c r="D1635">
        <v>38740</v>
      </c>
      <c r="E1635" t="str">
        <f>HYPERLINK("http://www.ncbi.nlm.nih.gov/Taxonomy/Browser/wwwtax.cgi?mode=Info&amp;id=8103&amp;lvl=3&amp;lin=f&amp;keep=1&amp;srchmode=1&amp;unlock","8103")</f>
        <v>8103</v>
      </c>
      <c r="F1635" t="s">
        <v>17</v>
      </c>
      <c r="G1635" t="str">
        <f>HYPERLINK("http://www.ncbi.nlm.nih.gov/Taxonomy/Browser/wwwtax.cgi?mode=Info&amp;id=8103&amp;lvl=3&amp;lin=f&amp;keep=1&amp;srchmode=1&amp;unlock","Cyclopterus lumpus")</f>
        <v>Cyclopterus lumpus</v>
      </c>
      <c r="H1635" t="s">
        <v>115</v>
      </c>
      <c r="I1635" t="str">
        <f>HYPERLINK("http://www.ncbi.nlm.nih.gov/protein/XP_034415362.1","ryanodine receptor 2")</f>
        <v>ryanodine receptor 2</v>
      </c>
      <c r="J1635">
        <v>8815.2800000000007</v>
      </c>
      <c r="K1635" t="s">
        <v>19</v>
      </c>
      <c r="L1635">
        <v>1210</v>
      </c>
      <c r="M1635">
        <v>7.13</v>
      </c>
      <c r="N1635">
        <v>85.89</v>
      </c>
      <c r="O1635" t="s">
        <v>19</v>
      </c>
      <c r="P1635" t="s">
        <v>1267</v>
      </c>
      <c r="Q1635" t="s">
        <v>19</v>
      </c>
      <c r="R1635" t="str">
        <f>HYPERLINK("https://cfpub.epa.gov/ecotox/explore.cfm?ncbi=8103","Explore in ECOTOX")</f>
        <v>Explore in ECOTOX</v>
      </c>
    </row>
    <row r="1636" spans="1:18" x14ac:dyDescent="0.45">
      <c r="A1636" t="s">
        <v>1266</v>
      </c>
      <c r="B1636">
        <v>8</v>
      </c>
      <c r="C1636" t="str">
        <f>HYPERLINK("http://www.ncbi.nlm.nih.gov/protein/KAK2815461.1","KAK2815461.1")</f>
        <v>KAK2815461.1</v>
      </c>
      <c r="D1636">
        <v>27151</v>
      </c>
      <c r="E1636" t="str">
        <f>HYPERLINK("http://www.ncbi.nlm.nih.gov/Taxonomy/Browser/wwwtax.cgi?mode=Info&amp;id=64152&amp;lvl=3&amp;lin=f&amp;keep=1&amp;srchmode=1&amp;unlock","64152")</f>
        <v>64152</v>
      </c>
      <c r="F1636" t="s">
        <v>17</v>
      </c>
      <c r="G1636" t="str">
        <f>HYPERLINK("http://www.ncbi.nlm.nih.gov/Taxonomy/Browser/wwwtax.cgi?mode=Info&amp;id=64152&amp;lvl=3&amp;lin=f&amp;keep=1&amp;srchmode=1&amp;unlock","Channa striata")</f>
        <v>Channa striata</v>
      </c>
      <c r="H1636" t="s">
        <v>95</v>
      </c>
      <c r="I1636" t="str">
        <f>HYPERLINK("http://www.ncbi.nlm.nih.gov/protein/KAK2815461.1","hypothetical protein Q5P01_025928")</f>
        <v>hypothetical protein Q5P01_025928</v>
      </c>
      <c r="J1636">
        <v>8814.89</v>
      </c>
      <c r="K1636" t="s">
        <v>19</v>
      </c>
      <c r="L1636">
        <v>1210</v>
      </c>
      <c r="M1636">
        <v>7.13</v>
      </c>
      <c r="N1636">
        <v>85.89</v>
      </c>
      <c r="O1636" t="s">
        <v>19</v>
      </c>
      <c r="P1636" t="s">
        <v>1267</v>
      </c>
      <c r="Q1636" t="s">
        <v>19</v>
      </c>
      <c r="R1636" t="str">
        <f>HYPERLINK("https://cfpub.epa.gov/ecotox/explore.cfm?ncbi=64152","Explore in ECOTOX")</f>
        <v>Explore in ECOTOX</v>
      </c>
    </row>
    <row r="1637" spans="1:18" x14ac:dyDescent="0.45">
      <c r="A1637" t="s">
        <v>1266</v>
      </c>
      <c r="B1637">
        <v>8</v>
      </c>
      <c r="C1637" t="str">
        <f>HYPERLINK("http://www.ncbi.nlm.nih.gov/protein/XP_039894481.1","XP_039894481.1")</f>
        <v>XP_039894481.1</v>
      </c>
      <c r="D1637">
        <v>53697</v>
      </c>
      <c r="E1637" t="str">
        <f>HYPERLINK("http://www.ncbi.nlm.nih.gov/Taxonomy/Browser/wwwtax.cgi?mode=Info&amp;id=43689&amp;lvl=3&amp;lin=f&amp;keep=1&amp;srchmode=1&amp;unlock","43689")</f>
        <v>43689</v>
      </c>
      <c r="F1637" t="s">
        <v>17</v>
      </c>
      <c r="G1637" t="str">
        <f>HYPERLINK("http://www.ncbi.nlm.nih.gov/Taxonomy/Browser/wwwtax.cgi?mode=Info&amp;id=43689&amp;lvl=3&amp;lin=f&amp;keep=1&amp;srchmode=1&amp;unlock","Simochromis diagramma")</f>
        <v>Simochromis diagramma</v>
      </c>
      <c r="H1637" t="s">
        <v>73</v>
      </c>
      <c r="I1637" t="str">
        <f>HYPERLINK("http://www.ncbi.nlm.nih.gov/protein/XP_039894481.1","ryanodine receptor 2 isoform X1")</f>
        <v>ryanodine receptor 2 isoform X1</v>
      </c>
      <c r="J1637">
        <v>8805.65</v>
      </c>
      <c r="K1637" t="s">
        <v>19</v>
      </c>
      <c r="L1637">
        <v>1210</v>
      </c>
      <c r="M1637">
        <v>7.13</v>
      </c>
      <c r="N1637">
        <v>85.8</v>
      </c>
      <c r="O1637" t="s">
        <v>19</v>
      </c>
      <c r="P1637" t="s">
        <v>1267</v>
      </c>
      <c r="Q1637" t="s">
        <v>19</v>
      </c>
      <c r="R1637" t="str">
        <f>HYPERLINK("https://cfpub.epa.gov/ecotox/explore.cfm?ncbi=43689","Explore in ECOTOX")</f>
        <v>Explore in ECOTOX</v>
      </c>
    </row>
    <row r="1638" spans="1:18" x14ac:dyDescent="0.45">
      <c r="A1638" t="s">
        <v>1266</v>
      </c>
      <c r="B1638">
        <v>8</v>
      </c>
      <c r="C1638" t="str">
        <f>HYPERLINK("http://www.ncbi.nlm.nih.gov/protein/XP_014265545.2","XP_014265545.2")</f>
        <v>XP_014265545.2</v>
      </c>
      <c r="D1638">
        <v>46437</v>
      </c>
      <c r="E1638" t="str">
        <f>HYPERLINK("http://www.ncbi.nlm.nih.gov/Taxonomy/Browser/wwwtax.cgi?mode=Info&amp;id=106582&amp;lvl=3&amp;lin=f&amp;keep=1&amp;srchmode=1&amp;unlock","106582")</f>
        <v>106582</v>
      </c>
      <c r="F1638" t="s">
        <v>17</v>
      </c>
      <c r="G1638" t="str">
        <f>HYPERLINK("http://www.ncbi.nlm.nih.gov/Taxonomy/Browser/wwwtax.cgi?mode=Info&amp;id=106582&amp;lvl=3&amp;lin=f&amp;keep=1&amp;srchmode=1&amp;unlock","Maylandia zebra")</f>
        <v>Maylandia zebra</v>
      </c>
      <c r="H1638" t="s">
        <v>80</v>
      </c>
      <c r="I1638" t="str">
        <f>HYPERLINK("http://www.ncbi.nlm.nih.gov/protein/XP_014265545.2","ryanodine receptor 2 isoform X1")</f>
        <v>ryanodine receptor 2 isoform X1</v>
      </c>
      <c r="J1638">
        <v>8803.34</v>
      </c>
      <c r="K1638" t="s">
        <v>19</v>
      </c>
      <c r="L1638">
        <v>1210</v>
      </c>
      <c r="M1638">
        <v>7.13</v>
      </c>
      <c r="N1638">
        <v>85.78</v>
      </c>
      <c r="O1638" t="s">
        <v>19</v>
      </c>
      <c r="P1638" t="s">
        <v>1267</v>
      </c>
      <c r="Q1638" t="s">
        <v>19</v>
      </c>
      <c r="R1638" t="str">
        <f>HYPERLINK("https://cfpub.epa.gov/ecotox/explore.cfm?ncbi=106582","Explore in ECOTOX")</f>
        <v>Explore in ECOTOX</v>
      </c>
    </row>
    <row r="1639" spans="1:18" x14ac:dyDescent="0.45">
      <c r="A1639" t="s">
        <v>1266</v>
      </c>
      <c r="B1639">
        <v>8</v>
      </c>
      <c r="C1639" t="str">
        <f>HYPERLINK("http://www.ncbi.nlm.nih.gov/protein/XP_014195898.1","XP_014195898.1")</f>
        <v>XP_014195898.1</v>
      </c>
      <c r="D1639">
        <v>49303</v>
      </c>
      <c r="E1639" t="str">
        <f>HYPERLINK("http://www.ncbi.nlm.nih.gov/Taxonomy/Browser/wwwtax.cgi?mode=Info&amp;id=8153&amp;lvl=3&amp;lin=f&amp;keep=1&amp;srchmode=1&amp;unlock","8153")</f>
        <v>8153</v>
      </c>
      <c r="F1639" t="s">
        <v>17</v>
      </c>
      <c r="G1639" t="str">
        <f>HYPERLINK("http://www.ncbi.nlm.nih.gov/Taxonomy/Browser/wwwtax.cgi?mode=Info&amp;id=8153&amp;lvl=3&amp;lin=f&amp;keep=1&amp;srchmode=1&amp;unlock","Haplochromis burtoni")</f>
        <v>Haplochromis burtoni</v>
      </c>
      <c r="H1639" t="s">
        <v>75</v>
      </c>
      <c r="I1639" t="str">
        <f>HYPERLINK("http://www.ncbi.nlm.nih.gov/protein/XP_014195898.1","ryanodine receptor 2")</f>
        <v>ryanodine receptor 2</v>
      </c>
      <c r="J1639">
        <v>8802.9500000000007</v>
      </c>
      <c r="K1639" t="s">
        <v>19</v>
      </c>
      <c r="L1639">
        <v>1210</v>
      </c>
      <c r="M1639">
        <v>7.13</v>
      </c>
      <c r="N1639">
        <v>85.77</v>
      </c>
      <c r="O1639" t="s">
        <v>19</v>
      </c>
      <c r="P1639" t="s">
        <v>1267</v>
      </c>
      <c r="Q1639" t="s">
        <v>19</v>
      </c>
      <c r="R1639" t="str">
        <f>HYPERLINK("https://cfpub.epa.gov/ecotox/explore.cfm?ncbi=8153","Explore in ECOTOX")</f>
        <v>Explore in ECOTOX</v>
      </c>
    </row>
    <row r="1640" spans="1:18" x14ac:dyDescent="0.45">
      <c r="A1640" t="s">
        <v>1266</v>
      </c>
      <c r="B1640">
        <v>8</v>
      </c>
      <c r="C1640" t="str">
        <f>HYPERLINK("http://www.ncbi.nlm.nih.gov/protein/XP_026033342.1","XP_026033342.1")</f>
        <v>XP_026033342.1</v>
      </c>
      <c r="D1640">
        <v>52755</v>
      </c>
      <c r="E1640" t="str">
        <f>HYPERLINK("http://www.ncbi.nlm.nih.gov/Taxonomy/Browser/wwwtax.cgi?mode=Info&amp;id=8154&amp;lvl=3&amp;lin=f&amp;keep=1&amp;srchmode=1&amp;unlock","8154")</f>
        <v>8154</v>
      </c>
      <c r="F1640" t="s">
        <v>17</v>
      </c>
      <c r="G1640" t="str">
        <f>HYPERLINK("http://www.ncbi.nlm.nih.gov/Taxonomy/Browser/wwwtax.cgi?mode=Info&amp;id=8154&amp;lvl=3&amp;lin=f&amp;keep=1&amp;srchmode=1&amp;unlock","Astatotilapia calliptera")</f>
        <v>Astatotilapia calliptera</v>
      </c>
      <c r="H1640" t="s">
        <v>74</v>
      </c>
      <c r="I1640" t="str">
        <f>HYPERLINK("http://www.ncbi.nlm.nih.gov/protein/XP_026033342.1","ryanodine receptor 2 isoform X1")</f>
        <v>ryanodine receptor 2 isoform X1</v>
      </c>
      <c r="J1640">
        <v>8802.57</v>
      </c>
      <c r="K1640" t="s">
        <v>19</v>
      </c>
      <c r="L1640">
        <v>1210</v>
      </c>
      <c r="M1640">
        <v>7.13</v>
      </c>
      <c r="N1640">
        <v>85.77</v>
      </c>
      <c r="O1640" t="s">
        <v>19</v>
      </c>
      <c r="P1640" t="s">
        <v>1267</v>
      </c>
      <c r="Q1640" t="s">
        <v>19</v>
      </c>
      <c r="R1640" t="str">
        <f>HYPERLINK("https://cfpub.epa.gov/ecotox/explore.cfm?ncbi=8154","Explore in ECOTOX")</f>
        <v>Explore in ECOTOX</v>
      </c>
    </row>
    <row r="1641" spans="1:18" x14ac:dyDescent="0.45">
      <c r="A1641" t="s">
        <v>1266</v>
      </c>
      <c r="B1641">
        <v>8</v>
      </c>
      <c r="C1641" t="str">
        <f>HYPERLINK("http://www.ncbi.nlm.nih.gov/protein/XP_025765576.1","XP_025765576.1")</f>
        <v>XP_025765576.1</v>
      </c>
      <c r="D1641">
        <v>63723</v>
      </c>
      <c r="E1641" t="str">
        <f>HYPERLINK("http://www.ncbi.nlm.nih.gov/Taxonomy/Browser/wwwtax.cgi?mode=Info&amp;id=8128&amp;lvl=3&amp;lin=f&amp;keep=1&amp;srchmode=1&amp;unlock","8128")</f>
        <v>8128</v>
      </c>
      <c r="F1641" t="s">
        <v>17</v>
      </c>
      <c r="G1641" t="str">
        <f>HYPERLINK("http://www.ncbi.nlm.nih.gov/Taxonomy/Browser/wwwtax.cgi?mode=Info&amp;id=8128&amp;lvl=3&amp;lin=f&amp;keep=1&amp;srchmode=1&amp;unlock","Oreochromis niloticus")</f>
        <v>Oreochromis niloticus</v>
      </c>
      <c r="H1641" t="s">
        <v>86</v>
      </c>
      <c r="I1641" t="str">
        <f>HYPERLINK("http://www.ncbi.nlm.nih.gov/protein/XP_025765576.1","ryanodine receptor 2")</f>
        <v>ryanodine receptor 2</v>
      </c>
      <c r="J1641">
        <v>8801.0300000000007</v>
      </c>
      <c r="K1641" t="s">
        <v>19</v>
      </c>
      <c r="L1641">
        <v>1210</v>
      </c>
      <c r="M1641">
        <v>7.13</v>
      </c>
      <c r="N1641">
        <v>85.76</v>
      </c>
      <c r="O1641" t="s">
        <v>19</v>
      </c>
      <c r="P1641" t="s">
        <v>1267</v>
      </c>
      <c r="Q1641" t="s">
        <v>19</v>
      </c>
      <c r="R1641" t="str">
        <f>HYPERLINK("https://cfpub.epa.gov/ecotox/explore.cfm?ncbi=8128","Explore in ECOTOX")</f>
        <v>Explore in ECOTOX</v>
      </c>
    </row>
    <row r="1642" spans="1:18" x14ac:dyDescent="0.45">
      <c r="A1642" t="s">
        <v>1266</v>
      </c>
      <c r="B1642">
        <v>8</v>
      </c>
      <c r="C1642" t="str">
        <f>HYPERLINK("http://www.ncbi.nlm.nih.gov/protein/XP_045074468.1","XP_045074468.1")</f>
        <v>XP_045074468.1</v>
      </c>
      <c r="D1642">
        <v>77029</v>
      </c>
      <c r="E1642" t="str">
        <f>HYPERLINK("http://www.ncbi.nlm.nih.gov/Taxonomy/Browser/wwwtax.cgi?mode=Info&amp;id=59861&amp;lvl=3&amp;lin=f&amp;keep=1&amp;srchmode=1&amp;unlock","59861")</f>
        <v>59861</v>
      </c>
      <c r="F1642" t="s">
        <v>17</v>
      </c>
      <c r="G1642" t="str">
        <f>HYPERLINK("http://www.ncbi.nlm.nih.gov/Taxonomy/Browser/wwwtax.cgi?mode=Info&amp;id=59861&amp;lvl=3&amp;lin=f&amp;keep=1&amp;srchmode=1&amp;unlock","Coregonus clupeaformis")</f>
        <v>Coregonus clupeaformis</v>
      </c>
      <c r="H1642" t="s">
        <v>130</v>
      </c>
      <c r="I1642" t="str">
        <f>HYPERLINK("http://www.ncbi.nlm.nih.gov/protein/XP_045074468.1","LOW QUALITY PROTEIN: ryanodine receptor 2-like")</f>
        <v>LOW QUALITY PROTEIN: ryanodine receptor 2-like</v>
      </c>
      <c r="J1642">
        <v>8797.94</v>
      </c>
      <c r="K1642" t="s">
        <v>19</v>
      </c>
      <c r="L1642">
        <v>1210</v>
      </c>
      <c r="M1642">
        <v>7.13</v>
      </c>
      <c r="N1642">
        <v>85.73</v>
      </c>
      <c r="O1642" t="s">
        <v>19</v>
      </c>
      <c r="P1642" t="s">
        <v>1267</v>
      </c>
      <c r="Q1642" t="s">
        <v>19</v>
      </c>
      <c r="R1642" t="str">
        <f>HYPERLINK("https://cfpub.epa.gov/ecotox/explore.cfm?ncbi=59861","Explore in ECOTOX")</f>
        <v>Explore in ECOTOX</v>
      </c>
    </row>
    <row r="1643" spans="1:18" x14ac:dyDescent="0.45">
      <c r="A1643" t="s">
        <v>1266</v>
      </c>
      <c r="B1643">
        <v>8</v>
      </c>
      <c r="C1643" t="str">
        <f>HYPERLINK("http://www.ncbi.nlm.nih.gov/protein/KAJ8013646.1","KAJ8013646.1")</f>
        <v>KAJ8013646.1</v>
      </c>
      <c r="D1643">
        <v>33580</v>
      </c>
      <c r="E1643" t="str">
        <f>HYPERLINK("http://www.ncbi.nlm.nih.gov/Taxonomy/Browser/wwwtax.cgi?mode=Info&amp;id=75939&amp;lvl=3&amp;lin=f&amp;keep=1&amp;srchmode=1&amp;unlock","75939")</f>
        <v>75939</v>
      </c>
      <c r="F1643" t="s">
        <v>17</v>
      </c>
      <c r="G1643" t="str">
        <f>HYPERLINK("http://www.ncbi.nlm.nih.gov/Taxonomy/Browser/wwwtax.cgi?mode=Info&amp;id=75939&amp;lvl=3&amp;lin=f&amp;keep=1&amp;srchmode=1&amp;unlock","Dallia pectoralis")</f>
        <v>Dallia pectoralis</v>
      </c>
      <c r="H1643" t="s">
        <v>479</v>
      </c>
      <c r="I1643" t="str">
        <f>HYPERLINK("http://www.ncbi.nlm.nih.gov/protein/KAJ8013646.1","hypothetical protein DPEC_G00031970")</f>
        <v>hypothetical protein DPEC_G00031970</v>
      </c>
      <c r="J1643">
        <v>8796.02</v>
      </c>
      <c r="K1643" t="s">
        <v>19</v>
      </c>
      <c r="L1643">
        <v>1210</v>
      </c>
      <c r="M1643">
        <v>7.13</v>
      </c>
      <c r="N1643">
        <v>85.71</v>
      </c>
      <c r="O1643" t="s">
        <v>19</v>
      </c>
      <c r="P1643" t="s">
        <v>1267</v>
      </c>
      <c r="Q1643" t="s">
        <v>19</v>
      </c>
      <c r="R1643" t="str">
        <f>HYPERLINK("https://cfpub.epa.gov/ecotox/explore.cfm?ncbi=75939","Explore in ECOTOX")</f>
        <v>Explore in ECOTOX</v>
      </c>
    </row>
    <row r="1644" spans="1:18" x14ac:dyDescent="0.45">
      <c r="A1644" t="s">
        <v>1266</v>
      </c>
      <c r="B1644">
        <v>8</v>
      </c>
      <c r="C1644" t="str">
        <f>HYPERLINK("http://www.ncbi.nlm.nih.gov/protein/XP_020467364.1","XP_020467364.1")</f>
        <v>XP_020467364.1</v>
      </c>
      <c r="D1644">
        <v>41130</v>
      </c>
      <c r="E1644" t="str">
        <f>HYPERLINK("http://www.ncbi.nlm.nih.gov/Taxonomy/Browser/wwwtax.cgi?mode=Info&amp;id=43700&amp;lvl=3&amp;lin=f&amp;keep=1&amp;srchmode=1&amp;unlock","43700")</f>
        <v>43700</v>
      </c>
      <c r="F1644" t="s">
        <v>17</v>
      </c>
      <c r="G1644" t="str">
        <f>HYPERLINK("http://www.ncbi.nlm.nih.gov/Taxonomy/Browser/wwwtax.cgi?mode=Info&amp;id=43700&amp;lvl=3&amp;lin=f&amp;keep=1&amp;srchmode=1&amp;unlock","Monopterus albus")</f>
        <v>Monopterus albus</v>
      </c>
      <c r="H1644" t="s">
        <v>157</v>
      </c>
      <c r="I1644" t="str">
        <f>HYPERLINK("http://www.ncbi.nlm.nih.gov/protein/XP_020467364.1","ryanodine receptor 2 isoform X1")</f>
        <v>ryanodine receptor 2 isoform X1</v>
      </c>
      <c r="J1644">
        <v>8793.32</v>
      </c>
      <c r="K1644" t="s">
        <v>19</v>
      </c>
      <c r="L1644">
        <v>1210</v>
      </c>
      <c r="M1644">
        <v>7.13</v>
      </c>
      <c r="N1644">
        <v>85.68</v>
      </c>
      <c r="O1644" t="s">
        <v>19</v>
      </c>
      <c r="P1644" t="s">
        <v>1267</v>
      </c>
      <c r="Q1644" t="s">
        <v>19</v>
      </c>
      <c r="R1644" t="str">
        <f>HYPERLINK("https://cfpub.epa.gov/ecotox/explore.cfm?ncbi=43700","Explore in ECOTOX")</f>
        <v>Explore in ECOTOX</v>
      </c>
    </row>
    <row r="1645" spans="1:18" x14ac:dyDescent="0.45">
      <c r="A1645" t="s">
        <v>1266</v>
      </c>
      <c r="B1645">
        <v>8</v>
      </c>
      <c r="C1645" t="str">
        <f>HYPERLINK("http://www.ncbi.nlm.nih.gov/protein/XP_030610686.1","XP_030610686.1")</f>
        <v>XP_030610686.1</v>
      </c>
      <c r="D1645">
        <v>41125</v>
      </c>
      <c r="E1645" t="str">
        <f>HYPERLINK("http://www.ncbi.nlm.nih.gov/Taxonomy/Browser/wwwtax.cgi?mode=Info&amp;id=63155&amp;lvl=3&amp;lin=f&amp;keep=1&amp;srchmode=1&amp;unlock","63155")</f>
        <v>63155</v>
      </c>
      <c r="F1645" t="s">
        <v>17</v>
      </c>
      <c r="G1645" t="str">
        <f>HYPERLINK("http://www.ncbi.nlm.nih.gov/Taxonomy/Browser/wwwtax.cgi?mode=Info&amp;id=63155&amp;lvl=3&amp;lin=f&amp;keep=1&amp;srchmode=1&amp;unlock","Archocentrus centrarchus")</f>
        <v>Archocentrus centrarchus</v>
      </c>
      <c r="H1645" t="s">
        <v>144</v>
      </c>
      <c r="I1645" t="str">
        <f>HYPERLINK("http://www.ncbi.nlm.nih.gov/protein/XP_030610686.1","LOW QUALITY PROTEIN: ryanodine receptor 2")</f>
        <v>LOW QUALITY PROTEIN: ryanodine receptor 2</v>
      </c>
      <c r="J1645">
        <v>8792.5499999999993</v>
      </c>
      <c r="K1645" t="s">
        <v>19</v>
      </c>
      <c r="L1645">
        <v>1210</v>
      </c>
      <c r="M1645">
        <v>7.13</v>
      </c>
      <c r="N1645">
        <v>85.67</v>
      </c>
      <c r="O1645" t="s">
        <v>19</v>
      </c>
      <c r="P1645" t="s">
        <v>1267</v>
      </c>
      <c r="Q1645" t="s">
        <v>19</v>
      </c>
      <c r="R1645" t="str">
        <f>HYPERLINK("https://cfpub.epa.gov/ecotox/explore.cfm?ncbi=63155","Explore in ECOTOX")</f>
        <v>Explore in ECOTOX</v>
      </c>
    </row>
    <row r="1646" spans="1:18" x14ac:dyDescent="0.45">
      <c r="A1646" t="s">
        <v>1266</v>
      </c>
      <c r="B1646">
        <v>8</v>
      </c>
      <c r="C1646" t="str">
        <f>HYPERLINK("http://www.ncbi.nlm.nih.gov/protein/CAI5682730.1","CAI5682730.1")</f>
        <v>CAI5682730.1</v>
      </c>
      <c r="D1646">
        <v>120022</v>
      </c>
      <c r="E1646" t="str">
        <f>HYPERLINK("http://www.ncbi.nlm.nih.gov/Taxonomy/Browser/wwwtax.cgi?mode=Info&amp;id=9669&amp;lvl=3&amp;lin=f&amp;keep=1&amp;srchmode=1&amp;unlock","9669")</f>
        <v>9669</v>
      </c>
      <c r="F1646" t="s">
        <v>96</v>
      </c>
      <c r="G1646" t="str">
        <f>HYPERLINK("http://www.ncbi.nlm.nih.gov/Taxonomy/Browser/wwwtax.cgi?mode=Info&amp;id=9669&amp;lvl=3&amp;lin=f&amp;keep=1&amp;srchmode=1&amp;unlock","Mustela putorius furo")</f>
        <v>Mustela putorius furo</v>
      </c>
      <c r="H1646" t="s">
        <v>97</v>
      </c>
      <c r="I1646" t="str">
        <f>HYPERLINK("http://www.ncbi.nlm.nih.gov/protein/CAI5682730.1","unnamed protein product")</f>
        <v>unnamed protein product</v>
      </c>
      <c r="J1646">
        <v>8786.39</v>
      </c>
      <c r="K1646" t="s">
        <v>19</v>
      </c>
      <c r="L1646">
        <v>1210</v>
      </c>
      <c r="M1646">
        <v>7.13</v>
      </c>
      <c r="N1646">
        <v>85.61</v>
      </c>
      <c r="O1646" t="s">
        <v>19</v>
      </c>
      <c r="P1646" t="s">
        <v>1267</v>
      </c>
      <c r="Q1646" t="s">
        <v>19</v>
      </c>
      <c r="R1646" t="str">
        <f>HYPERLINK("https://cfpub.epa.gov/ecotox/explore.cfm?ncbi=9669","Explore in ECOTOX")</f>
        <v>Explore in ECOTOX</v>
      </c>
    </row>
    <row r="1647" spans="1:18" x14ac:dyDescent="0.45">
      <c r="A1647" t="s">
        <v>1266</v>
      </c>
      <c r="B1647">
        <v>8</v>
      </c>
      <c r="C1647" t="str">
        <f>HYPERLINK("http://www.ncbi.nlm.nih.gov/protein/XP_039978966.1","XP_039978966.1")</f>
        <v>XP_039978966.1</v>
      </c>
      <c r="D1647">
        <v>44874</v>
      </c>
      <c r="E1647" t="str">
        <f>HYPERLINK("http://www.ncbi.nlm.nih.gov/Taxonomy/Browser/wwwtax.cgi?mode=Info&amp;id=8245&amp;lvl=3&amp;lin=f&amp;keep=1&amp;srchmode=1&amp;unlock","8245")</f>
        <v>8245</v>
      </c>
      <c r="F1647" t="s">
        <v>17</v>
      </c>
      <c r="G1647" t="str">
        <f>HYPERLINK("http://www.ncbi.nlm.nih.gov/Taxonomy/Browser/wwwtax.cgi?mode=Info&amp;id=8245&amp;lvl=3&amp;lin=f&amp;keep=1&amp;srchmode=1&amp;unlock","Xiphias gladius")</f>
        <v>Xiphias gladius</v>
      </c>
      <c r="H1647" t="s">
        <v>113</v>
      </c>
      <c r="I1647" t="str">
        <f>HYPERLINK("http://www.ncbi.nlm.nih.gov/protein/XP_039978966.1","ryanodine receptor 2, partial")</f>
        <v>ryanodine receptor 2, partial</v>
      </c>
      <c r="J1647">
        <v>8782.15</v>
      </c>
      <c r="K1647" t="s">
        <v>19</v>
      </c>
      <c r="L1647">
        <v>1210</v>
      </c>
      <c r="M1647">
        <v>7.13</v>
      </c>
      <c r="N1647">
        <v>85.57</v>
      </c>
      <c r="O1647" t="s">
        <v>19</v>
      </c>
      <c r="P1647" t="s">
        <v>1267</v>
      </c>
      <c r="Q1647" t="s">
        <v>19</v>
      </c>
      <c r="R1647" t="str">
        <f>HYPERLINK("https://cfpub.epa.gov/ecotox/explore.cfm?ncbi=8245","Explore in ECOTOX")</f>
        <v>Explore in ECOTOX</v>
      </c>
    </row>
    <row r="1648" spans="1:18" x14ac:dyDescent="0.45">
      <c r="A1648" t="s">
        <v>1266</v>
      </c>
      <c r="B1648">
        <v>8</v>
      </c>
      <c r="C1648" t="str">
        <f>HYPERLINK("http://www.ncbi.nlm.nih.gov/protein/XP_056286416.1","XP_056286416.1")</f>
        <v>XP_056286416.1</v>
      </c>
      <c r="D1648">
        <v>39439</v>
      </c>
      <c r="E1648" t="str">
        <f>HYPERLINK("http://www.ncbi.nlm.nih.gov/Taxonomy/Browser/wwwtax.cgi?mode=Info&amp;id=2059687&amp;lvl=3&amp;lin=f&amp;keep=1&amp;srchmode=1&amp;unlock","2059687")</f>
        <v>2059687</v>
      </c>
      <c r="F1648" t="s">
        <v>17</v>
      </c>
      <c r="G1648" t="str">
        <f>HYPERLINK("http://www.ncbi.nlm.nih.gov/Taxonomy/Browser/wwwtax.cgi?mode=Info&amp;id=2059687&amp;lvl=3&amp;lin=f&amp;keep=1&amp;srchmode=1&amp;unlock","Pseudoliparis swirei")</f>
        <v>Pseudoliparis swirei</v>
      </c>
      <c r="H1648" t="s">
        <v>152</v>
      </c>
      <c r="I1648" t="str">
        <f>HYPERLINK("http://www.ncbi.nlm.nih.gov/protein/XP_056286416.1","ryanodine receptor 2")</f>
        <v>ryanodine receptor 2</v>
      </c>
      <c r="J1648">
        <v>8781.77</v>
      </c>
      <c r="K1648" t="s">
        <v>19</v>
      </c>
      <c r="L1648">
        <v>1210</v>
      </c>
      <c r="M1648">
        <v>7.13</v>
      </c>
      <c r="N1648">
        <v>85.57</v>
      </c>
      <c r="O1648" t="s">
        <v>19</v>
      </c>
      <c r="P1648" t="s">
        <v>1267</v>
      </c>
      <c r="Q1648" t="s">
        <v>19</v>
      </c>
      <c r="R1648" t="str">
        <f>HYPERLINK("https://cfpub.epa.gov/ecotox/explore.cfm?ncbi=2059687","Explore in ECOTOX")</f>
        <v>Explore in ECOTOX</v>
      </c>
    </row>
    <row r="1649" spans="1:18" x14ac:dyDescent="0.45">
      <c r="A1649" t="s">
        <v>1266</v>
      </c>
      <c r="B1649">
        <v>8</v>
      </c>
      <c r="C1649" t="str">
        <f>HYPERLINK("http://www.ncbi.nlm.nih.gov/protein/XP_041829116.1","XP_041829116.1")</f>
        <v>XP_041829116.1</v>
      </c>
      <c r="D1649">
        <v>45815</v>
      </c>
      <c r="E1649" t="str">
        <f>HYPERLINK("http://www.ncbi.nlm.nih.gov/Taxonomy/Browser/wwwtax.cgi?mode=Info&amp;id=1250792&amp;lvl=3&amp;lin=f&amp;keep=1&amp;srchmode=1&amp;unlock","1250792")</f>
        <v>1250792</v>
      </c>
      <c r="F1649" t="s">
        <v>17</v>
      </c>
      <c r="G1649" t="str">
        <f>HYPERLINK("http://www.ncbi.nlm.nih.gov/Taxonomy/Browser/wwwtax.cgi?mode=Info&amp;id=1250792&amp;lvl=3&amp;lin=f&amp;keep=1&amp;srchmode=1&amp;unlock","Melanotaenia boesemani")</f>
        <v>Melanotaenia boesemani</v>
      </c>
      <c r="H1649" t="s">
        <v>151</v>
      </c>
      <c r="I1649" t="str">
        <f>HYPERLINK("http://www.ncbi.nlm.nih.gov/protein/XP_041829116.1","ryanodine receptor 2")</f>
        <v>ryanodine receptor 2</v>
      </c>
      <c r="J1649">
        <v>8781</v>
      </c>
      <c r="K1649" t="s">
        <v>19</v>
      </c>
      <c r="L1649">
        <v>1210</v>
      </c>
      <c r="M1649">
        <v>7.13</v>
      </c>
      <c r="N1649">
        <v>85.56</v>
      </c>
      <c r="O1649" t="s">
        <v>19</v>
      </c>
      <c r="P1649" t="s">
        <v>1267</v>
      </c>
      <c r="Q1649" t="s">
        <v>19</v>
      </c>
      <c r="R1649" t="str">
        <f>HYPERLINK("https://cfpub.epa.gov/ecotox/explore.cfm?ncbi=1250792","Explore in ECOTOX")</f>
        <v>Explore in ECOTOX</v>
      </c>
    </row>
    <row r="1650" spans="1:18" x14ac:dyDescent="0.45">
      <c r="A1650" t="s">
        <v>1266</v>
      </c>
      <c r="B1650">
        <v>8</v>
      </c>
      <c r="C1650" t="str">
        <f>HYPERLINK("http://www.ncbi.nlm.nih.gov/protein/XP_047233120.1","XP_047233120.1")</f>
        <v>XP_047233120.1</v>
      </c>
      <c r="D1650">
        <v>48650</v>
      </c>
      <c r="E1650" t="str">
        <f>HYPERLINK("http://www.ncbi.nlm.nih.gov/Taxonomy/Browser/wwwtax.cgi?mode=Info&amp;id=208333&amp;lvl=3&amp;lin=f&amp;keep=1&amp;srchmode=1&amp;unlock","208333")</f>
        <v>208333</v>
      </c>
      <c r="F1650" t="s">
        <v>17</v>
      </c>
      <c r="G1650" t="str">
        <f>HYPERLINK("http://www.ncbi.nlm.nih.gov/Taxonomy/Browser/wwwtax.cgi?mode=Info&amp;id=208333&amp;lvl=3&amp;lin=f&amp;keep=1&amp;srchmode=1&amp;unlock","Girardinichthys multiradiatus")</f>
        <v>Girardinichthys multiradiatus</v>
      </c>
      <c r="H1650" t="s">
        <v>122</v>
      </c>
      <c r="I1650" t="str">
        <f>HYPERLINK("http://www.ncbi.nlm.nih.gov/protein/XP_047233120.1","ryanodine receptor 2")</f>
        <v>ryanodine receptor 2</v>
      </c>
      <c r="J1650">
        <v>8778.68</v>
      </c>
      <c r="K1650" t="s">
        <v>19</v>
      </c>
      <c r="L1650">
        <v>1210</v>
      </c>
      <c r="M1650">
        <v>7.13</v>
      </c>
      <c r="N1650">
        <v>85.54</v>
      </c>
      <c r="O1650" t="s">
        <v>19</v>
      </c>
      <c r="P1650" t="s">
        <v>1267</v>
      </c>
      <c r="Q1650" t="s">
        <v>19</v>
      </c>
      <c r="R1650" t="str">
        <f>HYPERLINK("https://cfpub.epa.gov/ecotox/explore.cfm?ncbi=208333","Explore in ECOTOX")</f>
        <v>Explore in ECOTOX</v>
      </c>
    </row>
    <row r="1651" spans="1:18" x14ac:dyDescent="0.45">
      <c r="A1651" t="s">
        <v>1266</v>
      </c>
      <c r="B1651">
        <v>8</v>
      </c>
      <c r="C1651" t="str">
        <f>HYPERLINK("http://www.ncbi.nlm.nih.gov/protein/XP_024913176.1","XP_024913176.1")</f>
        <v>XP_024913176.1</v>
      </c>
      <c r="D1651">
        <v>40033</v>
      </c>
      <c r="E1651" t="str">
        <f>HYPERLINK("http://www.ncbi.nlm.nih.gov/Taxonomy/Browser/wwwtax.cgi?mode=Info&amp;id=244447&amp;lvl=3&amp;lin=f&amp;keep=1&amp;srchmode=1&amp;unlock","244447")</f>
        <v>244447</v>
      </c>
      <c r="F1651" t="s">
        <v>17</v>
      </c>
      <c r="G1651" t="str">
        <f>HYPERLINK("http://www.ncbi.nlm.nih.gov/Taxonomy/Browser/wwwtax.cgi?mode=Info&amp;id=244447&amp;lvl=3&amp;lin=f&amp;keep=1&amp;srchmode=1&amp;unlock","Cynoglossus semilaevis")</f>
        <v>Cynoglossus semilaevis</v>
      </c>
      <c r="H1651" t="s">
        <v>137</v>
      </c>
      <c r="I1651" t="str">
        <f>HYPERLINK("http://www.ncbi.nlm.nih.gov/protein/XP_024913176.1","ryanodine receptor 2")</f>
        <v>ryanodine receptor 2</v>
      </c>
      <c r="J1651">
        <v>8778.2999999999993</v>
      </c>
      <c r="K1651" t="s">
        <v>19</v>
      </c>
      <c r="L1651">
        <v>1210</v>
      </c>
      <c r="M1651">
        <v>7.13</v>
      </c>
      <c r="N1651">
        <v>85.53</v>
      </c>
      <c r="O1651" t="s">
        <v>19</v>
      </c>
      <c r="P1651" t="s">
        <v>1267</v>
      </c>
      <c r="Q1651" t="s">
        <v>19</v>
      </c>
      <c r="R1651" t="str">
        <f>HYPERLINK("https://cfpub.epa.gov/ecotox/explore.cfm?ncbi=244447","Explore in ECOTOX")</f>
        <v>Explore in ECOTOX</v>
      </c>
    </row>
    <row r="1652" spans="1:18" x14ac:dyDescent="0.45">
      <c r="A1652" t="s">
        <v>1266</v>
      </c>
      <c r="B1652">
        <v>8</v>
      </c>
      <c r="C1652" t="str">
        <f>HYPERLINK("http://www.ncbi.nlm.nih.gov/protein/XP_041107810.1","XP_041107810.1")</f>
        <v>XP_041107810.1</v>
      </c>
      <c r="D1652">
        <v>79674</v>
      </c>
      <c r="E1652" t="str">
        <f>HYPERLINK("http://www.ncbi.nlm.nih.gov/Taxonomy/Browser/wwwtax.cgi?mode=Info&amp;id=7913&amp;lvl=3&amp;lin=f&amp;keep=1&amp;srchmode=1&amp;unlock","7913")</f>
        <v>7913</v>
      </c>
      <c r="F1652" t="s">
        <v>17</v>
      </c>
      <c r="G1652" t="str">
        <f>HYPERLINK("http://www.ncbi.nlm.nih.gov/Taxonomy/Browser/wwwtax.cgi?mode=Info&amp;id=7913&amp;lvl=3&amp;lin=f&amp;keep=1&amp;srchmode=1&amp;unlock","Polyodon spathula")</f>
        <v>Polyodon spathula</v>
      </c>
      <c r="H1652" t="s">
        <v>363</v>
      </c>
      <c r="I1652" t="str">
        <f>HYPERLINK("http://www.ncbi.nlm.nih.gov/protein/XP_041107810.1","ryanodine receptor 2 isoform X6")</f>
        <v>ryanodine receptor 2 isoform X6</v>
      </c>
      <c r="J1652">
        <v>8770.98</v>
      </c>
      <c r="K1652" t="s">
        <v>19</v>
      </c>
      <c r="L1652">
        <v>1210</v>
      </c>
      <c r="M1652">
        <v>7.13</v>
      </c>
      <c r="N1652">
        <v>85.46</v>
      </c>
      <c r="O1652" t="s">
        <v>19</v>
      </c>
      <c r="P1652" t="s">
        <v>1267</v>
      </c>
      <c r="Q1652" t="s">
        <v>19</v>
      </c>
      <c r="R1652" t="str">
        <f>HYPERLINK("https://cfpub.epa.gov/ecotox/explore.cfm?ncbi=7913","Explore in ECOTOX")</f>
        <v>Explore in ECOTOX</v>
      </c>
    </row>
    <row r="1653" spans="1:18" x14ac:dyDescent="0.45">
      <c r="A1653" t="s">
        <v>1266</v>
      </c>
      <c r="B1653">
        <v>8</v>
      </c>
      <c r="C1653" t="str">
        <f>HYPERLINK("http://www.ncbi.nlm.nih.gov/protein/XP_014328564.1","XP_014328564.1")</f>
        <v>XP_014328564.1</v>
      </c>
      <c r="D1653">
        <v>43739</v>
      </c>
      <c r="E1653" t="str">
        <f>HYPERLINK("http://www.ncbi.nlm.nih.gov/Taxonomy/Browser/wwwtax.cgi?mode=Info&amp;id=8083&amp;lvl=3&amp;lin=f&amp;keep=1&amp;srchmode=1&amp;unlock","8083")</f>
        <v>8083</v>
      </c>
      <c r="F1653" t="s">
        <v>17</v>
      </c>
      <c r="G1653" t="str">
        <f>HYPERLINK("http://www.ncbi.nlm.nih.gov/Taxonomy/Browser/wwwtax.cgi?mode=Info&amp;id=8083&amp;lvl=3&amp;lin=f&amp;keep=1&amp;srchmode=1&amp;unlock","Xiphophorus maculatus")</f>
        <v>Xiphophorus maculatus</v>
      </c>
      <c r="H1653" t="s">
        <v>126</v>
      </c>
      <c r="I1653" t="str">
        <f>HYPERLINK("http://www.ncbi.nlm.nih.gov/protein/XP_014328564.1","ryanodine receptor 2 isoform X4")</f>
        <v>ryanodine receptor 2 isoform X4</v>
      </c>
      <c r="J1653">
        <v>8767.51</v>
      </c>
      <c r="K1653" t="s">
        <v>19</v>
      </c>
      <c r="L1653">
        <v>1210</v>
      </c>
      <c r="M1653">
        <v>7.13</v>
      </c>
      <c r="N1653">
        <v>85.43</v>
      </c>
      <c r="O1653" t="s">
        <v>19</v>
      </c>
      <c r="P1653" t="s">
        <v>1267</v>
      </c>
      <c r="Q1653" t="s">
        <v>19</v>
      </c>
      <c r="R1653" t="str">
        <f>HYPERLINK("https://cfpub.epa.gov/ecotox/explore.cfm?ncbi=8083","Explore in ECOTOX")</f>
        <v>Explore in ECOTOX</v>
      </c>
    </row>
    <row r="1654" spans="1:18" x14ac:dyDescent="0.45">
      <c r="A1654" t="s">
        <v>1266</v>
      </c>
      <c r="B1654">
        <v>8</v>
      </c>
      <c r="C1654" t="str">
        <f>HYPERLINK("http://www.ncbi.nlm.nih.gov/protein/XP_029382997.1","XP_029382997.1")</f>
        <v>XP_029382997.1</v>
      </c>
      <c r="D1654">
        <v>38281</v>
      </c>
      <c r="E1654" t="str">
        <f>HYPERLINK("http://www.ncbi.nlm.nih.gov/Taxonomy/Browser/wwwtax.cgi?mode=Info&amp;id=173247&amp;lvl=3&amp;lin=f&amp;keep=1&amp;srchmode=1&amp;unlock","173247")</f>
        <v>173247</v>
      </c>
      <c r="F1654" t="s">
        <v>17</v>
      </c>
      <c r="G1654" t="str">
        <f>HYPERLINK("http://www.ncbi.nlm.nih.gov/Taxonomy/Browser/wwwtax.cgi?mode=Info&amp;id=173247&amp;lvl=3&amp;lin=f&amp;keep=1&amp;srchmode=1&amp;unlock","Echeneis naucrates")</f>
        <v>Echeneis naucrates</v>
      </c>
      <c r="H1654" t="s">
        <v>66</v>
      </c>
      <c r="I1654" t="str">
        <f>HYPERLINK("http://www.ncbi.nlm.nih.gov/protein/XP_029382997.1","LOW QUALITY PROTEIN: ryanodine receptor 2")</f>
        <v>LOW QUALITY PROTEIN: ryanodine receptor 2</v>
      </c>
      <c r="J1654">
        <v>8767.1299999999992</v>
      </c>
      <c r="K1654" t="s">
        <v>19</v>
      </c>
      <c r="L1654">
        <v>1210</v>
      </c>
      <c r="M1654">
        <v>7.13</v>
      </c>
      <c r="N1654">
        <v>85.43</v>
      </c>
      <c r="O1654" t="s">
        <v>19</v>
      </c>
      <c r="P1654" t="s">
        <v>1267</v>
      </c>
      <c r="Q1654" t="s">
        <v>19</v>
      </c>
      <c r="R1654" t="str">
        <f>HYPERLINK("https://cfpub.epa.gov/ecotox/explore.cfm?ncbi=173247","Explore in ECOTOX")</f>
        <v>Explore in ECOTOX</v>
      </c>
    </row>
    <row r="1655" spans="1:18" x14ac:dyDescent="0.45">
      <c r="A1655" t="s">
        <v>1266</v>
      </c>
      <c r="B1655">
        <v>8</v>
      </c>
      <c r="C1655" t="str">
        <f>HYPERLINK("http://www.ncbi.nlm.nih.gov/protein/XP_054877196.1","XP_054877196.1")</f>
        <v>XP_054877196.1</v>
      </c>
      <c r="D1655">
        <v>41286</v>
      </c>
      <c r="E1655" t="str">
        <f>HYPERLINK("http://www.ncbi.nlm.nih.gov/Taxonomy/Browser/wwwtax.cgi?mode=Info&amp;id=188132&amp;lvl=3&amp;lin=f&amp;keep=1&amp;srchmode=1&amp;unlock","188132")</f>
        <v>188132</v>
      </c>
      <c r="F1655" t="s">
        <v>17</v>
      </c>
      <c r="G1655" t="str">
        <f>HYPERLINK("http://www.ncbi.nlm.nih.gov/Taxonomy/Browser/wwwtax.cgi?mode=Info&amp;id=188132&amp;lvl=3&amp;lin=f&amp;keep=1&amp;srchmode=1&amp;unlock","Poeciliopsis prolifica")</f>
        <v>Poeciliopsis prolifica</v>
      </c>
      <c r="H1655" t="s">
        <v>145</v>
      </c>
      <c r="I1655" t="str">
        <f>HYPERLINK("http://www.ncbi.nlm.nih.gov/protein/XP_054877196.1","ryanodine receptor 2")</f>
        <v>ryanodine receptor 2</v>
      </c>
      <c r="J1655">
        <v>8763.66</v>
      </c>
      <c r="K1655" t="s">
        <v>19</v>
      </c>
      <c r="L1655">
        <v>1210</v>
      </c>
      <c r="M1655">
        <v>7.13</v>
      </c>
      <c r="N1655">
        <v>85.39</v>
      </c>
      <c r="O1655" t="s">
        <v>19</v>
      </c>
      <c r="P1655" t="s">
        <v>1267</v>
      </c>
      <c r="Q1655" t="s">
        <v>19</v>
      </c>
      <c r="R1655" t="str">
        <f>HYPERLINK("https://cfpub.epa.gov/ecotox/explore.cfm?ncbi=188132","Explore in ECOTOX")</f>
        <v>Explore in ECOTOX</v>
      </c>
    </row>
    <row r="1656" spans="1:18" x14ac:dyDescent="0.45">
      <c r="A1656" t="s">
        <v>1266</v>
      </c>
      <c r="B1656">
        <v>8</v>
      </c>
      <c r="C1656" t="str">
        <f>HYPERLINK("http://www.ncbi.nlm.nih.gov/protein/CAJ1080474.1","CAJ1080474.1")</f>
        <v>CAJ1080474.1</v>
      </c>
      <c r="D1656">
        <v>39630</v>
      </c>
      <c r="E1656" t="str">
        <f>HYPERLINK("http://www.ncbi.nlm.nih.gov/Taxonomy/Browser/wwwtax.cgi?mode=Info&amp;id=13765&amp;lvl=3&amp;lin=f&amp;keep=1&amp;srchmode=1&amp;unlock","13765")</f>
        <v>13765</v>
      </c>
      <c r="F1656" t="s">
        <v>17</v>
      </c>
      <c r="G1656" t="str">
        <f>HYPERLINK("http://www.ncbi.nlm.nih.gov/Taxonomy/Browser/wwwtax.cgi?mode=Info&amp;id=13765&amp;lvl=3&amp;lin=f&amp;keep=1&amp;srchmode=1&amp;unlock","Xyrichtys novacula")</f>
        <v>Xyrichtys novacula</v>
      </c>
      <c r="H1656" t="s">
        <v>460</v>
      </c>
      <c r="I1656" t="str">
        <f>HYPERLINK("http://www.ncbi.nlm.nih.gov/protein/CAJ1080474.1","ryanodine receptor 2")</f>
        <v>ryanodine receptor 2</v>
      </c>
      <c r="J1656">
        <v>8759.0400000000009</v>
      </c>
      <c r="K1656" t="s">
        <v>19</v>
      </c>
      <c r="L1656">
        <v>1210</v>
      </c>
      <c r="M1656">
        <v>7.13</v>
      </c>
      <c r="N1656">
        <v>85.35</v>
      </c>
      <c r="O1656" t="s">
        <v>19</v>
      </c>
      <c r="P1656" t="s">
        <v>1267</v>
      </c>
      <c r="Q1656" t="s">
        <v>19</v>
      </c>
      <c r="R1656" t="str">
        <f>HYPERLINK("https://cfpub.epa.gov/ecotox/explore.cfm?ncbi=13765","Explore in ECOTOX")</f>
        <v>Explore in ECOTOX</v>
      </c>
    </row>
    <row r="1657" spans="1:18" x14ac:dyDescent="0.45">
      <c r="A1657" t="s">
        <v>1266</v>
      </c>
      <c r="B1657">
        <v>8</v>
      </c>
      <c r="C1657" t="str">
        <f>HYPERLINK("http://www.ncbi.nlm.nih.gov/protein/XP_032430466.1","XP_032430466.1")</f>
        <v>XP_032430466.1</v>
      </c>
      <c r="D1657">
        <v>46466</v>
      </c>
      <c r="E1657" t="str">
        <f>HYPERLINK("http://www.ncbi.nlm.nih.gov/Taxonomy/Browser/wwwtax.cgi?mode=Info&amp;id=8084&amp;lvl=3&amp;lin=f&amp;keep=1&amp;srchmode=1&amp;unlock","8084")</f>
        <v>8084</v>
      </c>
      <c r="F1657" t="s">
        <v>17</v>
      </c>
      <c r="G1657" t="str">
        <f>HYPERLINK("http://www.ncbi.nlm.nih.gov/Taxonomy/Browser/wwwtax.cgi?mode=Info&amp;id=8084&amp;lvl=3&amp;lin=f&amp;keep=1&amp;srchmode=1&amp;unlock","Xiphophorus hellerii")</f>
        <v>Xiphophorus hellerii</v>
      </c>
      <c r="H1657" t="s">
        <v>129</v>
      </c>
      <c r="I1657" t="str">
        <f>HYPERLINK("http://www.ncbi.nlm.nih.gov/protein/XP_032430466.1","ryanodine receptor 2 isoform X3")</f>
        <v>ryanodine receptor 2 isoform X3</v>
      </c>
      <c r="J1657">
        <v>8758.27</v>
      </c>
      <c r="K1657" t="s">
        <v>19</v>
      </c>
      <c r="L1657">
        <v>1210</v>
      </c>
      <c r="M1657">
        <v>7.13</v>
      </c>
      <c r="N1657">
        <v>85.34</v>
      </c>
      <c r="O1657" t="s">
        <v>19</v>
      </c>
      <c r="P1657" t="s">
        <v>1267</v>
      </c>
      <c r="Q1657" t="s">
        <v>19</v>
      </c>
      <c r="R1657" t="str">
        <f>HYPERLINK("https://cfpub.epa.gov/ecotox/explore.cfm?ncbi=8084","Explore in ECOTOX")</f>
        <v>Explore in ECOTOX</v>
      </c>
    </row>
    <row r="1658" spans="1:18" x14ac:dyDescent="0.45">
      <c r="A1658" t="s">
        <v>1266</v>
      </c>
      <c r="B1658">
        <v>8</v>
      </c>
      <c r="C1658" t="str">
        <f>HYPERLINK("http://www.ncbi.nlm.nih.gov/protein/XP_040033348.1","XP_040033348.1")</f>
        <v>XP_040033348.1</v>
      </c>
      <c r="D1658">
        <v>45332</v>
      </c>
      <c r="E1658" t="str">
        <f>HYPERLINK("http://www.ncbi.nlm.nih.gov/Taxonomy/Browser/wwwtax.cgi?mode=Info&amp;id=481459&amp;lvl=3&amp;lin=f&amp;keep=1&amp;srchmode=1&amp;unlock","481459")</f>
        <v>481459</v>
      </c>
      <c r="F1658" t="s">
        <v>17</v>
      </c>
      <c r="G1658" t="str">
        <f>HYPERLINK("http://www.ncbi.nlm.nih.gov/Taxonomy/Browser/wwwtax.cgi?mode=Info&amp;id=481459&amp;lvl=3&amp;lin=f&amp;keep=1&amp;srchmode=1&amp;unlock","Gasterosteus aculeatus aculeatus")</f>
        <v>Gasterosteus aculeatus aculeatus</v>
      </c>
      <c r="H1658" t="s">
        <v>138</v>
      </c>
      <c r="I1658" t="str">
        <f>HYPERLINK("http://www.ncbi.nlm.nih.gov/protein/XP_040033348.1","ryanodine receptor 2 isoform X1")</f>
        <v>ryanodine receptor 2 isoform X1</v>
      </c>
      <c r="J1658">
        <v>8757.11</v>
      </c>
      <c r="K1658" t="s">
        <v>19</v>
      </c>
      <c r="L1658">
        <v>1210</v>
      </c>
      <c r="M1658">
        <v>7.13</v>
      </c>
      <c r="N1658">
        <v>85.33</v>
      </c>
      <c r="O1658" t="s">
        <v>19</v>
      </c>
      <c r="P1658" t="s">
        <v>1267</v>
      </c>
      <c r="Q1658" t="s">
        <v>19</v>
      </c>
      <c r="R1658" t="str">
        <f>HYPERLINK("https://cfpub.epa.gov/ecotox/explore.cfm?ncbi=481459","Explore in ECOTOX")</f>
        <v>Explore in ECOTOX</v>
      </c>
    </row>
    <row r="1659" spans="1:18" x14ac:dyDescent="0.45">
      <c r="A1659" t="s">
        <v>1266</v>
      </c>
      <c r="B1659">
        <v>8</v>
      </c>
      <c r="C1659" t="str">
        <f>HYPERLINK("http://www.ncbi.nlm.nih.gov/protein/XP_038159869.1","XP_038159869.1")</f>
        <v>XP_038159869.1</v>
      </c>
      <c r="D1659">
        <v>42402</v>
      </c>
      <c r="E1659" t="str">
        <f>HYPERLINK("http://www.ncbi.nlm.nih.gov/Taxonomy/Browser/wwwtax.cgi?mode=Info&amp;id=77115&amp;lvl=3&amp;lin=f&amp;keep=1&amp;srchmode=1&amp;unlock","77115")</f>
        <v>77115</v>
      </c>
      <c r="F1659" t="s">
        <v>17</v>
      </c>
      <c r="G1659" t="str">
        <f>HYPERLINK("http://www.ncbi.nlm.nih.gov/Taxonomy/Browser/wwwtax.cgi?mode=Info&amp;id=77115&amp;lvl=3&amp;lin=f&amp;keep=1&amp;srchmode=1&amp;unlock","Cyprinodon tularosa")</f>
        <v>Cyprinodon tularosa</v>
      </c>
      <c r="H1659" t="s">
        <v>125</v>
      </c>
      <c r="I1659" t="str">
        <f>HYPERLINK("http://www.ncbi.nlm.nih.gov/protein/XP_038159869.1","ryanodine receptor 2")</f>
        <v>ryanodine receptor 2</v>
      </c>
      <c r="J1659">
        <v>8755.9599999999991</v>
      </c>
      <c r="K1659" t="s">
        <v>19</v>
      </c>
      <c r="L1659">
        <v>1210</v>
      </c>
      <c r="M1659">
        <v>7.13</v>
      </c>
      <c r="N1659">
        <v>85.32</v>
      </c>
      <c r="O1659" t="s">
        <v>19</v>
      </c>
      <c r="P1659" t="s">
        <v>1267</v>
      </c>
      <c r="Q1659" t="s">
        <v>19</v>
      </c>
      <c r="R1659" t="str">
        <f>HYPERLINK("https://cfpub.epa.gov/ecotox/explore.cfm?ncbi=77115","Explore in ECOTOX")</f>
        <v>Explore in ECOTOX</v>
      </c>
    </row>
    <row r="1660" spans="1:18" x14ac:dyDescent="0.45">
      <c r="A1660" t="s">
        <v>1266</v>
      </c>
      <c r="B1660">
        <v>8</v>
      </c>
      <c r="C1660" t="str">
        <f>HYPERLINK("http://www.ncbi.nlm.nih.gov/protein/XP_027882912.1","XP_027882912.1")</f>
        <v>XP_027882912.1</v>
      </c>
      <c r="D1660">
        <v>47115</v>
      </c>
      <c r="E1660" t="str">
        <f>HYPERLINK("http://www.ncbi.nlm.nih.gov/Taxonomy/Browser/wwwtax.cgi?mode=Info&amp;id=32473&amp;lvl=3&amp;lin=f&amp;keep=1&amp;srchmode=1&amp;unlock","32473")</f>
        <v>32473</v>
      </c>
      <c r="F1660" t="s">
        <v>17</v>
      </c>
      <c r="G1660" t="str">
        <f>HYPERLINK("http://www.ncbi.nlm.nih.gov/Taxonomy/Browser/wwwtax.cgi?mode=Info&amp;id=32473&amp;lvl=3&amp;lin=f&amp;keep=1&amp;srchmode=1&amp;unlock","Xiphophorus couchianus")</f>
        <v>Xiphophorus couchianus</v>
      </c>
      <c r="H1660" t="s">
        <v>132</v>
      </c>
      <c r="I1660" t="str">
        <f>HYPERLINK("http://www.ncbi.nlm.nih.gov/protein/XP_027882912.1","ryanodine receptor 2 isoform X4")</f>
        <v>ryanodine receptor 2 isoform X4</v>
      </c>
      <c r="J1660">
        <v>8755.19</v>
      </c>
      <c r="K1660" t="s">
        <v>19</v>
      </c>
      <c r="L1660">
        <v>1210</v>
      </c>
      <c r="M1660">
        <v>7.13</v>
      </c>
      <c r="N1660">
        <v>85.31</v>
      </c>
      <c r="O1660" t="s">
        <v>19</v>
      </c>
      <c r="P1660" t="s">
        <v>1267</v>
      </c>
      <c r="Q1660" t="s">
        <v>19</v>
      </c>
      <c r="R1660" t="str">
        <f>HYPERLINK("https://cfpub.epa.gov/ecotox/explore.cfm?ncbi=32473","Explore in ECOTOX")</f>
        <v>Explore in ECOTOX</v>
      </c>
    </row>
    <row r="1661" spans="1:18" x14ac:dyDescent="0.45">
      <c r="A1661" t="s">
        <v>1266</v>
      </c>
      <c r="B1661">
        <v>8</v>
      </c>
      <c r="C1661" t="str">
        <f>HYPERLINK("http://www.ncbi.nlm.nih.gov/protein/XP_060885132.1","XP_060885132.1")</f>
        <v>XP_060885132.1</v>
      </c>
      <c r="D1661">
        <v>39850</v>
      </c>
      <c r="E1661" t="str">
        <f>HYPERLINK("http://www.ncbi.nlm.nih.gov/Taxonomy/Browser/wwwtax.cgi?mode=Info&amp;id=508554&amp;lvl=3&amp;lin=f&amp;keep=1&amp;srchmode=1&amp;unlock","508554")</f>
        <v>508554</v>
      </c>
      <c r="F1661" t="s">
        <v>17</v>
      </c>
      <c r="G1661" t="str">
        <f>HYPERLINK("http://www.ncbi.nlm.nih.gov/Taxonomy/Browser/wwwtax.cgi?mode=Info&amp;id=508554&amp;lvl=3&amp;lin=f&amp;keep=1&amp;srchmode=1&amp;unlock","Labrus mixtus")</f>
        <v>Labrus mixtus</v>
      </c>
      <c r="H1661" t="s">
        <v>92</v>
      </c>
      <c r="I1661" t="str">
        <f>HYPERLINK("http://www.ncbi.nlm.nih.gov/protein/XP_060885132.1","ryanodine receptor 2")</f>
        <v>ryanodine receptor 2</v>
      </c>
      <c r="J1661">
        <v>8754.7999999999993</v>
      </c>
      <c r="K1661" t="s">
        <v>19</v>
      </c>
      <c r="L1661">
        <v>1210</v>
      </c>
      <c r="M1661">
        <v>7.13</v>
      </c>
      <c r="N1661">
        <v>85.31</v>
      </c>
      <c r="O1661" t="s">
        <v>19</v>
      </c>
      <c r="P1661" t="s">
        <v>1267</v>
      </c>
      <c r="Q1661" t="s">
        <v>19</v>
      </c>
      <c r="R1661" t="str">
        <f>HYPERLINK("https://cfpub.epa.gov/ecotox/explore.cfm?ncbi=508554","Explore in ECOTOX")</f>
        <v>Explore in ECOTOX</v>
      </c>
    </row>
    <row r="1662" spans="1:18" x14ac:dyDescent="0.45">
      <c r="A1662" t="s">
        <v>1266</v>
      </c>
      <c r="B1662">
        <v>8</v>
      </c>
      <c r="C1662" t="str">
        <f>HYPERLINK("http://www.ncbi.nlm.nih.gov/protein/XP_043957955.1","XP_043957955.1")</f>
        <v>XP_043957955.1</v>
      </c>
      <c r="D1662">
        <v>68845</v>
      </c>
      <c r="E1662" t="str">
        <f>HYPERLINK("http://www.ncbi.nlm.nih.gov/Taxonomy/Browser/wwwtax.cgi?mode=Info&amp;id=33528&amp;lvl=3&amp;lin=f&amp;keep=1&amp;srchmode=1&amp;unlock","33528")</f>
        <v>33528</v>
      </c>
      <c r="F1662" t="s">
        <v>17</v>
      </c>
      <c r="G1662" t="str">
        <f>HYPERLINK("http://www.ncbi.nlm.nih.gov/Taxonomy/Browser/wwwtax.cgi?mode=Info&amp;id=33528&amp;lvl=3&amp;lin=f&amp;keep=1&amp;srchmode=1&amp;unlock","Gambusia affinis")</f>
        <v>Gambusia affinis</v>
      </c>
      <c r="H1662" t="s">
        <v>148</v>
      </c>
      <c r="I1662" t="str">
        <f>HYPERLINK("http://www.ncbi.nlm.nih.gov/protein/XP_043957955.1","ryanodine receptor 2 isoform X1")</f>
        <v>ryanodine receptor 2 isoform X1</v>
      </c>
      <c r="J1662">
        <v>8752.8799999999992</v>
      </c>
      <c r="K1662" t="s">
        <v>19</v>
      </c>
      <c r="L1662">
        <v>1210</v>
      </c>
      <c r="M1662">
        <v>7.13</v>
      </c>
      <c r="N1662">
        <v>85.29</v>
      </c>
      <c r="O1662" t="s">
        <v>19</v>
      </c>
      <c r="P1662" t="s">
        <v>1267</v>
      </c>
      <c r="Q1662" t="s">
        <v>19</v>
      </c>
      <c r="R1662" t="str">
        <f>HYPERLINK("https://cfpub.epa.gov/ecotox/explore.cfm?ncbi=33528","Explore in ECOTOX")</f>
        <v>Explore in ECOTOX</v>
      </c>
    </row>
    <row r="1663" spans="1:18" x14ac:dyDescent="0.45">
      <c r="A1663" t="s">
        <v>1266</v>
      </c>
      <c r="B1663">
        <v>8</v>
      </c>
      <c r="C1663" t="str">
        <f>HYPERLINK("http://www.ncbi.nlm.nih.gov/protein/XP_037318734.1","XP_037318734.1")</f>
        <v>XP_037318734.1</v>
      </c>
      <c r="D1663">
        <v>43860</v>
      </c>
      <c r="E1663" t="str">
        <f>HYPERLINK("http://www.ncbi.nlm.nih.gov/Taxonomy/Browser/wwwtax.cgi?mode=Info&amp;id=134920&amp;lvl=3&amp;lin=f&amp;keep=1&amp;srchmode=1&amp;unlock","134920")</f>
        <v>134920</v>
      </c>
      <c r="F1663" t="s">
        <v>17</v>
      </c>
      <c r="G1663" t="str">
        <f>HYPERLINK("http://www.ncbi.nlm.nih.gov/Taxonomy/Browser/wwwtax.cgi?mode=Info&amp;id=134920&amp;lvl=3&amp;lin=f&amp;keep=1&amp;srchmode=1&amp;unlock","Pungitius pungitius")</f>
        <v>Pungitius pungitius</v>
      </c>
      <c r="H1663" t="s">
        <v>128</v>
      </c>
      <c r="I1663" t="str">
        <f>HYPERLINK("http://www.ncbi.nlm.nih.gov/protein/XP_037318734.1","ryanodine receptor 2 isoform X1")</f>
        <v>ryanodine receptor 2 isoform X1</v>
      </c>
      <c r="J1663">
        <v>8743.25</v>
      </c>
      <c r="K1663" t="s">
        <v>19</v>
      </c>
      <c r="L1663">
        <v>1210</v>
      </c>
      <c r="M1663">
        <v>7.13</v>
      </c>
      <c r="N1663">
        <v>85.19</v>
      </c>
      <c r="O1663" t="s">
        <v>19</v>
      </c>
      <c r="P1663" t="s">
        <v>1267</v>
      </c>
      <c r="Q1663" t="s">
        <v>19</v>
      </c>
      <c r="R1663" t="str">
        <f>HYPERLINK("https://cfpub.epa.gov/ecotox/explore.cfm?ncbi=134920","Explore in ECOTOX")</f>
        <v>Explore in ECOTOX</v>
      </c>
    </row>
    <row r="1664" spans="1:18" x14ac:dyDescent="0.45">
      <c r="A1664" t="s">
        <v>1266</v>
      </c>
      <c r="B1664">
        <v>8</v>
      </c>
      <c r="C1664" t="str">
        <f>HYPERLINK("http://www.ncbi.nlm.nih.gov/protein/XP_033962934.1","XP_033962934.1")</f>
        <v>XP_033962934.1</v>
      </c>
      <c r="D1664">
        <v>38014</v>
      </c>
      <c r="E1664" t="str">
        <f>HYPERLINK("http://www.ncbi.nlm.nih.gov/Taxonomy/Browser/wwwtax.cgi?mode=Info&amp;id=52239&amp;lvl=3&amp;lin=f&amp;keep=1&amp;srchmode=1&amp;unlock","52239")</f>
        <v>52239</v>
      </c>
      <c r="F1664" t="s">
        <v>17</v>
      </c>
      <c r="G1664" t="str">
        <f>HYPERLINK("http://www.ncbi.nlm.nih.gov/Taxonomy/Browser/wwwtax.cgi?mode=Info&amp;id=52239&amp;lvl=3&amp;lin=f&amp;keep=1&amp;srchmode=1&amp;unlock","Pseudochaenichthys georgianus")</f>
        <v>Pseudochaenichthys georgianus</v>
      </c>
      <c r="H1664" t="s">
        <v>160</v>
      </c>
      <c r="I1664" t="str">
        <f>HYPERLINK("http://www.ncbi.nlm.nih.gov/protein/XP_033962934.1","ryanodine receptor 2")</f>
        <v>ryanodine receptor 2</v>
      </c>
      <c r="J1664">
        <v>8743.25</v>
      </c>
      <c r="K1664" t="s">
        <v>19</v>
      </c>
      <c r="L1664">
        <v>1210</v>
      </c>
      <c r="M1664">
        <v>7.13</v>
      </c>
      <c r="N1664">
        <v>85.19</v>
      </c>
      <c r="O1664" t="s">
        <v>19</v>
      </c>
      <c r="P1664" t="s">
        <v>1267</v>
      </c>
      <c r="Q1664" t="s">
        <v>19</v>
      </c>
      <c r="R1664" t="str">
        <f>HYPERLINK("https://cfpub.epa.gov/ecotox/explore.cfm?ncbi=52239","Explore in ECOTOX")</f>
        <v>Explore in ECOTOX</v>
      </c>
    </row>
    <row r="1665" spans="1:18" x14ac:dyDescent="0.45">
      <c r="A1665" t="s">
        <v>1266</v>
      </c>
      <c r="B1665">
        <v>8</v>
      </c>
      <c r="C1665" t="str">
        <f>HYPERLINK("http://www.ncbi.nlm.nih.gov/protein/XP_035998270.1","XP_035998270.1")</f>
        <v>XP_035998270.1</v>
      </c>
      <c r="D1665">
        <v>50139</v>
      </c>
      <c r="E1665" t="str">
        <f>HYPERLINK("http://www.ncbi.nlm.nih.gov/Taxonomy/Browser/wwwtax.cgi?mode=Info&amp;id=8078&amp;lvl=3&amp;lin=f&amp;keep=1&amp;srchmode=1&amp;unlock","8078")</f>
        <v>8078</v>
      </c>
      <c r="F1665" t="s">
        <v>17</v>
      </c>
      <c r="G1665" t="str">
        <f>HYPERLINK("http://www.ncbi.nlm.nih.gov/Taxonomy/Browser/wwwtax.cgi?mode=Info&amp;id=8078&amp;lvl=3&amp;lin=f&amp;keep=1&amp;srchmode=1&amp;unlock","Fundulus heteroclitus")</f>
        <v>Fundulus heteroclitus</v>
      </c>
      <c r="H1665" t="s">
        <v>114</v>
      </c>
      <c r="I1665" t="str">
        <f>HYPERLINK("http://www.ncbi.nlm.nih.gov/protein/XP_035998270.1","ryanodine receptor 2")</f>
        <v>ryanodine receptor 2</v>
      </c>
      <c r="J1665">
        <v>8733.6200000000008</v>
      </c>
      <c r="K1665" t="s">
        <v>19</v>
      </c>
      <c r="L1665">
        <v>1210</v>
      </c>
      <c r="M1665">
        <v>7.13</v>
      </c>
      <c r="N1665">
        <v>85.1</v>
      </c>
      <c r="O1665" t="s">
        <v>19</v>
      </c>
      <c r="P1665" t="s">
        <v>1267</v>
      </c>
      <c r="Q1665" t="s">
        <v>19</v>
      </c>
      <c r="R1665" t="str">
        <f>HYPERLINK("https://cfpub.epa.gov/ecotox/explore.cfm?ncbi=8078","Explore in ECOTOX")</f>
        <v>Explore in ECOTOX</v>
      </c>
    </row>
    <row r="1666" spans="1:18" x14ac:dyDescent="0.45">
      <c r="A1666" t="s">
        <v>1266</v>
      </c>
      <c r="B1666">
        <v>8</v>
      </c>
      <c r="C1666" t="str">
        <f>HYPERLINK("http://www.ncbi.nlm.nih.gov/protein/KAK1170997.1","KAK1170997.1")</f>
        <v>KAK1170997.1</v>
      </c>
      <c r="D1666">
        <v>28028</v>
      </c>
      <c r="E1666" t="str">
        <f>HYPERLINK("http://www.ncbi.nlm.nih.gov/Taxonomy/Browser/wwwtax.cgi?mode=Info&amp;id=40147&amp;lvl=3&amp;lin=f&amp;keep=1&amp;srchmode=1&amp;unlock","40147")</f>
        <v>40147</v>
      </c>
      <c r="F1666" t="s">
        <v>17</v>
      </c>
      <c r="G1666" t="str">
        <f>HYPERLINK("http://www.ncbi.nlm.nih.gov/Taxonomy/Browser/wwwtax.cgi?mode=Info&amp;id=40147&amp;lvl=3&amp;lin=f&amp;keep=1&amp;srchmode=1&amp;unlock","Acipenser oxyrinchus oxyrinchus")</f>
        <v>Acipenser oxyrinchus oxyrinchus</v>
      </c>
      <c r="H1666" t="s">
        <v>599</v>
      </c>
      <c r="I1666" t="str">
        <f>HYPERLINK("http://www.ncbi.nlm.nih.gov/protein/KAK1170997.1","ryanodine receptor 2")</f>
        <v>ryanodine receptor 2</v>
      </c>
      <c r="J1666">
        <v>8732.85</v>
      </c>
      <c r="K1666" t="s">
        <v>19</v>
      </c>
      <c r="L1666">
        <v>1210</v>
      </c>
      <c r="M1666">
        <v>7.13</v>
      </c>
      <c r="N1666">
        <v>85.09</v>
      </c>
      <c r="O1666" t="s">
        <v>19</v>
      </c>
      <c r="P1666" t="s">
        <v>1267</v>
      </c>
      <c r="Q1666" t="s">
        <v>19</v>
      </c>
      <c r="R1666" t="str">
        <f>HYPERLINK("https://cfpub.epa.gov/ecotox/explore.cfm?ncbi=40147","Explore in ECOTOX")</f>
        <v>Explore in ECOTOX</v>
      </c>
    </row>
    <row r="1667" spans="1:18" x14ac:dyDescent="0.45">
      <c r="A1667" t="s">
        <v>1266</v>
      </c>
      <c r="B1667">
        <v>8</v>
      </c>
      <c r="C1667" t="str">
        <f>HYPERLINK("http://www.ncbi.nlm.nih.gov/protein/XP_053721789.1","XP_053721789.1")</f>
        <v>XP_053721789.1</v>
      </c>
      <c r="D1667">
        <v>44916</v>
      </c>
      <c r="E1667" t="str">
        <f>HYPERLINK("http://www.ncbi.nlm.nih.gov/Taxonomy/Browser/wwwtax.cgi?mode=Info&amp;id=270530&amp;lvl=3&amp;lin=f&amp;keep=1&amp;srchmode=1&amp;unlock","270530")</f>
        <v>270530</v>
      </c>
      <c r="F1667" t="s">
        <v>17</v>
      </c>
      <c r="G1667" t="str">
        <f>HYPERLINK("http://www.ncbi.nlm.nih.gov/Taxonomy/Browser/wwwtax.cgi?mode=Info&amp;id=270530&amp;lvl=3&amp;lin=f&amp;keep=1&amp;srchmode=1&amp;unlock","Synchiropus splendidus")</f>
        <v>Synchiropus splendidus</v>
      </c>
      <c r="H1667" t="s">
        <v>134</v>
      </c>
      <c r="I1667" t="str">
        <f>HYPERLINK("http://www.ncbi.nlm.nih.gov/protein/XP_053721789.1","ryanodine receptor 2 isoform X3")</f>
        <v>ryanodine receptor 2 isoform X3</v>
      </c>
      <c r="J1667">
        <v>8729.76</v>
      </c>
      <c r="K1667" t="s">
        <v>19</v>
      </c>
      <c r="L1667">
        <v>1210</v>
      </c>
      <c r="M1667">
        <v>7.13</v>
      </c>
      <c r="N1667">
        <v>85.06</v>
      </c>
      <c r="O1667" t="s">
        <v>19</v>
      </c>
      <c r="P1667" t="s">
        <v>1267</v>
      </c>
      <c r="Q1667" t="s">
        <v>19</v>
      </c>
      <c r="R1667" t="str">
        <f>HYPERLINK("https://cfpub.epa.gov/ecotox/explore.cfm?ncbi=270530","Explore in ECOTOX")</f>
        <v>Explore in ECOTOX</v>
      </c>
    </row>
    <row r="1668" spans="1:18" x14ac:dyDescent="0.45">
      <c r="A1668" t="s">
        <v>1266</v>
      </c>
      <c r="B1668">
        <v>8</v>
      </c>
      <c r="C1668" t="str">
        <f>HYPERLINK("http://www.ncbi.nlm.nih.gov/protein/XP_023274600.1","XP_023274600.1")</f>
        <v>XP_023274600.1</v>
      </c>
      <c r="D1668">
        <v>38591</v>
      </c>
      <c r="E1668" t="str">
        <f>HYPERLINK("http://www.ncbi.nlm.nih.gov/Taxonomy/Browser/wwwtax.cgi?mode=Info&amp;id=1841481&amp;lvl=3&amp;lin=f&amp;keep=1&amp;srchmode=1&amp;unlock","1841481")</f>
        <v>1841481</v>
      </c>
      <c r="F1668" t="s">
        <v>17</v>
      </c>
      <c r="G1668" t="str">
        <f>HYPERLINK("http://www.ncbi.nlm.nih.gov/Taxonomy/Browser/wwwtax.cgi?mode=Info&amp;id=1841481&amp;lvl=3&amp;lin=f&amp;keep=1&amp;srchmode=1&amp;unlock","Seriola lalandi dorsalis")</f>
        <v>Seriola lalandi dorsalis</v>
      </c>
      <c r="H1668" t="s">
        <v>61</v>
      </c>
      <c r="I1668" t="str">
        <f>HYPERLINK("http://www.ncbi.nlm.nih.gov/protein/XP_023274600.1","ryanodine receptor 2")</f>
        <v>ryanodine receptor 2</v>
      </c>
      <c r="J1668">
        <v>8703.19</v>
      </c>
      <c r="K1668" t="s">
        <v>19</v>
      </c>
      <c r="L1668">
        <v>1210</v>
      </c>
      <c r="M1668">
        <v>7.13</v>
      </c>
      <c r="N1668">
        <v>84.8</v>
      </c>
      <c r="O1668" t="s">
        <v>19</v>
      </c>
      <c r="P1668" t="s">
        <v>1267</v>
      </c>
      <c r="Q1668" t="s">
        <v>19</v>
      </c>
      <c r="R1668" t="str">
        <f>HYPERLINK("https://cfpub.epa.gov/ecotox/explore.cfm?ncbi=1841481","Explore in ECOTOX")</f>
        <v>Explore in ECOTOX</v>
      </c>
    </row>
    <row r="1669" spans="1:18" x14ac:dyDescent="0.45">
      <c r="A1669" t="s">
        <v>1266</v>
      </c>
      <c r="B1669">
        <v>8</v>
      </c>
      <c r="C1669" t="str">
        <f>HYPERLINK("http://www.ncbi.nlm.nih.gov/protein/MBN3320313.1","MBN3320313.1")</f>
        <v>MBN3320313.1</v>
      </c>
      <c r="D1669">
        <v>15567</v>
      </c>
      <c r="E1669" t="str">
        <f>HYPERLINK("http://www.ncbi.nlm.nih.gov/Taxonomy/Browser/wwwtax.cgi?mode=Info&amp;id=7917&amp;lvl=3&amp;lin=f&amp;keep=1&amp;srchmode=1&amp;unlock","7917")</f>
        <v>7917</v>
      </c>
      <c r="F1669" t="s">
        <v>17</v>
      </c>
      <c r="G1669" t="str">
        <f>HYPERLINK("http://www.ncbi.nlm.nih.gov/Taxonomy/Browser/wwwtax.cgi?mode=Info&amp;id=7917&amp;lvl=3&amp;lin=f&amp;keep=1&amp;srchmode=1&amp;unlock","Atractosteus spatula")</f>
        <v>Atractosteus spatula</v>
      </c>
      <c r="H1669" t="s">
        <v>498</v>
      </c>
      <c r="I1669" t="str">
        <f>HYPERLINK("http://www.ncbi.nlm.nih.gov/protein/MBN3320313.1","RYR2 protein")</f>
        <v>RYR2 protein</v>
      </c>
      <c r="J1669">
        <v>8694.33</v>
      </c>
      <c r="K1669" t="s">
        <v>19</v>
      </c>
      <c r="L1669">
        <v>1210</v>
      </c>
      <c r="M1669">
        <v>7.13</v>
      </c>
      <c r="N1669">
        <v>84.72</v>
      </c>
      <c r="O1669" t="s">
        <v>19</v>
      </c>
      <c r="P1669" t="s">
        <v>1267</v>
      </c>
      <c r="Q1669" t="s">
        <v>19</v>
      </c>
      <c r="R1669" t="str">
        <f>HYPERLINK("https://cfpub.epa.gov/ecotox/explore.cfm?ncbi=7917","Explore in ECOTOX")</f>
        <v>Explore in ECOTOX</v>
      </c>
    </row>
    <row r="1670" spans="1:18" x14ac:dyDescent="0.45">
      <c r="A1670" t="s">
        <v>1266</v>
      </c>
      <c r="B1670">
        <v>8</v>
      </c>
      <c r="C1670" t="str">
        <f>HYPERLINK("http://www.ncbi.nlm.nih.gov/protein/XP_032358827.1","XP_032358827.1")</f>
        <v>XP_032358827.1</v>
      </c>
      <c r="D1670">
        <v>64511</v>
      </c>
      <c r="E1670" t="str">
        <f>HYPERLINK("http://www.ncbi.nlm.nih.gov/Taxonomy/Browser/wwwtax.cgi?mode=Info&amp;id=54343&amp;lvl=3&amp;lin=f&amp;keep=1&amp;srchmode=1&amp;unlock","54343")</f>
        <v>54343</v>
      </c>
      <c r="F1670" t="s">
        <v>17</v>
      </c>
      <c r="G1670" t="str">
        <f>HYPERLINK("http://www.ncbi.nlm.nih.gov/Taxonomy/Browser/wwwtax.cgi?mode=Info&amp;id=54343&amp;lvl=3&amp;lin=f&amp;keep=1&amp;srchmode=1&amp;unlock","Etheostoma spectabile")</f>
        <v>Etheostoma spectabile</v>
      </c>
      <c r="H1670" t="s">
        <v>89</v>
      </c>
      <c r="I1670" t="str">
        <f>HYPERLINK("http://www.ncbi.nlm.nih.gov/protein/XP_032358827.1","ryanodine receptor 2")</f>
        <v>ryanodine receptor 2</v>
      </c>
      <c r="J1670">
        <v>8694.33</v>
      </c>
      <c r="K1670" t="s">
        <v>19</v>
      </c>
      <c r="L1670">
        <v>1210</v>
      </c>
      <c r="M1670">
        <v>7.13</v>
      </c>
      <c r="N1670">
        <v>84.72</v>
      </c>
      <c r="O1670" t="s">
        <v>19</v>
      </c>
      <c r="P1670" t="s">
        <v>1267</v>
      </c>
      <c r="Q1670" t="s">
        <v>19</v>
      </c>
      <c r="R1670" t="str">
        <f>HYPERLINK("https://cfpub.epa.gov/ecotox/explore.cfm?ncbi=54343","Explore in ECOTOX")</f>
        <v>Explore in ECOTOX</v>
      </c>
    </row>
    <row r="1671" spans="1:18" x14ac:dyDescent="0.45">
      <c r="A1671" t="s">
        <v>1266</v>
      </c>
      <c r="B1671">
        <v>8</v>
      </c>
      <c r="C1671" t="str">
        <f>HYPERLINK("http://www.ncbi.nlm.nih.gov/protein/XP_034715421.1","XP_034715421.1")</f>
        <v>XP_034715421.1</v>
      </c>
      <c r="D1671">
        <v>45233</v>
      </c>
      <c r="E1671" t="str">
        <f>HYPERLINK("http://www.ncbi.nlm.nih.gov/Taxonomy/Browser/wwwtax.cgi?mode=Info&amp;id=417921&amp;lvl=3&amp;lin=f&amp;keep=1&amp;srchmode=1&amp;unlock","417921")</f>
        <v>417921</v>
      </c>
      <c r="F1671" t="s">
        <v>17</v>
      </c>
      <c r="G1671" t="str">
        <f>HYPERLINK("http://www.ncbi.nlm.nih.gov/Taxonomy/Browser/wwwtax.cgi?mode=Info&amp;id=417921&amp;lvl=3&amp;lin=f&amp;keep=1&amp;srchmode=1&amp;unlock","Etheostoma cragini")</f>
        <v>Etheostoma cragini</v>
      </c>
      <c r="H1671" t="s">
        <v>76</v>
      </c>
      <c r="I1671" t="str">
        <f>HYPERLINK("http://www.ncbi.nlm.nih.gov/protein/XP_034715421.1","ryanodine receptor 2 isoform X1")</f>
        <v>ryanodine receptor 2 isoform X1</v>
      </c>
      <c r="J1671">
        <v>8681.23</v>
      </c>
      <c r="K1671" t="s">
        <v>19</v>
      </c>
      <c r="L1671">
        <v>1210</v>
      </c>
      <c r="M1671">
        <v>7.13</v>
      </c>
      <c r="N1671">
        <v>84.59</v>
      </c>
      <c r="O1671" t="s">
        <v>19</v>
      </c>
      <c r="P1671" t="s">
        <v>1267</v>
      </c>
      <c r="Q1671" t="s">
        <v>19</v>
      </c>
      <c r="R1671" t="str">
        <f>HYPERLINK("https://cfpub.epa.gov/ecotox/explore.cfm?ncbi=417921","Explore in ECOTOX")</f>
        <v>Explore in ECOTOX</v>
      </c>
    </row>
    <row r="1672" spans="1:18" x14ac:dyDescent="0.45">
      <c r="A1672" t="s">
        <v>1266</v>
      </c>
      <c r="B1672">
        <v>8</v>
      </c>
      <c r="C1672" t="str">
        <f>HYPERLINK("http://www.ncbi.nlm.nih.gov/protein/XP_041671593.1","XP_041671593.1")</f>
        <v>XP_041671593.1</v>
      </c>
      <c r="D1672">
        <v>40157</v>
      </c>
      <c r="E1672" t="str">
        <f>HYPERLINK("http://www.ncbi.nlm.nih.gov/Taxonomy/Browser/wwwtax.cgi?mode=Info&amp;id=241271&amp;lvl=3&amp;lin=f&amp;keep=1&amp;srchmode=1&amp;unlock","241271")</f>
        <v>241271</v>
      </c>
      <c r="F1672" t="s">
        <v>17</v>
      </c>
      <c r="G1672" t="str">
        <f>HYPERLINK("http://www.ncbi.nlm.nih.gov/Taxonomy/Browser/wwwtax.cgi?mode=Info&amp;id=241271&amp;lvl=3&amp;lin=f&amp;keep=1&amp;srchmode=1&amp;unlock","Cheilinus undulatus")</f>
        <v>Cheilinus undulatus</v>
      </c>
      <c r="H1672" t="s">
        <v>686</v>
      </c>
      <c r="I1672" t="str">
        <f>HYPERLINK("http://www.ncbi.nlm.nih.gov/protein/XP_041671593.1","ryanodine receptor 2")</f>
        <v>ryanodine receptor 2</v>
      </c>
      <c r="J1672">
        <v>8662.74</v>
      </c>
      <c r="K1672" t="s">
        <v>19</v>
      </c>
      <c r="L1672">
        <v>1210</v>
      </c>
      <c r="M1672">
        <v>7.13</v>
      </c>
      <c r="N1672">
        <v>84.41</v>
      </c>
      <c r="O1672" t="s">
        <v>19</v>
      </c>
      <c r="P1672" t="s">
        <v>1267</v>
      </c>
      <c r="Q1672" t="s">
        <v>19</v>
      </c>
      <c r="R1672" t="str">
        <f>HYPERLINK("https://cfpub.epa.gov/ecotox/explore.cfm?ncbi=241271","Explore in ECOTOX")</f>
        <v>Explore in ECOTOX</v>
      </c>
    </row>
    <row r="1673" spans="1:18" x14ac:dyDescent="0.45">
      <c r="A1673" t="s">
        <v>1266</v>
      </c>
      <c r="B1673">
        <v>8</v>
      </c>
      <c r="C1673" t="str">
        <f>HYPERLINK("http://www.ncbi.nlm.nih.gov/protein/KAG9346042.1","KAG9346042.1")</f>
        <v>KAG9346042.1</v>
      </c>
      <c r="D1673">
        <v>28330</v>
      </c>
      <c r="E1673" t="str">
        <f>HYPERLINK("http://www.ncbi.nlm.nih.gov/Taxonomy/Browser/wwwtax.cgi?mode=Info&amp;id=121402&amp;lvl=3&amp;lin=f&amp;keep=1&amp;srchmode=1&amp;unlock","121402")</f>
        <v>121402</v>
      </c>
      <c r="F1673" t="s">
        <v>17</v>
      </c>
      <c r="G1673" t="str">
        <f>HYPERLINK("http://www.ncbi.nlm.nih.gov/Taxonomy/Browser/wwwtax.cgi?mode=Info&amp;id=121402&amp;lvl=3&amp;lin=f&amp;keep=1&amp;srchmode=1&amp;unlock","Albula glossodonta")</f>
        <v>Albula glossodonta</v>
      </c>
      <c r="H1673" t="s">
        <v>234</v>
      </c>
      <c r="I1673" t="str">
        <f>HYPERLINK("http://www.ncbi.nlm.nih.gov/protein/KAG9346042.1","hypothetical protein JZ751_007858")</f>
        <v>hypothetical protein JZ751_007858</v>
      </c>
      <c r="J1673">
        <v>8657.35</v>
      </c>
      <c r="K1673" t="s">
        <v>19</v>
      </c>
      <c r="L1673">
        <v>1210</v>
      </c>
      <c r="M1673">
        <v>7.13</v>
      </c>
      <c r="N1673">
        <v>84.36</v>
      </c>
      <c r="O1673" t="s">
        <v>19</v>
      </c>
      <c r="P1673" t="s">
        <v>1267</v>
      </c>
      <c r="Q1673" t="s">
        <v>19</v>
      </c>
      <c r="R1673" t="str">
        <f>HYPERLINK("https://cfpub.epa.gov/ecotox/explore.cfm?ncbi=121402","Explore in ECOTOX")</f>
        <v>Explore in ECOTOX</v>
      </c>
    </row>
    <row r="1674" spans="1:18" x14ac:dyDescent="0.45">
      <c r="A1674" t="s">
        <v>1266</v>
      </c>
      <c r="B1674">
        <v>8</v>
      </c>
      <c r="C1674" t="str">
        <f>HYPERLINK("http://www.ncbi.nlm.nih.gov/protein/XP_030196346.1","XP_030196346.1")</f>
        <v>XP_030196346.1</v>
      </c>
      <c r="D1674">
        <v>47359</v>
      </c>
      <c r="E1674" t="str">
        <f>HYPERLINK("http://www.ncbi.nlm.nih.gov/Taxonomy/Browser/wwwtax.cgi?mode=Info&amp;id=8049&amp;lvl=3&amp;lin=f&amp;keep=1&amp;srchmode=1&amp;unlock","8049")</f>
        <v>8049</v>
      </c>
      <c r="F1674" t="s">
        <v>17</v>
      </c>
      <c r="G1674" t="str">
        <f>HYPERLINK("http://www.ncbi.nlm.nih.gov/Taxonomy/Browser/wwwtax.cgi?mode=Info&amp;id=8049&amp;lvl=3&amp;lin=f&amp;keep=1&amp;srchmode=1&amp;unlock","Gadus morhua")</f>
        <v>Gadus morhua</v>
      </c>
      <c r="H1674" t="s">
        <v>165</v>
      </c>
      <c r="I1674" t="str">
        <f>HYPERLINK("http://www.ncbi.nlm.nih.gov/protein/XP_030196346.1","ryanodine receptor 2 isoform X1")</f>
        <v>ryanodine receptor 2 isoform X1</v>
      </c>
      <c r="J1674">
        <v>8656.58</v>
      </c>
      <c r="K1674" t="s">
        <v>19</v>
      </c>
      <c r="L1674">
        <v>1210</v>
      </c>
      <c r="M1674">
        <v>7.13</v>
      </c>
      <c r="N1674">
        <v>84.35</v>
      </c>
      <c r="O1674" t="s">
        <v>19</v>
      </c>
      <c r="P1674" t="s">
        <v>1267</v>
      </c>
      <c r="Q1674" t="s">
        <v>19</v>
      </c>
      <c r="R1674" t="str">
        <f>HYPERLINK("https://cfpub.epa.gov/ecotox/explore.cfm?ncbi=8049","Explore in ECOTOX")</f>
        <v>Explore in ECOTOX</v>
      </c>
    </row>
    <row r="1675" spans="1:18" x14ac:dyDescent="0.45">
      <c r="A1675" t="s">
        <v>1266</v>
      </c>
      <c r="B1675">
        <v>8</v>
      </c>
      <c r="C1675" t="str">
        <f>HYPERLINK("http://www.ncbi.nlm.nih.gov/protein/XP_024119162.1","XP_024119162.1")</f>
        <v>XP_024119162.1</v>
      </c>
      <c r="D1675">
        <v>69270</v>
      </c>
      <c r="E1675" t="str">
        <f>HYPERLINK("http://www.ncbi.nlm.nih.gov/Taxonomy/Browser/wwwtax.cgi?mode=Info&amp;id=30732&amp;lvl=3&amp;lin=f&amp;keep=1&amp;srchmode=1&amp;unlock","30732")</f>
        <v>30732</v>
      </c>
      <c r="F1675" t="s">
        <v>17</v>
      </c>
      <c r="G1675" t="str">
        <f>HYPERLINK("http://www.ncbi.nlm.nih.gov/Taxonomy/Browser/wwwtax.cgi?mode=Info&amp;id=30732&amp;lvl=3&amp;lin=f&amp;keep=1&amp;srchmode=1&amp;unlock","Oryzias melastigma")</f>
        <v>Oryzias melastigma</v>
      </c>
      <c r="H1675" t="s">
        <v>69</v>
      </c>
      <c r="I1675" t="str">
        <f>HYPERLINK("http://www.ncbi.nlm.nih.gov/protein/XP_024119162.1","ryanodine receptor 2 isoform X1")</f>
        <v>ryanodine receptor 2 isoform X1</v>
      </c>
      <c r="J1675">
        <v>8656.58</v>
      </c>
      <c r="K1675" t="s">
        <v>19</v>
      </c>
      <c r="L1675">
        <v>1210</v>
      </c>
      <c r="M1675">
        <v>7.13</v>
      </c>
      <c r="N1675">
        <v>84.35</v>
      </c>
      <c r="O1675" t="s">
        <v>19</v>
      </c>
      <c r="P1675" t="s">
        <v>1267</v>
      </c>
      <c r="Q1675" t="s">
        <v>19</v>
      </c>
      <c r="R1675" t="str">
        <f>HYPERLINK("https://cfpub.epa.gov/ecotox/explore.cfm?ncbi=30732","Explore in ECOTOX")</f>
        <v>Explore in ECOTOX</v>
      </c>
    </row>
    <row r="1676" spans="1:18" x14ac:dyDescent="0.45">
      <c r="A1676" t="s">
        <v>1266</v>
      </c>
      <c r="B1676">
        <v>8</v>
      </c>
      <c r="C1676" t="str">
        <f>HYPERLINK("http://www.ncbi.nlm.nih.gov/protein/XP_045393233.1","XP_045393233.1")</f>
        <v>XP_045393233.1</v>
      </c>
      <c r="D1676">
        <v>45772</v>
      </c>
      <c r="E1676" t="str">
        <f>HYPERLINK("http://www.ncbi.nlm.nih.gov/Taxonomy/Browser/wwwtax.cgi?mode=Info&amp;id=9447&amp;lvl=3&amp;lin=f&amp;keep=1&amp;srchmode=1&amp;unlock","9447")</f>
        <v>9447</v>
      </c>
      <c r="F1676" t="s">
        <v>96</v>
      </c>
      <c r="G1676" t="str">
        <f>HYPERLINK("http://www.ncbi.nlm.nih.gov/Taxonomy/Browser/wwwtax.cgi?mode=Info&amp;id=9447&amp;lvl=3&amp;lin=f&amp;keep=1&amp;srchmode=1&amp;unlock","Lemur catta")</f>
        <v>Lemur catta</v>
      </c>
      <c r="H1676" t="s">
        <v>249</v>
      </c>
      <c r="I1676" t="str">
        <f>HYPERLINK("http://www.ncbi.nlm.nih.gov/protein/XP_045393233.1","ryanodine receptor 2 isoform X2")</f>
        <v>ryanodine receptor 2 isoform X2</v>
      </c>
      <c r="J1676">
        <v>8655.42</v>
      </c>
      <c r="K1676" t="s">
        <v>19</v>
      </c>
      <c r="L1676">
        <v>1210</v>
      </c>
      <c r="M1676">
        <v>7.13</v>
      </c>
      <c r="N1676">
        <v>84.34</v>
      </c>
      <c r="O1676" t="s">
        <v>19</v>
      </c>
      <c r="P1676" t="s">
        <v>1267</v>
      </c>
      <c r="Q1676" t="s">
        <v>19</v>
      </c>
      <c r="R1676" t="str">
        <f>HYPERLINK("https://cfpub.epa.gov/ecotox/explore.cfm?ncbi=9447","Explore in ECOTOX")</f>
        <v>Explore in ECOTOX</v>
      </c>
    </row>
    <row r="1677" spans="1:18" x14ac:dyDescent="0.45">
      <c r="A1677" t="s">
        <v>1266</v>
      </c>
      <c r="B1677">
        <v>8</v>
      </c>
      <c r="C1677" t="str">
        <f>HYPERLINK("http://www.ncbi.nlm.nih.gov/protein/XP_047465592.1","XP_047465592.1")</f>
        <v>XP_047465592.1</v>
      </c>
      <c r="D1677">
        <v>45447</v>
      </c>
      <c r="E1677" t="str">
        <f>HYPERLINK("http://www.ncbi.nlm.nih.gov/Taxonomy/Browser/wwwtax.cgi?mode=Info&amp;id=48193&amp;lvl=3&amp;lin=f&amp;keep=1&amp;srchmode=1&amp;unlock","48193")</f>
        <v>48193</v>
      </c>
      <c r="F1677" t="s">
        <v>17</v>
      </c>
      <c r="G1677" t="str">
        <f>HYPERLINK("http://www.ncbi.nlm.nih.gov/Taxonomy/Browser/wwwtax.cgi?mode=Info&amp;id=48193&amp;lvl=3&amp;lin=f&amp;keep=1&amp;srchmode=1&amp;unlock","Mugil cephalus")</f>
        <v>Mugil cephalus</v>
      </c>
      <c r="H1677" t="s">
        <v>68</v>
      </c>
      <c r="I1677" t="str">
        <f>HYPERLINK("http://www.ncbi.nlm.nih.gov/protein/XP_047465592.1","ryanodine receptor 2 isoform X5")</f>
        <v>ryanodine receptor 2 isoform X5</v>
      </c>
      <c r="J1677">
        <v>8651.9500000000007</v>
      </c>
      <c r="K1677" t="s">
        <v>19</v>
      </c>
      <c r="L1677">
        <v>1210</v>
      </c>
      <c r="M1677">
        <v>7.13</v>
      </c>
      <c r="N1677">
        <v>84.3</v>
      </c>
      <c r="O1677" t="s">
        <v>19</v>
      </c>
      <c r="P1677" t="s">
        <v>1267</v>
      </c>
      <c r="Q1677" t="s">
        <v>19</v>
      </c>
      <c r="R1677" t="str">
        <f>HYPERLINK("https://cfpub.epa.gov/ecotox/explore.cfm?ncbi=48193","Explore in ECOTOX")</f>
        <v>Explore in ECOTOX</v>
      </c>
    </row>
    <row r="1678" spans="1:18" x14ac:dyDescent="0.45">
      <c r="A1678" t="s">
        <v>1266</v>
      </c>
      <c r="B1678">
        <v>8</v>
      </c>
      <c r="C1678" t="str">
        <f>HYPERLINK("http://www.ncbi.nlm.nih.gov/protein/XP_047376925.1","XP_047376925.1")</f>
        <v>XP_047376925.1</v>
      </c>
      <c r="D1678">
        <v>75123</v>
      </c>
      <c r="E1678" t="str">
        <f>HYPERLINK("http://www.ncbi.nlm.nih.gov/Taxonomy/Browser/wwwtax.cgi?mode=Info&amp;id=30640&amp;lvl=3&amp;lin=f&amp;keep=1&amp;srchmode=1&amp;unlock","30640")</f>
        <v>30640</v>
      </c>
      <c r="F1678" t="s">
        <v>96</v>
      </c>
      <c r="G1678" t="str">
        <f>HYPERLINK("http://www.ncbi.nlm.nih.gov/Taxonomy/Browser/wwwtax.cgi?mode=Info&amp;id=30640&amp;lvl=3&amp;lin=f&amp;keep=1&amp;srchmode=1&amp;unlock","Sciurus carolinensis")</f>
        <v>Sciurus carolinensis</v>
      </c>
      <c r="H1678" t="s">
        <v>526</v>
      </c>
      <c r="I1678" t="str">
        <f>HYPERLINK("http://www.ncbi.nlm.nih.gov/protein/XP_047376925.1","ryanodine receptor 2 isoform X5")</f>
        <v>ryanodine receptor 2 isoform X5</v>
      </c>
      <c r="J1678">
        <v>8643.09</v>
      </c>
      <c r="K1678" t="s">
        <v>19</v>
      </c>
      <c r="L1678">
        <v>1210</v>
      </c>
      <c r="M1678">
        <v>7.13</v>
      </c>
      <c r="N1678">
        <v>84.22</v>
      </c>
      <c r="O1678" t="s">
        <v>19</v>
      </c>
      <c r="P1678" t="s">
        <v>1267</v>
      </c>
      <c r="Q1678" t="s">
        <v>19</v>
      </c>
      <c r="R1678" t="str">
        <f>HYPERLINK("https://cfpub.epa.gov/ecotox/explore.cfm?ncbi=30640","Explore in ECOTOX")</f>
        <v>Explore in ECOTOX</v>
      </c>
    </row>
    <row r="1679" spans="1:18" x14ac:dyDescent="0.45">
      <c r="A1679" t="s">
        <v>1266</v>
      </c>
      <c r="B1679">
        <v>8</v>
      </c>
      <c r="C1679" t="str">
        <f>HYPERLINK("http://www.ncbi.nlm.nih.gov/protein/CAG5911935.1","CAG5911935.1")</f>
        <v>CAG5911935.1</v>
      </c>
      <c r="D1679">
        <v>21784</v>
      </c>
      <c r="E1679" t="str">
        <f>HYPERLINK("http://www.ncbi.nlm.nih.gov/Taxonomy/Browser/wwwtax.cgi?mode=Info&amp;id=238744&amp;lvl=3&amp;lin=f&amp;keep=1&amp;srchmode=1&amp;unlock","238744")</f>
        <v>238744</v>
      </c>
      <c r="F1679" t="s">
        <v>17</v>
      </c>
      <c r="G1679" t="str">
        <f>HYPERLINK("http://www.ncbi.nlm.nih.gov/Taxonomy/Browser/wwwtax.cgi?mode=Info&amp;id=238744&amp;lvl=3&amp;lin=f&amp;keep=1&amp;srchmode=1&amp;unlock","Menidia menidia")</f>
        <v>Menidia menidia</v>
      </c>
      <c r="H1679" t="s">
        <v>124</v>
      </c>
      <c r="I1679" t="str">
        <f>HYPERLINK("http://www.ncbi.nlm.nih.gov/protein/CAG5911935.1","unnamed protein product")</f>
        <v>unnamed protein product</v>
      </c>
      <c r="J1679">
        <v>8641.94</v>
      </c>
      <c r="K1679" t="s">
        <v>19</v>
      </c>
      <c r="L1679">
        <v>1210</v>
      </c>
      <c r="M1679">
        <v>7.13</v>
      </c>
      <c r="N1679">
        <v>84.21</v>
      </c>
      <c r="O1679" t="s">
        <v>19</v>
      </c>
      <c r="P1679" t="s">
        <v>1267</v>
      </c>
      <c r="Q1679" t="s">
        <v>19</v>
      </c>
      <c r="R1679" t="str">
        <f>HYPERLINK("https://cfpub.epa.gov/ecotox/explore.cfm?ncbi=238744","Explore in ECOTOX")</f>
        <v>Explore in ECOTOX</v>
      </c>
    </row>
    <row r="1680" spans="1:18" x14ac:dyDescent="0.45">
      <c r="A1680" t="s">
        <v>1266</v>
      </c>
      <c r="B1680">
        <v>8</v>
      </c>
      <c r="C1680" t="str">
        <f>HYPERLINK("http://www.ncbi.nlm.nih.gov/protein/XP_058431009.1","XP_058431009.1")</f>
        <v>XP_058431009.1</v>
      </c>
      <c r="D1680">
        <v>143547</v>
      </c>
      <c r="E1680" t="str">
        <f>HYPERLINK("http://www.ncbi.nlm.nih.gov/Taxonomy/Browser/wwwtax.cgi?mode=Info&amp;id=9995&amp;lvl=3&amp;lin=f&amp;keep=1&amp;srchmode=1&amp;unlock","9995")</f>
        <v>9995</v>
      </c>
      <c r="F1680" t="s">
        <v>96</v>
      </c>
      <c r="G1680" t="str">
        <f>HYPERLINK("http://www.ncbi.nlm.nih.gov/Taxonomy/Browser/wwwtax.cgi?mode=Info&amp;id=9995&amp;lvl=3&amp;lin=f&amp;keep=1&amp;srchmode=1&amp;unlock","Marmota monax")</f>
        <v>Marmota monax</v>
      </c>
      <c r="H1680" t="s">
        <v>529</v>
      </c>
      <c r="I1680" t="str">
        <f>HYPERLINK("http://www.ncbi.nlm.nih.gov/protein/XP_058431009.1","ryanodine receptor 2 isoform X4")</f>
        <v>ryanodine receptor 2 isoform X4</v>
      </c>
      <c r="J1680">
        <v>8640.7800000000007</v>
      </c>
      <c r="K1680" t="s">
        <v>19</v>
      </c>
      <c r="L1680">
        <v>1210</v>
      </c>
      <c r="M1680">
        <v>7.13</v>
      </c>
      <c r="N1680">
        <v>84.19</v>
      </c>
      <c r="O1680" t="s">
        <v>19</v>
      </c>
      <c r="P1680" t="s">
        <v>1267</v>
      </c>
      <c r="Q1680" t="s">
        <v>19</v>
      </c>
      <c r="R1680" t="str">
        <f>HYPERLINK("https://cfpub.epa.gov/ecotox/explore.cfm?ncbi=9995","Explore in ECOTOX")</f>
        <v>Explore in ECOTOX</v>
      </c>
    </row>
    <row r="1681" spans="1:18" x14ac:dyDescent="0.45">
      <c r="A1681" t="s">
        <v>1266</v>
      </c>
      <c r="B1681">
        <v>8</v>
      </c>
      <c r="C1681" t="str">
        <f>HYPERLINK("http://www.ncbi.nlm.nih.gov/protein/TRY59412.1","TRY59412.1")</f>
        <v>TRY59412.1</v>
      </c>
      <c r="D1681">
        <v>35342</v>
      </c>
      <c r="E1681" t="str">
        <f>HYPERLINK("http://www.ncbi.nlm.nih.gov/Taxonomy/Browser/wwwtax.cgi?mode=Info&amp;id=623744&amp;lvl=3&amp;lin=f&amp;keep=1&amp;srchmode=1&amp;unlock","623744")</f>
        <v>623744</v>
      </c>
      <c r="F1681" t="s">
        <v>17</v>
      </c>
      <c r="G1681" t="str">
        <f>HYPERLINK("http://www.ncbi.nlm.nih.gov/Taxonomy/Browser/wwwtax.cgi?mode=Info&amp;id=623744&amp;lvl=3&amp;lin=f&amp;keep=1&amp;srchmode=1&amp;unlock","Danionella translucida")</f>
        <v>Danionella translucida</v>
      </c>
      <c r="H1681" t="s">
        <v>21</v>
      </c>
      <c r="I1681" t="str">
        <f>HYPERLINK("http://www.ncbi.nlm.nih.gov/protein/TRY59412.1","hypothetical protein DNTS_004316")</f>
        <v>hypothetical protein DNTS_004316</v>
      </c>
      <c r="J1681">
        <v>8640.01</v>
      </c>
      <c r="K1681" t="s">
        <v>19</v>
      </c>
      <c r="L1681">
        <v>1210</v>
      </c>
      <c r="M1681">
        <v>7.13</v>
      </c>
      <c r="N1681">
        <v>84.19</v>
      </c>
      <c r="O1681" t="s">
        <v>19</v>
      </c>
      <c r="P1681" t="s">
        <v>1267</v>
      </c>
      <c r="Q1681" t="s">
        <v>19</v>
      </c>
      <c r="R1681" t="str">
        <f>HYPERLINK("https://cfpub.epa.gov/ecotox/explore.cfm?ncbi=623744","Explore in ECOTOX")</f>
        <v>Explore in ECOTOX</v>
      </c>
    </row>
    <row r="1682" spans="1:18" x14ac:dyDescent="0.45">
      <c r="A1682" t="s">
        <v>1266</v>
      </c>
      <c r="B1682">
        <v>8</v>
      </c>
      <c r="C1682" t="str">
        <f>HYPERLINK("http://www.ncbi.nlm.nih.gov/protein/XP_043914983.1","XP_043914983.1")</f>
        <v>XP_043914983.1</v>
      </c>
      <c r="D1682">
        <v>37426</v>
      </c>
      <c r="E1682" t="str">
        <f>HYPERLINK("http://www.ncbi.nlm.nih.gov/Taxonomy/Browser/wwwtax.cgi?mode=Info&amp;id=7888&amp;lvl=3&amp;lin=f&amp;keep=1&amp;srchmode=1&amp;unlock","7888")</f>
        <v>7888</v>
      </c>
      <c r="F1682" t="s">
        <v>236</v>
      </c>
      <c r="G1682" t="str">
        <f>HYPERLINK("http://www.ncbi.nlm.nih.gov/Taxonomy/Browser/wwwtax.cgi?mode=Info&amp;id=7888&amp;lvl=3&amp;lin=f&amp;keep=1&amp;srchmode=1&amp;unlock","Protopterus annectens")</f>
        <v>Protopterus annectens</v>
      </c>
      <c r="H1682" t="s">
        <v>237</v>
      </c>
      <c r="I1682" t="str">
        <f>HYPERLINK("http://www.ncbi.nlm.nih.gov/protein/XP_043914983.1","ryanodine receptor 2")</f>
        <v>ryanodine receptor 2</v>
      </c>
      <c r="J1682">
        <v>8636.5499999999993</v>
      </c>
      <c r="K1682" t="s">
        <v>19</v>
      </c>
      <c r="L1682">
        <v>1210</v>
      </c>
      <c r="M1682">
        <v>7.13</v>
      </c>
      <c r="N1682">
        <v>84.15</v>
      </c>
      <c r="O1682" t="s">
        <v>19</v>
      </c>
      <c r="P1682" t="s">
        <v>1267</v>
      </c>
      <c r="Q1682" t="s">
        <v>19</v>
      </c>
      <c r="R1682" t="str">
        <f>HYPERLINK("https://cfpub.epa.gov/ecotox/explore.cfm?ncbi=7888","Explore in ECOTOX")</f>
        <v>Explore in ECOTOX</v>
      </c>
    </row>
    <row r="1683" spans="1:18" x14ac:dyDescent="0.45">
      <c r="A1683" t="s">
        <v>1266</v>
      </c>
      <c r="B1683">
        <v>8</v>
      </c>
      <c r="C1683" t="str">
        <f>HYPERLINK("http://www.ncbi.nlm.nih.gov/protein/XP_036043835.1","XP_036043835.1")</f>
        <v>XP_036043835.1</v>
      </c>
      <c r="D1683">
        <v>43283</v>
      </c>
      <c r="E1683" t="str">
        <f>HYPERLINK("http://www.ncbi.nlm.nih.gov/Taxonomy/Browser/wwwtax.cgi?mode=Info&amp;id=38674&amp;lvl=3&amp;lin=f&amp;keep=1&amp;srchmode=1&amp;unlock","38674")</f>
        <v>38674</v>
      </c>
      <c r="F1683" t="s">
        <v>96</v>
      </c>
      <c r="G1683" t="str">
        <f>HYPERLINK("http://www.ncbi.nlm.nih.gov/Taxonomy/Browser/wwwtax.cgi?mode=Info&amp;id=38674&amp;lvl=3&amp;lin=f&amp;keep=1&amp;srchmode=1&amp;unlock","Onychomys torridus")</f>
        <v>Onychomys torridus</v>
      </c>
      <c r="H1683" t="s">
        <v>256</v>
      </c>
      <c r="I1683" t="str">
        <f>HYPERLINK("http://www.ncbi.nlm.nih.gov/protein/XP_036043835.1","ryanodine receptor 2 isoform X8")</f>
        <v>ryanodine receptor 2 isoform X8</v>
      </c>
      <c r="J1683">
        <v>8634.6200000000008</v>
      </c>
      <c r="K1683" t="s">
        <v>19</v>
      </c>
      <c r="L1683">
        <v>1210</v>
      </c>
      <c r="M1683">
        <v>7.13</v>
      </c>
      <c r="N1683">
        <v>84.13</v>
      </c>
      <c r="O1683" t="s">
        <v>19</v>
      </c>
      <c r="P1683" t="s">
        <v>1267</v>
      </c>
      <c r="Q1683" t="s">
        <v>19</v>
      </c>
      <c r="R1683" t="str">
        <f>HYPERLINK("https://cfpub.epa.gov/ecotox/explore.cfm?ncbi=38674","Explore in ECOTOX")</f>
        <v>Explore in ECOTOX</v>
      </c>
    </row>
    <row r="1684" spans="1:18" x14ac:dyDescent="0.45">
      <c r="A1684" t="s">
        <v>1266</v>
      </c>
      <c r="B1684">
        <v>8</v>
      </c>
      <c r="C1684" t="str">
        <f>HYPERLINK("http://www.ncbi.nlm.nih.gov/protein/XP_059893056.1","XP_059893056.1")</f>
        <v>XP_059893056.1</v>
      </c>
      <c r="D1684">
        <v>42356</v>
      </c>
      <c r="E1684" t="str">
        <f>HYPERLINK("http://www.ncbi.nlm.nih.gov/Taxonomy/Browser/wwwtax.cgi?mode=Info&amp;id=80720&amp;lvl=3&amp;lin=f&amp;keep=1&amp;srchmode=1&amp;unlock","80720")</f>
        <v>80720</v>
      </c>
      <c r="F1684" t="s">
        <v>17</v>
      </c>
      <c r="G1684" t="str">
        <f>HYPERLINK("http://www.ncbi.nlm.nih.gov/Taxonomy/Browser/wwwtax.cgi?mode=Info&amp;id=80720&amp;lvl=3&amp;lin=f&amp;keep=1&amp;srchmode=1&amp;unlock","Gadus macrocephalus")</f>
        <v>Gadus macrocephalus</v>
      </c>
      <c r="H1684" t="s">
        <v>168</v>
      </c>
      <c r="I1684" t="str">
        <f>HYPERLINK("http://www.ncbi.nlm.nih.gov/protein/XP_059893056.1","ryanodine receptor 2-like")</f>
        <v>ryanodine receptor 2-like</v>
      </c>
      <c r="J1684">
        <v>8632.69</v>
      </c>
      <c r="K1684" t="s">
        <v>19</v>
      </c>
      <c r="L1684">
        <v>1210</v>
      </c>
      <c r="M1684">
        <v>7.13</v>
      </c>
      <c r="N1684">
        <v>84.12</v>
      </c>
      <c r="O1684" t="s">
        <v>19</v>
      </c>
      <c r="P1684" t="s">
        <v>1267</v>
      </c>
      <c r="Q1684" t="s">
        <v>19</v>
      </c>
      <c r="R1684" t="str">
        <f>HYPERLINK("https://cfpub.epa.gov/ecotox/explore.cfm?ncbi=80720","Explore in ECOTOX")</f>
        <v>Explore in ECOTOX</v>
      </c>
    </row>
    <row r="1685" spans="1:18" x14ac:dyDescent="0.45">
      <c r="A1685" t="s">
        <v>1266</v>
      </c>
      <c r="B1685">
        <v>8</v>
      </c>
      <c r="C1685" t="str">
        <f>HYPERLINK("http://www.ncbi.nlm.nih.gov/protein/XP_045882779.1","XP_045882779.1")</f>
        <v>XP_045882779.1</v>
      </c>
      <c r="D1685">
        <v>50759</v>
      </c>
      <c r="E1685" t="str">
        <f>HYPERLINK("http://www.ncbi.nlm.nih.gov/Taxonomy/Browser/wwwtax.cgi?mode=Info&amp;id=9662&amp;lvl=3&amp;lin=f&amp;keep=1&amp;srchmode=1&amp;unlock","9662")</f>
        <v>9662</v>
      </c>
      <c r="F1685" t="s">
        <v>96</v>
      </c>
      <c r="G1685" t="str">
        <f>HYPERLINK("http://www.ncbi.nlm.nih.gov/Taxonomy/Browser/wwwtax.cgi?mode=Info&amp;id=9662&amp;lvl=3&amp;lin=f&amp;keep=1&amp;srchmode=1&amp;unlock","Meles meles")</f>
        <v>Meles meles</v>
      </c>
      <c r="H1685" t="s">
        <v>528</v>
      </c>
      <c r="I1685" t="str">
        <f>HYPERLINK("http://www.ncbi.nlm.nih.gov/protein/XP_045882779.1","ryanodine receptor 2 isoform X12")</f>
        <v>ryanodine receptor 2 isoform X12</v>
      </c>
      <c r="J1685">
        <v>8632.31</v>
      </c>
      <c r="K1685" t="s">
        <v>19</v>
      </c>
      <c r="L1685">
        <v>1210</v>
      </c>
      <c r="M1685">
        <v>7.13</v>
      </c>
      <c r="N1685">
        <v>84.11</v>
      </c>
      <c r="O1685" t="s">
        <v>19</v>
      </c>
      <c r="P1685" t="s">
        <v>1267</v>
      </c>
      <c r="Q1685" t="s">
        <v>19</v>
      </c>
      <c r="R1685" t="str">
        <f>HYPERLINK("https://cfpub.epa.gov/ecotox/explore.cfm?ncbi=9662","Explore in ECOTOX")</f>
        <v>Explore in ECOTOX</v>
      </c>
    </row>
    <row r="1686" spans="1:18" x14ac:dyDescent="0.45">
      <c r="A1686" t="s">
        <v>1266</v>
      </c>
      <c r="B1686">
        <v>8</v>
      </c>
      <c r="C1686" t="str">
        <f>HYPERLINK("http://www.ncbi.nlm.nih.gov/protein/XP_041486627.1","XP_041486627.1")</f>
        <v>XP_041486627.1</v>
      </c>
      <c r="D1686">
        <v>50333</v>
      </c>
      <c r="E1686" t="str">
        <f>HYPERLINK("http://www.ncbi.nlm.nih.gov/Taxonomy/Browser/wwwtax.cgi?mode=Info&amp;id=111838&amp;lvl=3&amp;lin=f&amp;keep=1&amp;srchmode=1&amp;unlock","111838")</f>
        <v>111838</v>
      </c>
      <c r="F1686" t="s">
        <v>96</v>
      </c>
      <c r="G1686" t="str">
        <f>HYPERLINK("http://www.ncbi.nlm.nih.gov/Taxonomy/Browser/wwwtax.cgi?mode=Info&amp;id=111838&amp;lvl=3&amp;lin=f&amp;keep=1&amp;srchmode=1&amp;unlock","Microtus oregoni")</f>
        <v>Microtus oregoni</v>
      </c>
      <c r="H1686" t="s">
        <v>312</v>
      </c>
      <c r="I1686" t="str">
        <f>HYPERLINK("http://www.ncbi.nlm.nih.gov/protein/XP_041486627.1","ryanodine receptor 2 isoform X7")</f>
        <v>ryanodine receptor 2 isoform X7</v>
      </c>
      <c r="J1686">
        <v>8626.92</v>
      </c>
      <c r="K1686" t="s">
        <v>19</v>
      </c>
      <c r="L1686">
        <v>1210</v>
      </c>
      <c r="M1686">
        <v>7.13</v>
      </c>
      <c r="N1686">
        <v>84.06</v>
      </c>
      <c r="O1686" t="s">
        <v>19</v>
      </c>
      <c r="P1686" t="s">
        <v>1267</v>
      </c>
      <c r="Q1686" t="s">
        <v>19</v>
      </c>
      <c r="R1686" t="str">
        <f>HYPERLINK("https://cfpub.epa.gov/ecotox/explore.cfm?ncbi=111838","Explore in ECOTOX")</f>
        <v>Explore in ECOTOX</v>
      </c>
    </row>
    <row r="1687" spans="1:18" x14ac:dyDescent="0.45">
      <c r="A1687" t="s">
        <v>1266</v>
      </c>
      <c r="B1687">
        <v>8</v>
      </c>
      <c r="C1687" t="str">
        <f>HYPERLINK("http://www.ncbi.nlm.nih.gov/protein/XP_014340342.1","XP_014340342.1")</f>
        <v>XP_014340342.1</v>
      </c>
      <c r="D1687">
        <v>34481</v>
      </c>
      <c r="E1687" t="str">
        <f>HYPERLINK("http://www.ncbi.nlm.nih.gov/Taxonomy/Browser/wwwtax.cgi?mode=Info&amp;id=7897&amp;lvl=3&amp;lin=f&amp;keep=1&amp;srchmode=1&amp;unlock","7897")</f>
        <v>7897</v>
      </c>
      <c r="F1687" t="s">
        <v>179</v>
      </c>
      <c r="G1687" t="str">
        <f>HYPERLINK("http://www.ncbi.nlm.nih.gov/Taxonomy/Browser/wwwtax.cgi?mode=Info&amp;id=7897&amp;lvl=3&amp;lin=f&amp;keep=1&amp;srchmode=1&amp;unlock","Latimeria chalumnae")</f>
        <v>Latimeria chalumnae</v>
      </c>
      <c r="H1687" t="s">
        <v>180</v>
      </c>
      <c r="I1687" t="str">
        <f>HYPERLINK("http://www.ncbi.nlm.nih.gov/protein/XP_014340342.1","PREDICTED: ryanodine receptor 2")</f>
        <v>PREDICTED: ryanodine receptor 2</v>
      </c>
      <c r="J1687">
        <v>8626.92</v>
      </c>
      <c r="K1687" t="s">
        <v>19</v>
      </c>
      <c r="L1687">
        <v>1210</v>
      </c>
      <c r="M1687">
        <v>7.13</v>
      </c>
      <c r="N1687">
        <v>84.06</v>
      </c>
      <c r="O1687" t="s">
        <v>19</v>
      </c>
      <c r="P1687" t="s">
        <v>1267</v>
      </c>
      <c r="Q1687" t="s">
        <v>19</v>
      </c>
      <c r="R1687" t="str">
        <f>HYPERLINK("https://cfpub.epa.gov/ecotox/explore.cfm?ncbi=7897","Explore in ECOTOX")</f>
        <v>Explore in ECOTOX</v>
      </c>
    </row>
    <row r="1688" spans="1:18" x14ac:dyDescent="0.45">
      <c r="A1688" t="s">
        <v>1266</v>
      </c>
      <c r="B1688">
        <v>8</v>
      </c>
      <c r="C1688" t="str">
        <f>HYPERLINK("http://www.ncbi.nlm.nih.gov/protein/XP_042134152.1","XP_042134152.1")</f>
        <v>XP_042134152.1</v>
      </c>
      <c r="D1688">
        <v>54287</v>
      </c>
      <c r="E1688" t="str">
        <f>HYPERLINK("http://www.ncbi.nlm.nih.gov/Taxonomy/Browser/wwwtax.cgi?mode=Info&amp;id=230844&amp;lvl=3&amp;lin=f&amp;keep=1&amp;srchmode=1&amp;unlock","230844")</f>
        <v>230844</v>
      </c>
      <c r="F1688" t="s">
        <v>96</v>
      </c>
      <c r="G1688" t="str">
        <f>HYPERLINK("http://www.ncbi.nlm.nih.gov/Taxonomy/Browser/wwwtax.cgi?mode=Info&amp;id=230844&amp;lvl=3&amp;lin=f&amp;keep=1&amp;srchmode=1&amp;unlock","Peromyscus maniculatus bairdii")</f>
        <v>Peromyscus maniculatus bairdii</v>
      </c>
      <c r="H1688" t="s">
        <v>253</v>
      </c>
      <c r="I1688" t="str">
        <f>HYPERLINK("http://www.ncbi.nlm.nih.gov/protein/XP_042134152.1","ryanodine receptor 2 isoform X7")</f>
        <v>ryanodine receptor 2 isoform X7</v>
      </c>
      <c r="J1688">
        <v>8626.5300000000007</v>
      </c>
      <c r="K1688" t="s">
        <v>19</v>
      </c>
      <c r="L1688">
        <v>1210</v>
      </c>
      <c r="M1688">
        <v>7.13</v>
      </c>
      <c r="N1688">
        <v>84.06</v>
      </c>
      <c r="O1688" t="s">
        <v>19</v>
      </c>
      <c r="P1688" t="s">
        <v>1267</v>
      </c>
      <c r="Q1688" t="s">
        <v>19</v>
      </c>
      <c r="R1688" t="str">
        <f>HYPERLINK("https://cfpub.epa.gov/ecotox/explore.cfm?ncbi=230844","Explore in ECOTOX")</f>
        <v>Explore in ECOTOX</v>
      </c>
    </row>
    <row r="1689" spans="1:18" x14ac:dyDescent="0.45">
      <c r="A1689" t="s">
        <v>1266</v>
      </c>
      <c r="B1689">
        <v>8</v>
      </c>
      <c r="C1689" t="str">
        <f>HYPERLINK("http://www.ncbi.nlm.nih.gov/protein/XP_051050707.1","XP_051050707.1")</f>
        <v>XP_051050707.1</v>
      </c>
      <c r="D1689">
        <v>56582</v>
      </c>
      <c r="E1689" t="str">
        <f>HYPERLINK("http://www.ncbi.nlm.nih.gov/Taxonomy/Browser/wwwtax.cgi?mode=Info&amp;id=109678&amp;lvl=3&amp;lin=f&amp;keep=1&amp;srchmode=1&amp;unlock","109678")</f>
        <v>109678</v>
      </c>
      <c r="F1689" t="s">
        <v>96</v>
      </c>
      <c r="G1689" t="str">
        <f>HYPERLINK("http://www.ncbi.nlm.nih.gov/Taxonomy/Browser/wwwtax.cgi?mode=Info&amp;id=109678&amp;lvl=3&amp;lin=f&amp;keep=1&amp;srchmode=1&amp;unlock","Phodopus roborovskii")</f>
        <v>Phodopus roborovskii</v>
      </c>
      <c r="H1689" t="s">
        <v>320</v>
      </c>
      <c r="I1689" t="str">
        <f>HYPERLINK("http://www.ncbi.nlm.nih.gov/protein/XP_051050707.1","ryanodine receptor 2")</f>
        <v>ryanodine receptor 2</v>
      </c>
      <c r="J1689">
        <v>8625.76</v>
      </c>
      <c r="K1689" t="s">
        <v>19</v>
      </c>
      <c r="L1689">
        <v>1210</v>
      </c>
      <c r="M1689">
        <v>7.13</v>
      </c>
      <c r="N1689">
        <v>84.05</v>
      </c>
      <c r="O1689" t="s">
        <v>19</v>
      </c>
      <c r="P1689" t="s">
        <v>1267</v>
      </c>
      <c r="Q1689" t="s">
        <v>19</v>
      </c>
      <c r="R1689" t="str">
        <f>HYPERLINK("https://cfpub.epa.gov/ecotox/explore.cfm?ncbi=109678","Explore in ECOTOX")</f>
        <v>Explore in ECOTOX</v>
      </c>
    </row>
    <row r="1690" spans="1:18" x14ac:dyDescent="0.45">
      <c r="A1690" t="s">
        <v>1266</v>
      </c>
      <c r="B1690">
        <v>8</v>
      </c>
      <c r="C1690" t="str">
        <f>HYPERLINK("http://www.ncbi.nlm.nih.gov/protein/XP_032040814.1","XP_032040814.1")</f>
        <v>XP_032040814.1</v>
      </c>
      <c r="D1690">
        <v>27822</v>
      </c>
      <c r="E1690" t="str">
        <f>HYPERLINK("http://www.ncbi.nlm.nih.gov/Taxonomy/Browser/wwwtax.cgi?mode=Info&amp;id=219594&amp;lvl=3&amp;lin=f&amp;keep=1&amp;srchmode=1&amp;unlock","219594")</f>
        <v>219594</v>
      </c>
      <c r="F1690" t="s">
        <v>241</v>
      </c>
      <c r="G1690" t="str">
        <f>HYPERLINK("http://www.ncbi.nlm.nih.gov/Taxonomy/Browser/wwwtax.cgi?mode=Info&amp;id=219594&amp;lvl=3&amp;lin=f&amp;keep=1&amp;srchmode=1&amp;unlock","Aythya fuligula")</f>
        <v>Aythya fuligula</v>
      </c>
      <c r="H1690" t="s">
        <v>519</v>
      </c>
      <c r="I1690" t="str">
        <f>HYPERLINK("http://www.ncbi.nlm.nih.gov/protein/XP_032040814.1","ryanodine receptor 2 isoform X11")</f>
        <v>ryanodine receptor 2 isoform X11</v>
      </c>
      <c r="J1690">
        <v>8624.99</v>
      </c>
      <c r="K1690" t="s">
        <v>19</v>
      </c>
      <c r="L1690">
        <v>1210</v>
      </c>
      <c r="M1690">
        <v>7.13</v>
      </c>
      <c r="N1690">
        <v>84.04</v>
      </c>
      <c r="O1690" t="s">
        <v>19</v>
      </c>
      <c r="P1690" t="s">
        <v>1267</v>
      </c>
      <c r="Q1690" t="s">
        <v>19</v>
      </c>
      <c r="R1690" t="str">
        <f>HYPERLINK("https://cfpub.epa.gov/ecotox/explore.cfm?ncbi=219594","Explore in ECOTOX")</f>
        <v>Explore in ECOTOX</v>
      </c>
    </row>
    <row r="1691" spans="1:18" x14ac:dyDescent="0.45">
      <c r="A1691" t="s">
        <v>1266</v>
      </c>
      <c r="B1691">
        <v>8</v>
      </c>
      <c r="C1691" t="str">
        <f>HYPERLINK("http://www.ncbi.nlm.nih.gov/protein/XP_041603417.1","XP_041603417.1")</f>
        <v>XP_041603417.1</v>
      </c>
      <c r="D1691">
        <v>52976</v>
      </c>
      <c r="E1691" t="str">
        <f>HYPERLINK("http://www.ncbi.nlm.nih.gov/Taxonomy/Browser/wwwtax.cgi?mode=Info&amp;id=494514&amp;lvl=3&amp;lin=f&amp;keep=1&amp;srchmode=1&amp;unlock","494514")</f>
        <v>494514</v>
      </c>
      <c r="F1691" t="s">
        <v>96</v>
      </c>
      <c r="G1691" t="str">
        <f>HYPERLINK("http://www.ncbi.nlm.nih.gov/Taxonomy/Browser/wwwtax.cgi?mode=Info&amp;id=494514&amp;lvl=3&amp;lin=f&amp;keep=1&amp;srchmode=1&amp;unlock","Vulpes lagopus")</f>
        <v>Vulpes lagopus</v>
      </c>
      <c r="H1691" t="s">
        <v>244</v>
      </c>
      <c r="I1691" t="str">
        <f>HYPERLINK("http://www.ncbi.nlm.nih.gov/protein/XP_041603417.1","ryanodine receptor 2 isoform X6")</f>
        <v>ryanodine receptor 2 isoform X6</v>
      </c>
      <c r="J1691">
        <v>8624.99</v>
      </c>
      <c r="K1691" t="s">
        <v>19</v>
      </c>
      <c r="L1691">
        <v>1210</v>
      </c>
      <c r="M1691">
        <v>7.13</v>
      </c>
      <c r="N1691">
        <v>84.04</v>
      </c>
      <c r="O1691" t="s">
        <v>19</v>
      </c>
      <c r="P1691" t="s">
        <v>1267</v>
      </c>
      <c r="Q1691" t="s">
        <v>19</v>
      </c>
      <c r="R1691" t="str">
        <f>HYPERLINK("https://cfpub.epa.gov/ecotox/explore.cfm?ncbi=494514","Explore in ECOTOX")</f>
        <v>Explore in ECOTOX</v>
      </c>
    </row>
    <row r="1692" spans="1:18" x14ac:dyDescent="0.45">
      <c r="A1692" t="s">
        <v>1266</v>
      </c>
      <c r="B1692">
        <v>8</v>
      </c>
      <c r="C1692" t="str">
        <f>HYPERLINK("http://www.ncbi.nlm.nih.gov/protein/XP_038343237.1","XP_038343237.1")</f>
        <v>XP_038343237.1</v>
      </c>
      <c r="D1692">
        <v>198466</v>
      </c>
      <c r="E1692" t="str">
        <f>HYPERLINK("http://www.ncbi.nlm.nih.gov/Taxonomy/Browser/wwwtax.cgi?mode=Info&amp;id=9615&amp;lvl=3&amp;lin=f&amp;keep=1&amp;srchmode=1&amp;unlock","9615")</f>
        <v>9615</v>
      </c>
      <c r="F1692" t="s">
        <v>96</v>
      </c>
      <c r="G1692" t="str">
        <f>HYPERLINK("http://www.ncbi.nlm.nih.gov/Taxonomy/Browser/wwwtax.cgi?mode=Info&amp;id=9615&amp;lvl=3&amp;lin=f&amp;keep=1&amp;srchmode=1&amp;unlock","Canis lupus familiaris")</f>
        <v>Canis lupus familiaris</v>
      </c>
      <c r="H1692" t="s">
        <v>246</v>
      </c>
      <c r="I1692" t="str">
        <f>HYPERLINK("http://www.ncbi.nlm.nih.gov/protein/XP_038343237.1","ryanodine receptor 2 isoform X13")</f>
        <v>ryanodine receptor 2 isoform X13</v>
      </c>
      <c r="J1692">
        <v>8623.83</v>
      </c>
      <c r="K1692" t="s">
        <v>19</v>
      </c>
      <c r="L1692">
        <v>1210</v>
      </c>
      <c r="M1692">
        <v>7.13</v>
      </c>
      <c r="N1692">
        <v>84.03</v>
      </c>
      <c r="O1692" t="s">
        <v>19</v>
      </c>
      <c r="P1692" t="s">
        <v>1267</v>
      </c>
      <c r="Q1692" t="s">
        <v>19</v>
      </c>
      <c r="R1692" t="str">
        <f>HYPERLINK("https://cfpub.epa.gov/ecotox/explore.cfm?ncbi=9615","Explore in ECOTOX")</f>
        <v>Explore in ECOTOX</v>
      </c>
    </row>
    <row r="1693" spans="1:18" x14ac:dyDescent="0.45">
      <c r="A1693" t="s">
        <v>1266</v>
      </c>
      <c r="B1693">
        <v>8</v>
      </c>
      <c r="C1693" t="str">
        <f>HYPERLINK("http://www.ncbi.nlm.nih.gov/protein/XP_006711873.1","XP_006711873.1")</f>
        <v>XP_006711873.1</v>
      </c>
      <c r="D1693">
        <v>2914507</v>
      </c>
      <c r="E1693" t="str">
        <f>HYPERLINK("http://www.ncbi.nlm.nih.gov/Taxonomy/Browser/wwwtax.cgi?mode=Info&amp;id=9606&amp;lvl=3&amp;lin=f&amp;keep=1&amp;srchmode=1&amp;unlock","9606")</f>
        <v>9606</v>
      </c>
      <c r="F1693" t="s">
        <v>96</v>
      </c>
      <c r="G1693" t="str">
        <f>HYPERLINK("http://www.ncbi.nlm.nih.gov/Taxonomy/Browser/wwwtax.cgi?mode=Info&amp;id=9606&amp;lvl=3&amp;lin=f&amp;keep=1&amp;srchmode=1&amp;unlock","Homo sapiens")</f>
        <v>Homo sapiens</v>
      </c>
      <c r="H1693" t="s">
        <v>303</v>
      </c>
      <c r="I1693" t="str">
        <f>HYPERLINK("http://www.ncbi.nlm.nih.gov/protein/XP_006711873.1","ryanodine receptor 2 isoform X15")</f>
        <v>ryanodine receptor 2 isoform X15</v>
      </c>
      <c r="J1693">
        <v>8623.06</v>
      </c>
      <c r="K1693" t="s">
        <v>19</v>
      </c>
      <c r="L1693">
        <v>1210</v>
      </c>
      <c r="M1693">
        <v>7.13</v>
      </c>
      <c r="N1693">
        <v>84.02</v>
      </c>
      <c r="O1693" t="s">
        <v>19</v>
      </c>
      <c r="P1693" t="s">
        <v>1267</v>
      </c>
      <c r="Q1693" t="s">
        <v>19</v>
      </c>
      <c r="R1693" t="str">
        <f>HYPERLINK("https://cfpub.epa.gov/ecotox/explore.cfm?ncbi=9606","Explore in ECOTOX")</f>
        <v>Explore in ECOTOX</v>
      </c>
    </row>
    <row r="1694" spans="1:18" x14ac:dyDescent="0.45">
      <c r="A1694" t="s">
        <v>1266</v>
      </c>
      <c r="B1694">
        <v>8</v>
      </c>
      <c r="C1694" t="str">
        <f>HYPERLINK("http://www.ncbi.nlm.nih.gov/protein/XP_026644151.1","XP_026644151.1")</f>
        <v>XP_026644151.1</v>
      </c>
      <c r="D1694">
        <v>59759</v>
      </c>
      <c r="E1694" t="str">
        <f>HYPERLINK("http://www.ncbi.nlm.nih.gov/Taxonomy/Browser/wwwtax.cgi?mode=Info&amp;id=79684&amp;lvl=3&amp;lin=f&amp;keep=1&amp;srchmode=1&amp;unlock","79684")</f>
        <v>79684</v>
      </c>
      <c r="F1694" t="s">
        <v>96</v>
      </c>
      <c r="G1694" t="str">
        <f>HYPERLINK("http://www.ncbi.nlm.nih.gov/Taxonomy/Browser/wwwtax.cgi?mode=Info&amp;id=79684&amp;lvl=3&amp;lin=f&amp;keep=1&amp;srchmode=1&amp;unlock","Microtus ochrogaster")</f>
        <v>Microtus ochrogaster</v>
      </c>
      <c r="H1694" t="s">
        <v>301</v>
      </c>
      <c r="I1694" t="str">
        <f>HYPERLINK("http://www.ncbi.nlm.nih.gov/protein/XP_026644151.1","ryanodine receptor 2 isoform X3")</f>
        <v>ryanodine receptor 2 isoform X3</v>
      </c>
      <c r="J1694">
        <v>8622.68</v>
      </c>
      <c r="K1694" t="s">
        <v>19</v>
      </c>
      <c r="L1694">
        <v>1210</v>
      </c>
      <c r="M1694">
        <v>7.13</v>
      </c>
      <c r="N1694">
        <v>84.02</v>
      </c>
      <c r="O1694" t="s">
        <v>19</v>
      </c>
      <c r="P1694" t="s">
        <v>1267</v>
      </c>
      <c r="Q1694" t="s">
        <v>19</v>
      </c>
      <c r="R1694" t="str">
        <f>HYPERLINK("https://cfpub.epa.gov/ecotox/explore.cfm?ncbi=79684","Explore in ECOTOX")</f>
        <v>Explore in ECOTOX</v>
      </c>
    </row>
    <row r="1695" spans="1:18" x14ac:dyDescent="0.45">
      <c r="A1695" t="s">
        <v>1266</v>
      </c>
      <c r="B1695">
        <v>8</v>
      </c>
      <c r="C1695" t="str">
        <f>HYPERLINK("http://www.ncbi.nlm.nih.gov/protein/XP_047558033.1","XP_047558033.1")</f>
        <v>XP_047558033.1</v>
      </c>
      <c r="D1695">
        <v>57788</v>
      </c>
      <c r="E1695" t="str">
        <f>HYPERLINK("http://www.ncbi.nlm.nih.gov/Taxonomy/Browser/wwwtax.cgi?mode=Info&amp;id=9657&amp;lvl=3&amp;lin=f&amp;keep=1&amp;srchmode=1&amp;unlock","9657")</f>
        <v>9657</v>
      </c>
      <c r="F1695" t="s">
        <v>96</v>
      </c>
      <c r="G1695" t="str">
        <f>HYPERLINK("http://www.ncbi.nlm.nih.gov/Taxonomy/Browser/wwwtax.cgi?mode=Info&amp;id=9657&amp;lvl=3&amp;lin=f&amp;keep=1&amp;srchmode=1&amp;unlock","Lutra lutra")</f>
        <v>Lutra lutra</v>
      </c>
      <c r="H1695" t="s">
        <v>540</v>
      </c>
      <c r="I1695" t="str">
        <f>HYPERLINK("http://www.ncbi.nlm.nih.gov/protein/XP_047558033.1","ryanodine receptor 2 isoform X6")</f>
        <v>ryanodine receptor 2 isoform X6</v>
      </c>
      <c r="J1695">
        <v>8622.2900000000009</v>
      </c>
      <c r="K1695" t="s">
        <v>19</v>
      </c>
      <c r="L1695">
        <v>1210</v>
      </c>
      <c r="M1695">
        <v>7.13</v>
      </c>
      <c r="N1695">
        <v>84.01</v>
      </c>
      <c r="O1695" t="s">
        <v>19</v>
      </c>
      <c r="P1695" t="s">
        <v>1267</v>
      </c>
      <c r="Q1695" t="s">
        <v>19</v>
      </c>
      <c r="R1695" t="str">
        <f>HYPERLINK("https://cfpub.epa.gov/ecotox/explore.cfm?ncbi=9657","Explore in ECOTOX")</f>
        <v>Explore in ECOTOX</v>
      </c>
    </row>
    <row r="1696" spans="1:18" x14ac:dyDescent="0.45">
      <c r="A1696" t="s">
        <v>1266</v>
      </c>
      <c r="B1696">
        <v>8</v>
      </c>
      <c r="C1696" t="str">
        <f>HYPERLINK("http://www.ncbi.nlm.nih.gov/protein/XP_040524429.1","XP_040524429.1")</f>
        <v>XP_040524429.1</v>
      </c>
      <c r="D1696">
        <v>150505</v>
      </c>
      <c r="E1696" t="str">
        <f>HYPERLINK("http://www.ncbi.nlm.nih.gov/Taxonomy/Browser/wwwtax.cgi?mode=Info&amp;id=9031&amp;lvl=3&amp;lin=f&amp;keep=1&amp;srchmode=1&amp;unlock","9031")</f>
        <v>9031</v>
      </c>
      <c r="F1696" t="s">
        <v>241</v>
      </c>
      <c r="G1696" t="str">
        <f>HYPERLINK("http://www.ncbi.nlm.nih.gov/Taxonomy/Browser/wwwtax.cgi?mode=Info&amp;id=9031&amp;lvl=3&amp;lin=f&amp;keep=1&amp;srchmode=1&amp;unlock","Gallus gallus")</f>
        <v>Gallus gallus</v>
      </c>
      <c r="H1696" t="s">
        <v>242</v>
      </c>
      <c r="I1696" t="str">
        <f>HYPERLINK("http://www.ncbi.nlm.nih.gov/protein/XP_040524429.1","ryanodine receptor 2 isoform X9")</f>
        <v>ryanodine receptor 2 isoform X9</v>
      </c>
      <c r="J1696">
        <v>8622.2900000000009</v>
      </c>
      <c r="K1696" t="s">
        <v>19</v>
      </c>
      <c r="L1696">
        <v>1210</v>
      </c>
      <c r="M1696">
        <v>7.13</v>
      </c>
      <c r="N1696">
        <v>84.01</v>
      </c>
      <c r="O1696" t="s">
        <v>19</v>
      </c>
      <c r="P1696" t="s">
        <v>1267</v>
      </c>
      <c r="Q1696" t="s">
        <v>19</v>
      </c>
      <c r="R1696" t="str">
        <f>HYPERLINK("https://cfpub.epa.gov/ecotox/explore.cfm?ncbi=9031","Explore in ECOTOX")</f>
        <v>Explore in ECOTOX</v>
      </c>
    </row>
    <row r="1697" spans="1:18" x14ac:dyDescent="0.45">
      <c r="A1697" t="s">
        <v>1266</v>
      </c>
      <c r="B1697">
        <v>8</v>
      </c>
      <c r="C1697" t="str">
        <f>HYPERLINK("http://www.ncbi.nlm.nih.gov/protein/XP_033056057.1","XP_033056057.1")</f>
        <v>XP_033056057.1</v>
      </c>
      <c r="D1697">
        <v>64511</v>
      </c>
      <c r="E1697" t="str">
        <f>HYPERLINK("http://www.ncbi.nlm.nih.gov/Taxonomy/Browser/wwwtax.cgi?mode=Info&amp;id=54180&amp;lvl=3&amp;lin=f&amp;keep=1&amp;srchmode=1&amp;unlock","54180")</f>
        <v>54180</v>
      </c>
      <c r="F1697" t="s">
        <v>96</v>
      </c>
      <c r="G1697" t="str">
        <f>HYPERLINK("http://www.ncbi.nlm.nih.gov/Taxonomy/Browser/wwwtax.cgi?mode=Info&amp;id=54180&amp;lvl=3&amp;lin=f&amp;keep=1&amp;srchmode=1&amp;unlock","Trachypithecus francoisi")</f>
        <v>Trachypithecus francoisi</v>
      </c>
      <c r="H1697" t="s">
        <v>279</v>
      </c>
      <c r="I1697" t="str">
        <f>HYPERLINK("http://www.ncbi.nlm.nih.gov/protein/XP_033056057.1","ryanodine receptor 2 isoform X7")</f>
        <v>ryanodine receptor 2 isoform X7</v>
      </c>
      <c r="J1697">
        <v>8621.91</v>
      </c>
      <c r="K1697" t="s">
        <v>19</v>
      </c>
      <c r="L1697">
        <v>1210</v>
      </c>
      <c r="M1697">
        <v>7.13</v>
      </c>
      <c r="N1697">
        <v>84.01</v>
      </c>
      <c r="O1697" t="s">
        <v>19</v>
      </c>
      <c r="P1697" t="s">
        <v>1267</v>
      </c>
      <c r="Q1697" t="s">
        <v>19</v>
      </c>
      <c r="R1697" t="str">
        <f>HYPERLINK("https://cfpub.epa.gov/ecotox/explore.cfm?ncbi=54180","Explore in ECOTOX")</f>
        <v>Explore in ECOTOX</v>
      </c>
    </row>
    <row r="1698" spans="1:18" x14ac:dyDescent="0.45">
      <c r="A1698" t="s">
        <v>1266</v>
      </c>
      <c r="B1698">
        <v>8</v>
      </c>
      <c r="C1698" t="str">
        <f>HYPERLINK("http://www.ncbi.nlm.nih.gov/protein/XP_035136411.2","XP_035136411.2")</f>
        <v>XP_035136411.2</v>
      </c>
      <c r="D1698">
        <v>85703</v>
      </c>
      <c r="E1698" t="str">
        <f>HYPERLINK("http://www.ncbi.nlm.nih.gov/Taxonomy/Browser/wwwtax.cgi?mode=Info&amp;id=9483&amp;lvl=3&amp;lin=f&amp;keep=1&amp;srchmode=1&amp;unlock","9483")</f>
        <v>9483</v>
      </c>
      <c r="F1698" t="s">
        <v>96</v>
      </c>
      <c r="G1698" t="str">
        <f>HYPERLINK("http://www.ncbi.nlm.nih.gov/Taxonomy/Browser/wwwtax.cgi?mode=Info&amp;id=9483&amp;lvl=3&amp;lin=f&amp;keep=1&amp;srchmode=1&amp;unlock","Callithrix jacchus")</f>
        <v>Callithrix jacchus</v>
      </c>
      <c r="H1698" t="s">
        <v>260</v>
      </c>
      <c r="I1698" t="str">
        <f>HYPERLINK("http://www.ncbi.nlm.nih.gov/protein/XP_035136411.2","ryanodine receptor 2 isoform X9")</f>
        <v>ryanodine receptor 2 isoform X9</v>
      </c>
      <c r="J1698">
        <v>8620.75</v>
      </c>
      <c r="K1698" t="s">
        <v>19</v>
      </c>
      <c r="L1698">
        <v>1210</v>
      </c>
      <c r="M1698">
        <v>7.13</v>
      </c>
      <c r="N1698">
        <v>84</v>
      </c>
      <c r="O1698" t="s">
        <v>19</v>
      </c>
      <c r="P1698" t="s">
        <v>1267</v>
      </c>
      <c r="Q1698" t="s">
        <v>19</v>
      </c>
      <c r="R1698" t="str">
        <f>HYPERLINK("https://cfpub.epa.gov/ecotox/explore.cfm?ncbi=9483","Explore in ECOTOX")</f>
        <v>Explore in ECOTOX</v>
      </c>
    </row>
    <row r="1699" spans="1:18" x14ac:dyDescent="0.45">
      <c r="A1699" t="s">
        <v>1266</v>
      </c>
      <c r="B1699">
        <v>8</v>
      </c>
      <c r="C1699" t="str">
        <f>HYPERLINK("http://www.ncbi.nlm.nih.gov/protein/XP_032098322.1","XP_032098322.1")</f>
        <v>XP_032098322.1</v>
      </c>
      <c r="D1699">
        <v>62543</v>
      </c>
      <c r="E1699" t="str">
        <f>HYPERLINK("http://www.ncbi.nlm.nih.gov/Taxonomy/Browser/wwwtax.cgi?mode=Info&amp;id=9515&amp;lvl=3&amp;lin=f&amp;keep=1&amp;srchmode=1&amp;unlock","9515")</f>
        <v>9515</v>
      </c>
      <c r="F1699" t="s">
        <v>96</v>
      </c>
      <c r="G1699" t="str">
        <f>HYPERLINK("http://www.ncbi.nlm.nih.gov/Taxonomy/Browser/wwwtax.cgi?mode=Info&amp;id=9515&amp;lvl=3&amp;lin=f&amp;keep=1&amp;srchmode=1&amp;unlock","Sapajus apella")</f>
        <v>Sapajus apella</v>
      </c>
      <c r="H1699" t="s">
        <v>270</v>
      </c>
      <c r="I1699" t="str">
        <f>HYPERLINK("http://www.ncbi.nlm.nih.gov/protein/XP_032098322.1","ryanodine receptor 2 isoform X12")</f>
        <v>ryanodine receptor 2 isoform X12</v>
      </c>
      <c r="J1699">
        <v>8618.83</v>
      </c>
      <c r="K1699" t="s">
        <v>19</v>
      </c>
      <c r="L1699">
        <v>1210</v>
      </c>
      <c r="M1699">
        <v>7.13</v>
      </c>
      <c r="N1699">
        <v>83.98</v>
      </c>
      <c r="O1699" t="s">
        <v>19</v>
      </c>
      <c r="P1699" t="s">
        <v>1267</v>
      </c>
      <c r="Q1699" t="s">
        <v>19</v>
      </c>
      <c r="R1699" t="str">
        <f>HYPERLINK("https://cfpub.epa.gov/ecotox/explore.cfm?ncbi=9515","Explore in ECOTOX")</f>
        <v>Explore in ECOTOX</v>
      </c>
    </row>
    <row r="1700" spans="1:18" x14ac:dyDescent="0.45">
      <c r="A1700" t="s">
        <v>1266</v>
      </c>
      <c r="B1700">
        <v>8</v>
      </c>
      <c r="C1700" t="str">
        <f>HYPERLINK("http://www.ncbi.nlm.nih.gov/protein/XP_056432662.1","XP_056432662.1")</f>
        <v>XP_056432662.1</v>
      </c>
      <c r="D1700">
        <v>37803</v>
      </c>
      <c r="E1700" t="str">
        <f>HYPERLINK("http://www.ncbi.nlm.nih.gov/Taxonomy/Browser/wwwtax.cgi?mode=Info&amp;id=1042646&amp;lvl=3&amp;lin=f&amp;keep=1&amp;srchmode=1&amp;unlock","1042646")</f>
        <v>1042646</v>
      </c>
      <c r="F1700" t="s">
        <v>17</v>
      </c>
      <c r="G1700" t="str">
        <f>HYPERLINK("http://www.ncbi.nlm.nih.gov/Taxonomy/Browser/wwwtax.cgi?mode=Info&amp;id=1042646&amp;lvl=3&amp;lin=f&amp;keep=1&amp;srchmode=1&amp;unlock","Gadus chalcogrammus")</f>
        <v>Gadus chalcogrammus</v>
      </c>
      <c r="H1700" t="s">
        <v>501</v>
      </c>
      <c r="I1700" t="str">
        <f>HYPERLINK("http://www.ncbi.nlm.nih.gov/protein/XP_056432662.1","ryanodine receptor 2")</f>
        <v>ryanodine receptor 2</v>
      </c>
      <c r="J1700">
        <v>8618.83</v>
      </c>
      <c r="K1700" t="s">
        <v>19</v>
      </c>
      <c r="L1700">
        <v>1210</v>
      </c>
      <c r="M1700">
        <v>7.13</v>
      </c>
      <c r="N1700">
        <v>83.98</v>
      </c>
      <c r="O1700" t="s">
        <v>19</v>
      </c>
      <c r="P1700" t="s">
        <v>1267</v>
      </c>
      <c r="Q1700" t="s">
        <v>19</v>
      </c>
      <c r="R1700" t="str">
        <f>HYPERLINK("https://cfpub.epa.gov/ecotox/explore.cfm?ncbi=1042646","Explore in ECOTOX")</f>
        <v>Explore in ECOTOX</v>
      </c>
    </row>
    <row r="1701" spans="1:18" x14ac:dyDescent="0.45">
      <c r="A1701" t="s">
        <v>1266</v>
      </c>
      <c r="B1701">
        <v>8</v>
      </c>
      <c r="C1701" t="str">
        <f>HYPERLINK("http://www.ncbi.nlm.nih.gov/protein/XP_032738983.1","XP_032738983.1")</f>
        <v>XP_032738983.1</v>
      </c>
      <c r="D1701">
        <v>48430</v>
      </c>
      <c r="E1701" t="str">
        <f>HYPERLINK("http://www.ncbi.nlm.nih.gov/Taxonomy/Browser/wwwtax.cgi?mode=Info&amp;id=76717&amp;lvl=3&amp;lin=f&amp;keep=1&amp;srchmode=1&amp;unlock","76717")</f>
        <v>76717</v>
      </c>
      <c r="F1701" t="s">
        <v>96</v>
      </c>
      <c r="G1701" t="str">
        <f>HYPERLINK("http://www.ncbi.nlm.nih.gov/Taxonomy/Browser/wwwtax.cgi?mode=Info&amp;id=76717&amp;lvl=3&amp;lin=f&amp;keep=1&amp;srchmode=1&amp;unlock","Lontra canadensis")</f>
        <v>Lontra canadensis</v>
      </c>
      <c r="H1701" t="s">
        <v>536</v>
      </c>
      <c r="I1701" t="str">
        <f>HYPERLINK("http://www.ncbi.nlm.nih.gov/protein/XP_032738983.1","ryanodine receptor 2 isoform X6")</f>
        <v>ryanodine receptor 2 isoform X6</v>
      </c>
      <c r="J1701">
        <v>8618.06</v>
      </c>
      <c r="K1701" t="s">
        <v>19</v>
      </c>
      <c r="L1701">
        <v>1210</v>
      </c>
      <c r="M1701">
        <v>7.13</v>
      </c>
      <c r="N1701">
        <v>83.97</v>
      </c>
      <c r="O1701" t="s">
        <v>19</v>
      </c>
      <c r="P1701" t="s">
        <v>1267</v>
      </c>
      <c r="Q1701" t="s">
        <v>19</v>
      </c>
      <c r="R1701" t="str">
        <f>HYPERLINK("https://cfpub.epa.gov/ecotox/explore.cfm?ncbi=76717","Explore in ECOTOX")</f>
        <v>Explore in ECOTOX</v>
      </c>
    </row>
    <row r="1702" spans="1:18" x14ac:dyDescent="0.45">
      <c r="A1702" t="s">
        <v>1266</v>
      </c>
      <c r="B1702">
        <v>8</v>
      </c>
      <c r="C1702" t="str">
        <f>HYPERLINK("http://www.ncbi.nlm.nih.gov/protein/XP_032167987.1","XP_032167987.1")</f>
        <v>XP_032167987.1</v>
      </c>
      <c r="D1702">
        <v>60709</v>
      </c>
      <c r="E1702" t="str">
        <f>HYPERLINK("http://www.ncbi.nlm.nih.gov/Taxonomy/Browser/wwwtax.cgi?mode=Info&amp;id=36723&amp;lvl=3&amp;lin=f&amp;keep=1&amp;srchmode=1&amp;unlock","36723")</f>
        <v>36723</v>
      </c>
      <c r="F1702" t="s">
        <v>96</v>
      </c>
      <c r="G1702" t="str">
        <f>HYPERLINK("http://www.ncbi.nlm.nih.gov/Taxonomy/Browser/wwwtax.cgi?mode=Info&amp;id=36723&amp;lvl=3&amp;lin=f&amp;keep=1&amp;srchmode=1&amp;unlock","Mustela erminea")</f>
        <v>Mustela erminea</v>
      </c>
      <c r="H1702" t="s">
        <v>530</v>
      </c>
      <c r="I1702" t="str">
        <f>HYPERLINK("http://www.ncbi.nlm.nih.gov/protein/XP_032167987.1","ryanodine receptor 2 isoform X6")</f>
        <v>ryanodine receptor 2 isoform X6</v>
      </c>
      <c r="J1702">
        <v>8617.67</v>
      </c>
      <c r="K1702" t="s">
        <v>19</v>
      </c>
      <c r="L1702">
        <v>1210</v>
      </c>
      <c r="M1702">
        <v>7.13</v>
      </c>
      <c r="N1702">
        <v>83.97</v>
      </c>
      <c r="O1702" t="s">
        <v>19</v>
      </c>
      <c r="P1702" t="s">
        <v>1267</v>
      </c>
      <c r="Q1702" t="s">
        <v>19</v>
      </c>
      <c r="R1702" t="str">
        <f>HYPERLINK("https://cfpub.epa.gov/ecotox/explore.cfm?ncbi=36723","Explore in ECOTOX")</f>
        <v>Explore in ECOTOX</v>
      </c>
    </row>
    <row r="1703" spans="1:18" x14ac:dyDescent="0.45">
      <c r="A1703" t="s">
        <v>1266</v>
      </c>
      <c r="B1703">
        <v>8</v>
      </c>
      <c r="C1703" t="str">
        <f>HYPERLINK("http://www.ncbi.nlm.nih.gov/protein/XP_055228363.1","XP_055228363.1")</f>
        <v>XP_055228363.1</v>
      </c>
      <c r="D1703">
        <v>82505</v>
      </c>
      <c r="E1703" t="str">
        <f>HYPERLINK("http://www.ncbi.nlm.nih.gov/Taxonomy/Browser/wwwtax.cgi?mode=Info&amp;id=9595&amp;lvl=3&amp;lin=f&amp;keep=1&amp;srchmode=1&amp;unlock","9595")</f>
        <v>9595</v>
      </c>
      <c r="F1703" t="s">
        <v>96</v>
      </c>
      <c r="G1703" t="str">
        <f>HYPERLINK("http://www.ncbi.nlm.nih.gov/Taxonomy/Browser/wwwtax.cgi?mode=Info&amp;id=9595&amp;lvl=3&amp;lin=f&amp;keep=1&amp;srchmode=1&amp;unlock","Gorilla gorilla gorilla")</f>
        <v>Gorilla gorilla gorilla</v>
      </c>
      <c r="H1703" t="s">
        <v>547</v>
      </c>
      <c r="I1703" t="str">
        <f>HYPERLINK("http://www.ncbi.nlm.nih.gov/protein/XP_055228363.1","ryanodine receptor 2 isoform X5")</f>
        <v>ryanodine receptor 2 isoform X5</v>
      </c>
      <c r="J1703">
        <v>8616.9</v>
      </c>
      <c r="K1703" t="s">
        <v>19</v>
      </c>
      <c r="L1703">
        <v>1210</v>
      </c>
      <c r="M1703">
        <v>7.13</v>
      </c>
      <c r="N1703">
        <v>83.96</v>
      </c>
      <c r="O1703" t="s">
        <v>19</v>
      </c>
      <c r="P1703" t="s">
        <v>1267</v>
      </c>
      <c r="Q1703" t="s">
        <v>19</v>
      </c>
      <c r="R1703" t="str">
        <f>HYPERLINK("https://cfpub.epa.gov/ecotox/explore.cfm?ncbi=9595","Explore in ECOTOX")</f>
        <v>Explore in ECOTOX</v>
      </c>
    </row>
    <row r="1704" spans="1:18" x14ac:dyDescent="0.45">
      <c r="A1704" t="s">
        <v>1266</v>
      </c>
      <c r="B1704">
        <v>8</v>
      </c>
      <c r="C1704" t="str">
        <f>HYPERLINK("http://www.ncbi.nlm.nih.gov/protein/XP_057643795.1","XP_057643795.1")</f>
        <v>XP_057643795.1</v>
      </c>
      <c r="D1704">
        <v>44061</v>
      </c>
      <c r="E1704" t="str">
        <f>HYPERLINK("http://www.ncbi.nlm.nih.gov/Taxonomy/Browser/wwwtax.cgi?mode=Info&amp;id=269649&amp;lvl=3&amp;lin=f&amp;keep=1&amp;srchmode=1&amp;unlock","269649")</f>
        <v>269649</v>
      </c>
      <c r="F1704" t="s">
        <v>96</v>
      </c>
      <c r="G1704" t="str">
        <f>HYPERLINK("http://www.ncbi.nlm.nih.gov/Taxonomy/Browser/wwwtax.cgi?mode=Info&amp;id=269649&amp;lvl=3&amp;lin=f&amp;keep=1&amp;srchmode=1&amp;unlock","Chionomys nivalis")</f>
        <v>Chionomys nivalis</v>
      </c>
      <c r="H1704" t="s">
        <v>305</v>
      </c>
      <c r="I1704" t="str">
        <f>HYPERLINK("http://www.ncbi.nlm.nih.gov/protein/XP_057643795.1","ryanodine receptor 2 isoform X2")</f>
        <v>ryanodine receptor 2 isoform X2</v>
      </c>
      <c r="J1704">
        <v>8616.52</v>
      </c>
      <c r="K1704" t="s">
        <v>19</v>
      </c>
      <c r="L1704">
        <v>1210</v>
      </c>
      <c r="M1704">
        <v>7.13</v>
      </c>
      <c r="N1704">
        <v>83.96</v>
      </c>
      <c r="O1704" t="s">
        <v>19</v>
      </c>
      <c r="P1704" t="s">
        <v>1267</v>
      </c>
      <c r="Q1704" t="s">
        <v>19</v>
      </c>
      <c r="R1704" t="str">
        <f>HYPERLINK("https://cfpub.epa.gov/ecotox/explore.cfm?ncbi=269649","Explore in ECOTOX")</f>
        <v>Explore in ECOTOX</v>
      </c>
    </row>
    <row r="1705" spans="1:18" x14ac:dyDescent="0.45">
      <c r="A1705" t="s">
        <v>1266</v>
      </c>
      <c r="B1705">
        <v>8</v>
      </c>
      <c r="C1705" t="str">
        <f>HYPERLINK("http://www.ncbi.nlm.nih.gov/protein/XP_021789854.1","XP_021789854.1")</f>
        <v>XP_021789854.1</v>
      </c>
      <c r="D1705">
        <v>73749</v>
      </c>
      <c r="E1705" t="str">
        <f>HYPERLINK("http://www.ncbi.nlm.nih.gov/Taxonomy/Browser/wwwtax.cgi?mode=Info&amp;id=9555&amp;lvl=3&amp;lin=f&amp;keep=1&amp;srchmode=1&amp;unlock","9555")</f>
        <v>9555</v>
      </c>
      <c r="F1705" t="s">
        <v>96</v>
      </c>
      <c r="G1705" t="str">
        <f>HYPERLINK("http://www.ncbi.nlm.nih.gov/Taxonomy/Browser/wwwtax.cgi?mode=Info&amp;id=9555&amp;lvl=3&amp;lin=f&amp;keep=1&amp;srchmode=1&amp;unlock","Papio anubis")</f>
        <v>Papio anubis</v>
      </c>
      <c r="H1705" t="s">
        <v>297</v>
      </c>
      <c r="I1705" t="str">
        <f>HYPERLINK("http://www.ncbi.nlm.nih.gov/protein/XP_021789854.1","ryanodine receptor 2 isoform X13")</f>
        <v>ryanodine receptor 2 isoform X13</v>
      </c>
      <c r="J1705">
        <v>8616.52</v>
      </c>
      <c r="K1705" t="s">
        <v>19</v>
      </c>
      <c r="L1705">
        <v>1210</v>
      </c>
      <c r="M1705">
        <v>7.13</v>
      </c>
      <c r="N1705">
        <v>83.96</v>
      </c>
      <c r="O1705" t="s">
        <v>19</v>
      </c>
      <c r="P1705" t="s">
        <v>1267</v>
      </c>
      <c r="Q1705" t="s">
        <v>19</v>
      </c>
      <c r="R1705" t="str">
        <f>HYPERLINK("https://cfpub.epa.gov/ecotox/explore.cfm?ncbi=9555","Explore in ECOTOX")</f>
        <v>Explore in ECOTOX</v>
      </c>
    </row>
    <row r="1706" spans="1:18" x14ac:dyDescent="0.45">
      <c r="A1706" t="s">
        <v>1266</v>
      </c>
      <c r="B1706">
        <v>8</v>
      </c>
      <c r="C1706" t="str">
        <f>HYPERLINK("http://www.ncbi.nlm.nih.gov/protein/XP_059026319.1","XP_059026319.1")</f>
        <v>XP_059026319.1</v>
      </c>
      <c r="D1706">
        <v>56651</v>
      </c>
      <c r="E1706" t="str">
        <f>HYPERLINK("http://www.ncbi.nlm.nih.gov/Taxonomy/Browser/wwwtax.cgi?mode=Info&amp;id=9666&amp;lvl=3&amp;lin=f&amp;keep=1&amp;srchmode=1&amp;unlock","9666")</f>
        <v>9666</v>
      </c>
      <c r="F1706" t="s">
        <v>96</v>
      </c>
      <c r="G1706" t="str">
        <f>HYPERLINK("http://www.ncbi.nlm.nih.gov/Taxonomy/Browser/wwwtax.cgi?mode=Info&amp;id=9666&amp;lvl=3&amp;lin=f&amp;keep=1&amp;srchmode=1&amp;unlock","Mustela lutreola")</f>
        <v>Mustela lutreola</v>
      </c>
      <c r="H1706" t="s">
        <v>539</v>
      </c>
      <c r="I1706" t="str">
        <f>HYPERLINK("http://www.ncbi.nlm.nih.gov/protein/XP_059026319.1","ryanodine receptor 2 isoform X1")</f>
        <v>ryanodine receptor 2 isoform X1</v>
      </c>
      <c r="J1706">
        <v>8616.1299999999992</v>
      </c>
      <c r="K1706" t="s">
        <v>19</v>
      </c>
      <c r="L1706">
        <v>1210</v>
      </c>
      <c r="M1706">
        <v>7.13</v>
      </c>
      <c r="N1706">
        <v>83.95</v>
      </c>
      <c r="O1706" t="s">
        <v>19</v>
      </c>
      <c r="P1706" t="s">
        <v>1267</v>
      </c>
      <c r="Q1706" t="s">
        <v>19</v>
      </c>
      <c r="R1706" t="str">
        <f>HYPERLINK("https://cfpub.epa.gov/ecotox/explore.cfm?ncbi=9666","Explore in ECOTOX")</f>
        <v>Explore in ECOTOX</v>
      </c>
    </row>
    <row r="1707" spans="1:18" x14ac:dyDescent="0.45">
      <c r="A1707" t="s">
        <v>1266</v>
      </c>
      <c r="B1707">
        <v>8</v>
      </c>
      <c r="C1707" t="str">
        <f>HYPERLINK("http://www.ncbi.nlm.nih.gov/protein/XP_055089413.1","XP_055089413.1")</f>
        <v>XP_055089413.1</v>
      </c>
      <c r="D1707">
        <v>67561</v>
      </c>
      <c r="E1707" t="str">
        <f>HYPERLINK("http://www.ncbi.nlm.nih.gov/Taxonomy/Browser/wwwtax.cgi?mode=Info&amp;id=9590&amp;lvl=3&amp;lin=f&amp;keep=1&amp;srchmode=1&amp;unlock","9590")</f>
        <v>9590</v>
      </c>
      <c r="F1707" t="s">
        <v>96</v>
      </c>
      <c r="G1707" t="str">
        <f>HYPERLINK("http://www.ncbi.nlm.nih.gov/Taxonomy/Browser/wwwtax.cgi?mode=Info&amp;id=9590&amp;lvl=3&amp;lin=f&amp;keep=1&amp;srchmode=1&amp;unlock","Symphalangus syndactylus")</f>
        <v>Symphalangus syndactylus</v>
      </c>
      <c r="H1707" t="s">
        <v>556</v>
      </c>
      <c r="I1707" t="str">
        <f>HYPERLINK("http://www.ncbi.nlm.nih.gov/protein/XP_055089413.1","ryanodine receptor 2")</f>
        <v>ryanodine receptor 2</v>
      </c>
      <c r="J1707">
        <v>8616.1299999999992</v>
      </c>
      <c r="K1707" t="s">
        <v>19</v>
      </c>
      <c r="L1707">
        <v>1210</v>
      </c>
      <c r="M1707">
        <v>7.13</v>
      </c>
      <c r="N1707">
        <v>83.95</v>
      </c>
      <c r="O1707" t="s">
        <v>19</v>
      </c>
      <c r="P1707" t="s">
        <v>1267</v>
      </c>
      <c r="Q1707" t="s">
        <v>19</v>
      </c>
      <c r="R1707" t="str">
        <f>HYPERLINK("https://cfpub.epa.gov/ecotox/explore.cfm?ncbi=9590","Explore in ECOTOX")</f>
        <v>Explore in ECOTOX</v>
      </c>
    </row>
    <row r="1708" spans="1:18" x14ac:dyDescent="0.45">
      <c r="A1708" t="s">
        <v>1266</v>
      </c>
      <c r="B1708">
        <v>8</v>
      </c>
      <c r="C1708" t="str">
        <f>HYPERLINK("http://www.ncbi.nlm.nih.gov/protein/XP_040611530.1","XP_040611530.1")</f>
        <v>XP_040611530.1</v>
      </c>
      <c r="D1708">
        <v>54468</v>
      </c>
      <c r="E1708" t="str">
        <f>HYPERLINK("http://www.ncbi.nlm.nih.gov/Taxonomy/Browser/wwwtax.cgi?mode=Info&amp;id=10036&amp;lvl=3&amp;lin=f&amp;keep=1&amp;srchmode=1&amp;unlock","10036")</f>
        <v>10036</v>
      </c>
      <c r="F1708" t="s">
        <v>96</v>
      </c>
      <c r="G1708" t="str">
        <f>HYPERLINK("http://www.ncbi.nlm.nih.gov/Taxonomy/Browser/wwwtax.cgi?mode=Info&amp;id=10036&amp;lvl=3&amp;lin=f&amp;keep=1&amp;srchmode=1&amp;unlock","Mesocricetus auratus")</f>
        <v>Mesocricetus auratus</v>
      </c>
      <c r="H1708" t="s">
        <v>285</v>
      </c>
      <c r="I1708" t="str">
        <f>HYPERLINK("http://www.ncbi.nlm.nih.gov/protein/XP_040611530.1","ryanodine receptor 2 isoform X10")</f>
        <v>ryanodine receptor 2 isoform X10</v>
      </c>
      <c r="J1708">
        <v>8615.74</v>
      </c>
      <c r="K1708" t="s">
        <v>19</v>
      </c>
      <c r="L1708">
        <v>1210</v>
      </c>
      <c r="M1708">
        <v>7.13</v>
      </c>
      <c r="N1708">
        <v>83.95</v>
      </c>
      <c r="O1708" t="s">
        <v>19</v>
      </c>
      <c r="P1708" t="s">
        <v>1267</v>
      </c>
      <c r="Q1708" t="s">
        <v>19</v>
      </c>
      <c r="R1708" t="str">
        <f>HYPERLINK("https://cfpub.epa.gov/ecotox/explore.cfm?ncbi=10036","Explore in ECOTOX")</f>
        <v>Explore in ECOTOX</v>
      </c>
    </row>
    <row r="1709" spans="1:18" x14ac:dyDescent="0.45">
      <c r="A1709" t="s">
        <v>1266</v>
      </c>
      <c r="B1709">
        <v>8</v>
      </c>
      <c r="C1709" t="str">
        <f>HYPERLINK("http://www.ncbi.nlm.nih.gov/protein/XP_039320146.1","XP_039320146.1")</f>
        <v>XP_039320146.1</v>
      </c>
      <c r="D1709">
        <v>45637</v>
      </c>
      <c r="E1709" t="str">
        <f>HYPERLINK("http://www.ncbi.nlm.nih.gov/Taxonomy/Browser/wwwtax.cgi?mode=Info&amp;id=39432&amp;lvl=3&amp;lin=f&amp;keep=1&amp;srchmode=1&amp;unlock","39432")</f>
        <v>39432</v>
      </c>
      <c r="F1709" t="s">
        <v>96</v>
      </c>
      <c r="G1709" t="str">
        <f>HYPERLINK("http://www.ncbi.nlm.nih.gov/Taxonomy/Browser/wwwtax.cgi?mode=Info&amp;id=39432&amp;lvl=3&amp;lin=f&amp;keep=1&amp;srchmode=1&amp;unlock","Saimiri boliviensis boliviensis")</f>
        <v>Saimiri boliviensis boliviensis</v>
      </c>
      <c r="H1709" t="s">
        <v>276</v>
      </c>
      <c r="I1709" t="str">
        <f>HYPERLINK("http://www.ncbi.nlm.nih.gov/protein/XP_039320146.1","ryanodine receptor 2 isoform X4")</f>
        <v>ryanodine receptor 2 isoform X4</v>
      </c>
      <c r="J1709">
        <v>8615.74</v>
      </c>
      <c r="K1709" t="s">
        <v>19</v>
      </c>
      <c r="L1709">
        <v>1210</v>
      </c>
      <c r="M1709">
        <v>7.13</v>
      </c>
      <c r="N1709">
        <v>83.95</v>
      </c>
      <c r="O1709" t="s">
        <v>19</v>
      </c>
      <c r="P1709" t="s">
        <v>1267</v>
      </c>
      <c r="Q1709" t="s">
        <v>19</v>
      </c>
      <c r="R1709" t="str">
        <f>HYPERLINK("https://cfpub.epa.gov/ecotox/explore.cfm?ncbi=39432","Explore in ECOTOX")</f>
        <v>Explore in ECOTOX</v>
      </c>
    </row>
    <row r="1710" spans="1:18" x14ac:dyDescent="0.45">
      <c r="A1710" t="s">
        <v>1266</v>
      </c>
      <c r="B1710">
        <v>8</v>
      </c>
      <c r="C1710" t="str">
        <f>HYPERLINK("http://www.ncbi.nlm.nih.gov/protein/XP_031213834.1","XP_031213834.1")</f>
        <v>XP_031213834.1</v>
      </c>
      <c r="D1710">
        <v>54526</v>
      </c>
      <c r="E1710" t="str">
        <f>HYPERLINK("http://www.ncbi.nlm.nih.gov/Taxonomy/Browser/wwwtax.cgi?mode=Info&amp;id=35658&amp;lvl=3&amp;lin=f&amp;keep=1&amp;srchmode=1&amp;unlock","35658")</f>
        <v>35658</v>
      </c>
      <c r="F1710" t="s">
        <v>96</v>
      </c>
      <c r="G1710" t="str">
        <f>HYPERLINK("http://www.ncbi.nlm.nih.gov/Taxonomy/Browser/wwwtax.cgi?mode=Info&amp;id=35658&amp;lvl=3&amp;lin=f&amp;keep=1&amp;srchmode=1&amp;unlock","Mastomys coucha")</f>
        <v>Mastomys coucha</v>
      </c>
      <c r="H1710" t="s">
        <v>287</v>
      </c>
      <c r="I1710" t="str">
        <f>HYPERLINK("http://www.ncbi.nlm.nih.gov/protein/XP_031213834.1","ryanodine receptor 2 isoform X6")</f>
        <v>ryanodine receptor 2 isoform X6</v>
      </c>
      <c r="J1710">
        <v>8615.36</v>
      </c>
      <c r="K1710" t="s">
        <v>19</v>
      </c>
      <c r="L1710">
        <v>1210</v>
      </c>
      <c r="M1710">
        <v>7.13</v>
      </c>
      <c r="N1710">
        <v>83.95</v>
      </c>
      <c r="O1710" t="s">
        <v>19</v>
      </c>
      <c r="P1710" t="s">
        <v>1267</v>
      </c>
      <c r="Q1710" t="s">
        <v>19</v>
      </c>
      <c r="R1710" t="str">
        <f>HYPERLINK("https://cfpub.epa.gov/ecotox/explore.cfm?ncbi=35658","Explore in ECOTOX")</f>
        <v>Explore in ECOTOX</v>
      </c>
    </row>
    <row r="1711" spans="1:18" x14ac:dyDescent="0.45">
      <c r="A1711" t="s">
        <v>1266</v>
      </c>
      <c r="B1711">
        <v>8</v>
      </c>
      <c r="C1711" t="str">
        <f>HYPERLINK("http://www.ncbi.nlm.nih.gov/protein/XP_057164469.1","XP_057164469.1")</f>
        <v>XP_057164469.1</v>
      </c>
      <c r="D1711">
        <v>57563</v>
      </c>
      <c r="E1711" t="str">
        <f>HYPERLINK("http://www.ncbi.nlm.nih.gov/Taxonomy/Browser/wwwtax.cgi?mode=Info&amp;id=9644&amp;lvl=3&amp;lin=f&amp;keep=1&amp;srchmode=1&amp;unlock","9644")</f>
        <v>9644</v>
      </c>
      <c r="F1711" t="s">
        <v>96</v>
      </c>
      <c r="G1711" t="str">
        <f>HYPERLINK("http://www.ncbi.nlm.nih.gov/Taxonomy/Browser/wwwtax.cgi?mode=Info&amp;id=9644&amp;lvl=3&amp;lin=f&amp;keep=1&amp;srchmode=1&amp;unlock","Ursus arctos")</f>
        <v>Ursus arctos</v>
      </c>
      <c r="H1711" t="s">
        <v>277</v>
      </c>
      <c r="I1711" t="str">
        <f>HYPERLINK("http://www.ncbi.nlm.nih.gov/protein/XP_057164469.1","ryanodine receptor 2 isoform X2")</f>
        <v>ryanodine receptor 2 isoform X2</v>
      </c>
      <c r="J1711">
        <v>8614.59</v>
      </c>
      <c r="K1711" t="s">
        <v>19</v>
      </c>
      <c r="L1711">
        <v>1210</v>
      </c>
      <c r="M1711">
        <v>7.13</v>
      </c>
      <c r="N1711">
        <v>83.94</v>
      </c>
      <c r="O1711" t="s">
        <v>19</v>
      </c>
      <c r="P1711" t="s">
        <v>1267</v>
      </c>
      <c r="Q1711" t="s">
        <v>19</v>
      </c>
      <c r="R1711" t="str">
        <f>HYPERLINK("https://cfpub.epa.gov/ecotox/explore.cfm?ncbi=9644","Explore in ECOTOX")</f>
        <v>Explore in ECOTOX</v>
      </c>
    </row>
    <row r="1712" spans="1:18" x14ac:dyDescent="0.45">
      <c r="A1712" t="s">
        <v>1266</v>
      </c>
      <c r="B1712">
        <v>8</v>
      </c>
      <c r="C1712" t="str">
        <f>HYPERLINK("http://www.ncbi.nlm.nih.gov/protein/XP_051007434.1","XP_051007434.1")</f>
        <v>XP_051007434.1</v>
      </c>
      <c r="D1712">
        <v>33464</v>
      </c>
      <c r="E1712" t="str">
        <f>HYPERLINK("http://www.ncbi.nlm.nih.gov/Taxonomy/Browser/wwwtax.cgi?mode=Info&amp;id=60746&amp;lvl=3&amp;lin=f&amp;keep=1&amp;srchmode=1&amp;unlock","60746")</f>
        <v>60746</v>
      </c>
      <c r="F1712" t="s">
        <v>96</v>
      </c>
      <c r="G1712" t="str">
        <f>HYPERLINK("http://www.ncbi.nlm.nih.gov/Taxonomy/Browser/wwwtax.cgi?mode=Info&amp;id=60746&amp;lvl=3&amp;lin=f&amp;keep=1&amp;srchmode=1&amp;unlock","Acomys russatus")</f>
        <v>Acomys russatus</v>
      </c>
      <c r="H1712" t="s">
        <v>291</v>
      </c>
      <c r="I1712" t="str">
        <f>HYPERLINK("http://www.ncbi.nlm.nih.gov/protein/XP_051007434.1","LOW QUALITY PROTEIN: ryanodine receptor 2")</f>
        <v>LOW QUALITY PROTEIN: ryanodine receptor 2</v>
      </c>
      <c r="J1712">
        <v>8614.2000000000007</v>
      </c>
      <c r="K1712" t="s">
        <v>19</v>
      </c>
      <c r="L1712">
        <v>1210</v>
      </c>
      <c r="M1712">
        <v>7.13</v>
      </c>
      <c r="N1712">
        <v>83.94</v>
      </c>
      <c r="O1712" t="s">
        <v>19</v>
      </c>
      <c r="P1712" t="s">
        <v>1267</v>
      </c>
      <c r="Q1712" t="s">
        <v>19</v>
      </c>
      <c r="R1712" t="str">
        <f>HYPERLINK("https://cfpub.epa.gov/ecotox/explore.cfm?ncbi=60746","Explore in ECOTOX")</f>
        <v>Explore in ECOTOX</v>
      </c>
    </row>
    <row r="1713" spans="1:18" x14ac:dyDescent="0.45">
      <c r="A1713" t="s">
        <v>1266</v>
      </c>
      <c r="B1713">
        <v>8</v>
      </c>
      <c r="C1713" t="str">
        <f>HYPERLINK("http://www.ncbi.nlm.nih.gov/protein/XP_055164967.1","XP_055164967.1")</f>
        <v>XP_055164967.1</v>
      </c>
      <c r="D1713">
        <v>73430</v>
      </c>
      <c r="E1713" t="str">
        <f>HYPERLINK("http://www.ncbi.nlm.nih.gov/Taxonomy/Browser/wwwtax.cgi?mode=Info&amp;id=34880&amp;lvl=3&amp;lin=f&amp;keep=1&amp;srchmode=1&amp;unlock","34880")</f>
        <v>34880</v>
      </c>
      <c r="F1713" t="s">
        <v>96</v>
      </c>
      <c r="G1713" t="str">
        <f>HYPERLINK("http://www.ncbi.nlm.nih.gov/Taxonomy/Browser/wwwtax.cgi?mode=Info&amp;id=34880&amp;lvl=3&amp;lin=f&amp;keep=1&amp;srchmode=1&amp;unlock","Nyctereutes procyonoides")</f>
        <v>Nyctereutes procyonoides</v>
      </c>
      <c r="H1713" t="s">
        <v>254</v>
      </c>
      <c r="I1713" t="str">
        <f>HYPERLINK("http://www.ncbi.nlm.nih.gov/protein/XP_055164967.1","ryanodine receptor 2")</f>
        <v>ryanodine receptor 2</v>
      </c>
      <c r="J1713">
        <v>8614.2000000000007</v>
      </c>
      <c r="K1713" t="s">
        <v>19</v>
      </c>
      <c r="L1713">
        <v>1210</v>
      </c>
      <c r="M1713">
        <v>7.13</v>
      </c>
      <c r="N1713">
        <v>83.94</v>
      </c>
      <c r="O1713" t="s">
        <v>19</v>
      </c>
      <c r="P1713" t="s">
        <v>1267</v>
      </c>
      <c r="Q1713" t="s">
        <v>19</v>
      </c>
      <c r="R1713" t="str">
        <f>HYPERLINK("https://cfpub.epa.gov/ecotox/explore.cfm?ncbi=34880","Explore in ECOTOX")</f>
        <v>Explore in ECOTOX</v>
      </c>
    </row>
    <row r="1714" spans="1:18" x14ac:dyDescent="0.45">
      <c r="A1714" t="s">
        <v>1266</v>
      </c>
      <c r="B1714">
        <v>8</v>
      </c>
      <c r="C1714" t="str">
        <f>HYPERLINK("http://www.ncbi.nlm.nih.gov/protein/XP_028715489.1","XP_028715489.1")</f>
        <v>XP_028715489.1</v>
      </c>
      <c r="D1714">
        <v>48587</v>
      </c>
      <c r="E1714" t="str">
        <f>HYPERLINK("http://www.ncbi.nlm.nih.gov/Taxonomy/Browser/wwwtax.cgi?mode=Info&amp;id=10041&amp;lvl=3&amp;lin=f&amp;keep=1&amp;srchmode=1&amp;unlock","10041")</f>
        <v>10041</v>
      </c>
      <c r="F1714" t="s">
        <v>96</v>
      </c>
      <c r="G1714" t="str">
        <f>HYPERLINK("http://www.ncbi.nlm.nih.gov/Taxonomy/Browser/wwwtax.cgi?mode=Info&amp;id=10041&amp;lvl=3&amp;lin=f&amp;keep=1&amp;srchmode=1&amp;unlock","Peromyscus leucopus")</f>
        <v>Peromyscus leucopus</v>
      </c>
      <c r="H1714" t="s">
        <v>280</v>
      </c>
      <c r="I1714" t="str">
        <f>HYPERLINK("http://www.ncbi.nlm.nih.gov/protein/XP_028715489.1","LOW QUALITY PROTEIN: ryanodine receptor 2")</f>
        <v>LOW QUALITY PROTEIN: ryanodine receptor 2</v>
      </c>
      <c r="J1714">
        <v>8613.82</v>
      </c>
      <c r="K1714" t="s">
        <v>19</v>
      </c>
      <c r="L1714">
        <v>1210</v>
      </c>
      <c r="M1714">
        <v>7.13</v>
      </c>
      <c r="N1714">
        <v>83.93</v>
      </c>
      <c r="O1714" t="s">
        <v>19</v>
      </c>
      <c r="P1714" t="s">
        <v>1267</v>
      </c>
      <c r="Q1714" t="s">
        <v>19</v>
      </c>
      <c r="R1714" t="str">
        <f>HYPERLINK("https://cfpub.epa.gov/ecotox/explore.cfm?ncbi=10041","Explore in ECOTOX")</f>
        <v>Explore in ECOTOX</v>
      </c>
    </row>
    <row r="1715" spans="1:18" x14ac:dyDescent="0.45">
      <c r="A1715" t="s">
        <v>1266</v>
      </c>
      <c r="B1715">
        <v>8</v>
      </c>
      <c r="C1715" t="str">
        <f>HYPERLINK("http://www.ncbi.nlm.nih.gov/protein/XP_049644991.1","XP_049644991.1")</f>
        <v>XP_049644991.1</v>
      </c>
      <c r="D1715">
        <v>26655</v>
      </c>
      <c r="E1715" t="str">
        <f>HYPERLINK("http://www.ncbi.nlm.nih.gov/Taxonomy/Browser/wwwtax.cgi?mode=Info&amp;id=109475&amp;lvl=3&amp;lin=f&amp;keep=1&amp;srchmode=1&amp;unlock","109475")</f>
        <v>109475</v>
      </c>
      <c r="F1715" t="s">
        <v>96</v>
      </c>
      <c r="G1715" t="str">
        <f>HYPERLINK("http://www.ncbi.nlm.nih.gov/Taxonomy/Browser/wwwtax.cgi?mode=Info&amp;id=109475&amp;lvl=3&amp;lin=f&amp;keep=1&amp;srchmode=1&amp;unlock","Suncus etruscus")</f>
        <v>Suncus etruscus</v>
      </c>
      <c r="H1715" t="s">
        <v>262</v>
      </c>
      <c r="I1715" t="str">
        <f>HYPERLINK("http://www.ncbi.nlm.nih.gov/protein/XP_049644991.1","ryanodine receptor 2")</f>
        <v>ryanodine receptor 2</v>
      </c>
      <c r="J1715">
        <v>8613.0499999999993</v>
      </c>
      <c r="K1715" t="s">
        <v>19</v>
      </c>
      <c r="L1715">
        <v>1210</v>
      </c>
      <c r="M1715">
        <v>7.13</v>
      </c>
      <c r="N1715">
        <v>83.92</v>
      </c>
      <c r="O1715" t="s">
        <v>19</v>
      </c>
      <c r="P1715" t="s">
        <v>1267</v>
      </c>
      <c r="Q1715" t="s">
        <v>19</v>
      </c>
      <c r="R1715" t="str">
        <f>HYPERLINK("https://cfpub.epa.gov/ecotox/explore.cfm?ncbi=109475","Explore in ECOTOX")</f>
        <v>Explore in ECOTOX</v>
      </c>
    </row>
    <row r="1716" spans="1:18" x14ac:dyDescent="0.45">
      <c r="A1716" t="s">
        <v>1266</v>
      </c>
      <c r="B1716">
        <v>8</v>
      </c>
      <c r="C1716" t="str">
        <f>HYPERLINK("http://www.ncbi.nlm.nih.gov/protein/PNJ43430.1","PNJ43430.1")</f>
        <v>PNJ43430.1</v>
      </c>
      <c r="D1716">
        <v>166350</v>
      </c>
      <c r="E1716" t="str">
        <f>HYPERLINK("http://www.ncbi.nlm.nih.gov/Taxonomy/Browser/wwwtax.cgi?mode=Info&amp;id=9601&amp;lvl=3&amp;lin=f&amp;keep=1&amp;srchmode=1&amp;unlock","9601")</f>
        <v>9601</v>
      </c>
      <c r="F1716" t="s">
        <v>96</v>
      </c>
      <c r="G1716" t="str">
        <f>HYPERLINK("http://www.ncbi.nlm.nih.gov/Taxonomy/Browser/wwwtax.cgi?mode=Info&amp;id=9601&amp;lvl=3&amp;lin=f&amp;keep=1&amp;srchmode=1&amp;unlock","Pongo abelii")</f>
        <v>Pongo abelii</v>
      </c>
      <c r="H1716" t="s">
        <v>548</v>
      </c>
      <c r="I1716" t="str">
        <f>HYPERLINK("http://www.ncbi.nlm.nih.gov/protein/PNJ43430.1","RYR2 isoform 1")</f>
        <v>RYR2 isoform 1</v>
      </c>
      <c r="J1716">
        <v>8612.66</v>
      </c>
      <c r="K1716" t="s">
        <v>19</v>
      </c>
      <c r="L1716">
        <v>1210</v>
      </c>
      <c r="M1716">
        <v>7.13</v>
      </c>
      <c r="N1716">
        <v>83.92</v>
      </c>
      <c r="O1716" t="s">
        <v>19</v>
      </c>
      <c r="P1716" t="s">
        <v>1267</v>
      </c>
      <c r="Q1716" t="s">
        <v>19</v>
      </c>
      <c r="R1716" t="str">
        <f>HYPERLINK("https://cfpub.epa.gov/ecotox/explore.cfm?ncbi=9601","Explore in ECOTOX")</f>
        <v>Explore in ECOTOX</v>
      </c>
    </row>
    <row r="1717" spans="1:18" x14ac:dyDescent="0.45">
      <c r="A1717" t="s">
        <v>1266</v>
      </c>
      <c r="B1717">
        <v>8</v>
      </c>
      <c r="C1717" t="str">
        <f>HYPERLINK("http://www.ncbi.nlm.nih.gov/protein/XP_054304191.1","XP_054304191.1")</f>
        <v>XP_054304191.1</v>
      </c>
      <c r="D1717">
        <v>70586</v>
      </c>
      <c r="E1717" t="str">
        <f>HYPERLINK("http://www.ncbi.nlm.nih.gov/Taxonomy/Browser/wwwtax.cgi?mode=Info&amp;id=9600&amp;lvl=3&amp;lin=f&amp;keep=1&amp;srchmode=1&amp;unlock","9600")</f>
        <v>9600</v>
      </c>
      <c r="F1717" t="s">
        <v>96</v>
      </c>
      <c r="G1717" t="str">
        <f>HYPERLINK("http://www.ncbi.nlm.nih.gov/Taxonomy/Browser/wwwtax.cgi?mode=Info&amp;id=9600&amp;lvl=3&amp;lin=f&amp;keep=1&amp;srchmode=1&amp;unlock","Pongo pygmaeus")</f>
        <v>Pongo pygmaeus</v>
      </c>
      <c r="H1717" t="s">
        <v>321</v>
      </c>
      <c r="I1717" t="str">
        <f>HYPERLINK("http://www.ncbi.nlm.nih.gov/protein/XP_054304191.1","ryanodine receptor 2 isoform X5")</f>
        <v>ryanodine receptor 2 isoform X5</v>
      </c>
      <c r="J1717">
        <v>8611.51</v>
      </c>
      <c r="K1717" t="s">
        <v>19</v>
      </c>
      <c r="L1717">
        <v>1210</v>
      </c>
      <c r="M1717">
        <v>7.13</v>
      </c>
      <c r="N1717">
        <v>83.91</v>
      </c>
      <c r="O1717" t="s">
        <v>19</v>
      </c>
      <c r="P1717" t="s">
        <v>1267</v>
      </c>
      <c r="Q1717" t="s">
        <v>19</v>
      </c>
      <c r="R1717" t="str">
        <f>HYPERLINK("https://cfpub.epa.gov/ecotox/explore.cfm?ncbi=9600","Explore in ECOTOX")</f>
        <v>Explore in ECOTOX</v>
      </c>
    </row>
    <row r="1718" spans="1:18" x14ac:dyDescent="0.45">
      <c r="A1718" t="s">
        <v>1266</v>
      </c>
      <c r="B1718">
        <v>8</v>
      </c>
      <c r="C1718" t="str">
        <f>HYPERLINK("http://www.ncbi.nlm.nih.gov/protein/XP_030791950.1","XP_030791950.1")</f>
        <v>XP_030791950.1</v>
      </c>
      <c r="D1718">
        <v>53912</v>
      </c>
      <c r="E1718" t="str">
        <f>HYPERLINK("http://www.ncbi.nlm.nih.gov/Taxonomy/Browser/wwwtax.cgi?mode=Info&amp;id=61622&amp;lvl=3&amp;lin=f&amp;keep=1&amp;srchmode=1&amp;unlock","61622")</f>
        <v>61622</v>
      </c>
      <c r="F1718" t="s">
        <v>96</v>
      </c>
      <c r="G1718" t="str">
        <f>HYPERLINK("http://www.ncbi.nlm.nih.gov/Taxonomy/Browser/wwwtax.cgi?mode=Info&amp;id=61622&amp;lvl=3&amp;lin=f&amp;keep=1&amp;srchmode=1&amp;unlock","Rhinopithecus roxellana")</f>
        <v>Rhinopithecus roxellana</v>
      </c>
      <c r="H1718" t="s">
        <v>550</v>
      </c>
      <c r="I1718" t="str">
        <f>HYPERLINK("http://www.ncbi.nlm.nih.gov/protein/XP_030791950.1","ryanodine receptor 2 isoform X3")</f>
        <v>ryanodine receptor 2 isoform X3</v>
      </c>
      <c r="J1718">
        <v>8610.74</v>
      </c>
      <c r="K1718" t="s">
        <v>19</v>
      </c>
      <c r="L1718">
        <v>1210</v>
      </c>
      <c r="M1718">
        <v>7.13</v>
      </c>
      <c r="N1718">
        <v>83.9</v>
      </c>
      <c r="O1718" t="s">
        <v>19</v>
      </c>
      <c r="P1718" t="s">
        <v>1267</v>
      </c>
      <c r="Q1718" t="s">
        <v>19</v>
      </c>
      <c r="R1718" t="str">
        <f>HYPERLINK("https://cfpub.epa.gov/ecotox/explore.cfm?ncbi=61622","Explore in ECOTOX")</f>
        <v>Explore in ECOTOX</v>
      </c>
    </row>
    <row r="1719" spans="1:18" x14ac:dyDescent="0.45">
      <c r="A1719" t="s">
        <v>1266</v>
      </c>
      <c r="B1719">
        <v>8</v>
      </c>
      <c r="C1719" t="str">
        <f>HYPERLINK("http://www.ncbi.nlm.nih.gov/protein/XP_029890798.1","XP_029890798.1")</f>
        <v>XP_029890798.1</v>
      </c>
      <c r="D1719">
        <v>52421</v>
      </c>
      <c r="E1719" t="str">
        <f>HYPERLINK("http://www.ncbi.nlm.nih.gov/Taxonomy/Browser/wwwtax.cgi?mode=Info&amp;id=223781&amp;lvl=3&amp;lin=f&amp;keep=1&amp;srchmode=1&amp;unlock","223781")</f>
        <v>223781</v>
      </c>
      <c r="F1719" t="s">
        <v>241</v>
      </c>
      <c r="G1719" t="str">
        <f>HYPERLINK("http://www.ncbi.nlm.nih.gov/Taxonomy/Browser/wwwtax.cgi?mode=Info&amp;id=223781&amp;lvl=3&amp;lin=f&amp;keep=1&amp;srchmode=1&amp;unlock","Aquila chrysaetos chrysaetos")</f>
        <v>Aquila chrysaetos chrysaetos</v>
      </c>
      <c r="H1719" t="s">
        <v>522</v>
      </c>
      <c r="I1719" t="str">
        <f>HYPERLINK("http://www.ncbi.nlm.nih.gov/protein/XP_029890798.1","ryanodine receptor 2 isoform X6")</f>
        <v>ryanodine receptor 2 isoform X6</v>
      </c>
      <c r="J1719">
        <v>8608.0400000000009</v>
      </c>
      <c r="K1719" t="s">
        <v>19</v>
      </c>
      <c r="L1719">
        <v>1210</v>
      </c>
      <c r="M1719">
        <v>7.13</v>
      </c>
      <c r="N1719">
        <v>83.88</v>
      </c>
      <c r="O1719" t="s">
        <v>19</v>
      </c>
      <c r="P1719" t="s">
        <v>1267</v>
      </c>
      <c r="Q1719" t="s">
        <v>19</v>
      </c>
      <c r="R1719" t="str">
        <f>HYPERLINK("https://cfpub.epa.gov/ecotox/explore.cfm?ncbi=223781","Explore in ECOTOX")</f>
        <v>Explore in ECOTOX</v>
      </c>
    </row>
    <row r="1720" spans="1:18" x14ac:dyDescent="0.45">
      <c r="A1720" t="s">
        <v>1266</v>
      </c>
      <c r="B1720">
        <v>8</v>
      </c>
      <c r="C1720" t="str">
        <f>HYPERLINK("http://www.ncbi.nlm.nih.gov/protein/XP_057361738.1","XP_057361738.1")</f>
        <v>XP_057361738.1</v>
      </c>
      <c r="D1720">
        <v>82449</v>
      </c>
      <c r="E1720" t="str">
        <f>HYPERLINK("http://www.ncbi.nlm.nih.gov/Taxonomy/Browser/wwwtax.cgi?mode=Info&amp;id=143292&amp;lvl=3&amp;lin=f&amp;keep=1&amp;srchmode=1&amp;unlock","143292")</f>
        <v>143292</v>
      </c>
      <c r="F1720" t="s">
        <v>96</v>
      </c>
      <c r="G1720" t="str">
        <f>HYPERLINK("http://www.ncbi.nlm.nih.gov/Taxonomy/Browser/wwwtax.cgi?mode=Info&amp;id=143292&amp;lvl=3&amp;lin=f&amp;keep=1&amp;srchmode=1&amp;unlock","Manis pentadactyla")</f>
        <v>Manis pentadactyla</v>
      </c>
      <c r="H1720" t="s">
        <v>315</v>
      </c>
      <c r="I1720" t="str">
        <f>HYPERLINK("http://www.ncbi.nlm.nih.gov/protein/XP_057361738.1","ryanodine receptor 2")</f>
        <v>ryanodine receptor 2</v>
      </c>
      <c r="J1720">
        <v>8608.0400000000009</v>
      </c>
      <c r="K1720" t="s">
        <v>19</v>
      </c>
      <c r="L1720">
        <v>1210</v>
      </c>
      <c r="M1720">
        <v>7.13</v>
      </c>
      <c r="N1720">
        <v>83.88</v>
      </c>
      <c r="O1720" t="s">
        <v>19</v>
      </c>
      <c r="P1720" t="s">
        <v>1267</v>
      </c>
      <c r="Q1720" t="s">
        <v>19</v>
      </c>
      <c r="R1720" t="str">
        <f>HYPERLINK("https://cfpub.epa.gov/ecotox/explore.cfm?ncbi=143292","Explore in ECOTOX")</f>
        <v>Explore in ECOTOX</v>
      </c>
    </row>
    <row r="1721" spans="1:18" x14ac:dyDescent="0.45">
      <c r="A1721" t="s">
        <v>1266</v>
      </c>
      <c r="B1721">
        <v>8</v>
      </c>
      <c r="C1721" t="str">
        <f>HYPERLINK("http://www.ncbi.nlm.nih.gov/protein/XP_048964697.1","XP_048964697.1")</f>
        <v>XP_048964697.1</v>
      </c>
      <c r="D1721">
        <v>74773</v>
      </c>
      <c r="E1721" t="str">
        <f>HYPERLINK("http://www.ncbi.nlm.nih.gov/Taxonomy/Browser/wwwtax.cgi?mode=Info&amp;id=286419&amp;lvl=3&amp;lin=f&amp;keep=1&amp;srchmode=1&amp;unlock","286419")</f>
        <v>286419</v>
      </c>
      <c r="F1721" t="s">
        <v>96</v>
      </c>
      <c r="G1721" t="str">
        <f>HYPERLINK("http://www.ncbi.nlm.nih.gov/Taxonomy/Browser/wwwtax.cgi?mode=Info&amp;id=286419&amp;lvl=3&amp;lin=f&amp;keep=1&amp;srchmode=1&amp;unlock","Canis lupus dingo")</f>
        <v>Canis lupus dingo</v>
      </c>
      <c r="H1721" t="s">
        <v>259</v>
      </c>
      <c r="I1721" t="str">
        <f>HYPERLINK("http://www.ncbi.nlm.nih.gov/protein/XP_048964697.1","ryanodine receptor 2")</f>
        <v>ryanodine receptor 2</v>
      </c>
      <c r="J1721">
        <v>8607.27</v>
      </c>
      <c r="K1721" t="s">
        <v>19</v>
      </c>
      <c r="L1721">
        <v>1210</v>
      </c>
      <c r="M1721">
        <v>7.13</v>
      </c>
      <c r="N1721">
        <v>83.87</v>
      </c>
      <c r="O1721" t="s">
        <v>19</v>
      </c>
      <c r="P1721" t="s">
        <v>1267</v>
      </c>
      <c r="Q1721" t="s">
        <v>19</v>
      </c>
      <c r="R1721" t="str">
        <f>HYPERLINK("https://cfpub.epa.gov/ecotox/explore.cfm?ncbi=286419","Explore in ECOTOX")</f>
        <v>Explore in ECOTOX</v>
      </c>
    </row>
    <row r="1722" spans="1:18" x14ac:dyDescent="0.45">
      <c r="A1722" t="s">
        <v>1266</v>
      </c>
      <c r="B1722">
        <v>8</v>
      </c>
      <c r="C1722" t="str">
        <f>HYPERLINK("http://www.ncbi.nlm.nih.gov/protein/XP_042744466.1","XP_042744466.1")</f>
        <v>XP_042744466.1</v>
      </c>
      <c r="D1722">
        <v>33199</v>
      </c>
      <c r="E1722" t="str">
        <f>HYPERLINK("http://www.ncbi.nlm.nih.gov/Taxonomy/Browser/wwwtax.cgi?mode=Info&amp;id=30410&amp;lvl=3&amp;lin=f&amp;keep=1&amp;srchmode=1&amp;unlock","30410")</f>
        <v>30410</v>
      </c>
      <c r="F1722" t="s">
        <v>241</v>
      </c>
      <c r="G1722" t="str">
        <f>HYPERLINK("http://www.ncbi.nlm.nih.gov/Taxonomy/Browser/wwwtax.cgi?mode=Info&amp;id=30410&amp;lvl=3&amp;lin=f&amp;keep=1&amp;srchmode=1&amp;unlock","Lagopus leucura")</f>
        <v>Lagopus leucura</v>
      </c>
      <c r="H1722" t="s">
        <v>521</v>
      </c>
      <c r="I1722" t="str">
        <f>HYPERLINK("http://www.ncbi.nlm.nih.gov/protein/XP_042744466.1","ryanodine receptor 2 isoform X4")</f>
        <v>ryanodine receptor 2 isoform X4</v>
      </c>
      <c r="J1722">
        <v>8607.27</v>
      </c>
      <c r="K1722" t="s">
        <v>19</v>
      </c>
      <c r="L1722">
        <v>1210</v>
      </c>
      <c r="M1722">
        <v>7.13</v>
      </c>
      <c r="N1722">
        <v>83.87</v>
      </c>
      <c r="O1722" t="s">
        <v>19</v>
      </c>
      <c r="P1722" t="s">
        <v>1267</v>
      </c>
      <c r="Q1722" t="s">
        <v>19</v>
      </c>
      <c r="R1722" t="str">
        <f>HYPERLINK("https://cfpub.epa.gov/ecotox/explore.cfm?ncbi=30410","Explore in ECOTOX")</f>
        <v>Explore in ECOTOX</v>
      </c>
    </row>
    <row r="1723" spans="1:18" x14ac:dyDescent="0.45">
      <c r="A1723" t="s">
        <v>1266</v>
      </c>
      <c r="B1723">
        <v>8</v>
      </c>
      <c r="C1723" t="str">
        <f>HYPERLINK("http://www.ncbi.nlm.nih.gov/protein/PNI55286.1","PNI55286.1")</f>
        <v>PNI55286.1</v>
      </c>
      <c r="D1723">
        <v>177298</v>
      </c>
      <c r="E1723" t="str">
        <f>HYPERLINK("http://www.ncbi.nlm.nih.gov/Taxonomy/Browser/wwwtax.cgi?mode=Info&amp;id=9598&amp;lvl=3&amp;lin=f&amp;keep=1&amp;srchmode=1&amp;unlock","9598")</f>
        <v>9598</v>
      </c>
      <c r="F1723" t="s">
        <v>96</v>
      </c>
      <c r="G1723" t="str">
        <f>HYPERLINK("http://www.ncbi.nlm.nih.gov/Taxonomy/Browser/wwwtax.cgi?mode=Info&amp;id=9598&amp;lvl=3&amp;lin=f&amp;keep=1&amp;srchmode=1&amp;unlock","Pan troglodytes")</f>
        <v>Pan troglodytes</v>
      </c>
      <c r="H1723" t="s">
        <v>324</v>
      </c>
      <c r="I1723" t="str">
        <f>HYPERLINK("http://www.ncbi.nlm.nih.gov/protein/PNI55286.1","RYR2 isoform 1")</f>
        <v>RYR2 isoform 1</v>
      </c>
      <c r="J1723">
        <v>8606.5</v>
      </c>
      <c r="K1723" t="s">
        <v>19</v>
      </c>
      <c r="L1723">
        <v>1210</v>
      </c>
      <c r="M1723">
        <v>7.13</v>
      </c>
      <c r="N1723">
        <v>83.86</v>
      </c>
      <c r="O1723" t="s">
        <v>19</v>
      </c>
      <c r="P1723" t="s">
        <v>1267</v>
      </c>
      <c r="Q1723" t="s">
        <v>19</v>
      </c>
      <c r="R1723" t="str">
        <f>HYPERLINK("https://cfpub.epa.gov/ecotox/explore.cfm?ncbi=9598","Explore in ECOTOX")</f>
        <v>Explore in ECOTOX</v>
      </c>
    </row>
    <row r="1724" spans="1:18" x14ac:dyDescent="0.45">
      <c r="A1724" t="s">
        <v>1266</v>
      </c>
      <c r="B1724">
        <v>8</v>
      </c>
      <c r="C1724" t="str">
        <f>HYPERLINK("http://www.ncbi.nlm.nih.gov/protein/XP_021246746.1","XP_021246746.1")</f>
        <v>XP_021246746.1</v>
      </c>
      <c r="D1724">
        <v>43424</v>
      </c>
      <c r="E1724" t="str">
        <f>HYPERLINK("http://www.ncbi.nlm.nih.gov/Taxonomy/Browser/wwwtax.cgi?mode=Info&amp;id=8996&amp;lvl=3&amp;lin=f&amp;keep=1&amp;srchmode=1&amp;unlock","8996")</f>
        <v>8996</v>
      </c>
      <c r="F1724" t="s">
        <v>241</v>
      </c>
      <c r="G1724" t="str">
        <f>HYPERLINK("http://www.ncbi.nlm.nih.gov/Taxonomy/Browser/wwwtax.cgi?mode=Info&amp;id=8996&amp;lvl=3&amp;lin=f&amp;keep=1&amp;srchmode=1&amp;unlock","Numida meleagris")</f>
        <v>Numida meleagris</v>
      </c>
      <c r="H1724" t="s">
        <v>243</v>
      </c>
      <c r="I1724" t="str">
        <f>HYPERLINK("http://www.ncbi.nlm.nih.gov/protein/XP_021246746.1","ryanodine receptor 2 isoform X2")</f>
        <v>ryanodine receptor 2 isoform X2</v>
      </c>
      <c r="J1724">
        <v>8606.5</v>
      </c>
      <c r="K1724" t="s">
        <v>19</v>
      </c>
      <c r="L1724">
        <v>1210</v>
      </c>
      <c r="M1724">
        <v>7.13</v>
      </c>
      <c r="N1724">
        <v>83.86</v>
      </c>
      <c r="O1724" t="s">
        <v>19</v>
      </c>
      <c r="P1724" t="s">
        <v>1267</v>
      </c>
      <c r="Q1724" t="s">
        <v>19</v>
      </c>
      <c r="R1724" t="str">
        <f>HYPERLINK("https://cfpub.epa.gov/ecotox/explore.cfm?ncbi=8996","Explore in ECOTOX")</f>
        <v>Explore in ECOTOX</v>
      </c>
    </row>
    <row r="1725" spans="1:18" x14ac:dyDescent="0.45">
      <c r="A1725" t="s">
        <v>1266</v>
      </c>
      <c r="B1725">
        <v>8</v>
      </c>
      <c r="C1725" t="str">
        <f>HYPERLINK("http://www.ncbi.nlm.nih.gov/protein/XP_052661704.1","XP_052661704.1")</f>
        <v>XP_052661704.1</v>
      </c>
      <c r="D1725">
        <v>44817</v>
      </c>
      <c r="E1725" t="str">
        <f>HYPERLINK("http://www.ncbi.nlm.nih.gov/Taxonomy/Browser/wwwtax.cgi?mode=Info&amp;id=202280&amp;lvl=3&amp;lin=f&amp;keep=1&amp;srchmode=1&amp;unlock","202280")</f>
        <v>202280</v>
      </c>
      <c r="F1725" t="s">
        <v>241</v>
      </c>
      <c r="G1725" t="str">
        <f>HYPERLINK("http://www.ncbi.nlm.nih.gov/Taxonomy/Browser/wwwtax.cgi?mode=Info&amp;id=202280&amp;lvl=3&amp;lin=f&amp;keep=1&amp;srchmode=1&amp;unlock","Harpia harpyja")</f>
        <v>Harpia harpyja</v>
      </c>
      <c r="H1725" t="s">
        <v>523</v>
      </c>
      <c r="I1725" t="str">
        <f>HYPERLINK("http://www.ncbi.nlm.nih.gov/protein/XP_052661704.1","ryanodine receptor 2 isoform X8")</f>
        <v>ryanodine receptor 2 isoform X8</v>
      </c>
      <c r="J1725">
        <v>8606.11</v>
      </c>
      <c r="K1725" t="s">
        <v>19</v>
      </c>
      <c r="L1725">
        <v>1210</v>
      </c>
      <c r="M1725">
        <v>7.13</v>
      </c>
      <c r="N1725">
        <v>83.86</v>
      </c>
      <c r="O1725" t="s">
        <v>19</v>
      </c>
      <c r="P1725" t="s">
        <v>1267</v>
      </c>
      <c r="Q1725" t="s">
        <v>19</v>
      </c>
      <c r="R1725" t="str">
        <f>HYPERLINK("https://cfpub.epa.gov/ecotox/explore.cfm?ncbi=202280","Explore in ECOTOX")</f>
        <v>Explore in ECOTOX</v>
      </c>
    </row>
    <row r="1726" spans="1:18" x14ac:dyDescent="0.45">
      <c r="A1726" t="s">
        <v>1266</v>
      </c>
      <c r="B1726">
        <v>8</v>
      </c>
      <c r="C1726" t="str">
        <f>HYPERLINK("http://www.ncbi.nlm.nih.gov/protein/XP_038952008.1","XP_038952008.1")</f>
        <v>XP_038952008.1</v>
      </c>
      <c r="D1726">
        <v>158759</v>
      </c>
      <c r="E1726" t="str">
        <f>HYPERLINK("http://www.ncbi.nlm.nih.gov/Taxonomy/Browser/wwwtax.cgi?mode=Info&amp;id=10116&amp;lvl=3&amp;lin=f&amp;keep=1&amp;srchmode=1&amp;unlock","10116")</f>
        <v>10116</v>
      </c>
      <c r="F1726" t="s">
        <v>96</v>
      </c>
      <c r="G1726" t="str">
        <f>HYPERLINK("http://www.ncbi.nlm.nih.gov/Taxonomy/Browser/wwwtax.cgi?mode=Info&amp;id=10116&amp;lvl=3&amp;lin=f&amp;keep=1&amp;srchmode=1&amp;unlock","Rattus norvegicus")</f>
        <v>Rattus norvegicus</v>
      </c>
      <c r="H1726" t="s">
        <v>295</v>
      </c>
      <c r="I1726" t="str">
        <f>HYPERLINK("http://www.ncbi.nlm.nih.gov/protein/XP_038952008.1","ryanodine receptor 2 isoform X10")</f>
        <v>ryanodine receptor 2 isoform X10</v>
      </c>
      <c r="J1726">
        <v>8604.9599999999991</v>
      </c>
      <c r="K1726" t="s">
        <v>19</v>
      </c>
      <c r="L1726">
        <v>1210</v>
      </c>
      <c r="M1726">
        <v>7.13</v>
      </c>
      <c r="N1726">
        <v>83.85</v>
      </c>
      <c r="O1726" t="s">
        <v>19</v>
      </c>
      <c r="P1726" t="s">
        <v>1267</v>
      </c>
      <c r="Q1726" t="s">
        <v>19</v>
      </c>
      <c r="R1726" t="str">
        <f>HYPERLINK("https://cfpub.epa.gov/ecotox/explore.cfm?ncbi=10116","Explore in ECOTOX")</f>
        <v>Explore in ECOTOX</v>
      </c>
    </row>
    <row r="1727" spans="1:18" x14ac:dyDescent="0.45">
      <c r="A1727" t="s">
        <v>1266</v>
      </c>
      <c r="B1727">
        <v>8</v>
      </c>
      <c r="C1727" t="str">
        <f>HYPERLINK("http://www.ncbi.nlm.nih.gov/protein/XP_045658294.1","XP_045658294.1")</f>
        <v>XP_045658294.1</v>
      </c>
      <c r="D1727">
        <v>46324</v>
      </c>
      <c r="E1727" t="str">
        <f>HYPERLINK("http://www.ncbi.nlm.nih.gov/Taxonomy/Browser/wwwtax.cgi?mode=Info&amp;id=9643&amp;lvl=3&amp;lin=f&amp;keep=1&amp;srchmode=1&amp;unlock","9643")</f>
        <v>9643</v>
      </c>
      <c r="F1727" t="s">
        <v>96</v>
      </c>
      <c r="G1727" t="str">
        <f>HYPERLINK("http://www.ncbi.nlm.nih.gov/Taxonomy/Browser/wwwtax.cgi?mode=Info&amp;id=9643&amp;lvl=3&amp;lin=f&amp;keep=1&amp;srchmode=1&amp;unlock","Ursus americanus")</f>
        <v>Ursus americanus</v>
      </c>
      <c r="H1727" t="s">
        <v>281</v>
      </c>
      <c r="I1727" t="str">
        <f>HYPERLINK("http://www.ncbi.nlm.nih.gov/protein/XP_045658294.1","ryanodine receptor 2")</f>
        <v>ryanodine receptor 2</v>
      </c>
      <c r="J1727">
        <v>8604.19</v>
      </c>
      <c r="K1727" t="s">
        <v>19</v>
      </c>
      <c r="L1727">
        <v>1210</v>
      </c>
      <c r="M1727">
        <v>7.13</v>
      </c>
      <c r="N1727">
        <v>83.84</v>
      </c>
      <c r="O1727" t="s">
        <v>19</v>
      </c>
      <c r="P1727" t="s">
        <v>1267</v>
      </c>
      <c r="Q1727" t="s">
        <v>19</v>
      </c>
      <c r="R1727" t="str">
        <f>HYPERLINK("https://cfpub.epa.gov/ecotox/explore.cfm?ncbi=9643","Explore in ECOTOX")</f>
        <v>Explore in ECOTOX</v>
      </c>
    </row>
    <row r="1728" spans="1:18" x14ac:dyDescent="0.45">
      <c r="A1728" t="s">
        <v>1266</v>
      </c>
      <c r="B1728">
        <v>8</v>
      </c>
      <c r="C1728" t="str">
        <f>HYPERLINK("http://www.ncbi.nlm.nih.gov/protein/XP_038190214.1","XP_038190214.1")</f>
        <v>XP_038190214.1</v>
      </c>
      <c r="D1728">
        <v>40891</v>
      </c>
      <c r="E1728" t="str">
        <f>HYPERLINK("http://www.ncbi.nlm.nih.gov/Taxonomy/Browser/wwwtax.cgi?mode=Info&amp;id=1047088&amp;lvl=3&amp;lin=f&amp;keep=1&amp;srchmode=1&amp;unlock","1047088")</f>
        <v>1047088</v>
      </c>
      <c r="F1728" t="s">
        <v>96</v>
      </c>
      <c r="G1728" t="str">
        <f>HYPERLINK("http://www.ncbi.nlm.nih.gov/Taxonomy/Browser/wwwtax.cgi?mode=Info&amp;id=1047088&amp;lvl=3&amp;lin=f&amp;keep=1&amp;srchmode=1&amp;unlock","Arvicola amphibius")</f>
        <v>Arvicola amphibius</v>
      </c>
      <c r="H1728" t="s">
        <v>338</v>
      </c>
      <c r="I1728" t="str">
        <f>HYPERLINK("http://www.ncbi.nlm.nih.gov/protein/XP_038190214.1","ryanodine receptor 2")</f>
        <v>ryanodine receptor 2</v>
      </c>
      <c r="J1728">
        <v>8603.42</v>
      </c>
      <c r="K1728" t="s">
        <v>19</v>
      </c>
      <c r="L1728">
        <v>1210</v>
      </c>
      <c r="M1728">
        <v>7.13</v>
      </c>
      <c r="N1728">
        <v>83.83</v>
      </c>
      <c r="O1728" t="s">
        <v>19</v>
      </c>
      <c r="P1728" t="s">
        <v>1267</v>
      </c>
      <c r="Q1728" t="s">
        <v>19</v>
      </c>
      <c r="R1728" t="str">
        <f>HYPERLINK("https://cfpub.epa.gov/ecotox/explore.cfm?ncbi=1047088","Explore in ECOTOX")</f>
        <v>Explore in ECOTOX</v>
      </c>
    </row>
    <row r="1729" spans="1:18" x14ac:dyDescent="0.45">
      <c r="A1729" t="s">
        <v>1266</v>
      </c>
      <c r="B1729">
        <v>8</v>
      </c>
      <c r="C1729" t="str">
        <f>HYPERLINK("http://www.ncbi.nlm.nih.gov/protein/XP_027309587.1","XP_027309587.1")</f>
        <v>XP_027309587.1</v>
      </c>
      <c r="D1729">
        <v>64066</v>
      </c>
      <c r="E1729" t="str">
        <f>HYPERLINK("http://www.ncbi.nlm.nih.gov/Taxonomy/Browser/wwwtax.cgi?mode=Info&amp;id=8839&amp;lvl=3&amp;lin=f&amp;keep=1&amp;srchmode=1&amp;unlock","8839")</f>
        <v>8839</v>
      </c>
      <c r="F1729" t="s">
        <v>241</v>
      </c>
      <c r="G1729" t="str">
        <f>HYPERLINK("http://www.ncbi.nlm.nih.gov/Taxonomy/Browser/wwwtax.cgi?mode=Info&amp;id=8839&amp;lvl=3&amp;lin=f&amp;keep=1&amp;srchmode=1&amp;unlock","Anas platyrhynchos")</f>
        <v>Anas platyrhynchos</v>
      </c>
      <c r="H1729" t="s">
        <v>541</v>
      </c>
      <c r="I1729" t="str">
        <f>HYPERLINK("http://www.ncbi.nlm.nih.gov/protein/XP_027309587.1","ryanodine receptor 2 isoform X8")</f>
        <v>ryanodine receptor 2 isoform X8</v>
      </c>
      <c r="J1729">
        <v>8602.26</v>
      </c>
      <c r="K1729" t="s">
        <v>19</v>
      </c>
      <c r="L1729">
        <v>1210</v>
      </c>
      <c r="M1729">
        <v>7.13</v>
      </c>
      <c r="N1729">
        <v>83.82</v>
      </c>
      <c r="O1729" t="s">
        <v>19</v>
      </c>
      <c r="P1729" t="s">
        <v>1267</v>
      </c>
      <c r="Q1729" t="s">
        <v>19</v>
      </c>
      <c r="R1729" t="str">
        <f>HYPERLINK("https://cfpub.epa.gov/ecotox/explore.cfm?ncbi=8839","Explore in ECOTOX")</f>
        <v>Explore in ECOTOX</v>
      </c>
    </row>
    <row r="1730" spans="1:18" x14ac:dyDescent="0.45">
      <c r="A1730" t="s">
        <v>1266</v>
      </c>
      <c r="B1730">
        <v>8</v>
      </c>
      <c r="C1730" t="str">
        <f>HYPERLINK("http://www.ncbi.nlm.nih.gov/protein/XP_045007929.1","XP_045007929.1")</f>
        <v>XP_045007929.1</v>
      </c>
      <c r="D1730">
        <v>45184</v>
      </c>
      <c r="E1730" t="str">
        <f>HYPERLINK("http://www.ncbi.nlm.nih.gov/Taxonomy/Browser/wwwtax.cgi?mode=Info&amp;id=51337&amp;lvl=3&amp;lin=f&amp;keep=1&amp;srchmode=1&amp;unlock","51337")</f>
        <v>51337</v>
      </c>
      <c r="F1730" t="s">
        <v>96</v>
      </c>
      <c r="G1730" t="str">
        <f>HYPERLINK("http://www.ncbi.nlm.nih.gov/Taxonomy/Browser/wwwtax.cgi?mode=Info&amp;id=51337&amp;lvl=3&amp;lin=f&amp;keep=1&amp;srchmode=1&amp;unlock","Jaculus jaculus")</f>
        <v>Jaculus jaculus</v>
      </c>
      <c r="H1730" t="s">
        <v>258</v>
      </c>
      <c r="I1730" t="str">
        <f>HYPERLINK("http://www.ncbi.nlm.nih.gov/protein/XP_045007929.1","ryanodine receptor 2 isoform X2")</f>
        <v>ryanodine receptor 2 isoform X2</v>
      </c>
      <c r="J1730">
        <v>8601.8799999999992</v>
      </c>
      <c r="K1730" t="s">
        <v>19</v>
      </c>
      <c r="L1730">
        <v>1210</v>
      </c>
      <c r="M1730">
        <v>7.13</v>
      </c>
      <c r="N1730">
        <v>83.82</v>
      </c>
      <c r="O1730" t="s">
        <v>19</v>
      </c>
      <c r="P1730" t="s">
        <v>1267</v>
      </c>
      <c r="Q1730" t="s">
        <v>19</v>
      </c>
      <c r="R1730" t="str">
        <f>HYPERLINK("https://cfpub.epa.gov/ecotox/explore.cfm?ncbi=51337","Explore in ECOTOX")</f>
        <v>Explore in ECOTOX</v>
      </c>
    </row>
    <row r="1731" spans="1:18" x14ac:dyDescent="0.45">
      <c r="A1731" t="s">
        <v>1266</v>
      </c>
      <c r="B1731">
        <v>8</v>
      </c>
      <c r="C1731" t="str">
        <f>HYPERLINK("http://www.ncbi.nlm.nih.gov/protein/XP_029403296.1","XP_029403296.1")</f>
        <v>XP_029403296.1</v>
      </c>
      <c r="D1731">
        <v>42358</v>
      </c>
      <c r="E1731" t="str">
        <f>HYPERLINK("http://www.ncbi.nlm.nih.gov/Taxonomy/Browser/wwwtax.cgi?mode=Info&amp;id=10093&amp;lvl=3&amp;lin=f&amp;keep=1&amp;srchmode=1&amp;unlock","10093")</f>
        <v>10093</v>
      </c>
      <c r="F1731" t="s">
        <v>96</v>
      </c>
      <c r="G1731" t="str">
        <f>HYPERLINK("http://www.ncbi.nlm.nih.gov/Taxonomy/Browser/wwwtax.cgi?mode=Info&amp;id=10093&amp;lvl=3&amp;lin=f&amp;keep=1&amp;srchmode=1&amp;unlock","Mus pahari")</f>
        <v>Mus pahari</v>
      </c>
      <c r="H1731" t="s">
        <v>325</v>
      </c>
      <c r="I1731" t="str">
        <f>HYPERLINK("http://www.ncbi.nlm.nih.gov/protein/XP_029403296.1","ryanodine receptor 2 isoform X8")</f>
        <v>ryanodine receptor 2 isoform X8</v>
      </c>
      <c r="J1731">
        <v>8601.49</v>
      </c>
      <c r="K1731" t="s">
        <v>19</v>
      </c>
      <c r="L1731">
        <v>1210</v>
      </c>
      <c r="M1731">
        <v>7.13</v>
      </c>
      <c r="N1731">
        <v>83.81</v>
      </c>
      <c r="O1731" t="s">
        <v>19</v>
      </c>
      <c r="P1731" t="s">
        <v>1267</v>
      </c>
      <c r="Q1731" t="s">
        <v>19</v>
      </c>
      <c r="R1731" t="str">
        <f>HYPERLINK("https://cfpub.epa.gov/ecotox/explore.cfm?ncbi=10093","Explore in ECOTOX")</f>
        <v>Explore in ECOTOX</v>
      </c>
    </row>
    <row r="1732" spans="1:18" x14ac:dyDescent="0.45">
      <c r="A1732" t="s">
        <v>1266</v>
      </c>
      <c r="B1732">
        <v>8</v>
      </c>
      <c r="C1732" t="str">
        <f>HYPERLINK("http://www.ncbi.nlm.nih.gov/protein/XP_030668485.1","XP_030668485.1")</f>
        <v>XP_030668485.1</v>
      </c>
      <c r="D1732">
        <v>51679</v>
      </c>
      <c r="E1732" t="str">
        <f>HYPERLINK("http://www.ncbi.nlm.nih.gov/Taxonomy/Browser/wwwtax.cgi?mode=Info&amp;id=61853&amp;lvl=3&amp;lin=f&amp;keep=1&amp;srchmode=1&amp;unlock","61853")</f>
        <v>61853</v>
      </c>
      <c r="F1732" t="s">
        <v>96</v>
      </c>
      <c r="G1732" t="str">
        <f>HYPERLINK("http://www.ncbi.nlm.nih.gov/Taxonomy/Browser/wwwtax.cgi?mode=Info&amp;id=61853&amp;lvl=3&amp;lin=f&amp;keep=1&amp;srchmode=1&amp;unlock","Nomascus leucogenys")</f>
        <v>Nomascus leucogenys</v>
      </c>
      <c r="H1732" t="s">
        <v>298</v>
      </c>
      <c r="I1732" t="str">
        <f>HYPERLINK("http://www.ncbi.nlm.nih.gov/protein/XP_030668485.1","ryanodine receptor 2 isoform X2")</f>
        <v>ryanodine receptor 2 isoform X2</v>
      </c>
      <c r="J1732">
        <v>8601.11</v>
      </c>
      <c r="K1732" t="s">
        <v>19</v>
      </c>
      <c r="L1732">
        <v>1210</v>
      </c>
      <c r="M1732">
        <v>7.13</v>
      </c>
      <c r="N1732">
        <v>83.81</v>
      </c>
      <c r="O1732" t="s">
        <v>19</v>
      </c>
      <c r="P1732" t="s">
        <v>1267</v>
      </c>
      <c r="Q1732" t="s">
        <v>19</v>
      </c>
      <c r="R1732" t="str">
        <f>HYPERLINK("https://cfpub.epa.gov/ecotox/explore.cfm?ncbi=61853","Explore in ECOTOX")</f>
        <v>Explore in ECOTOX</v>
      </c>
    </row>
    <row r="1733" spans="1:18" x14ac:dyDescent="0.45">
      <c r="A1733" t="s">
        <v>1266</v>
      </c>
      <c r="B1733">
        <v>8</v>
      </c>
      <c r="C1733" t="str">
        <f>HYPERLINK("http://www.ncbi.nlm.nih.gov/protein/XP_052584740.1","XP_052584740.1")</f>
        <v>XP_052584740.1</v>
      </c>
      <c r="D1733">
        <v>51854</v>
      </c>
      <c r="E1733" t="str">
        <f>HYPERLINK("http://www.ncbi.nlm.nih.gov/Taxonomy/Browser/wwwtax.cgi?mode=Info&amp;id=564181&amp;lvl=3&amp;lin=f&amp;keep=1&amp;srchmode=1&amp;unlock","564181")</f>
        <v>564181</v>
      </c>
      <c r="F1733" t="s">
        <v>96</v>
      </c>
      <c r="G1733" t="str">
        <f>HYPERLINK("http://www.ncbi.nlm.nih.gov/Taxonomy/Browser/wwwtax.cgi?mode=Info&amp;id=564181&amp;lvl=3&amp;lin=f&amp;keep=1&amp;srchmode=1&amp;unlock","Peromyscus californicus insignis")</f>
        <v>Peromyscus californicus insignis</v>
      </c>
      <c r="H1733" t="s">
        <v>284</v>
      </c>
      <c r="I1733" t="str">
        <f>HYPERLINK("http://www.ncbi.nlm.nih.gov/protein/XP_052584740.1","LOW QUALITY PROTEIN: ryanodine receptor 2")</f>
        <v>LOW QUALITY PROTEIN: ryanodine receptor 2</v>
      </c>
      <c r="J1733">
        <v>8600.34</v>
      </c>
      <c r="K1733" t="s">
        <v>19</v>
      </c>
      <c r="L1733">
        <v>1210</v>
      </c>
      <c r="M1733">
        <v>7.13</v>
      </c>
      <c r="N1733">
        <v>83.8</v>
      </c>
      <c r="O1733" t="s">
        <v>19</v>
      </c>
      <c r="P1733" t="s">
        <v>1267</v>
      </c>
      <c r="Q1733" t="s">
        <v>19</v>
      </c>
      <c r="R1733" t="str">
        <f>HYPERLINK("https://cfpub.epa.gov/ecotox/explore.cfm?ncbi=564181","Explore in ECOTOX")</f>
        <v>Explore in ECOTOX</v>
      </c>
    </row>
    <row r="1734" spans="1:18" x14ac:dyDescent="0.45">
      <c r="A1734" t="s">
        <v>1266</v>
      </c>
      <c r="B1734">
        <v>8</v>
      </c>
      <c r="C1734" t="str">
        <f>HYPERLINK("http://www.ncbi.nlm.nih.gov/protein/XP_023556597.1","XP_023556597.1")</f>
        <v>XP_023556597.1</v>
      </c>
      <c r="D1734">
        <v>42561</v>
      </c>
      <c r="E1734" t="str">
        <f>HYPERLINK("http://www.ncbi.nlm.nih.gov/Taxonomy/Browser/wwwtax.cgi?mode=Info&amp;id=10160&amp;lvl=3&amp;lin=f&amp;keep=1&amp;srchmode=1&amp;unlock","10160")</f>
        <v>10160</v>
      </c>
      <c r="F1734" t="s">
        <v>96</v>
      </c>
      <c r="G1734" t="str">
        <f>HYPERLINK("http://www.ncbi.nlm.nih.gov/Taxonomy/Browser/wwwtax.cgi?mode=Info&amp;id=10160&amp;lvl=3&amp;lin=f&amp;keep=1&amp;srchmode=1&amp;unlock","Octodon degus")</f>
        <v>Octodon degus</v>
      </c>
      <c r="H1734" t="s">
        <v>562</v>
      </c>
      <c r="I1734" t="str">
        <f>HYPERLINK("http://www.ncbi.nlm.nih.gov/protein/XP_023556597.1","ryanodine receptor 2 isoform X5")</f>
        <v>ryanodine receptor 2 isoform X5</v>
      </c>
      <c r="J1734">
        <v>8599.57</v>
      </c>
      <c r="K1734" t="s">
        <v>19</v>
      </c>
      <c r="L1734">
        <v>1210</v>
      </c>
      <c r="M1734">
        <v>7.13</v>
      </c>
      <c r="N1734">
        <v>83.79</v>
      </c>
      <c r="O1734" t="s">
        <v>19</v>
      </c>
      <c r="P1734" t="s">
        <v>1267</v>
      </c>
      <c r="Q1734" t="s">
        <v>19</v>
      </c>
      <c r="R1734" t="str">
        <f>HYPERLINK("https://cfpub.epa.gov/ecotox/explore.cfm?ncbi=10160","Explore in ECOTOX")</f>
        <v>Explore in ECOTOX</v>
      </c>
    </row>
    <row r="1735" spans="1:18" x14ac:dyDescent="0.45">
      <c r="A1735" t="s">
        <v>1266</v>
      </c>
      <c r="B1735">
        <v>8</v>
      </c>
      <c r="C1735" t="str">
        <f>HYPERLINK("http://www.ncbi.nlm.nih.gov/protein/XP_037842114.1","XP_037842114.1")</f>
        <v>XP_037842114.1</v>
      </c>
      <c r="D1735">
        <v>62309</v>
      </c>
      <c r="E1735" t="str">
        <f>HYPERLINK("http://www.ncbi.nlm.nih.gov/Taxonomy/Browser/wwwtax.cgi?mode=Info&amp;id=60711&amp;lvl=3&amp;lin=f&amp;keep=1&amp;srchmode=1&amp;unlock","60711")</f>
        <v>60711</v>
      </c>
      <c r="F1735" t="s">
        <v>96</v>
      </c>
      <c r="G1735" t="str">
        <f>HYPERLINK("http://www.ncbi.nlm.nih.gov/Taxonomy/Browser/wwwtax.cgi?mode=Info&amp;id=60711&amp;lvl=3&amp;lin=f&amp;keep=1&amp;srchmode=1&amp;unlock","Chlorocebus sabaeus")</f>
        <v>Chlorocebus sabaeus</v>
      </c>
      <c r="H1735" t="s">
        <v>313</v>
      </c>
      <c r="I1735" t="str">
        <f>HYPERLINK("http://www.ncbi.nlm.nih.gov/protein/XP_037842114.1","ryanodine receptor 2 isoform X11")</f>
        <v>ryanodine receptor 2 isoform X11</v>
      </c>
      <c r="J1735">
        <v>8599.18</v>
      </c>
      <c r="K1735" t="s">
        <v>19</v>
      </c>
      <c r="L1735">
        <v>1210</v>
      </c>
      <c r="M1735">
        <v>7.13</v>
      </c>
      <c r="N1735">
        <v>83.79</v>
      </c>
      <c r="O1735" t="s">
        <v>19</v>
      </c>
      <c r="P1735" t="s">
        <v>1267</v>
      </c>
      <c r="Q1735" t="s">
        <v>19</v>
      </c>
      <c r="R1735" t="str">
        <f>HYPERLINK("https://cfpub.epa.gov/ecotox/explore.cfm?ncbi=60711","Explore in ECOTOX")</f>
        <v>Explore in ECOTOX</v>
      </c>
    </row>
    <row r="1736" spans="1:18" x14ac:dyDescent="0.45">
      <c r="A1736" t="s">
        <v>1266</v>
      </c>
      <c r="B1736">
        <v>8</v>
      </c>
      <c r="C1736" t="str">
        <f>HYPERLINK("http://www.ncbi.nlm.nih.gov/protein/XP_059118999.1","XP_059118999.1")</f>
        <v>XP_059118999.1</v>
      </c>
      <c r="D1736">
        <v>38859</v>
      </c>
      <c r="E1736" t="str">
        <f>HYPERLINK("http://www.ncbi.nlm.nih.gov/Taxonomy/Browser/wwwtax.cgi?mode=Info&amp;id=42410&amp;lvl=3&amp;lin=f&amp;keep=1&amp;srchmode=1&amp;unlock","42410")</f>
        <v>42410</v>
      </c>
      <c r="F1736" t="s">
        <v>96</v>
      </c>
      <c r="G1736" t="str">
        <f>HYPERLINK("http://www.ncbi.nlm.nih.gov/Taxonomy/Browser/wwwtax.cgi?mode=Info&amp;id=42410&amp;lvl=3&amp;lin=f&amp;keep=1&amp;srchmode=1&amp;unlock","Peromyscus eremicus")</f>
        <v>Peromyscus eremicus</v>
      </c>
      <c r="H1736" t="s">
        <v>308</v>
      </c>
      <c r="I1736" t="str">
        <f>HYPERLINK("http://www.ncbi.nlm.nih.gov/protein/XP_059118999.1","ryanodine receptor 2")</f>
        <v>ryanodine receptor 2</v>
      </c>
      <c r="J1736">
        <v>8598.41</v>
      </c>
      <c r="K1736" t="s">
        <v>19</v>
      </c>
      <c r="L1736">
        <v>1210</v>
      </c>
      <c r="M1736">
        <v>7.13</v>
      </c>
      <c r="N1736">
        <v>83.78</v>
      </c>
      <c r="O1736" t="s">
        <v>19</v>
      </c>
      <c r="P1736" t="s">
        <v>1267</v>
      </c>
      <c r="Q1736" t="s">
        <v>19</v>
      </c>
      <c r="R1736" t="str">
        <f>HYPERLINK("https://cfpub.epa.gov/ecotox/explore.cfm?ncbi=42410","Explore in ECOTOX")</f>
        <v>Explore in ECOTOX</v>
      </c>
    </row>
    <row r="1737" spans="1:18" x14ac:dyDescent="0.45">
      <c r="A1737" t="s">
        <v>1266</v>
      </c>
      <c r="B1737">
        <v>8</v>
      </c>
      <c r="C1737" t="str">
        <f>HYPERLINK("http://www.ncbi.nlm.nih.gov/protein/XP_030355473.1","XP_030355473.1")</f>
        <v>XP_030355473.1</v>
      </c>
      <c r="D1737">
        <v>43826</v>
      </c>
      <c r="E1737" t="str">
        <f>HYPERLINK("http://www.ncbi.nlm.nih.gov/Taxonomy/Browser/wwwtax.cgi?mode=Info&amp;id=2489341&amp;lvl=3&amp;lin=f&amp;keep=1&amp;srchmode=1&amp;unlock","2489341")</f>
        <v>2489341</v>
      </c>
      <c r="F1737" t="s">
        <v>241</v>
      </c>
      <c r="G1737" t="str">
        <f>HYPERLINK("http://www.ncbi.nlm.nih.gov/Taxonomy/Browser/wwwtax.cgi?mode=Info&amp;id=2489341&amp;lvl=3&amp;lin=f&amp;keep=1&amp;srchmode=1&amp;unlock","Strigops habroptila")</f>
        <v>Strigops habroptila</v>
      </c>
      <c r="H1737" t="s">
        <v>527</v>
      </c>
      <c r="I1737" t="str">
        <f>HYPERLINK("http://www.ncbi.nlm.nih.gov/protein/XP_030355473.1","ryanodine receptor 2 isoform X4")</f>
        <v>ryanodine receptor 2 isoform X4</v>
      </c>
      <c r="J1737">
        <v>8598.0300000000007</v>
      </c>
      <c r="K1737" t="s">
        <v>19</v>
      </c>
      <c r="L1737">
        <v>1210</v>
      </c>
      <c r="M1737">
        <v>7.13</v>
      </c>
      <c r="N1737">
        <v>83.78</v>
      </c>
      <c r="O1737" t="s">
        <v>19</v>
      </c>
      <c r="P1737" t="s">
        <v>1267</v>
      </c>
      <c r="Q1737" t="s">
        <v>19</v>
      </c>
      <c r="R1737" t="str">
        <f>HYPERLINK("https://cfpub.epa.gov/ecotox/explore.cfm?ncbi=2489341","Explore in ECOTOX")</f>
        <v>Explore in ECOTOX</v>
      </c>
    </row>
    <row r="1738" spans="1:18" x14ac:dyDescent="0.45">
      <c r="A1738" t="s">
        <v>1266</v>
      </c>
      <c r="B1738">
        <v>8</v>
      </c>
      <c r="C1738" t="str">
        <f>HYPERLINK("http://www.ncbi.nlm.nih.gov/protein/XP_050626607.1","XP_050626607.1")</f>
        <v>XP_050626607.1</v>
      </c>
      <c r="D1738">
        <v>62468</v>
      </c>
      <c r="E1738" t="str">
        <f>HYPERLINK("http://www.ncbi.nlm.nih.gov/Taxonomy/Browser/wwwtax.cgi?mode=Info&amp;id=257877&amp;lvl=3&amp;lin=f&amp;keep=1&amp;srchmode=1&amp;unlock","257877")</f>
        <v>257877</v>
      </c>
      <c r="F1738" t="s">
        <v>96</v>
      </c>
      <c r="G1738" t="str">
        <f>HYPERLINK("http://www.ncbi.nlm.nih.gov/Taxonomy/Browser/wwwtax.cgi?mode=Info&amp;id=257877&amp;lvl=3&amp;lin=f&amp;keep=1&amp;srchmode=1&amp;unlock","Macaca thibetana thibetana")</f>
        <v>Macaca thibetana thibetana</v>
      </c>
      <c r="H1738" t="s">
        <v>329</v>
      </c>
      <c r="I1738" t="str">
        <f>HYPERLINK("http://www.ncbi.nlm.nih.gov/protein/XP_050626607.1","ryanodine receptor 2 isoform X6")</f>
        <v>ryanodine receptor 2 isoform X6</v>
      </c>
      <c r="J1738">
        <v>8597.26</v>
      </c>
      <c r="K1738" t="s">
        <v>19</v>
      </c>
      <c r="L1738">
        <v>1210</v>
      </c>
      <c r="M1738">
        <v>7.13</v>
      </c>
      <c r="N1738">
        <v>83.77</v>
      </c>
      <c r="O1738" t="s">
        <v>19</v>
      </c>
      <c r="P1738" t="s">
        <v>1267</v>
      </c>
      <c r="Q1738" t="s">
        <v>19</v>
      </c>
      <c r="R1738" t="str">
        <f>HYPERLINK("https://cfpub.epa.gov/ecotox/explore.cfm?ncbi=257877","Explore in ECOTOX")</f>
        <v>Explore in ECOTOX</v>
      </c>
    </row>
    <row r="1739" spans="1:18" x14ac:dyDescent="0.45">
      <c r="A1739" t="s">
        <v>1266</v>
      </c>
      <c r="B1739">
        <v>8</v>
      </c>
      <c r="C1739" t="str">
        <f>HYPERLINK("http://www.ncbi.nlm.nih.gov/protein/XP_053156275.1","XP_053156275.1")</f>
        <v>XP_053156275.1</v>
      </c>
      <c r="D1739">
        <v>71289</v>
      </c>
      <c r="E1739" t="str">
        <f>HYPERLINK("http://www.ncbi.nlm.nih.gov/Taxonomy/Browser/wwwtax.cgi?mode=Info&amp;id=884348&amp;lvl=3&amp;lin=f&amp;keep=1&amp;srchmode=1&amp;unlock","884348")</f>
        <v>884348</v>
      </c>
      <c r="F1739" t="s">
        <v>192</v>
      </c>
      <c r="G1739" t="str">
        <f>HYPERLINK("http://www.ncbi.nlm.nih.gov/Taxonomy/Browser/wwwtax.cgi?mode=Info&amp;id=884348&amp;lvl=3&amp;lin=f&amp;keep=1&amp;srchmode=1&amp;unlock","Hemicordylus capensis")</f>
        <v>Hemicordylus capensis</v>
      </c>
      <c r="H1739" t="s">
        <v>251</v>
      </c>
      <c r="I1739" t="str">
        <f>HYPERLINK("http://www.ncbi.nlm.nih.gov/protein/XP_053156275.1","ryanodine receptor 2 isoform X14")</f>
        <v>ryanodine receptor 2 isoform X14</v>
      </c>
      <c r="J1739">
        <v>8597.26</v>
      </c>
      <c r="K1739" t="s">
        <v>19</v>
      </c>
      <c r="L1739">
        <v>1210</v>
      </c>
      <c r="M1739">
        <v>7.13</v>
      </c>
      <c r="N1739">
        <v>83.77</v>
      </c>
      <c r="O1739" t="s">
        <v>19</v>
      </c>
      <c r="P1739" t="s">
        <v>1267</v>
      </c>
      <c r="Q1739" t="s">
        <v>19</v>
      </c>
      <c r="R1739" t="str">
        <f>HYPERLINK("https://cfpub.epa.gov/ecotox/explore.cfm?ncbi=884348","Explore in ECOTOX")</f>
        <v>Explore in ECOTOX</v>
      </c>
    </row>
    <row r="1740" spans="1:18" x14ac:dyDescent="0.45">
      <c r="A1740" t="s">
        <v>1266</v>
      </c>
      <c r="B1740">
        <v>8</v>
      </c>
      <c r="C1740" t="str">
        <f>HYPERLINK("http://www.ncbi.nlm.nih.gov/protein/XP_049686549.1","XP_049686549.1")</f>
        <v>XP_049686549.1</v>
      </c>
      <c r="D1740">
        <v>44909</v>
      </c>
      <c r="E1740" t="str">
        <f>HYPERLINK("http://www.ncbi.nlm.nih.gov/Taxonomy/Browser/wwwtax.cgi?mode=Info&amp;id=8957&amp;lvl=3&amp;lin=f&amp;keep=1&amp;srchmode=1&amp;unlock","8957")</f>
        <v>8957</v>
      </c>
      <c r="F1740" t="s">
        <v>241</v>
      </c>
      <c r="G1740" t="str">
        <f>HYPERLINK("http://www.ncbi.nlm.nih.gov/Taxonomy/Browser/wwwtax.cgi?mode=Info&amp;id=8957&amp;lvl=3&amp;lin=f&amp;keep=1&amp;srchmode=1&amp;unlock","Accipiter gentilis")</f>
        <v>Accipiter gentilis</v>
      </c>
      <c r="H1740" t="s">
        <v>478</v>
      </c>
      <c r="I1740" t="str">
        <f>HYPERLINK("http://www.ncbi.nlm.nih.gov/protein/XP_049686549.1","ryanodine receptor 2 isoform X3")</f>
        <v>ryanodine receptor 2 isoform X3</v>
      </c>
      <c r="J1740">
        <v>8596.1</v>
      </c>
      <c r="K1740" t="s">
        <v>19</v>
      </c>
      <c r="L1740">
        <v>1210</v>
      </c>
      <c r="M1740">
        <v>7.13</v>
      </c>
      <c r="N1740">
        <v>83.76</v>
      </c>
      <c r="O1740" t="s">
        <v>19</v>
      </c>
      <c r="P1740" t="s">
        <v>1267</v>
      </c>
      <c r="Q1740" t="s">
        <v>19</v>
      </c>
      <c r="R1740" t="str">
        <f>HYPERLINK("https://cfpub.epa.gov/ecotox/explore.cfm?ncbi=8957","Explore in ECOTOX")</f>
        <v>Explore in ECOTOX</v>
      </c>
    </row>
    <row r="1741" spans="1:18" x14ac:dyDescent="0.45">
      <c r="A1741" t="s">
        <v>1266</v>
      </c>
      <c r="B1741">
        <v>8</v>
      </c>
      <c r="C1741" t="str">
        <f>HYPERLINK("http://www.ncbi.nlm.nih.gov/protein/XP_031993538.1","XP_031993538.1")</f>
        <v>XP_031993538.1</v>
      </c>
      <c r="D1741">
        <v>59647</v>
      </c>
      <c r="E1741" t="str">
        <f>HYPERLINK("http://www.ncbi.nlm.nih.gov/Taxonomy/Browser/wwwtax.cgi?mode=Info&amp;id=81572&amp;lvl=3&amp;lin=f&amp;keep=1&amp;srchmode=1&amp;unlock","81572")</f>
        <v>81572</v>
      </c>
      <c r="F1741" t="s">
        <v>96</v>
      </c>
      <c r="G1741" t="str">
        <f>HYPERLINK("http://www.ncbi.nlm.nih.gov/Taxonomy/Browser/wwwtax.cgi?mode=Info&amp;id=81572&amp;lvl=3&amp;lin=f&amp;keep=1&amp;srchmode=1&amp;unlock","Hylobates moloch")</f>
        <v>Hylobates moloch</v>
      </c>
      <c r="H1741" t="s">
        <v>477</v>
      </c>
      <c r="I1741" t="str">
        <f>HYPERLINK("http://www.ncbi.nlm.nih.gov/protein/XP_031993538.1","ryanodine receptor 2 isoform X6")</f>
        <v>ryanodine receptor 2 isoform X6</v>
      </c>
      <c r="J1741">
        <v>8595.33</v>
      </c>
      <c r="K1741" t="s">
        <v>19</v>
      </c>
      <c r="L1741">
        <v>1210</v>
      </c>
      <c r="M1741">
        <v>7.13</v>
      </c>
      <c r="N1741">
        <v>83.75</v>
      </c>
      <c r="O1741" t="s">
        <v>19</v>
      </c>
      <c r="P1741" t="s">
        <v>1267</v>
      </c>
      <c r="Q1741" t="s">
        <v>19</v>
      </c>
      <c r="R1741" t="str">
        <f>HYPERLINK("https://cfpub.epa.gov/ecotox/explore.cfm?ncbi=81572","Explore in ECOTOX")</f>
        <v>Explore in ECOTOX</v>
      </c>
    </row>
    <row r="1742" spans="1:18" x14ac:dyDescent="0.45">
      <c r="A1742" t="s">
        <v>1266</v>
      </c>
      <c r="B1742">
        <v>8</v>
      </c>
      <c r="C1742" t="str">
        <f>HYPERLINK("http://www.ncbi.nlm.nih.gov/protein/XP_059253350.1","XP_059253350.1")</f>
        <v>XP_059253350.1</v>
      </c>
      <c r="D1742">
        <v>47519</v>
      </c>
      <c r="E1742" t="str">
        <f>HYPERLINK("http://www.ncbi.nlm.nih.gov/Taxonomy/Browser/wwwtax.cgi?mode=Info&amp;id=77151&amp;lvl=3&amp;lin=f&amp;keep=1&amp;srchmode=1&amp;unlock","77151")</f>
        <v>77151</v>
      </c>
      <c r="F1742" t="s">
        <v>96</v>
      </c>
      <c r="G1742" t="str">
        <f>HYPERLINK("http://www.ncbi.nlm.nih.gov/Taxonomy/Browser/wwwtax.cgi?mode=Info&amp;id=77151&amp;lvl=3&amp;lin=f&amp;keep=1&amp;srchmode=1&amp;unlock","Mustela nigripes")</f>
        <v>Mustela nigripes</v>
      </c>
      <c r="H1742" t="s">
        <v>534</v>
      </c>
      <c r="I1742" t="str">
        <f>HYPERLINK("http://www.ncbi.nlm.nih.gov/protein/XP_059253350.1","ryanodine receptor 2 isoform X7")</f>
        <v>ryanodine receptor 2 isoform X7</v>
      </c>
      <c r="J1742">
        <v>8594.94</v>
      </c>
      <c r="K1742" t="s">
        <v>19</v>
      </c>
      <c r="L1742">
        <v>1210</v>
      </c>
      <c r="M1742">
        <v>7.13</v>
      </c>
      <c r="N1742">
        <v>83.75</v>
      </c>
      <c r="O1742" t="s">
        <v>19</v>
      </c>
      <c r="P1742" t="s">
        <v>1267</v>
      </c>
      <c r="Q1742" t="s">
        <v>19</v>
      </c>
      <c r="R1742" t="str">
        <f>HYPERLINK("https://cfpub.epa.gov/ecotox/explore.cfm?ncbi=77151","Explore in ECOTOX")</f>
        <v>Explore in ECOTOX</v>
      </c>
    </row>
    <row r="1743" spans="1:18" x14ac:dyDescent="0.45">
      <c r="A1743" t="s">
        <v>1266</v>
      </c>
      <c r="B1743">
        <v>8</v>
      </c>
      <c r="C1743" t="str">
        <f>HYPERLINK("http://www.ncbi.nlm.nih.gov/protein/XP_035176294.1","XP_035176294.1")</f>
        <v>XP_035176294.1</v>
      </c>
      <c r="D1743">
        <v>39835</v>
      </c>
      <c r="E1743" t="str">
        <f>HYPERLINK("http://www.ncbi.nlm.nih.gov/Taxonomy/Browser/wwwtax.cgi?mode=Info&amp;id=8884&amp;lvl=3&amp;lin=f&amp;keep=1&amp;srchmode=1&amp;unlock","8884")</f>
        <v>8884</v>
      </c>
      <c r="F1743" t="s">
        <v>241</v>
      </c>
      <c r="G1743" t="str">
        <f>HYPERLINK("http://www.ncbi.nlm.nih.gov/Taxonomy/Browser/wwwtax.cgi?mode=Info&amp;id=8884&amp;lvl=3&amp;lin=f&amp;keep=1&amp;srchmode=1&amp;unlock","Oxyura jamaicensis")</f>
        <v>Oxyura jamaicensis</v>
      </c>
      <c r="H1743" t="s">
        <v>533</v>
      </c>
      <c r="I1743" t="str">
        <f>HYPERLINK("http://www.ncbi.nlm.nih.gov/protein/XP_035176294.1","ryanodine receptor 2 isoform X4")</f>
        <v>ryanodine receptor 2 isoform X4</v>
      </c>
      <c r="J1743">
        <v>8592.6299999999992</v>
      </c>
      <c r="K1743" t="s">
        <v>19</v>
      </c>
      <c r="L1743">
        <v>1210</v>
      </c>
      <c r="M1743">
        <v>7.13</v>
      </c>
      <c r="N1743">
        <v>83.73</v>
      </c>
      <c r="O1743" t="s">
        <v>19</v>
      </c>
      <c r="P1743" t="s">
        <v>1267</v>
      </c>
      <c r="Q1743" t="s">
        <v>19</v>
      </c>
      <c r="R1743" t="str">
        <f>HYPERLINK("https://cfpub.epa.gov/ecotox/explore.cfm?ncbi=8884","Explore in ECOTOX")</f>
        <v>Explore in ECOTOX</v>
      </c>
    </row>
    <row r="1744" spans="1:18" x14ac:dyDescent="0.45">
      <c r="A1744" t="s">
        <v>1266</v>
      </c>
      <c r="B1744">
        <v>8</v>
      </c>
      <c r="C1744" t="str">
        <f>HYPERLINK("http://www.ncbi.nlm.nih.gov/protein/XP_014982154.1","XP_014982154.1")</f>
        <v>XP_014982154.1</v>
      </c>
      <c r="D1744">
        <v>182127</v>
      </c>
      <c r="E1744" t="str">
        <f>HYPERLINK("http://www.ncbi.nlm.nih.gov/Taxonomy/Browser/wwwtax.cgi?mode=Info&amp;id=9544&amp;lvl=3&amp;lin=f&amp;keep=1&amp;srchmode=1&amp;unlock","9544")</f>
        <v>9544</v>
      </c>
      <c r="F1744" t="s">
        <v>96</v>
      </c>
      <c r="G1744" t="str">
        <f>HYPERLINK("http://www.ncbi.nlm.nih.gov/Taxonomy/Browser/wwwtax.cgi?mode=Info&amp;id=9544&amp;lvl=3&amp;lin=f&amp;keep=1&amp;srchmode=1&amp;unlock","Macaca mulatta")</f>
        <v>Macaca mulatta</v>
      </c>
      <c r="H1744" t="s">
        <v>317</v>
      </c>
      <c r="I1744" t="str">
        <f>HYPERLINK("http://www.ncbi.nlm.nih.gov/protein/XP_014982154.1","ryanodine receptor 2 isoform X10")</f>
        <v>ryanodine receptor 2 isoform X10</v>
      </c>
      <c r="J1744">
        <v>8592.6299999999992</v>
      </c>
      <c r="K1744" t="s">
        <v>19</v>
      </c>
      <c r="L1744">
        <v>1210</v>
      </c>
      <c r="M1744">
        <v>7.13</v>
      </c>
      <c r="N1744">
        <v>83.73</v>
      </c>
      <c r="O1744" t="s">
        <v>19</v>
      </c>
      <c r="P1744" t="s">
        <v>1267</v>
      </c>
      <c r="Q1744" t="s">
        <v>19</v>
      </c>
      <c r="R1744" t="str">
        <f>HYPERLINK("https://cfpub.epa.gov/ecotox/explore.cfm?ncbi=9544","Explore in ECOTOX")</f>
        <v>Explore in ECOTOX</v>
      </c>
    </row>
    <row r="1745" spans="1:18" x14ac:dyDescent="0.45">
      <c r="A1745" t="s">
        <v>1266</v>
      </c>
      <c r="B1745">
        <v>8</v>
      </c>
      <c r="C1745" t="str">
        <f>HYPERLINK("http://www.ncbi.nlm.nih.gov/protein/XP_005539757.1","XP_005539757.1")</f>
        <v>XP_005539757.1</v>
      </c>
      <c r="D1745">
        <v>126190</v>
      </c>
      <c r="E1745" t="str">
        <f>HYPERLINK("http://www.ncbi.nlm.nih.gov/Taxonomy/Browser/wwwtax.cgi?mode=Info&amp;id=9541&amp;lvl=3&amp;lin=f&amp;keep=1&amp;srchmode=1&amp;unlock","9541")</f>
        <v>9541</v>
      </c>
      <c r="F1745" t="s">
        <v>96</v>
      </c>
      <c r="G1745" t="str">
        <f>HYPERLINK("http://www.ncbi.nlm.nih.gov/Taxonomy/Browser/wwwtax.cgi?mode=Info&amp;id=9541&amp;lvl=3&amp;lin=f&amp;keep=1&amp;srchmode=1&amp;unlock","Macaca fascicularis")</f>
        <v>Macaca fascicularis</v>
      </c>
      <c r="H1745" t="s">
        <v>331</v>
      </c>
      <c r="I1745" t="str">
        <f>HYPERLINK("http://www.ncbi.nlm.nih.gov/protein/XP_005539757.1","PREDICTED: ryanodine receptor 2 isoform X10")</f>
        <v>PREDICTED: ryanodine receptor 2 isoform X10</v>
      </c>
      <c r="J1745">
        <v>8592.6299999999992</v>
      </c>
      <c r="K1745" t="s">
        <v>19</v>
      </c>
      <c r="L1745">
        <v>1210</v>
      </c>
      <c r="M1745">
        <v>7.13</v>
      </c>
      <c r="N1745">
        <v>83.73</v>
      </c>
      <c r="O1745" t="s">
        <v>19</v>
      </c>
      <c r="P1745" t="s">
        <v>1267</v>
      </c>
      <c r="Q1745" t="s">
        <v>19</v>
      </c>
      <c r="R1745" t="str">
        <f>HYPERLINK("https://cfpub.epa.gov/ecotox/explore.cfm?ncbi=9541","Explore in ECOTOX")</f>
        <v>Explore in ECOTOX</v>
      </c>
    </row>
    <row r="1746" spans="1:18" x14ac:dyDescent="0.45">
      <c r="A1746" t="s">
        <v>1266</v>
      </c>
      <c r="B1746">
        <v>8</v>
      </c>
      <c r="C1746" t="str">
        <f>HYPERLINK("http://www.ncbi.nlm.nih.gov/protein/XP_027803793.1","XP_027803793.1")</f>
        <v>XP_027803793.1</v>
      </c>
      <c r="D1746">
        <v>37689</v>
      </c>
      <c r="E1746" t="str">
        <f>HYPERLINK("http://www.ncbi.nlm.nih.gov/Taxonomy/Browser/wwwtax.cgi?mode=Info&amp;id=93162&amp;lvl=3&amp;lin=f&amp;keep=1&amp;srchmode=1&amp;unlock","93162")</f>
        <v>93162</v>
      </c>
      <c r="F1746" t="s">
        <v>96</v>
      </c>
      <c r="G1746" t="str">
        <f>HYPERLINK("http://www.ncbi.nlm.nih.gov/Taxonomy/Browser/wwwtax.cgi?mode=Info&amp;id=93162&amp;lvl=3&amp;lin=f&amp;keep=1&amp;srchmode=1&amp;unlock","Marmota flaviventris")</f>
        <v>Marmota flaviventris</v>
      </c>
      <c r="H1746" t="s">
        <v>574</v>
      </c>
      <c r="I1746" t="str">
        <f>HYPERLINK("http://www.ncbi.nlm.nih.gov/protein/XP_027803793.1","ryanodine receptor 2")</f>
        <v>ryanodine receptor 2</v>
      </c>
      <c r="J1746">
        <v>8591.86</v>
      </c>
      <c r="K1746" t="s">
        <v>19</v>
      </c>
      <c r="L1746">
        <v>1210</v>
      </c>
      <c r="M1746">
        <v>7.13</v>
      </c>
      <c r="N1746">
        <v>83.72</v>
      </c>
      <c r="O1746" t="s">
        <v>19</v>
      </c>
      <c r="P1746" t="s">
        <v>1267</v>
      </c>
      <c r="Q1746" t="s">
        <v>19</v>
      </c>
      <c r="R1746" t="str">
        <f>HYPERLINK("https://cfpub.epa.gov/ecotox/explore.cfm?ncbi=93162","Explore in ECOTOX")</f>
        <v>Explore in ECOTOX</v>
      </c>
    </row>
    <row r="1747" spans="1:18" x14ac:dyDescent="0.45">
      <c r="A1747" t="s">
        <v>1266</v>
      </c>
      <c r="B1747">
        <v>8</v>
      </c>
      <c r="C1747" t="str">
        <f>HYPERLINK("http://www.ncbi.nlm.nih.gov/protein/XP_058165473.1","XP_058165473.1")</f>
        <v>XP_058165473.1</v>
      </c>
      <c r="D1747">
        <v>55881</v>
      </c>
      <c r="E1747" t="str">
        <f>HYPERLINK("http://www.ncbi.nlm.nih.gov/Taxonomy/Browser/wwwtax.cgi?mode=Info&amp;id=9361&amp;lvl=3&amp;lin=f&amp;keep=1&amp;srchmode=1&amp;unlock","9361")</f>
        <v>9361</v>
      </c>
      <c r="F1747" t="s">
        <v>96</v>
      </c>
      <c r="G1747" t="str">
        <f>HYPERLINK("http://www.ncbi.nlm.nih.gov/Taxonomy/Browser/wwwtax.cgi?mode=Info&amp;id=9361&amp;lvl=3&amp;lin=f&amp;keep=1&amp;srchmode=1&amp;unlock","Dasypus novemcinctus")</f>
        <v>Dasypus novemcinctus</v>
      </c>
      <c r="H1747" t="s">
        <v>545</v>
      </c>
      <c r="I1747" t="str">
        <f>HYPERLINK("http://www.ncbi.nlm.nih.gov/protein/XP_058165473.1","ryanodine receptor 2 isoform X4")</f>
        <v>ryanodine receptor 2 isoform X4</v>
      </c>
      <c r="J1747">
        <v>8590.7099999999991</v>
      </c>
      <c r="K1747" t="s">
        <v>19</v>
      </c>
      <c r="L1747">
        <v>1210</v>
      </c>
      <c r="M1747">
        <v>7.13</v>
      </c>
      <c r="N1747">
        <v>83.71</v>
      </c>
      <c r="O1747" t="s">
        <v>19</v>
      </c>
      <c r="P1747" t="s">
        <v>1267</v>
      </c>
      <c r="Q1747" t="s">
        <v>19</v>
      </c>
      <c r="R1747" t="str">
        <f>HYPERLINK("https://cfpub.epa.gov/ecotox/explore.cfm?ncbi=9361","Explore in ECOTOX")</f>
        <v>Explore in ECOTOX</v>
      </c>
    </row>
    <row r="1748" spans="1:18" x14ac:dyDescent="0.45">
      <c r="A1748" t="s">
        <v>1266</v>
      </c>
      <c r="B1748">
        <v>8</v>
      </c>
      <c r="C1748" t="str">
        <f>HYPERLINK("http://www.ncbi.nlm.nih.gov/protein/XP_026267995.1","XP_026267995.1")</f>
        <v>XP_026267995.1</v>
      </c>
      <c r="D1748">
        <v>36507</v>
      </c>
      <c r="E1748" t="str">
        <f>HYPERLINK("http://www.ncbi.nlm.nih.gov/Taxonomy/Browser/wwwtax.cgi?mode=Info&amp;id=9999&amp;lvl=3&amp;lin=f&amp;keep=1&amp;srchmode=1&amp;unlock","9999")</f>
        <v>9999</v>
      </c>
      <c r="F1748" t="s">
        <v>96</v>
      </c>
      <c r="G1748" t="str">
        <f>HYPERLINK("http://www.ncbi.nlm.nih.gov/Taxonomy/Browser/wwwtax.cgi?mode=Info&amp;id=9999&amp;lvl=3&amp;lin=f&amp;keep=1&amp;srchmode=1&amp;unlock","Urocitellus parryii")</f>
        <v>Urocitellus parryii</v>
      </c>
      <c r="H1748" t="s">
        <v>578</v>
      </c>
      <c r="I1748" t="str">
        <f>HYPERLINK("http://www.ncbi.nlm.nih.gov/protein/XP_026267995.1","ryanodine receptor 2")</f>
        <v>ryanodine receptor 2</v>
      </c>
      <c r="J1748">
        <v>8590.32</v>
      </c>
      <c r="K1748" t="s">
        <v>19</v>
      </c>
      <c r="L1748">
        <v>1210</v>
      </c>
      <c r="M1748">
        <v>7.13</v>
      </c>
      <c r="N1748">
        <v>83.7</v>
      </c>
      <c r="O1748" t="s">
        <v>19</v>
      </c>
      <c r="P1748" t="s">
        <v>1267</v>
      </c>
      <c r="Q1748" t="s">
        <v>19</v>
      </c>
      <c r="R1748" t="str">
        <f>HYPERLINK("https://cfpub.epa.gov/ecotox/explore.cfm?ncbi=9999","Explore in ECOTOX")</f>
        <v>Explore in ECOTOX</v>
      </c>
    </row>
    <row r="1749" spans="1:18" x14ac:dyDescent="0.45">
      <c r="A1749" t="s">
        <v>1266</v>
      </c>
      <c r="B1749">
        <v>8</v>
      </c>
      <c r="C1749" t="str">
        <f>HYPERLINK("http://www.ncbi.nlm.nih.gov/protein/XP_032955392.1","XP_032955392.1")</f>
        <v>XP_032955392.1</v>
      </c>
      <c r="D1749">
        <v>90577</v>
      </c>
      <c r="E1749" t="str">
        <f>HYPERLINK("http://www.ncbi.nlm.nih.gov/Taxonomy/Browser/wwwtax.cgi?mode=Info&amp;id=59479&amp;lvl=3&amp;lin=f&amp;keep=1&amp;srchmode=1&amp;unlock","59479")</f>
        <v>59479</v>
      </c>
      <c r="F1749" t="s">
        <v>96</v>
      </c>
      <c r="G1749" t="str">
        <f>HYPERLINK("http://www.ncbi.nlm.nih.gov/Taxonomy/Browser/wwwtax.cgi?mode=Info&amp;id=59479&amp;lvl=3&amp;lin=f&amp;keep=1&amp;srchmode=1&amp;unlock","Rhinolophus ferrumequinum")</f>
        <v>Rhinolophus ferrumequinum</v>
      </c>
      <c r="H1749" t="s">
        <v>322</v>
      </c>
      <c r="I1749" t="str">
        <f>HYPERLINK("http://www.ncbi.nlm.nih.gov/protein/XP_032955392.1","ryanodine receptor 2 isoform X4")</f>
        <v>ryanodine receptor 2 isoform X4</v>
      </c>
      <c r="J1749">
        <v>8590.32</v>
      </c>
      <c r="K1749" t="s">
        <v>19</v>
      </c>
      <c r="L1749">
        <v>1210</v>
      </c>
      <c r="M1749">
        <v>7.13</v>
      </c>
      <c r="N1749">
        <v>83.7</v>
      </c>
      <c r="O1749" t="s">
        <v>19</v>
      </c>
      <c r="P1749" t="s">
        <v>1267</v>
      </c>
      <c r="Q1749" t="s">
        <v>19</v>
      </c>
      <c r="R1749" t="str">
        <f>HYPERLINK("https://cfpub.epa.gov/ecotox/explore.cfm?ncbi=59479","Explore in ECOTOX")</f>
        <v>Explore in ECOTOX</v>
      </c>
    </row>
    <row r="1750" spans="1:18" x14ac:dyDescent="0.45">
      <c r="A1750" t="s">
        <v>1266</v>
      </c>
      <c r="B1750">
        <v>8</v>
      </c>
      <c r="C1750" t="str">
        <f>HYPERLINK("http://www.ncbi.nlm.nih.gov/protein/XP_035313552.1","XP_035313552.1")</f>
        <v>XP_035313552.1</v>
      </c>
      <c r="D1750">
        <v>138095</v>
      </c>
      <c r="E1750" t="str">
        <f>HYPERLINK("http://www.ncbi.nlm.nih.gov/Taxonomy/Browser/wwwtax.cgi?mode=Info&amp;id=10029&amp;lvl=3&amp;lin=f&amp;keep=1&amp;srchmode=1&amp;unlock","10029")</f>
        <v>10029</v>
      </c>
      <c r="F1750" t="s">
        <v>96</v>
      </c>
      <c r="G1750" t="str">
        <f>HYPERLINK("http://www.ncbi.nlm.nih.gov/Taxonomy/Browser/wwwtax.cgi?mode=Info&amp;id=10029&amp;lvl=3&amp;lin=f&amp;keep=1&amp;srchmode=1&amp;unlock","Cricetulus griseus")</f>
        <v>Cricetulus griseus</v>
      </c>
      <c r="H1750" t="s">
        <v>360</v>
      </c>
      <c r="I1750" t="str">
        <f>HYPERLINK("http://www.ncbi.nlm.nih.gov/protein/XP_035313552.1","ryanodine receptor 2 isoform X1")</f>
        <v>ryanodine receptor 2 isoform X1</v>
      </c>
      <c r="J1750">
        <v>8589.17</v>
      </c>
      <c r="K1750" t="s">
        <v>19</v>
      </c>
      <c r="L1750">
        <v>1210</v>
      </c>
      <c r="M1750">
        <v>7.13</v>
      </c>
      <c r="N1750">
        <v>83.69</v>
      </c>
      <c r="O1750" t="s">
        <v>19</v>
      </c>
      <c r="P1750" t="s">
        <v>1267</v>
      </c>
      <c r="Q1750" t="s">
        <v>19</v>
      </c>
      <c r="R1750" t="str">
        <f>HYPERLINK("https://cfpub.epa.gov/ecotox/explore.cfm?ncbi=10029","Explore in ECOTOX")</f>
        <v>Explore in ECOTOX</v>
      </c>
    </row>
    <row r="1751" spans="1:18" x14ac:dyDescent="0.45">
      <c r="A1751" t="s">
        <v>1266</v>
      </c>
      <c r="B1751">
        <v>8</v>
      </c>
      <c r="C1751" t="str">
        <f>HYPERLINK("http://www.ncbi.nlm.nih.gov/protein/XP_060228639.1","XP_060228639.1")</f>
        <v>XP_060228639.1</v>
      </c>
      <c r="D1751">
        <v>71751</v>
      </c>
      <c r="E1751" t="str">
        <f>HYPERLINK("http://www.ncbi.nlm.nih.gov/Taxonomy/Browser/wwwtax.cgi?mode=Info&amp;id=10047&amp;lvl=3&amp;lin=f&amp;keep=1&amp;srchmode=1&amp;unlock","10047")</f>
        <v>10047</v>
      </c>
      <c r="F1751" t="s">
        <v>96</v>
      </c>
      <c r="G1751" t="str">
        <f>HYPERLINK("http://www.ncbi.nlm.nih.gov/Taxonomy/Browser/wwwtax.cgi?mode=Info&amp;id=10047&amp;lvl=3&amp;lin=f&amp;keep=1&amp;srchmode=1&amp;unlock","Meriones unguiculatus")</f>
        <v>Meriones unguiculatus</v>
      </c>
      <c r="H1751" t="s">
        <v>323</v>
      </c>
      <c r="I1751" t="str">
        <f>HYPERLINK("http://www.ncbi.nlm.nih.gov/protein/XP_060228639.1","ryanodine receptor 2")</f>
        <v>ryanodine receptor 2</v>
      </c>
      <c r="J1751">
        <v>8589.17</v>
      </c>
      <c r="K1751" t="s">
        <v>19</v>
      </c>
      <c r="L1751">
        <v>1210</v>
      </c>
      <c r="M1751">
        <v>7.13</v>
      </c>
      <c r="N1751">
        <v>83.69</v>
      </c>
      <c r="O1751" t="s">
        <v>19</v>
      </c>
      <c r="P1751" t="s">
        <v>1267</v>
      </c>
      <c r="Q1751" t="s">
        <v>19</v>
      </c>
      <c r="R1751" t="str">
        <f>HYPERLINK("https://cfpub.epa.gov/ecotox/explore.cfm?ncbi=10047","Explore in ECOTOX")</f>
        <v>Explore in ECOTOX</v>
      </c>
    </row>
    <row r="1752" spans="1:18" x14ac:dyDescent="0.45">
      <c r="A1752" t="s">
        <v>1266</v>
      </c>
      <c r="B1752">
        <v>8</v>
      </c>
      <c r="C1752" t="str">
        <f>HYPERLINK("http://www.ncbi.nlm.nih.gov/protein/XP_043452148.1","XP_043452148.1")</f>
        <v>XP_043452148.1</v>
      </c>
      <c r="D1752">
        <v>52244</v>
      </c>
      <c r="E1752" t="str">
        <f>HYPERLINK("http://www.ncbi.nlm.nih.gov/Taxonomy/Browser/wwwtax.cgi?mode=Info&amp;id=37029&amp;lvl=3&amp;lin=f&amp;keep=1&amp;srchmode=1&amp;unlock","37029")</f>
        <v>37029</v>
      </c>
      <c r="F1752" t="s">
        <v>96</v>
      </c>
      <c r="G1752" t="str">
        <f>HYPERLINK("http://www.ncbi.nlm.nih.gov/Taxonomy/Browser/wwwtax.cgi?mode=Info&amp;id=37029&amp;lvl=3&amp;lin=f&amp;keep=1&amp;srchmode=1&amp;unlock","Prionailurus bengalensis")</f>
        <v>Prionailurus bengalensis</v>
      </c>
      <c r="H1752" t="s">
        <v>274</v>
      </c>
      <c r="I1752" t="str">
        <f>HYPERLINK("http://www.ncbi.nlm.nih.gov/protein/XP_043452148.1","ryanodine receptor 2 isoform X9")</f>
        <v>ryanodine receptor 2 isoform X9</v>
      </c>
      <c r="J1752">
        <v>8588.7800000000007</v>
      </c>
      <c r="K1752" t="s">
        <v>19</v>
      </c>
      <c r="L1752">
        <v>1210</v>
      </c>
      <c r="M1752">
        <v>7.13</v>
      </c>
      <c r="N1752">
        <v>83.69</v>
      </c>
      <c r="O1752" t="s">
        <v>19</v>
      </c>
      <c r="P1752" t="s">
        <v>1267</v>
      </c>
      <c r="Q1752" t="s">
        <v>19</v>
      </c>
      <c r="R1752" t="str">
        <f>HYPERLINK("https://cfpub.epa.gov/ecotox/explore.cfm?ncbi=37029","Explore in ECOTOX")</f>
        <v>Explore in ECOTOX</v>
      </c>
    </row>
    <row r="1753" spans="1:18" x14ac:dyDescent="0.45">
      <c r="A1753" t="s">
        <v>1266</v>
      </c>
      <c r="B1753">
        <v>8</v>
      </c>
      <c r="C1753" t="str">
        <f>HYPERLINK("http://www.ncbi.nlm.nih.gov/protein/XP_034805477.1","XP_034805477.1")</f>
        <v>XP_034805477.1</v>
      </c>
      <c r="D1753">
        <v>75957</v>
      </c>
      <c r="E1753" t="str">
        <f>HYPERLINK("http://www.ncbi.nlm.nih.gov/Taxonomy/Browser/wwwtax.cgi?mode=Info&amp;id=9597&amp;lvl=3&amp;lin=f&amp;keep=1&amp;srchmode=1&amp;unlock","9597")</f>
        <v>9597</v>
      </c>
      <c r="F1753" t="s">
        <v>96</v>
      </c>
      <c r="G1753" t="str">
        <f>HYPERLINK("http://www.ncbi.nlm.nih.gov/Taxonomy/Browser/wwwtax.cgi?mode=Info&amp;id=9597&amp;lvl=3&amp;lin=f&amp;keep=1&amp;srchmode=1&amp;unlock","Pan paniscus")</f>
        <v>Pan paniscus</v>
      </c>
      <c r="H1753" t="s">
        <v>481</v>
      </c>
      <c r="I1753" t="str">
        <f>HYPERLINK("http://www.ncbi.nlm.nih.gov/protein/XP_034805477.1","ryanodine receptor 2 isoform X4")</f>
        <v>ryanodine receptor 2 isoform X4</v>
      </c>
      <c r="J1753">
        <v>8588.4</v>
      </c>
      <c r="K1753" t="s">
        <v>19</v>
      </c>
      <c r="L1753">
        <v>1210</v>
      </c>
      <c r="M1753">
        <v>7.13</v>
      </c>
      <c r="N1753">
        <v>83.68</v>
      </c>
      <c r="O1753" t="s">
        <v>19</v>
      </c>
      <c r="P1753" t="s">
        <v>1267</v>
      </c>
      <c r="Q1753" t="s">
        <v>19</v>
      </c>
      <c r="R1753" t="str">
        <f>HYPERLINK("https://cfpub.epa.gov/ecotox/explore.cfm?ncbi=9597","Explore in ECOTOX")</f>
        <v>Explore in ECOTOX</v>
      </c>
    </row>
    <row r="1754" spans="1:18" x14ac:dyDescent="0.45">
      <c r="A1754" t="s">
        <v>1266</v>
      </c>
      <c r="B1754">
        <v>8</v>
      </c>
      <c r="C1754" t="str">
        <f>HYPERLINK("http://www.ncbi.nlm.nih.gov/protein/KAK2522537.1","KAK2522537.1")</f>
        <v>KAK2522537.1</v>
      </c>
      <c r="D1754">
        <v>69178</v>
      </c>
      <c r="E1754" t="str">
        <f>HYPERLINK("http://www.ncbi.nlm.nih.gov/Taxonomy/Browser/wwwtax.cgi?mode=Info&amp;id=8932&amp;lvl=3&amp;lin=f&amp;keep=1&amp;srchmode=1&amp;unlock","8932")</f>
        <v>8932</v>
      </c>
      <c r="F1754" t="s">
        <v>241</v>
      </c>
      <c r="G1754" t="str">
        <f>HYPERLINK("http://www.ncbi.nlm.nih.gov/Taxonomy/Browser/wwwtax.cgi?mode=Info&amp;id=8932&amp;lvl=3&amp;lin=f&amp;keep=1&amp;srchmode=1&amp;unlock","Columba livia")</f>
        <v>Columba livia</v>
      </c>
      <c r="H1754" t="s">
        <v>271</v>
      </c>
      <c r="I1754" t="str">
        <f>HYPERLINK("http://www.ncbi.nlm.nih.gov/protein/KAK2522537.1","Ryr2")</f>
        <v>Ryr2</v>
      </c>
      <c r="J1754">
        <v>8587.24</v>
      </c>
      <c r="K1754" t="s">
        <v>19</v>
      </c>
      <c r="L1754">
        <v>1210</v>
      </c>
      <c r="M1754">
        <v>7.13</v>
      </c>
      <c r="N1754">
        <v>83.67</v>
      </c>
      <c r="O1754" t="s">
        <v>19</v>
      </c>
      <c r="P1754" t="s">
        <v>1267</v>
      </c>
      <c r="Q1754" t="s">
        <v>19</v>
      </c>
      <c r="R1754" t="str">
        <f>HYPERLINK("https://cfpub.epa.gov/ecotox/explore.cfm?ncbi=8932","Explore in ECOTOX")</f>
        <v>Explore in ECOTOX</v>
      </c>
    </row>
    <row r="1755" spans="1:18" x14ac:dyDescent="0.45">
      <c r="A1755" t="s">
        <v>1266</v>
      </c>
      <c r="B1755">
        <v>8</v>
      </c>
      <c r="C1755" t="str">
        <f>HYPERLINK("http://www.ncbi.nlm.nih.gov/protein/XP_040823752.1","XP_040823752.1")</f>
        <v>XP_040823752.1</v>
      </c>
      <c r="D1755">
        <v>42449</v>
      </c>
      <c r="E1755" t="str">
        <f>HYPERLINK("http://www.ncbi.nlm.nih.gov/Taxonomy/Browser/wwwtax.cgi?mode=Info&amp;id=130825&amp;lvl=3&amp;lin=f&amp;keep=1&amp;srchmode=1&amp;unlock","130825")</f>
        <v>130825</v>
      </c>
      <c r="F1755" t="s">
        <v>96</v>
      </c>
      <c r="G1755" t="str">
        <f>HYPERLINK("http://www.ncbi.nlm.nih.gov/Taxonomy/Browser/wwwtax.cgi?mode=Info&amp;id=130825&amp;lvl=3&amp;lin=f&amp;keep=1&amp;srchmode=1&amp;unlock","Ochotona curzoniae")</f>
        <v>Ochotona curzoniae</v>
      </c>
      <c r="H1755" t="s">
        <v>354</v>
      </c>
      <c r="I1755" t="str">
        <f>HYPERLINK("http://www.ncbi.nlm.nih.gov/protein/XP_040823752.1","ryanodine receptor 2")</f>
        <v>ryanodine receptor 2</v>
      </c>
      <c r="J1755">
        <v>8586.85</v>
      </c>
      <c r="K1755" t="s">
        <v>19</v>
      </c>
      <c r="L1755">
        <v>1210</v>
      </c>
      <c r="M1755">
        <v>7.13</v>
      </c>
      <c r="N1755">
        <v>83.67</v>
      </c>
      <c r="O1755" t="s">
        <v>19</v>
      </c>
      <c r="P1755" t="s">
        <v>1267</v>
      </c>
      <c r="Q1755" t="s">
        <v>19</v>
      </c>
      <c r="R1755" t="str">
        <f>HYPERLINK("https://cfpub.epa.gov/ecotox/explore.cfm?ncbi=130825","Explore in ECOTOX")</f>
        <v>Explore in ECOTOX</v>
      </c>
    </row>
    <row r="1756" spans="1:18" x14ac:dyDescent="0.45">
      <c r="A1756" t="s">
        <v>1266</v>
      </c>
      <c r="B1756">
        <v>8</v>
      </c>
      <c r="C1756" t="str">
        <f>HYPERLINK("http://www.ncbi.nlm.nih.gov/protein/XP_044614482.1","XP_044614482.1")</f>
        <v>XP_044614482.1</v>
      </c>
      <c r="D1756">
        <v>60887</v>
      </c>
      <c r="E1756" t="str">
        <f>HYPERLINK("http://www.ncbi.nlm.nih.gov/Taxonomy/Browser/wwwtax.cgi?mode=Info&amp;id=9793&amp;lvl=3&amp;lin=f&amp;keep=1&amp;srchmode=1&amp;unlock","9793")</f>
        <v>9793</v>
      </c>
      <c r="F1756" t="s">
        <v>96</v>
      </c>
      <c r="G1756" t="str">
        <f>HYPERLINK("http://www.ncbi.nlm.nih.gov/Taxonomy/Browser/wwwtax.cgi?mode=Info&amp;id=9793&amp;lvl=3&amp;lin=f&amp;keep=1&amp;srchmode=1&amp;unlock","Equus asinus")</f>
        <v>Equus asinus</v>
      </c>
      <c r="H1756" t="s">
        <v>396</v>
      </c>
      <c r="I1756" t="str">
        <f>HYPERLINK("http://www.ncbi.nlm.nih.gov/protein/XP_044614482.1","ryanodine receptor 2 isoform X5")</f>
        <v>ryanodine receptor 2 isoform X5</v>
      </c>
      <c r="J1756">
        <v>8586.08</v>
      </c>
      <c r="K1756" t="s">
        <v>19</v>
      </c>
      <c r="L1756">
        <v>1210</v>
      </c>
      <c r="M1756">
        <v>7.13</v>
      </c>
      <c r="N1756">
        <v>83.66</v>
      </c>
      <c r="O1756" t="s">
        <v>19</v>
      </c>
      <c r="P1756" t="s">
        <v>1267</v>
      </c>
      <c r="Q1756" t="s">
        <v>19</v>
      </c>
      <c r="R1756" t="str">
        <f>HYPERLINK("https://cfpub.epa.gov/ecotox/explore.cfm?ncbi=9793","Explore in ECOTOX")</f>
        <v>Explore in ECOTOX</v>
      </c>
    </row>
    <row r="1757" spans="1:18" x14ac:dyDescent="0.45">
      <c r="A1757" t="s">
        <v>1266</v>
      </c>
      <c r="B1757">
        <v>8</v>
      </c>
      <c r="C1757" t="str">
        <f>HYPERLINK("http://www.ncbi.nlm.nih.gov/protein/XP_042651769.1","XP_042651769.1")</f>
        <v>XP_042651769.1</v>
      </c>
      <c r="D1757">
        <v>53398</v>
      </c>
      <c r="E1757" t="str">
        <f>HYPERLINK("http://www.ncbi.nlm.nih.gov/Taxonomy/Browser/wwwtax.cgi?mode=Info&amp;id=56313&amp;lvl=3&amp;lin=f&amp;keep=1&amp;srchmode=1&amp;unlock","56313")</f>
        <v>56313</v>
      </c>
      <c r="F1757" t="s">
        <v>241</v>
      </c>
      <c r="G1757" t="str">
        <f>HYPERLINK("http://www.ncbi.nlm.nih.gov/Taxonomy/Browser/wwwtax.cgi?mode=Info&amp;id=56313&amp;lvl=3&amp;lin=f&amp;keep=1&amp;srchmode=1&amp;unlock","Tyto alba")</f>
        <v>Tyto alba</v>
      </c>
      <c r="H1757" t="s">
        <v>266</v>
      </c>
      <c r="I1757" t="str">
        <f>HYPERLINK("http://www.ncbi.nlm.nih.gov/protein/XP_042651769.1","ryanodine receptor 2 isoform X5")</f>
        <v>ryanodine receptor 2 isoform X5</v>
      </c>
      <c r="J1757">
        <v>8584.93</v>
      </c>
      <c r="K1757" t="s">
        <v>19</v>
      </c>
      <c r="L1757">
        <v>1210</v>
      </c>
      <c r="M1757">
        <v>7.13</v>
      </c>
      <c r="N1757">
        <v>83.65</v>
      </c>
      <c r="O1757" t="s">
        <v>19</v>
      </c>
      <c r="P1757" t="s">
        <v>1267</v>
      </c>
      <c r="Q1757" t="s">
        <v>19</v>
      </c>
      <c r="R1757" t="str">
        <f>HYPERLINK("https://cfpub.epa.gov/ecotox/explore.cfm?ncbi=56313","Explore in ECOTOX")</f>
        <v>Explore in ECOTOX</v>
      </c>
    </row>
    <row r="1758" spans="1:18" x14ac:dyDescent="0.45">
      <c r="A1758" t="s">
        <v>1266</v>
      </c>
      <c r="B1758">
        <v>8</v>
      </c>
      <c r="C1758" t="str">
        <f>HYPERLINK("http://www.ncbi.nlm.nih.gov/protein/XP_011727740.1","XP_011727740.1")</f>
        <v>XP_011727740.1</v>
      </c>
      <c r="D1758">
        <v>68732</v>
      </c>
      <c r="E1758" t="str">
        <f>HYPERLINK("http://www.ncbi.nlm.nih.gov/Taxonomy/Browser/wwwtax.cgi?mode=Info&amp;id=9545&amp;lvl=3&amp;lin=f&amp;keep=1&amp;srchmode=1&amp;unlock","9545")</f>
        <v>9545</v>
      </c>
      <c r="F1758" t="s">
        <v>96</v>
      </c>
      <c r="G1758" t="str">
        <f>HYPERLINK("http://www.ncbi.nlm.nih.gov/Taxonomy/Browser/wwwtax.cgi?mode=Info&amp;id=9545&amp;lvl=3&amp;lin=f&amp;keep=1&amp;srchmode=1&amp;unlock","Macaca nemestrina")</f>
        <v>Macaca nemestrina</v>
      </c>
      <c r="H1758" t="s">
        <v>340</v>
      </c>
      <c r="I1758" t="str">
        <f>HYPERLINK("http://www.ncbi.nlm.nih.gov/protein/XP_011727740.1","ryanodine receptor 2")</f>
        <v>ryanodine receptor 2</v>
      </c>
      <c r="J1758">
        <v>8584.5400000000009</v>
      </c>
      <c r="K1758" t="s">
        <v>19</v>
      </c>
      <c r="L1758">
        <v>1210</v>
      </c>
      <c r="M1758">
        <v>7.13</v>
      </c>
      <c r="N1758">
        <v>83.65</v>
      </c>
      <c r="O1758" t="s">
        <v>19</v>
      </c>
      <c r="P1758" t="s">
        <v>1267</v>
      </c>
      <c r="Q1758" t="s">
        <v>19</v>
      </c>
      <c r="R1758" t="str">
        <f>HYPERLINK("https://cfpub.epa.gov/ecotox/explore.cfm?ncbi=9545","Explore in ECOTOX")</f>
        <v>Explore in ECOTOX</v>
      </c>
    </row>
    <row r="1759" spans="1:18" x14ac:dyDescent="0.45">
      <c r="A1759" t="s">
        <v>1266</v>
      </c>
      <c r="B1759">
        <v>8</v>
      </c>
      <c r="C1759" t="str">
        <f>HYPERLINK("http://www.ncbi.nlm.nih.gov/protein/XP_040320835.1","XP_040320835.1")</f>
        <v>XP_040320835.1</v>
      </c>
      <c r="D1759">
        <v>55681</v>
      </c>
      <c r="E1759" t="str">
        <f>HYPERLINK("http://www.ncbi.nlm.nih.gov/Taxonomy/Browser/wwwtax.cgi?mode=Info&amp;id=1608482&amp;lvl=3&amp;lin=f&amp;keep=1&amp;srchmode=1&amp;unlock","1608482")</f>
        <v>1608482</v>
      </c>
      <c r="F1759" t="s">
        <v>96</v>
      </c>
      <c r="G1759" t="str">
        <f>HYPERLINK("http://www.ncbi.nlm.nih.gov/Taxonomy/Browser/wwwtax.cgi?mode=Info&amp;id=1608482&amp;lvl=3&amp;lin=f&amp;keep=1&amp;srchmode=1&amp;unlock","Puma yagouaroundi")</f>
        <v>Puma yagouaroundi</v>
      </c>
      <c r="H1759" t="s">
        <v>283</v>
      </c>
      <c r="I1759" t="str">
        <f>HYPERLINK("http://www.ncbi.nlm.nih.gov/protein/XP_040320835.1","ryanodine receptor 2 isoform X11")</f>
        <v>ryanodine receptor 2 isoform X11</v>
      </c>
      <c r="J1759">
        <v>8584.5400000000009</v>
      </c>
      <c r="K1759" t="s">
        <v>19</v>
      </c>
      <c r="L1759">
        <v>1210</v>
      </c>
      <c r="M1759">
        <v>7.13</v>
      </c>
      <c r="N1759">
        <v>83.65</v>
      </c>
      <c r="O1759" t="s">
        <v>19</v>
      </c>
      <c r="P1759" t="s">
        <v>1267</v>
      </c>
      <c r="Q1759" t="s">
        <v>19</v>
      </c>
      <c r="R1759" t="str">
        <f>HYPERLINK("https://cfpub.epa.gov/ecotox/explore.cfm?ncbi=1608482","Explore in ECOTOX")</f>
        <v>Explore in ECOTOX</v>
      </c>
    </row>
    <row r="1760" spans="1:18" x14ac:dyDescent="0.45">
      <c r="A1760" t="s">
        <v>1266</v>
      </c>
      <c r="B1760">
        <v>8</v>
      </c>
      <c r="C1760" t="str">
        <f>HYPERLINK("http://www.ncbi.nlm.nih.gov/protein/XP_058525375.1","XP_058525375.1")</f>
        <v>XP_058525375.1</v>
      </c>
      <c r="D1760">
        <v>40366</v>
      </c>
      <c r="E1760" t="str">
        <f>HYPERLINK("http://www.ncbi.nlm.nih.gov/Taxonomy/Browser/wwwtax.cgi?mode=Info&amp;id=9978&amp;lvl=3&amp;lin=f&amp;keep=1&amp;srchmode=1&amp;unlock","9978")</f>
        <v>9978</v>
      </c>
      <c r="F1760" t="s">
        <v>96</v>
      </c>
      <c r="G1760" t="str">
        <f>HYPERLINK("http://www.ncbi.nlm.nih.gov/Taxonomy/Browser/wwwtax.cgi?mode=Info&amp;id=9978&amp;lvl=3&amp;lin=f&amp;keep=1&amp;srchmode=1&amp;unlock","Ochotona princeps")</f>
        <v>Ochotona princeps</v>
      </c>
      <c r="H1760" t="s">
        <v>358</v>
      </c>
      <c r="I1760" t="str">
        <f>HYPERLINK("http://www.ncbi.nlm.nih.gov/protein/XP_058525375.1","ryanodine receptor 2")</f>
        <v>ryanodine receptor 2</v>
      </c>
      <c r="J1760">
        <v>8584.16</v>
      </c>
      <c r="K1760" t="s">
        <v>19</v>
      </c>
      <c r="L1760">
        <v>1210</v>
      </c>
      <c r="M1760">
        <v>7.13</v>
      </c>
      <c r="N1760">
        <v>83.64</v>
      </c>
      <c r="O1760" t="s">
        <v>19</v>
      </c>
      <c r="P1760" t="s">
        <v>1267</v>
      </c>
      <c r="Q1760" t="s">
        <v>19</v>
      </c>
      <c r="R1760" t="str">
        <f>HYPERLINK("https://cfpub.epa.gov/ecotox/explore.cfm?ncbi=9978","Explore in ECOTOX")</f>
        <v>Explore in ECOTOX</v>
      </c>
    </row>
    <row r="1761" spans="1:18" x14ac:dyDescent="0.45">
      <c r="A1761" t="s">
        <v>1266</v>
      </c>
      <c r="B1761">
        <v>8</v>
      </c>
      <c r="C1761" t="str">
        <f>HYPERLINK("http://www.ncbi.nlm.nih.gov/protein/XP_011791152.1","XP_011791152.1")</f>
        <v>XP_011791152.1</v>
      </c>
      <c r="D1761">
        <v>38676</v>
      </c>
      <c r="E1761" t="str">
        <f>HYPERLINK("http://www.ncbi.nlm.nih.gov/Taxonomy/Browser/wwwtax.cgi?mode=Info&amp;id=336983&amp;lvl=3&amp;lin=f&amp;keep=1&amp;srchmode=1&amp;unlock","336983")</f>
        <v>336983</v>
      </c>
      <c r="F1761" t="s">
        <v>96</v>
      </c>
      <c r="G1761" t="str">
        <f>HYPERLINK("http://www.ncbi.nlm.nih.gov/Taxonomy/Browser/wwwtax.cgi?mode=Info&amp;id=336983&amp;lvl=3&amp;lin=f&amp;keep=1&amp;srchmode=1&amp;unlock","Colobus angolensis palliatus")</f>
        <v>Colobus angolensis palliatus</v>
      </c>
      <c r="H1761" t="s">
        <v>370</v>
      </c>
      <c r="I1761" t="str">
        <f>HYPERLINK("http://www.ncbi.nlm.nih.gov/protein/XP_011791152.1","PREDICTED: ryanodine receptor 2")</f>
        <v>PREDICTED: ryanodine receptor 2</v>
      </c>
      <c r="J1761">
        <v>8583.77</v>
      </c>
      <c r="K1761" t="s">
        <v>19</v>
      </c>
      <c r="L1761">
        <v>1210</v>
      </c>
      <c r="M1761">
        <v>7.13</v>
      </c>
      <c r="N1761">
        <v>83.64</v>
      </c>
      <c r="O1761" t="s">
        <v>19</v>
      </c>
      <c r="P1761" t="s">
        <v>1267</v>
      </c>
      <c r="Q1761" t="s">
        <v>19</v>
      </c>
      <c r="R1761" t="str">
        <f>HYPERLINK("https://cfpub.epa.gov/ecotox/explore.cfm?ncbi=336983","Explore in ECOTOX")</f>
        <v>Explore in ECOTOX</v>
      </c>
    </row>
    <row r="1762" spans="1:18" x14ac:dyDescent="0.45">
      <c r="A1762" t="s">
        <v>1266</v>
      </c>
      <c r="B1762">
        <v>8</v>
      </c>
      <c r="C1762" t="str">
        <f>HYPERLINK("http://www.ncbi.nlm.nih.gov/protein/XP_025864563.1","XP_025864563.1")</f>
        <v>XP_025864563.1</v>
      </c>
      <c r="D1762">
        <v>38509</v>
      </c>
      <c r="E1762" t="str">
        <f>HYPERLINK("http://www.ncbi.nlm.nih.gov/Taxonomy/Browser/wwwtax.cgi?mode=Info&amp;id=9627&amp;lvl=3&amp;lin=f&amp;keep=1&amp;srchmode=1&amp;unlock","9627")</f>
        <v>9627</v>
      </c>
      <c r="F1762" t="s">
        <v>96</v>
      </c>
      <c r="G1762" t="str">
        <f>HYPERLINK("http://www.ncbi.nlm.nih.gov/Taxonomy/Browser/wwwtax.cgi?mode=Info&amp;id=9627&amp;lvl=3&amp;lin=f&amp;keep=1&amp;srchmode=1&amp;unlock","Vulpes vulpes")</f>
        <v>Vulpes vulpes</v>
      </c>
      <c r="H1762" t="s">
        <v>330</v>
      </c>
      <c r="I1762" t="str">
        <f>HYPERLINK("http://www.ncbi.nlm.nih.gov/protein/XP_025864563.1","ryanodine receptor 2")</f>
        <v>ryanodine receptor 2</v>
      </c>
      <c r="J1762">
        <v>8583.77</v>
      </c>
      <c r="K1762" t="s">
        <v>19</v>
      </c>
      <c r="L1762">
        <v>1210</v>
      </c>
      <c r="M1762">
        <v>7.13</v>
      </c>
      <c r="N1762">
        <v>83.64</v>
      </c>
      <c r="O1762" t="s">
        <v>19</v>
      </c>
      <c r="P1762" t="s">
        <v>1267</v>
      </c>
      <c r="Q1762" t="s">
        <v>19</v>
      </c>
      <c r="R1762" t="str">
        <f>HYPERLINK("https://cfpub.epa.gov/ecotox/explore.cfm?ncbi=9627","Explore in ECOTOX")</f>
        <v>Explore in ECOTOX</v>
      </c>
    </row>
    <row r="1763" spans="1:18" x14ac:dyDescent="0.45">
      <c r="A1763" t="s">
        <v>1266</v>
      </c>
      <c r="B1763">
        <v>8</v>
      </c>
      <c r="C1763" t="str">
        <f>HYPERLINK("http://www.ncbi.nlm.nih.gov/protein/XP_032286209.1","XP_032286209.1")</f>
        <v>XP_032286209.1</v>
      </c>
      <c r="D1763">
        <v>45680</v>
      </c>
      <c r="E1763" t="str">
        <f>HYPERLINK("http://www.ncbi.nlm.nih.gov/Taxonomy/Browser/wwwtax.cgi?mode=Info&amp;id=9720&amp;lvl=3&amp;lin=f&amp;keep=1&amp;srchmode=1&amp;unlock","9720")</f>
        <v>9720</v>
      </c>
      <c r="F1763" t="s">
        <v>96</v>
      </c>
      <c r="G1763" t="str">
        <f>HYPERLINK("http://www.ncbi.nlm.nih.gov/Taxonomy/Browser/wwwtax.cgi?mode=Info&amp;id=9720&amp;lvl=3&amp;lin=f&amp;keep=1&amp;srchmode=1&amp;unlock","Phoca vitulina")</f>
        <v>Phoca vitulina</v>
      </c>
      <c r="H1763" t="s">
        <v>337</v>
      </c>
      <c r="I1763" t="str">
        <f>HYPERLINK("http://www.ncbi.nlm.nih.gov/protein/XP_032286209.1","ryanodine receptor 2 isoform X1")</f>
        <v>ryanodine receptor 2 isoform X1</v>
      </c>
      <c r="J1763">
        <v>8583.39</v>
      </c>
      <c r="K1763" t="s">
        <v>19</v>
      </c>
      <c r="L1763">
        <v>1210</v>
      </c>
      <c r="M1763">
        <v>7.13</v>
      </c>
      <c r="N1763">
        <v>83.64</v>
      </c>
      <c r="O1763" t="s">
        <v>19</v>
      </c>
      <c r="P1763" t="s">
        <v>1267</v>
      </c>
      <c r="Q1763" t="s">
        <v>19</v>
      </c>
      <c r="R1763" t="str">
        <f>HYPERLINK("https://cfpub.epa.gov/ecotox/explore.cfm?ncbi=9720","Explore in ECOTOX")</f>
        <v>Explore in ECOTOX</v>
      </c>
    </row>
    <row r="1764" spans="1:18" x14ac:dyDescent="0.45">
      <c r="A1764" t="s">
        <v>1266</v>
      </c>
      <c r="B1764">
        <v>8</v>
      </c>
      <c r="C1764" t="str">
        <f>HYPERLINK("http://www.ncbi.nlm.nih.gov/protein/XP_023502720.1","XP_023502720.1")</f>
        <v>XP_023502720.1</v>
      </c>
      <c r="D1764">
        <v>68413</v>
      </c>
      <c r="E1764" t="str">
        <f>HYPERLINK("http://www.ncbi.nlm.nih.gov/Taxonomy/Browser/wwwtax.cgi?mode=Info&amp;id=9796&amp;lvl=3&amp;lin=f&amp;keep=1&amp;srchmode=1&amp;unlock","9796")</f>
        <v>9796</v>
      </c>
      <c r="F1764" t="s">
        <v>96</v>
      </c>
      <c r="G1764" t="str">
        <f>HYPERLINK("http://www.ncbi.nlm.nih.gov/Taxonomy/Browser/wwwtax.cgi?mode=Info&amp;id=9796&amp;lvl=3&amp;lin=f&amp;keep=1&amp;srchmode=1&amp;unlock","Equus caballus")</f>
        <v>Equus caballus</v>
      </c>
      <c r="H1764" t="s">
        <v>410</v>
      </c>
      <c r="I1764" t="str">
        <f>HYPERLINK("http://www.ncbi.nlm.nih.gov/protein/XP_023502720.1","ryanodine receptor 2 isoform X8")</f>
        <v>ryanodine receptor 2 isoform X8</v>
      </c>
      <c r="J1764">
        <v>8583</v>
      </c>
      <c r="K1764" t="s">
        <v>19</v>
      </c>
      <c r="L1764">
        <v>1210</v>
      </c>
      <c r="M1764">
        <v>7.13</v>
      </c>
      <c r="N1764">
        <v>83.63</v>
      </c>
      <c r="O1764" t="s">
        <v>19</v>
      </c>
      <c r="P1764" t="s">
        <v>1267</v>
      </c>
      <c r="Q1764" t="s">
        <v>19</v>
      </c>
      <c r="R1764" t="str">
        <f>HYPERLINK("https://cfpub.epa.gov/ecotox/explore.cfm?ncbi=9796","Explore in ECOTOX")</f>
        <v>Explore in ECOTOX</v>
      </c>
    </row>
    <row r="1765" spans="1:18" x14ac:dyDescent="0.45">
      <c r="A1765" t="s">
        <v>1266</v>
      </c>
      <c r="B1765">
        <v>8</v>
      </c>
      <c r="C1765" t="str">
        <f>HYPERLINK("http://www.ncbi.nlm.nih.gov/protein/XP_031790761.1","XP_031790761.1")</f>
        <v>XP_031790761.1</v>
      </c>
      <c r="D1765">
        <v>52625</v>
      </c>
      <c r="E1765" t="str">
        <f>HYPERLINK("http://www.ncbi.nlm.nih.gov/Taxonomy/Browser/wwwtax.cgi?mode=Info&amp;id=591936&amp;lvl=3&amp;lin=f&amp;keep=1&amp;srchmode=1&amp;unlock","591936")</f>
        <v>591936</v>
      </c>
      <c r="F1765" t="s">
        <v>96</v>
      </c>
      <c r="G1765" t="str">
        <f>HYPERLINK("http://www.ncbi.nlm.nih.gov/Taxonomy/Browser/wwwtax.cgi?mode=Info&amp;id=591936&amp;lvl=3&amp;lin=f&amp;keep=1&amp;srchmode=1&amp;unlock","Piliocolobus tephrosceles")</f>
        <v>Piliocolobus tephrosceles</v>
      </c>
      <c r="H1765" t="s">
        <v>361</v>
      </c>
      <c r="I1765" t="str">
        <f>HYPERLINK("http://www.ncbi.nlm.nih.gov/protein/XP_031790761.1","ryanodine receptor 2")</f>
        <v>ryanodine receptor 2</v>
      </c>
      <c r="J1765">
        <v>8583</v>
      </c>
      <c r="K1765" t="s">
        <v>19</v>
      </c>
      <c r="L1765">
        <v>1210</v>
      </c>
      <c r="M1765">
        <v>7.13</v>
      </c>
      <c r="N1765">
        <v>83.63</v>
      </c>
      <c r="O1765" t="s">
        <v>19</v>
      </c>
      <c r="P1765" t="s">
        <v>1267</v>
      </c>
      <c r="Q1765" t="s">
        <v>19</v>
      </c>
      <c r="R1765" t="str">
        <f>HYPERLINK("https://cfpub.epa.gov/ecotox/explore.cfm?ncbi=591936","Explore in ECOTOX")</f>
        <v>Explore in ECOTOX</v>
      </c>
    </row>
    <row r="1766" spans="1:18" x14ac:dyDescent="0.45">
      <c r="A1766" t="s">
        <v>1266</v>
      </c>
      <c r="B1766">
        <v>8</v>
      </c>
      <c r="C1766" t="str">
        <f>HYPERLINK("http://www.ncbi.nlm.nih.gov/protein/XP_019405355.1","XP_019405355.1")</f>
        <v>XP_019405355.1</v>
      </c>
      <c r="D1766">
        <v>29041</v>
      </c>
      <c r="E1766" t="str">
        <f>HYPERLINK("http://www.ncbi.nlm.nih.gov/Taxonomy/Browser/wwwtax.cgi?mode=Info&amp;id=8502&amp;lvl=3&amp;lin=f&amp;keep=1&amp;srchmode=1&amp;unlock","8502")</f>
        <v>8502</v>
      </c>
      <c r="F1766" t="s">
        <v>214</v>
      </c>
      <c r="G1766" t="str">
        <f>HYPERLINK("http://www.ncbi.nlm.nih.gov/Taxonomy/Browser/wwwtax.cgi?mode=Info&amp;id=8502&amp;lvl=3&amp;lin=f&amp;keep=1&amp;srchmode=1&amp;unlock","Crocodylus porosus")</f>
        <v>Crocodylus porosus</v>
      </c>
      <c r="H1766" t="s">
        <v>537</v>
      </c>
      <c r="I1766" t="str">
        <f>HYPERLINK("http://www.ncbi.nlm.nih.gov/protein/XP_019405355.1","PREDICTED: ryanodine receptor 2")</f>
        <v>PREDICTED: ryanodine receptor 2</v>
      </c>
      <c r="J1766">
        <v>8583</v>
      </c>
      <c r="K1766" t="s">
        <v>19</v>
      </c>
      <c r="L1766">
        <v>1210</v>
      </c>
      <c r="M1766">
        <v>7.13</v>
      </c>
      <c r="N1766">
        <v>83.63</v>
      </c>
      <c r="O1766" t="s">
        <v>19</v>
      </c>
      <c r="P1766" t="s">
        <v>1267</v>
      </c>
      <c r="Q1766" t="s">
        <v>19</v>
      </c>
      <c r="R1766" t="str">
        <f>HYPERLINK("https://cfpub.epa.gov/ecotox/explore.cfm?ncbi=8502","Explore in ECOTOX")</f>
        <v>Explore in ECOTOX</v>
      </c>
    </row>
    <row r="1767" spans="1:18" x14ac:dyDescent="0.45">
      <c r="A1767" t="s">
        <v>1266</v>
      </c>
      <c r="B1767">
        <v>8</v>
      </c>
      <c r="C1767" t="str">
        <f>HYPERLINK("http://www.ncbi.nlm.nih.gov/protein/XP_061221713.1","XP_061221713.1")</f>
        <v>XP_061221713.1</v>
      </c>
      <c r="D1767">
        <v>38094</v>
      </c>
      <c r="E1767" t="str">
        <f>HYPERLINK("http://www.ncbi.nlm.nih.gov/Taxonomy/Browser/wwwtax.cgi?mode=Info&amp;id=309878&amp;lvl=3&amp;lin=f&amp;keep=1&amp;srchmode=1&amp;unlock","309878")</f>
        <v>309878</v>
      </c>
      <c r="F1767" t="s">
        <v>241</v>
      </c>
      <c r="G1767" t="str">
        <f>HYPERLINK("http://www.ncbi.nlm.nih.gov/Taxonomy/Browser/wwwtax.cgi?mode=Info&amp;id=309878&amp;lvl=3&amp;lin=f&amp;keep=1&amp;srchmode=1&amp;unlock","Neopsephotus bourkii")</f>
        <v>Neopsephotus bourkii</v>
      </c>
      <c r="H1767" t="s">
        <v>538</v>
      </c>
      <c r="I1767" t="str">
        <f>HYPERLINK("http://www.ncbi.nlm.nih.gov/protein/XP_061221713.1","ryanodine receptor 2 isoform X5")</f>
        <v>ryanodine receptor 2 isoform X5</v>
      </c>
      <c r="J1767">
        <v>8581.4599999999991</v>
      </c>
      <c r="K1767" t="s">
        <v>19</v>
      </c>
      <c r="L1767">
        <v>1210</v>
      </c>
      <c r="M1767">
        <v>7.13</v>
      </c>
      <c r="N1767">
        <v>83.62</v>
      </c>
      <c r="O1767" t="s">
        <v>19</v>
      </c>
      <c r="P1767" t="s">
        <v>1267</v>
      </c>
      <c r="Q1767" t="s">
        <v>19</v>
      </c>
      <c r="R1767" t="str">
        <f>HYPERLINK("https://cfpub.epa.gov/ecotox/explore.cfm?ncbi=309878","Explore in ECOTOX")</f>
        <v>Explore in ECOTOX</v>
      </c>
    </row>
    <row r="1768" spans="1:18" x14ac:dyDescent="0.45">
      <c r="A1768" t="s">
        <v>1266</v>
      </c>
      <c r="B1768">
        <v>8</v>
      </c>
      <c r="C1768" t="str">
        <f>HYPERLINK("http://www.ncbi.nlm.nih.gov/protein/XP_029324161.1","XP_029324161.1")</f>
        <v>XP_029324161.1</v>
      </c>
      <c r="D1768">
        <v>47681</v>
      </c>
      <c r="E1768" t="str">
        <f>HYPERLINK("http://www.ncbi.nlm.nih.gov/Taxonomy/Browser/wwwtax.cgi?mode=Info&amp;id=10089&amp;lvl=3&amp;lin=f&amp;keep=1&amp;srchmode=1&amp;unlock","10089")</f>
        <v>10089</v>
      </c>
      <c r="F1768" t="s">
        <v>96</v>
      </c>
      <c r="G1768" t="str">
        <f>HYPERLINK("http://www.ncbi.nlm.nih.gov/Taxonomy/Browser/wwwtax.cgi?mode=Info&amp;id=10089&amp;lvl=3&amp;lin=f&amp;keep=1&amp;srchmode=1&amp;unlock","Mus caroli")</f>
        <v>Mus caroli</v>
      </c>
      <c r="H1768" t="s">
        <v>353</v>
      </c>
      <c r="I1768" t="str">
        <f>HYPERLINK("http://www.ncbi.nlm.nih.gov/protein/XP_029324161.1","ryanodine receptor 2 isoform X10")</f>
        <v>ryanodine receptor 2 isoform X10</v>
      </c>
      <c r="J1768">
        <v>8581.08</v>
      </c>
      <c r="K1768" t="s">
        <v>19</v>
      </c>
      <c r="L1768">
        <v>1210</v>
      </c>
      <c r="M1768">
        <v>7.13</v>
      </c>
      <c r="N1768">
        <v>83.61</v>
      </c>
      <c r="O1768" t="s">
        <v>19</v>
      </c>
      <c r="P1768" t="s">
        <v>1267</v>
      </c>
      <c r="Q1768" t="s">
        <v>19</v>
      </c>
      <c r="R1768" t="str">
        <f>HYPERLINK("https://cfpub.epa.gov/ecotox/explore.cfm?ncbi=10089","Explore in ECOTOX")</f>
        <v>Explore in ECOTOX</v>
      </c>
    </row>
    <row r="1769" spans="1:18" x14ac:dyDescent="0.45">
      <c r="A1769" t="s">
        <v>1266</v>
      </c>
      <c r="B1769">
        <v>8</v>
      </c>
      <c r="C1769" t="str">
        <f>HYPERLINK("http://www.ncbi.nlm.nih.gov/protein/XP_034864419.1","XP_034864419.1")</f>
        <v>XP_034864419.1</v>
      </c>
      <c r="D1769">
        <v>64808</v>
      </c>
      <c r="E1769" t="str">
        <f>HYPERLINK("http://www.ncbi.nlm.nih.gov/Taxonomy/Browser/wwwtax.cgi?mode=Info&amp;id=9715&amp;lvl=3&amp;lin=f&amp;keep=1&amp;srchmode=1&amp;unlock","9715")</f>
        <v>9715</v>
      </c>
      <c r="F1769" t="s">
        <v>96</v>
      </c>
      <c r="G1769" t="str">
        <f>HYPERLINK("http://www.ncbi.nlm.nih.gov/Taxonomy/Browser/wwwtax.cgi?mode=Info&amp;id=9715&amp;lvl=3&amp;lin=f&amp;keep=1&amp;srchmode=1&amp;unlock","Mirounga leonina")</f>
        <v>Mirounga leonina</v>
      </c>
      <c r="H1769" t="s">
        <v>350</v>
      </c>
      <c r="I1769" t="str">
        <f>HYPERLINK("http://www.ncbi.nlm.nih.gov/protein/XP_034864419.1","ryanodine receptor 2")</f>
        <v>ryanodine receptor 2</v>
      </c>
      <c r="J1769">
        <v>8580.31</v>
      </c>
      <c r="K1769" t="s">
        <v>19</v>
      </c>
      <c r="L1769">
        <v>1210</v>
      </c>
      <c r="M1769">
        <v>7.13</v>
      </c>
      <c r="N1769">
        <v>83.61</v>
      </c>
      <c r="O1769" t="s">
        <v>19</v>
      </c>
      <c r="P1769" t="s">
        <v>1267</v>
      </c>
      <c r="Q1769" t="s">
        <v>19</v>
      </c>
      <c r="R1769" t="str">
        <f>HYPERLINK("https://cfpub.epa.gov/ecotox/explore.cfm?ncbi=9715","Explore in ECOTOX")</f>
        <v>Explore in ECOTOX</v>
      </c>
    </row>
    <row r="1770" spans="1:18" x14ac:dyDescent="0.45">
      <c r="A1770" t="s">
        <v>1266</v>
      </c>
      <c r="B1770">
        <v>8</v>
      </c>
      <c r="C1770" t="str">
        <f>HYPERLINK("http://www.ncbi.nlm.nih.gov/protein/NP_001076226.1","NP_001076226.1")</f>
        <v>NP_001076226.1</v>
      </c>
      <c r="D1770">
        <v>81896</v>
      </c>
      <c r="E1770" t="str">
        <f>HYPERLINK("http://www.ncbi.nlm.nih.gov/Taxonomy/Browser/wwwtax.cgi?mode=Info&amp;id=9986&amp;lvl=3&amp;lin=f&amp;keep=1&amp;srchmode=1&amp;unlock","9986")</f>
        <v>9986</v>
      </c>
      <c r="F1770" t="s">
        <v>96</v>
      </c>
      <c r="G1770" t="str">
        <f>HYPERLINK("http://www.ncbi.nlm.nih.gov/Taxonomy/Browser/wwwtax.cgi?mode=Info&amp;id=9986&amp;lvl=3&amp;lin=f&amp;keep=1&amp;srchmode=1&amp;unlock","Oryctolagus cuniculus")</f>
        <v>Oryctolagus cuniculus</v>
      </c>
      <c r="H1770" t="s">
        <v>442</v>
      </c>
      <c r="I1770" t="str">
        <f>HYPERLINK("http://www.ncbi.nlm.nih.gov/protein/NP_001076226.1","ryanodine receptor 2")</f>
        <v>ryanodine receptor 2</v>
      </c>
      <c r="J1770">
        <v>8579.92</v>
      </c>
      <c r="K1770" t="s">
        <v>19</v>
      </c>
      <c r="L1770">
        <v>1210</v>
      </c>
      <c r="M1770">
        <v>7.13</v>
      </c>
      <c r="N1770">
        <v>83.6</v>
      </c>
      <c r="O1770" t="s">
        <v>19</v>
      </c>
      <c r="P1770" t="s">
        <v>1267</v>
      </c>
      <c r="Q1770" t="s">
        <v>19</v>
      </c>
      <c r="R1770" t="str">
        <f>HYPERLINK("https://cfpub.epa.gov/ecotox/explore.cfm?ncbi=9986","Explore in ECOTOX")</f>
        <v>Explore in ECOTOX</v>
      </c>
    </row>
    <row r="1771" spans="1:18" x14ac:dyDescent="0.45">
      <c r="A1771" t="s">
        <v>1266</v>
      </c>
      <c r="B1771">
        <v>8</v>
      </c>
      <c r="C1771" t="str">
        <f>HYPERLINK("http://www.ncbi.nlm.nih.gov/protein/XP_036013831.1","XP_036013831.1")</f>
        <v>XP_036013831.1</v>
      </c>
      <c r="D1771">
        <v>351069</v>
      </c>
      <c r="E1771" t="str">
        <f>HYPERLINK("http://www.ncbi.nlm.nih.gov/Taxonomy/Browser/wwwtax.cgi?mode=Info&amp;id=10090&amp;lvl=3&amp;lin=f&amp;keep=1&amp;srchmode=1&amp;unlock","10090")</f>
        <v>10090</v>
      </c>
      <c r="F1771" t="s">
        <v>96</v>
      </c>
      <c r="G1771" t="str">
        <f>HYPERLINK("http://www.ncbi.nlm.nih.gov/Taxonomy/Browser/wwwtax.cgi?mode=Info&amp;id=10090&amp;lvl=3&amp;lin=f&amp;keep=1&amp;srchmode=1&amp;unlock","Mus musculus")</f>
        <v>Mus musculus</v>
      </c>
      <c r="H1771" t="s">
        <v>347</v>
      </c>
      <c r="I1771" t="str">
        <f>HYPERLINK("http://www.ncbi.nlm.nih.gov/protein/XP_036013831.1","ryanodine receptor 2 isoform X10")</f>
        <v>ryanodine receptor 2 isoform X10</v>
      </c>
      <c r="J1771">
        <v>8579.15</v>
      </c>
      <c r="K1771" t="s">
        <v>19</v>
      </c>
      <c r="L1771">
        <v>1210</v>
      </c>
      <c r="M1771">
        <v>7.13</v>
      </c>
      <c r="N1771">
        <v>83.59</v>
      </c>
      <c r="O1771" t="s">
        <v>19</v>
      </c>
      <c r="P1771" t="s">
        <v>1267</v>
      </c>
      <c r="Q1771" t="s">
        <v>19</v>
      </c>
      <c r="R1771" t="str">
        <f>HYPERLINK("https://cfpub.epa.gov/ecotox/explore.cfm?ncbi=10090","Explore in ECOTOX")</f>
        <v>Explore in ECOTOX</v>
      </c>
    </row>
    <row r="1772" spans="1:18" x14ac:dyDescent="0.45">
      <c r="A1772" t="s">
        <v>1266</v>
      </c>
      <c r="B1772">
        <v>8</v>
      </c>
      <c r="C1772" t="str">
        <f>HYPERLINK("http://www.ncbi.nlm.nih.gov/protein/XP_048792672.1","XP_048792672.1")</f>
        <v>XP_048792672.1</v>
      </c>
      <c r="D1772">
        <v>43884</v>
      </c>
      <c r="E1772" t="str">
        <f>HYPERLINK("http://www.ncbi.nlm.nih.gov/Taxonomy/Browser/wwwtax.cgi?mode=Info&amp;id=64668&amp;lvl=3&amp;lin=f&amp;keep=1&amp;srchmode=1&amp;unlock","64668")</f>
        <v>64668</v>
      </c>
      <c r="F1772" t="s">
        <v>241</v>
      </c>
      <c r="G1772" t="str">
        <f>HYPERLINK("http://www.ncbi.nlm.nih.gov/Taxonomy/Browser/wwwtax.cgi?mode=Info&amp;id=64668&amp;lvl=3&amp;lin=f&amp;keep=1&amp;srchmode=1&amp;unlock","Lagopus muta")</f>
        <v>Lagopus muta</v>
      </c>
      <c r="H1772" t="s">
        <v>465</v>
      </c>
      <c r="I1772" t="str">
        <f>HYPERLINK("http://www.ncbi.nlm.nih.gov/protein/XP_048792672.1","ryanodine receptor 2 isoform X5")</f>
        <v>ryanodine receptor 2 isoform X5</v>
      </c>
      <c r="J1772">
        <v>8578.77</v>
      </c>
      <c r="K1772" t="s">
        <v>19</v>
      </c>
      <c r="L1772">
        <v>1210</v>
      </c>
      <c r="M1772">
        <v>7.13</v>
      </c>
      <c r="N1772">
        <v>83.59</v>
      </c>
      <c r="O1772" t="s">
        <v>19</v>
      </c>
      <c r="P1772" t="s">
        <v>1267</v>
      </c>
      <c r="Q1772" t="s">
        <v>19</v>
      </c>
      <c r="R1772" t="str">
        <f>HYPERLINK("https://cfpub.epa.gov/ecotox/explore.cfm?ncbi=64668","Explore in ECOTOX")</f>
        <v>Explore in ECOTOX</v>
      </c>
    </row>
    <row r="1773" spans="1:18" x14ac:dyDescent="0.45">
      <c r="A1773" t="s">
        <v>1266</v>
      </c>
      <c r="B1773">
        <v>8</v>
      </c>
      <c r="C1773" t="str">
        <f>HYPERLINK("http://www.ncbi.nlm.nih.gov/protein/XP_031448184.1","XP_031448184.1")</f>
        <v>XP_031448184.1</v>
      </c>
      <c r="D1773">
        <v>29436</v>
      </c>
      <c r="E1773" t="str">
        <f>HYPERLINK("http://www.ncbi.nlm.nih.gov/Taxonomy/Browser/wwwtax.cgi?mode=Info&amp;id=9054&amp;lvl=3&amp;lin=f&amp;keep=1&amp;srchmode=1&amp;unlock","9054")</f>
        <v>9054</v>
      </c>
      <c r="F1773" t="s">
        <v>241</v>
      </c>
      <c r="G1773" t="str">
        <f>HYPERLINK("http://www.ncbi.nlm.nih.gov/Taxonomy/Browser/wwwtax.cgi?mode=Info&amp;id=9054&amp;lvl=3&amp;lin=f&amp;keep=1&amp;srchmode=1&amp;unlock","Phasianus colchicus")</f>
        <v>Phasianus colchicus</v>
      </c>
      <c r="H1773" t="s">
        <v>245</v>
      </c>
      <c r="I1773" t="str">
        <f>HYPERLINK("http://www.ncbi.nlm.nih.gov/protein/XP_031448184.1","ryanodine receptor 2")</f>
        <v>ryanodine receptor 2</v>
      </c>
      <c r="J1773">
        <v>8578.3799999999992</v>
      </c>
      <c r="K1773" t="s">
        <v>19</v>
      </c>
      <c r="L1773">
        <v>1210</v>
      </c>
      <c r="M1773">
        <v>7.13</v>
      </c>
      <c r="N1773">
        <v>83.59</v>
      </c>
      <c r="O1773" t="s">
        <v>19</v>
      </c>
      <c r="P1773" t="s">
        <v>1267</v>
      </c>
      <c r="Q1773" t="s">
        <v>19</v>
      </c>
      <c r="R1773" t="str">
        <f>HYPERLINK("https://cfpub.epa.gov/ecotox/explore.cfm?ncbi=9054","Explore in ECOTOX")</f>
        <v>Explore in ECOTOX</v>
      </c>
    </row>
    <row r="1774" spans="1:18" x14ac:dyDescent="0.45">
      <c r="A1774" t="s">
        <v>1266</v>
      </c>
      <c r="B1774">
        <v>8</v>
      </c>
      <c r="C1774" t="str">
        <f>HYPERLINK("http://www.ncbi.nlm.nih.gov/protein/XP_020137255.1","XP_020137255.1")</f>
        <v>XP_020137255.1</v>
      </c>
      <c r="D1774">
        <v>60039</v>
      </c>
      <c r="E1774" t="str">
        <f>HYPERLINK("http://www.ncbi.nlm.nih.gov/Taxonomy/Browser/wwwtax.cgi?mode=Info&amp;id=30608&amp;lvl=3&amp;lin=f&amp;keep=1&amp;srchmode=1&amp;unlock","30608")</f>
        <v>30608</v>
      </c>
      <c r="F1774" t="s">
        <v>96</v>
      </c>
      <c r="G1774" t="str">
        <f>HYPERLINK("http://www.ncbi.nlm.nih.gov/Taxonomy/Browser/wwwtax.cgi?mode=Info&amp;id=30608&amp;lvl=3&amp;lin=f&amp;keep=1&amp;srchmode=1&amp;unlock","Microcebus murinus")</f>
        <v>Microcebus murinus</v>
      </c>
      <c r="H1774" t="s">
        <v>334</v>
      </c>
      <c r="I1774" t="str">
        <f>HYPERLINK("http://www.ncbi.nlm.nih.gov/protein/XP_020137255.1","ryanodine receptor 2 isoform X7")</f>
        <v>ryanodine receptor 2 isoform X7</v>
      </c>
      <c r="J1774">
        <v>8578.3799999999992</v>
      </c>
      <c r="K1774" t="s">
        <v>19</v>
      </c>
      <c r="L1774">
        <v>1210</v>
      </c>
      <c r="M1774">
        <v>7.13</v>
      </c>
      <c r="N1774">
        <v>83.59</v>
      </c>
      <c r="O1774" t="s">
        <v>19</v>
      </c>
      <c r="P1774" t="s">
        <v>1267</v>
      </c>
      <c r="Q1774" t="s">
        <v>19</v>
      </c>
      <c r="R1774" t="str">
        <f>HYPERLINK("https://cfpub.epa.gov/ecotox/explore.cfm?ncbi=30608","Explore in ECOTOX")</f>
        <v>Explore in ECOTOX</v>
      </c>
    </row>
    <row r="1775" spans="1:18" x14ac:dyDescent="0.45">
      <c r="A1775" t="s">
        <v>1266</v>
      </c>
      <c r="B1775">
        <v>8</v>
      </c>
      <c r="C1775" t="str">
        <f>HYPERLINK("http://www.ncbi.nlm.nih.gov/protein/XP_061327178.1","XP_061327178.1")</f>
        <v>XP_061327178.1</v>
      </c>
      <c r="D1775">
        <v>39521</v>
      </c>
      <c r="E1775" t="str">
        <f>HYPERLINK("http://www.ncbi.nlm.nih.gov/Taxonomy/Browser/wwwtax.cgi?mode=Info&amp;id=889875&amp;lvl=3&amp;lin=f&amp;keep=1&amp;srchmode=1&amp;unlock","889875")</f>
        <v>889875</v>
      </c>
      <c r="F1775" t="s">
        <v>241</v>
      </c>
      <c r="G1775" t="str">
        <f>HYPERLINK("http://www.ncbi.nlm.nih.gov/Taxonomy/Browser/wwwtax.cgi?mode=Info&amp;id=889875&amp;lvl=3&amp;lin=f&amp;keep=1&amp;srchmode=1&amp;unlock","Pezoporus flaviventris")</f>
        <v>Pezoporus flaviventris</v>
      </c>
      <c r="H1775" t="s">
        <v>525</v>
      </c>
      <c r="I1775" t="str">
        <f>HYPERLINK("http://www.ncbi.nlm.nih.gov/protein/XP_061327178.1","ryanodine receptor 2 isoform X4")</f>
        <v>ryanodine receptor 2 isoform X4</v>
      </c>
      <c r="J1775">
        <v>8578</v>
      </c>
      <c r="K1775" t="s">
        <v>19</v>
      </c>
      <c r="L1775">
        <v>1210</v>
      </c>
      <c r="M1775">
        <v>7.13</v>
      </c>
      <c r="N1775">
        <v>83.58</v>
      </c>
      <c r="O1775" t="s">
        <v>19</v>
      </c>
      <c r="P1775" t="s">
        <v>1267</v>
      </c>
      <c r="Q1775" t="s">
        <v>19</v>
      </c>
      <c r="R1775" t="str">
        <f>HYPERLINK("https://cfpub.epa.gov/ecotox/explore.cfm?ncbi=889875","Explore in ECOTOX")</f>
        <v>Explore in ECOTOX</v>
      </c>
    </row>
    <row r="1776" spans="1:18" x14ac:dyDescent="0.45">
      <c r="A1776" t="s">
        <v>1266</v>
      </c>
      <c r="B1776">
        <v>8</v>
      </c>
      <c r="C1776" t="str">
        <f>HYPERLINK("http://www.ncbi.nlm.nih.gov/protein/XP_046509453.1","XP_046509453.1")</f>
        <v>XP_046509453.1</v>
      </c>
      <c r="D1776">
        <v>48854</v>
      </c>
      <c r="E1776" t="str">
        <f>HYPERLINK("http://www.ncbi.nlm.nih.gov/Taxonomy/Browser/wwwtax.cgi?mode=Info&amp;id=89248&amp;lvl=3&amp;lin=f&amp;keep=1&amp;srchmode=1&amp;unlock","89248")</f>
        <v>89248</v>
      </c>
      <c r="F1776" t="s">
        <v>96</v>
      </c>
      <c r="G1776" t="str">
        <f>HYPERLINK("http://www.ncbi.nlm.nih.gov/Taxonomy/Browser/wwwtax.cgi?mode=Info&amp;id=89248&amp;lvl=3&amp;lin=f&amp;keep=1&amp;srchmode=1&amp;unlock","Equus quagga")</f>
        <v>Equus quagga</v>
      </c>
      <c r="H1776" t="s">
        <v>393</v>
      </c>
      <c r="I1776" t="str">
        <f>HYPERLINK("http://www.ncbi.nlm.nih.gov/protein/XP_046509453.1","ryanodine receptor 2 isoform X3")</f>
        <v>ryanodine receptor 2 isoform X3</v>
      </c>
      <c r="J1776">
        <v>8578</v>
      </c>
      <c r="K1776" t="s">
        <v>19</v>
      </c>
      <c r="L1776">
        <v>1210</v>
      </c>
      <c r="M1776">
        <v>7.13</v>
      </c>
      <c r="N1776">
        <v>83.58</v>
      </c>
      <c r="O1776" t="s">
        <v>19</v>
      </c>
      <c r="P1776" t="s">
        <v>1267</v>
      </c>
      <c r="Q1776" t="s">
        <v>19</v>
      </c>
      <c r="R1776" t="str">
        <f>HYPERLINK("https://cfpub.epa.gov/ecotox/explore.cfm?ncbi=89248","Explore in ECOTOX")</f>
        <v>Explore in ECOTOX</v>
      </c>
    </row>
    <row r="1777" spans="1:18" x14ac:dyDescent="0.45">
      <c r="A1777" t="s">
        <v>1266</v>
      </c>
      <c r="B1777">
        <v>8</v>
      </c>
      <c r="C1777" t="str">
        <f>HYPERLINK("http://www.ncbi.nlm.nih.gov/protein/XP_057270531.1","XP_057270531.1")</f>
        <v>XP_057270531.1</v>
      </c>
      <c r="D1777">
        <v>36893</v>
      </c>
      <c r="E1777" t="str">
        <f>HYPERLINK("http://www.ncbi.nlm.nih.gov/Taxonomy/Browser/wwwtax.cgi?mode=Info&amp;id=35540&amp;lvl=3&amp;lin=f&amp;keep=1&amp;srchmode=1&amp;unlock","35540")</f>
        <v>35540</v>
      </c>
      <c r="F1777" t="s">
        <v>241</v>
      </c>
      <c r="G1777" t="str">
        <f>HYPERLINK("http://www.ncbi.nlm.nih.gov/Taxonomy/Browser/wwwtax.cgi?mode=Info&amp;id=35540&amp;lvl=3&amp;lin=f&amp;keep=1&amp;srchmode=1&amp;unlock","Pezoporus wallicus")</f>
        <v>Pezoporus wallicus</v>
      </c>
      <c r="H1777" t="s">
        <v>524</v>
      </c>
      <c r="I1777" t="str">
        <f>HYPERLINK("http://www.ncbi.nlm.nih.gov/protein/XP_057270531.1","ryanodine receptor 2 isoform X6")</f>
        <v>ryanodine receptor 2 isoform X6</v>
      </c>
      <c r="J1777">
        <v>8578</v>
      </c>
      <c r="K1777" t="s">
        <v>19</v>
      </c>
      <c r="L1777">
        <v>1210</v>
      </c>
      <c r="M1777">
        <v>7.13</v>
      </c>
      <c r="N1777">
        <v>83.58</v>
      </c>
      <c r="O1777" t="s">
        <v>19</v>
      </c>
      <c r="P1777" t="s">
        <v>1267</v>
      </c>
      <c r="Q1777" t="s">
        <v>19</v>
      </c>
      <c r="R1777" t="str">
        <f>HYPERLINK("https://cfpub.epa.gov/ecotox/explore.cfm?ncbi=35540","Explore in ECOTOX")</f>
        <v>Explore in ECOTOX</v>
      </c>
    </row>
    <row r="1778" spans="1:18" x14ac:dyDescent="0.45">
      <c r="A1778" t="s">
        <v>1266</v>
      </c>
      <c r="B1778">
        <v>8</v>
      </c>
      <c r="C1778" t="str">
        <f>HYPERLINK("http://www.ncbi.nlm.nih.gov/protein/XP_058398937.1","XP_058398937.1")</f>
        <v>XP_058398937.1</v>
      </c>
      <c r="D1778">
        <v>67239</v>
      </c>
      <c r="E1778" t="str">
        <f>HYPERLINK("http://www.ncbi.nlm.nih.gov/Taxonomy/Browser/wwwtax.cgi?mode=Info&amp;id=77932&amp;lvl=3&amp;lin=f&amp;keep=1&amp;srchmode=1&amp;unlock","77932")</f>
        <v>77932</v>
      </c>
      <c r="F1778" t="s">
        <v>96</v>
      </c>
      <c r="G1778" t="str">
        <f>HYPERLINK("http://www.ncbi.nlm.nih.gov/Taxonomy/Browser/wwwtax.cgi?mode=Info&amp;id=77932&amp;lvl=3&amp;lin=f&amp;keep=1&amp;srchmode=1&amp;unlock","Diceros bicornis minor")</f>
        <v>Diceros bicornis minor</v>
      </c>
      <c r="H1778" t="s">
        <v>345</v>
      </c>
      <c r="I1778" t="str">
        <f>HYPERLINK("http://www.ncbi.nlm.nih.gov/protein/XP_058398937.1","ryanodine receptor 2")</f>
        <v>ryanodine receptor 2</v>
      </c>
      <c r="J1778">
        <v>8577.2199999999993</v>
      </c>
      <c r="K1778" t="s">
        <v>19</v>
      </c>
      <c r="L1778">
        <v>1210</v>
      </c>
      <c r="M1778">
        <v>7.13</v>
      </c>
      <c r="N1778">
        <v>83.58</v>
      </c>
      <c r="O1778" t="s">
        <v>19</v>
      </c>
      <c r="P1778" t="s">
        <v>1267</v>
      </c>
      <c r="Q1778" t="s">
        <v>19</v>
      </c>
      <c r="R1778" t="str">
        <f>HYPERLINK("https://cfpub.epa.gov/ecotox/explore.cfm?ncbi=77932","Explore in ECOTOX")</f>
        <v>Explore in ECOTOX</v>
      </c>
    </row>
    <row r="1779" spans="1:18" x14ac:dyDescent="0.45">
      <c r="A1779" t="s">
        <v>1266</v>
      </c>
      <c r="B1779">
        <v>8</v>
      </c>
      <c r="C1779" t="str">
        <f>HYPERLINK("http://www.ncbi.nlm.nih.gov/protein/XP_026505307.1","XP_026505307.1")</f>
        <v>XP_026505307.1</v>
      </c>
      <c r="D1779">
        <v>34224</v>
      </c>
      <c r="E1779" t="str">
        <f>HYPERLINK("http://www.ncbi.nlm.nih.gov/Taxonomy/Browser/wwwtax.cgi?mode=Info&amp;id=2587831&amp;lvl=3&amp;lin=f&amp;keep=1&amp;srchmode=1&amp;unlock","2587831")</f>
        <v>2587831</v>
      </c>
      <c r="F1779" t="s">
        <v>203</v>
      </c>
      <c r="G1779" t="str">
        <f>HYPERLINK("http://www.ncbi.nlm.nih.gov/Taxonomy/Browser/wwwtax.cgi?mode=Info&amp;id=2587831&amp;lvl=3&amp;lin=f&amp;keep=1&amp;srchmode=1&amp;unlock","Terrapene carolina triunguis")</f>
        <v>Terrapene carolina triunguis</v>
      </c>
      <c r="H1779" t="s">
        <v>307</v>
      </c>
      <c r="I1779" t="str">
        <f>HYPERLINK("http://www.ncbi.nlm.nih.gov/protein/XP_026505307.1","ryanodine receptor 2")</f>
        <v>ryanodine receptor 2</v>
      </c>
      <c r="J1779">
        <v>8576.84</v>
      </c>
      <c r="K1779" t="s">
        <v>19</v>
      </c>
      <c r="L1779">
        <v>1210</v>
      </c>
      <c r="M1779">
        <v>7.13</v>
      </c>
      <c r="N1779">
        <v>83.57</v>
      </c>
      <c r="O1779" t="s">
        <v>19</v>
      </c>
      <c r="P1779" t="s">
        <v>1267</v>
      </c>
      <c r="Q1779" t="s">
        <v>19</v>
      </c>
      <c r="R1779" t="str">
        <f>HYPERLINK("https://cfpub.epa.gov/ecotox/explore.cfm?ncbi=2587831","Explore in ECOTOX")</f>
        <v>Explore in ECOTOX</v>
      </c>
    </row>
    <row r="1780" spans="1:18" x14ac:dyDescent="0.45">
      <c r="A1780" t="s">
        <v>1266</v>
      </c>
      <c r="B1780">
        <v>8</v>
      </c>
      <c r="C1780" t="str">
        <f>HYPERLINK("http://www.ncbi.nlm.nih.gov/protein/XP_040407848.1","XP_040407848.1")</f>
        <v>XP_040407848.1</v>
      </c>
      <c r="D1780">
        <v>47844</v>
      </c>
      <c r="E1780" t="str">
        <f>HYPERLINK("http://www.ncbi.nlm.nih.gov/Taxonomy/Browser/wwwtax.cgi?mode=Info&amp;id=8869&amp;lvl=3&amp;lin=f&amp;keep=1&amp;srchmode=1&amp;unlock","8869")</f>
        <v>8869</v>
      </c>
      <c r="F1780" t="s">
        <v>241</v>
      </c>
      <c r="G1780" t="str">
        <f>HYPERLINK("http://www.ncbi.nlm.nih.gov/Taxonomy/Browser/wwwtax.cgi?mode=Info&amp;id=8869&amp;lvl=3&amp;lin=f&amp;keep=1&amp;srchmode=1&amp;unlock","Cygnus olor")</f>
        <v>Cygnus olor</v>
      </c>
      <c r="H1780" t="s">
        <v>546</v>
      </c>
      <c r="I1780" t="str">
        <f>HYPERLINK("http://www.ncbi.nlm.nih.gov/protein/XP_040407848.1","ryanodine receptor 2")</f>
        <v>ryanodine receptor 2</v>
      </c>
      <c r="J1780">
        <v>8576.4500000000007</v>
      </c>
      <c r="K1780" t="s">
        <v>19</v>
      </c>
      <c r="L1780">
        <v>1210</v>
      </c>
      <c r="M1780">
        <v>7.13</v>
      </c>
      <c r="N1780">
        <v>83.57</v>
      </c>
      <c r="O1780" t="s">
        <v>19</v>
      </c>
      <c r="P1780" t="s">
        <v>1267</v>
      </c>
      <c r="Q1780" t="s">
        <v>19</v>
      </c>
      <c r="R1780" t="str">
        <f>HYPERLINK("https://cfpub.epa.gov/ecotox/explore.cfm?ncbi=8869","Explore in ECOTOX")</f>
        <v>Explore in ECOTOX</v>
      </c>
    </row>
    <row r="1781" spans="1:18" x14ac:dyDescent="0.45">
      <c r="A1781" t="s">
        <v>1266</v>
      </c>
      <c r="B1781">
        <v>8</v>
      </c>
      <c r="C1781" t="str">
        <f>HYPERLINK("http://www.ncbi.nlm.nih.gov/protein/XP_040453818.1","XP_040453818.1")</f>
        <v>XP_040453818.1</v>
      </c>
      <c r="D1781">
        <v>41477</v>
      </c>
      <c r="E1781" t="str">
        <f>HYPERLINK("http://www.ncbi.nlm.nih.gov/Taxonomy/Browser/wwwtax.cgi?mode=Info&amp;id=148594&amp;lvl=3&amp;lin=f&amp;keep=1&amp;srchmode=1&amp;unlock","148594")</f>
        <v>148594</v>
      </c>
      <c r="F1781" t="s">
        <v>241</v>
      </c>
      <c r="G1781" t="str">
        <f>HYPERLINK("http://www.ncbi.nlm.nih.gov/Taxonomy/Browser/wwwtax.cgi?mode=Info&amp;id=148594&amp;lvl=3&amp;lin=f&amp;keep=1&amp;srchmode=1&amp;unlock","Falco naumanni")</f>
        <v>Falco naumanni</v>
      </c>
      <c r="H1781" t="s">
        <v>257</v>
      </c>
      <c r="I1781" t="str">
        <f>HYPERLINK("http://www.ncbi.nlm.nih.gov/protein/XP_040453818.1","ryanodine receptor 2 isoform X9")</f>
        <v>ryanodine receptor 2 isoform X9</v>
      </c>
      <c r="J1781">
        <v>8576.4500000000007</v>
      </c>
      <c r="K1781" t="s">
        <v>19</v>
      </c>
      <c r="L1781">
        <v>1210</v>
      </c>
      <c r="M1781">
        <v>7.13</v>
      </c>
      <c r="N1781">
        <v>83.57</v>
      </c>
      <c r="O1781" t="s">
        <v>19</v>
      </c>
      <c r="P1781" t="s">
        <v>1267</v>
      </c>
      <c r="Q1781" t="s">
        <v>19</v>
      </c>
      <c r="R1781" t="str">
        <f>HYPERLINK("https://cfpub.epa.gov/ecotox/explore.cfm?ncbi=148594","Explore in ECOTOX")</f>
        <v>Explore in ECOTOX</v>
      </c>
    </row>
    <row r="1782" spans="1:18" x14ac:dyDescent="0.45">
      <c r="A1782" t="s">
        <v>1266</v>
      </c>
      <c r="B1782">
        <v>8</v>
      </c>
      <c r="C1782" t="str">
        <f>HYPERLINK("http://www.ncbi.nlm.nih.gov/protein/XP_013360158.1","XP_013360158.1")</f>
        <v>XP_013360158.1</v>
      </c>
      <c r="D1782">
        <v>45557</v>
      </c>
      <c r="E1782" t="str">
        <f>HYPERLINK("http://www.ncbi.nlm.nih.gov/Taxonomy/Browser/wwwtax.cgi?mode=Info&amp;id=34839&amp;lvl=3&amp;lin=f&amp;keep=1&amp;srchmode=1&amp;unlock","34839")</f>
        <v>34839</v>
      </c>
      <c r="F1782" t="s">
        <v>96</v>
      </c>
      <c r="G1782" t="str">
        <f>HYPERLINK("http://www.ncbi.nlm.nih.gov/Taxonomy/Browser/wwwtax.cgi?mode=Info&amp;id=34839&amp;lvl=3&amp;lin=f&amp;keep=1&amp;srchmode=1&amp;unlock","Chinchilla lanigera")</f>
        <v>Chinchilla lanigera</v>
      </c>
      <c r="H1782" t="s">
        <v>568</v>
      </c>
      <c r="I1782" t="str">
        <f>HYPERLINK("http://www.ncbi.nlm.nih.gov/protein/XP_013360158.1","PREDICTED: ryanodine receptor 2 isoform X5")</f>
        <v>PREDICTED: ryanodine receptor 2 isoform X5</v>
      </c>
      <c r="J1782">
        <v>8576.07</v>
      </c>
      <c r="K1782" t="s">
        <v>19</v>
      </c>
      <c r="L1782">
        <v>1210</v>
      </c>
      <c r="M1782">
        <v>7.13</v>
      </c>
      <c r="N1782">
        <v>83.56</v>
      </c>
      <c r="O1782" t="s">
        <v>19</v>
      </c>
      <c r="P1782" t="s">
        <v>1267</v>
      </c>
      <c r="Q1782" t="s">
        <v>19</v>
      </c>
      <c r="R1782" t="str">
        <f>HYPERLINK("https://cfpub.epa.gov/ecotox/explore.cfm?ncbi=34839","Explore in ECOTOX")</f>
        <v>Explore in ECOTOX</v>
      </c>
    </row>
    <row r="1783" spans="1:18" x14ac:dyDescent="0.45">
      <c r="A1783" t="s">
        <v>1266</v>
      </c>
      <c r="B1783">
        <v>8</v>
      </c>
      <c r="C1783" t="str">
        <f>HYPERLINK("http://www.ncbi.nlm.nih.gov/protein/XP_008687891.1","XP_008687891.1")</f>
        <v>XP_008687891.1</v>
      </c>
      <c r="D1783">
        <v>41722</v>
      </c>
      <c r="E1783" t="str">
        <f>HYPERLINK("http://www.ncbi.nlm.nih.gov/Taxonomy/Browser/wwwtax.cgi?mode=Info&amp;id=29073&amp;lvl=3&amp;lin=f&amp;keep=1&amp;srchmode=1&amp;unlock","29073")</f>
        <v>29073</v>
      </c>
      <c r="F1783" t="s">
        <v>96</v>
      </c>
      <c r="G1783" t="str">
        <f>HYPERLINK("http://www.ncbi.nlm.nih.gov/Taxonomy/Browser/wwwtax.cgi?mode=Info&amp;id=29073&amp;lvl=3&amp;lin=f&amp;keep=1&amp;srchmode=1&amp;unlock","Ursus maritimus")</f>
        <v>Ursus maritimus</v>
      </c>
      <c r="H1783" t="s">
        <v>352</v>
      </c>
      <c r="I1783" t="str">
        <f>HYPERLINK("http://www.ncbi.nlm.nih.gov/protein/XP_008687891.1","ryanodine receptor 2")</f>
        <v>ryanodine receptor 2</v>
      </c>
      <c r="J1783">
        <v>8575.68</v>
      </c>
      <c r="K1783" t="s">
        <v>19</v>
      </c>
      <c r="L1783">
        <v>1210</v>
      </c>
      <c r="M1783">
        <v>7.13</v>
      </c>
      <c r="N1783">
        <v>83.56</v>
      </c>
      <c r="O1783" t="s">
        <v>19</v>
      </c>
      <c r="P1783" t="s">
        <v>1267</v>
      </c>
      <c r="Q1783" t="s">
        <v>19</v>
      </c>
      <c r="R1783" t="str">
        <f>HYPERLINK("https://cfpub.epa.gov/ecotox/explore.cfm?ncbi=29073","Explore in ECOTOX")</f>
        <v>Explore in ECOTOX</v>
      </c>
    </row>
    <row r="1784" spans="1:18" x14ac:dyDescent="0.45">
      <c r="A1784" t="s">
        <v>1266</v>
      </c>
      <c r="B1784">
        <v>8</v>
      </c>
      <c r="C1784" t="str">
        <f>HYPERLINK("http://www.ncbi.nlm.nih.gov/protein/XP_060609854.1","XP_060609854.1")</f>
        <v>XP_060609854.1</v>
      </c>
      <c r="D1784">
        <v>35822</v>
      </c>
      <c r="E1784" t="str">
        <f>HYPERLINK("http://www.ncbi.nlm.nih.gov/Taxonomy/Browser/wwwtax.cgi?mode=Info&amp;id=2962859&amp;lvl=3&amp;lin=f&amp;keep=1&amp;srchmode=1&amp;unlock","2962859")</f>
        <v>2962859</v>
      </c>
      <c r="F1784" t="s">
        <v>192</v>
      </c>
      <c r="G1784" t="str">
        <f>HYPERLINK("http://www.ncbi.nlm.nih.gov/Taxonomy/Browser/wwwtax.cgi?mode=Info&amp;id=2962859&amp;lvl=3&amp;lin=f&amp;keep=1&amp;srchmode=1&amp;unlock","Anolis sagrei ordinatus")</f>
        <v>Anolis sagrei ordinatus</v>
      </c>
      <c r="H1784" t="s">
        <v>248</v>
      </c>
      <c r="I1784" t="str">
        <f>HYPERLINK("http://www.ncbi.nlm.nih.gov/protein/XP_060609854.1","ryanodine receptor 2")</f>
        <v>ryanodine receptor 2</v>
      </c>
      <c r="J1784">
        <v>8575.68</v>
      </c>
      <c r="K1784" t="s">
        <v>19</v>
      </c>
      <c r="L1784">
        <v>1210</v>
      </c>
      <c r="M1784">
        <v>7.13</v>
      </c>
      <c r="N1784">
        <v>83.56</v>
      </c>
      <c r="O1784" t="s">
        <v>19</v>
      </c>
      <c r="P1784" t="s">
        <v>1267</v>
      </c>
      <c r="Q1784" t="s">
        <v>19</v>
      </c>
      <c r="R1784" t="str">
        <f>HYPERLINK("https://cfpub.epa.gov/ecotox/explore.cfm?ncbi=2962859","Explore in ECOTOX")</f>
        <v>Explore in ECOTOX</v>
      </c>
    </row>
    <row r="1785" spans="1:18" x14ac:dyDescent="0.45">
      <c r="A1785" t="s">
        <v>1266</v>
      </c>
      <c r="B1785">
        <v>8</v>
      </c>
      <c r="C1785" t="str">
        <f>HYPERLINK("http://www.ncbi.nlm.nih.gov/protein/XP_049724511.1","XP_049724511.1")</f>
        <v>XP_049724511.1</v>
      </c>
      <c r="D1785">
        <v>53723</v>
      </c>
      <c r="E1785" t="str">
        <f>HYPERLINK("http://www.ncbi.nlm.nih.gov/Taxonomy/Browser/wwwtax.cgi?mode=Info&amp;id=99487&amp;lvl=3&amp;lin=f&amp;keep=1&amp;srchmode=1&amp;unlock","99487")</f>
        <v>99487</v>
      </c>
      <c r="F1785" t="s">
        <v>96</v>
      </c>
      <c r="G1785" t="str">
        <f>HYPERLINK("http://www.ncbi.nlm.nih.gov/Taxonomy/Browser/wwwtax.cgi?mode=Info&amp;id=99487&amp;lvl=3&amp;lin=f&amp;keep=1&amp;srchmode=1&amp;unlock","Elephas maximus indicus")</f>
        <v>Elephas maximus indicus</v>
      </c>
      <c r="H1785" t="s">
        <v>261</v>
      </c>
      <c r="I1785" t="str">
        <f>HYPERLINK("http://www.ncbi.nlm.nih.gov/protein/XP_049724511.1","ryanodine receptor 2 isoform X6")</f>
        <v>ryanodine receptor 2 isoform X6</v>
      </c>
      <c r="J1785">
        <v>8574.5300000000007</v>
      </c>
      <c r="K1785" t="s">
        <v>19</v>
      </c>
      <c r="L1785">
        <v>1210</v>
      </c>
      <c r="M1785">
        <v>7.13</v>
      </c>
      <c r="N1785">
        <v>83.55</v>
      </c>
      <c r="O1785" t="s">
        <v>19</v>
      </c>
      <c r="P1785" t="s">
        <v>1267</v>
      </c>
      <c r="Q1785" t="s">
        <v>19</v>
      </c>
      <c r="R1785" t="str">
        <f>HYPERLINK("https://cfpub.epa.gov/ecotox/explore.cfm?ncbi=99487","Explore in ECOTOX")</f>
        <v>Explore in ECOTOX</v>
      </c>
    </row>
    <row r="1786" spans="1:18" x14ac:dyDescent="0.45">
      <c r="A1786" t="s">
        <v>1266</v>
      </c>
      <c r="B1786">
        <v>8</v>
      </c>
      <c r="C1786" t="str">
        <f>HYPERLINK("http://www.ncbi.nlm.nih.gov/protein/XP_039472192.1","XP_039472192.1")</f>
        <v>XP_039472192.1</v>
      </c>
      <c r="D1786">
        <v>49867</v>
      </c>
      <c r="E1786" t="str">
        <f>HYPERLINK("http://www.ncbi.nlm.nih.gov/Taxonomy/Browser/wwwtax.cgi?mode=Info&amp;id=47969&amp;lvl=3&amp;lin=f&amp;keep=1&amp;srchmode=1&amp;unlock","47969")</f>
        <v>47969</v>
      </c>
      <c r="F1786" t="s">
        <v>17</v>
      </c>
      <c r="G1786" t="str">
        <f>HYPERLINK("http://www.ncbi.nlm.nih.gov/Taxonomy/Browser/wwwtax.cgi?mode=Info&amp;id=47969&amp;lvl=3&amp;lin=f&amp;keep=1&amp;srchmode=1&amp;unlock","Oreochromis aureus")</f>
        <v>Oreochromis aureus</v>
      </c>
      <c r="H1786" t="s">
        <v>93</v>
      </c>
      <c r="I1786" t="str">
        <f>HYPERLINK("http://www.ncbi.nlm.nih.gov/protein/XP_039472192.1","LOW QUALITY PROTEIN: ryanodine receptor 2")</f>
        <v>LOW QUALITY PROTEIN: ryanodine receptor 2</v>
      </c>
      <c r="J1786">
        <v>8573.76</v>
      </c>
      <c r="K1786" t="s">
        <v>19</v>
      </c>
      <c r="L1786">
        <v>1210</v>
      </c>
      <c r="M1786">
        <v>7.13</v>
      </c>
      <c r="N1786">
        <v>83.54</v>
      </c>
      <c r="O1786" t="s">
        <v>19</v>
      </c>
      <c r="P1786" t="s">
        <v>1267</v>
      </c>
      <c r="Q1786" t="s">
        <v>19</v>
      </c>
      <c r="R1786" t="str">
        <f>HYPERLINK("https://cfpub.epa.gov/ecotox/explore.cfm?ncbi=47969","Explore in ECOTOX")</f>
        <v>Explore in ECOTOX</v>
      </c>
    </row>
    <row r="1787" spans="1:18" x14ac:dyDescent="0.45">
      <c r="A1787" t="s">
        <v>1266</v>
      </c>
      <c r="B1787">
        <v>8</v>
      </c>
      <c r="C1787" t="str">
        <f>HYPERLINK("http://www.ncbi.nlm.nih.gov/protein/XP_059890986.1","XP_059890986.1")</f>
        <v>XP_059890986.1</v>
      </c>
      <c r="D1787">
        <v>41088</v>
      </c>
      <c r="E1787" t="str">
        <f>HYPERLINK("http://www.ncbi.nlm.nih.gov/Taxonomy/Browser/wwwtax.cgi?mode=Info&amp;id=9728&amp;lvl=3&amp;lin=f&amp;keep=1&amp;srchmode=1&amp;unlock","9728")</f>
        <v>9728</v>
      </c>
      <c r="F1787" t="s">
        <v>96</v>
      </c>
      <c r="G1787" t="str">
        <f>HYPERLINK("http://www.ncbi.nlm.nih.gov/Taxonomy/Browser/wwwtax.cgi?mode=Info&amp;id=9728&amp;lvl=3&amp;lin=f&amp;keep=1&amp;srchmode=1&amp;unlock","Delphinus delphis")</f>
        <v>Delphinus delphis</v>
      </c>
      <c r="H1787" t="s">
        <v>590</v>
      </c>
      <c r="I1787" t="str">
        <f>HYPERLINK("http://www.ncbi.nlm.nih.gov/protein/XP_059890986.1","ryanodine receptor 2")</f>
        <v>ryanodine receptor 2</v>
      </c>
      <c r="J1787">
        <v>8572.99</v>
      </c>
      <c r="K1787" t="s">
        <v>19</v>
      </c>
      <c r="L1787">
        <v>1210</v>
      </c>
      <c r="M1787">
        <v>7.13</v>
      </c>
      <c r="N1787">
        <v>83.53</v>
      </c>
      <c r="O1787" t="s">
        <v>19</v>
      </c>
      <c r="P1787" t="s">
        <v>1267</v>
      </c>
      <c r="Q1787" t="s">
        <v>19</v>
      </c>
      <c r="R1787" t="str">
        <f>HYPERLINK("https://cfpub.epa.gov/ecotox/explore.cfm?ncbi=9728","Explore in ECOTOX")</f>
        <v>Explore in ECOTOX</v>
      </c>
    </row>
    <row r="1788" spans="1:18" x14ac:dyDescent="0.45">
      <c r="A1788" t="s">
        <v>1266</v>
      </c>
      <c r="B1788">
        <v>8</v>
      </c>
      <c r="C1788" t="str">
        <f>HYPERLINK("http://www.ncbi.nlm.nih.gov/protein/XP_037247427.1","XP_037247427.1")</f>
        <v>XP_037247427.1</v>
      </c>
      <c r="D1788">
        <v>41451</v>
      </c>
      <c r="E1788" t="str">
        <f>HYPERLINK("http://www.ncbi.nlm.nih.gov/Taxonomy/Browser/wwwtax.cgi?mode=Info&amp;id=120794&amp;lvl=3&amp;lin=f&amp;keep=1&amp;srchmode=1&amp;unlock","120794")</f>
        <v>120794</v>
      </c>
      <c r="F1788" t="s">
        <v>241</v>
      </c>
      <c r="G1788" t="str">
        <f>HYPERLINK("http://www.ncbi.nlm.nih.gov/Taxonomy/Browser/wwwtax.cgi?mode=Info&amp;id=120794&amp;lvl=3&amp;lin=f&amp;keep=1&amp;srchmode=1&amp;unlock","Falco rusticolus")</f>
        <v>Falco rusticolus</v>
      </c>
      <c r="H1788" t="s">
        <v>263</v>
      </c>
      <c r="I1788" t="str">
        <f>HYPERLINK("http://www.ncbi.nlm.nih.gov/protein/XP_037247427.1","ryanodine receptor 2 isoform X10")</f>
        <v>ryanodine receptor 2 isoform X10</v>
      </c>
      <c r="J1788">
        <v>8572.99</v>
      </c>
      <c r="K1788" t="s">
        <v>19</v>
      </c>
      <c r="L1788">
        <v>1210</v>
      </c>
      <c r="M1788">
        <v>7.13</v>
      </c>
      <c r="N1788">
        <v>83.53</v>
      </c>
      <c r="O1788" t="s">
        <v>19</v>
      </c>
      <c r="P1788" t="s">
        <v>1267</v>
      </c>
      <c r="Q1788" t="s">
        <v>19</v>
      </c>
      <c r="R1788" t="str">
        <f>HYPERLINK("https://cfpub.epa.gov/ecotox/explore.cfm?ncbi=120794","Explore in ECOTOX")</f>
        <v>Explore in ECOTOX</v>
      </c>
    </row>
    <row r="1789" spans="1:18" x14ac:dyDescent="0.45">
      <c r="A1789" t="s">
        <v>1266</v>
      </c>
      <c r="B1789">
        <v>8</v>
      </c>
      <c r="C1789" t="str">
        <f>HYPERLINK("http://www.ncbi.nlm.nih.gov/protein/XP_033975526.1","XP_033975526.1")</f>
        <v>XP_033975526.1</v>
      </c>
      <c r="D1789">
        <v>41311</v>
      </c>
      <c r="E1789" t="str">
        <f>HYPERLINK("http://www.ncbi.nlm.nih.gov/Taxonomy/Browser/wwwtax.cgi?mode=Info&amp;id=40690&amp;lvl=3&amp;lin=f&amp;keep=1&amp;srchmode=1&amp;unlock","40690")</f>
        <v>40690</v>
      </c>
      <c r="F1789" t="s">
        <v>17</v>
      </c>
      <c r="G1789" t="str">
        <f>HYPERLINK("http://www.ncbi.nlm.nih.gov/Taxonomy/Browser/wwwtax.cgi?mode=Info&amp;id=40690&amp;lvl=3&amp;lin=f&amp;keep=1&amp;srchmode=1&amp;unlock","Trematomus bernacchii")</f>
        <v>Trematomus bernacchii</v>
      </c>
      <c r="H1789" t="s">
        <v>167</v>
      </c>
      <c r="I1789" t="str">
        <f>HYPERLINK("http://www.ncbi.nlm.nih.gov/protein/XP_033975526.1","ryanodine receptor 2")</f>
        <v>ryanodine receptor 2</v>
      </c>
      <c r="J1789">
        <v>8572.6</v>
      </c>
      <c r="K1789" t="s">
        <v>19</v>
      </c>
      <c r="L1789">
        <v>1210</v>
      </c>
      <c r="M1789">
        <v>7.13</v>
      </c>
      <c r="N1789">
        <v>83.53</v>
      </c>
      <c r="O1789" t="s">
        <v>19</v>
      </c>
      <c r="P1789" t="s">
        <v>1267</v>
      </c>
      <c r="Q1789" t="s">
        <v>19</v>
      </c>
      <c r="R1789" t="str">
        <f>HYPERLINK("https://cfpub.epa.gov/ecotox/explore.cfm?ncbi=40690","Explore in ECOTOX")</f>
        <v>Explore in ECOTOX</v>
      </c>
    </row>
    <row r="1790" spans="1:18" x14ac:dyDescent="0.45">
      <c r="A1790" t="s">
        <v>1266</v>
      </c>
      <c r="B1790">
        <v>8</v>
      </c>
      <c r="C1790" t="str">
        <f>HYPERLINK("http://www.ncbi.nlm.nih.gov/protein/XP_053461568.1","XP_053461568.1")</f>
        <v>XP_053461568.1</v>
      </c>
      <c r="D1790">
        <v>56541</v>
      </c>
      <c r="E1790" t="str">
        <f>HYPERLINK("http://www.ncbi.nlm.nih.gov/Taxonomy/Browser/wwwtax.cgi?mode=Info&amp;id=9470&amp;lvl=3&amp;lin=f&amp;keep=1&amp;srchmode=1&amp;unlock","9470")</f>
        <v>9470</v>
      </c>
      <c r="F1790" t="s">
        <v>96</v>
      </c>
      <c r="G1790" t="str">
        <f>HYPERLINK("http://www.ncbi.nlm.nih.gov/Taxonomy/Browser/wwwtax.cgi?mode=Info&amp;id=9470&amp;lvl=3&amp;lin=f&amp;keep=1&amp;srchmode=1&amp;unlock","Nycticebus coucang")</f>
        <v>Nycticebus coucang</v>
      </c>
      <c r="H1790" t="s">
        <v>290</v>
      </c>
      <c r="I1790" t="str">
        <f>HYPERLINK("http://www.ncbi.nlm.nih.gov/protein/XP_053461568.1","ryanodine receptor 2 isoform X3")</f>
        <v>ryanodine receptor 2 isoform X3</v>
      </c>
      <c r="J1790">
        <v>8572.6</v>
      </c>
      <c r="K1790" t="s">
        <v>19</v>
      </c>
      <c r="L1790">
        <v>1210</v>
      </c>
      <c r="M1790">
        <v>7.13</v>
      </c>
      <c r="N1790">
        <v>83.53</v>
      </c>
      <c r="O1790" t="s">
        <v>19</v>
      </c>
      <c r="P1790" t="s">
        <v>1267</v>
      </c>
      <c r="Q1790" t="s">
        <v>19</v>
      </c>
      <c r="R1790" t="str">
        <f>HYPERLINK("https://cfpub.epa.gov/ecotox/explore.cfm?ncbi=9470","Explore in ECOTOX")</f>
        <v>Explore in ECOTOX</v>
      </c>
    </row>
    <row r="1791" spans="1:18" x14ac:dyDescent="0.45">
      <c r="A1791" t="s">
        <v>1266</v>
      </c>
      <c r="B1791">
        <v>8</v>
      </c>
      <c r="C1791" t="str">
        <f>HYPERLINK("http://www.ncbi.nlm.nih.gov/protein/XP_032299205.1","XP_032299205.1")</f>
        <v>XP_032299205.1</v>
      </c>
      <c r="D1791">
        <v>41859</v>
      </c>
      <c r="E1791" t="str">
        <f>HYPERLINK("http://www.ncbi.nlm.nih.gov/Taxonomy/Browser/wwwtax.cgi?mode=Info&amp;id=93934&amp;lvl=3&amp;lin=f&amp;keep=1&amp;srchmode=1&amp;unlock","93934")</f>
        <v>93934</v>
      </c>
      <c r="F1791" t="s">
        <v>241</v>
      </c>
      <c r="G1791" t="str">
        <f>HYPERLINK("http://www.ncbi.nlm.nih.gov/Taxonomy/Browser/wwwtax.cgi?mode=Info&amp;id=93934&amp;lvl=3&amp;lin=f&amp;keep=1&amp;srchmode=1&amp;unlock","Coturnix japonica")</f>
        <v>Coturnix japonica</v>
      </c>
      <c r="H1791" t="s">
        <v>555</v>
      </c>
      <c r="I1791" t="str">
        <f>HYPERLINK("http://www.ncbi.nlm.nih.gov/protein/XP_032299205.1","ryanodine receptor 2")</f>
        <v>ryanodine receptor 2</v>
      </c>
      <c r="J1791">
        <v>8572.2199999999993</v>
      </c>
      <c r="K1791" t="s">
        <v>19</v>
      </c>
      <c r="L1791">
        <v>1210</v>
      </c>
      <c r="M1791">
        <v>7.13</v>
      </c>
      <c r="N1791">
        <v>83.53</v>
      </c>
      <c r="O1791" t="s">
        <v>19</v>
      </c>
      <c r="P1791" t="s">
        <v>1267</v>
      </c>
      <c r="Q1791" t="s">
        <v>19</v>
      </c>
      <c r="R1791" t="str">
        <f>HYPERLINK("https://cfpub.epa.gov/ecotox/explore.cfm?ncbi=93934","Explore in ECOTOX")</f>
        <v>Explore in ECOTOX</v>
      </c>
    </row>
    <row r="1792" spans="1:18" x14ac:dyDescent="0.45">
      <c r="A1792" t="s">
        <v>1266</v>
      </c>
      <c r="B1792">
        <v>8</v>
      </c>
      <c r="C1792" t="str">
        <f>HYPERLINK("http://www.ncbi.nlm.nih.gov/protein/XP_053766204.1","XP_053766204.1")</f>
        <v>XP_053766204.1</v>
      </c>
      <c r="D1792">
        <v>57098</v>
      </c>
      <c r="E1792" t="str">
        <f>HYPERLINK("http://www.ncbi.nlm.nih.gov/Taxonomy/Browser/wwwtax.cgi?mode=Info&amp;id=9691&amp;lvl=3&amp;lin=f&amp;keep=1&amp;srchmode=1&amp;unlock","9691")</f>
        <v>9691</v>
      </c>
      <c r="F1792" t="s">
        <v>96</v>
      </c>
      <c r="G1792" t="str">
        <f>HYPERLINK("http://www.ncbi.nlm.nih.gov/Taxonomy/Browser/wwwtax.cgi?mode=Info&amp;id=9691&amp;lvl=3&amp;lin=f&amp;keep=1&amp;srchmode=1&amp;unlock","Panthera pardus")</f>
        <v>Panthera pardus</v>
      </c>
      <c r="H1792" t="s">
        <v>289</v>
      </c>
      <c r="I1792" t="str">
        <f>HYPERLINK("http://www.ncbi.nlm.nih.gov/protein/XP_053766204.1","ryanodine receptor 2 isoform X6")</f>
        <v>ryanodine receptor 2 isoform X6</v>
      </c>
      <c r="J1792">
        <v>8571.83</v>
      </c>
      <c r="K1792" t="s">
        <v>19</v>
      </c>
      <c r="L1792">
        <v>1210</v>
      </c>
      <c r="M1792">
        <v>7.13</v>
      </c>
      <c r="N1792">
        <v>83.52</v>
      </c>
      <c r="O1792" t="s">
        <v>19</v>
      </c>
      <c r="P1792" t="s">
        <v>1267</v>
      </c>
      <c r="Q1792" t="s">
        <v>19</v>
      </c>
      <c r="R1792" t="str">
        <f>HYPERLINK("https://cfpub.epa.gov/ecotox/explore.cfm?ncbi=9691","Explore in ECOTOX")</f>
        <v>Explore in ECOTOX</v>
      </c>
    </row>
    <row r="1793" spans="1:18" x14ac:dyDescent="0.45">
      <c r="A1793" t="s">
        <v>1266</v>
      </c>
      <c r="B1793">
        <v>8</v>
      </c>
      <c r="C1793" t="str">
        <f>HYPERLINK("http://www.ncbi.nlm.nih.gov/protein/XP_060142429.1","XP_060142429.1")</f>
        <v>XP_060142429.1</v>
      </c>
      <c r="D1793">
        <v>87350</v>
      </c>
      <c r="E1793" t="str">
        <f>HYPERLINK("http://www.ncbi.nlm.nih.gov/Taxonomy/Browser/wwwtax.cgi?mode=Info&amp;id=9731&amp;lvl=3&amp;lin=f&amp;keep=1&amp;srchmode=1&amp;unlock","9731")</f>
        <v>9731</v>
      </c>
      <c r="F1793" t="s">
        <v>96</v>
      </c>
      <c r="G1793" t="str">
        <f>HYPERLINK("http://www.ncbi.nlm.nih.gov/Taxonomy/Browser/wwwtax.cgi?mode=Info&amp;id=9731&amp;lvl=3&amp;lin=f&amp;keep=1&amp;srchmode=1&amp;unlock","Globicephala melas")</f>
        <v>Globicephala melas</v>
      </c>
      <c r="H1793" t="s">
        <v>587</v>
      </c>
      <c r="I1793" t="str">
        <f>HYPERLINK("http://www.ncbi.nlm.nih.gov/protein/XP_060142429.1","ryanodine receptor 2")</f>
        <v>ryanodine receptor 2</v>
      </c>
      <c r="J1793">
        <v>8571.83</v>
      </c>
      <c r="K1793" t="s">
        <v>19</v>
      </c>
      <c r="L1793">
        <v>1210</v>
      </c>
      <c r="M1793">
        <v>7.13</v>
      </c>
      <c r="N1793">
        <v>83.52</v>
      </c>
      <c r="O1793" t="s">
        <v>19</v>
      </c>
      <c r="P1793" t="s">
        <v>1267</v>
      </c>
      <c r="Q1793" t="s">
        <v>19</v>
      </c>
      <c r="R1793" t="str">
        <f>HYPERLINK("https://cfpub.epa.gov/ecotox/explore.cfm?ncbi=9731","Explore in ECOTOX")</f>
        <v>Explore in ECOTOX</v>
      </c>
    </row>
    <row r="1794" spans="1:18" x14ac:dyDescent="0.45">
      <c r="A1794" t="s">
        <v>1266</v>
      </c>
      <c r="B1794">
        <v>8</v>
      </c>
      <c r="C1794" t="str">
        <f>HYPERLINK("http://www.ncbi.nlm.nih.gov/protein/XP_058552247.1","XP_058552247.1")</f>
        <v>XP_058552247.1</v>
      </c>
      <c r="D1794">
        <v>63007</v>
      </c>
      <c r="E1794" t="str">
        <f>HYPERLINK("http://www.ncbi.nlm.nih.gov/Taxonomy/Browser/wwwtax.cgi?mode=Info&amp;id=61452&amp;lvl=3&amp;lin=f&amp;keep=1&amp;srchmode=1&amp;unlock","61452")</f>
        <v>61452</v>
      </c>
      <c r="F1794" t="s">
        <v>96</v>
      </c>
      <c r="G1794" t="str">
        <f>HYPERLINK("http://www.ncbi.nlm.nih.gov/Taxonomy/Browser/wwwtax.cgi?mode=Info&amp;id=61452&amp;lvl=3&amp;lin=f&amp;keep=1&amp;srchmode=1&amp;unlock","Neofelis nebulosa")</f>
        <v>Neofelis nebulosa</v>
      </c>
      <c r="H1794" t="s">
        <v>309</v>
      </c>
      <c r="I1794" t="str">
        <f>HYPERLINK("http://www.ncbi.nlm.nih.gov/protein/XP_058552247.1","ryanodine receptor 2 isoform X2")</f>
        <v>ryanodine receptor 2 isoform X2</v>
      </c>
      <c r="J1794">
        <v>8571.4500000000007</v>
      </c>
      <c r="K1794" t="s">
        <v>19</v>
      </c>
      <c r="L1794">
        <v>1210</v>
      </c>
      <c r="M1794">
        <v>7.13</v>
      </c>
      <c r="N1794">
        <v>83.52</v>
      </c>
      <c r="O1794" t="s">
        <v>19</v>
      </c>
      <c r="P1794" t="s">
        <v>1267</v>
      </c>
      <c r="Q1794" t="s">
        <v>19</v>
      </c>
      <c r="R1794" t="str">
        <f>HYPERLINK("https://cfpub.epa.gov/ecotox/explore.cfm?ncbi=61452","Explore in ECOTOX")</f>
        <v>Explore in ECOTOX</v>
      </c>
    </row>
    <row r="1795" spans="1:18" x14ac:dyDescent="0.45">
      <c r="A1795" t="s">
        <v>1266</v>
      </c>
      <c r="B1795">
        <v>8</v>
      </c>
      <c r="C1795" t="str">
        <f>HYPERLINK("http://www.ncbi.nlm.nih.gov/protein/XP_045293190.1","XP_045293190.1")</f>
        <v>XP_045293190.1</v>
      </c>
      <c r="D1795">
        <v>67612</v>
      </c>
      <c r="E1795" t="str">
        <f>HYPERLINK("http://www.ncbi.nlm.nih.gov/Taxonomy/Browser/wwwtax.cgi?mode=Info&amp;id=46844&amp;lvl=3&amp;lin=f&amp;keep=1&amp;srchmode=1&amp;unlock","46844")</f>
        <v>46844</v>
      </c>
      <c r="F1795" t="s">
        <v>96</v>
      </c>
      <c r="G1795" t="str">
        <f>HYPERLINK("http://www.ncbi.nlm.nih.gov/Taxonomy/Browser/wwwtax.cgi?mode=Info&amp;id=46844&amp;lvl=3&amp;lin=f&amp;keep=1&amp;srchmode=1&amp;unlock","Leopardus geoffroyi")</f>
        <v>Leopardus geoffroyi</v>
      </c>
      <c r="H1795" t="s">
        <v>286</v>
      </c>
      <c r="I1795" t="str">
        <f>HYPERLINK("http://www.ncbi.nlm.nih.gov/protein/XP_045293190.1","ryanodine receptor 2 isoform X7")</f>
        <v>ryanodine receptor 2 isoform X7</v>
      </c>
      <c r="J1795">
        <v>8571.06</v>
      </c>
      <c r="K1795" t="s">
        <v>19</v>
      </c>
      <c r="L1795">
        <v>1210</v>
      </c>
      <c r="M1795">
        <v>7.13</v>
      </c>
      <c r="N1795">
        <v>83.51</v>
      </c>
      <c r="O1795" t="s">
        <v>19</v>
      </c>
      <c r="P1795" t="s">
        <v>1267</v>
      </c>
      <c r="Q1795" t="s">
        <v>19</v>
      </c>
      <c r="R1795" t="str">
        <f>HYPERLINK("https://cfpub.epa.gov/ecotox/explore.cfm?ncbi=46844","Explore in ECOTOX")</f>
        <v>Explore in ECOTOX</v>
      </c>
    </row>
    <row r="1796" spans="1:18" x14ac:dyDescent="0.45">
      <c r="A1796" t="s">
        <v>1266</v>
      </c>
      <c r="B1796">
        <v>8</v>
      </c>
      <c r="C1796" t="str">
        <f>HYPERLINK("http://www.ncbi.nlm.nih.gov/protein/XP_052552130.1","XP_052552130.1")</f>
        <v>XP_052552130.1</v>
      </c>
      <c r="D1796">
        <v>41594</v>
      </c>
      <c r="E1796" t="str">
        <f>HYPERLINK("http://www.ncbi.nlm.nih.gov/Taxonomy/Browser/wwwtax.cgi?mode=Info&amp;id=109042&amp;lvl=3&amp;lin=f&amp;keep=1&amp;srchmode=1&amp;unlock","109042")</f>
        <v>109042</v>
      </c>
      <c r="F1796" t="s">
        <v>241</v>
      </c>
      <c r="G1796" t="str">
        <f>HYPERLINK("http://www.ncbi.nlm.nih.gov/Taxonomy/Browser/wwwtax.cgi?mode=Info&amp;id=109042&amp;lvl=3&amp;lin=f&amp;keep=1&amp;srchmode=1&amp;unlock","Tympanuchus pallidicinctus")</f>
        <v>Tympanuchus pallidicinctus</v>
      </c>
      <c r="H1796" t="s">
        <v>532</v>
      </c>
      <c r="I1796" t="str">
        <f>HYPERLINK("http://www.ncbi.nlm.nih.gov/protein/XP_052552130.1","ryanodine receptor 2 isoform X5")</f>
        <v>ryanodine receptor 2 isoform X5</v>
      </c>
      <c r="J1796">
        <v>8571.06</v>
      </c>
      <c r="K1796" t="s">
        <v>19</v>
      </c>
      <c r="L1796">
        <v>1210</v>
      </c>
      <c r="M1796">
        <v>7.13</v>
      </c>
      <c r="N1796">
        <v>83.51</v>
      </c>
      <c r="O1796" t="s">
        <v>19</v>
      </c>
      <c r="P1796" t="s">
        <v>1267</v>
      </c>
      <c r="Q1796" t="s">
        <v>19</v>
      </c>
      <c r="R1796" t="str">
        <f>HYPERLINK("https://cfpub.epa.gov/ecotox/explore.cfm?ncbi=109042","Explore in ECOTOX")</f>
        <v>Explore in ECOTOX</v>
      </c>
    </row>
    <row r="1797" spans="1:18" x14ac:dyDescent="0.45">
      <c r="A1797" t="s">
        <v>1266</v>
      </c>
      <c r="B1797">
        <v>8</v>
      </c>
      <c r="C1797" t="str">
        <f>HYPERLINK("http://www.ncbi.nlm.nih.gov/protein/XP_030191453.1","XP_030191453.1")</f>
        <v>XP_030191453.1</v>
      </c>
      <c r="D1797">
        <v>42175</v>
      </c>
      <c r="E1797" t="str">
        <f>HYPERLINK("http://www.ncbi.nlm.nih.gov/Taxonomy/Browser/wwwtax.cgi?mode=Info&amp;id=61383&amp;lvl=3&amp;lin=f&amp;keep=1&amp;srchmode=1&amp;unlock","61383")</f>
        <v>61383</v>
      </c>
      <c r="F1797" t="s">
        <v>96</v>
      </c>
      <c r="G1797" t="str">
        <f>HYPERLINK("http://www.ncbi.nlm.nih.gov/Taxonomy/Browser/wwwtax.cgi?mode=Info&amp;id=61383&amp;lvl=3&amp;lin=f&amp;keep=1&amp;srchmode=1&amp;unlock","Lynx canadensis")</f>
        <v>Lynx canadensis</v>
      </c>
      <c r="H1797" t="s">
        <v>302</v>
      </c>
      <c r="I1797" t="str">
        <f>HYPERLINK("http://www.ncbi.nlm.nih.gov/protein/XP_030191453.1","ryanodine receptor 2 isoform X4")</f>
        <v>ryanodine receptor 2 isoform X4</v>
      </c>
      <c r="J1797">
        <v>8571.06</v>
      </c>
      <c r="K1797" t="s">
        <v>19</v>
      </c>
      <c r="L1797">
        <v>1210</v>
      </c>
      <c r="M1797">
        <v>7.13</v>
      </c>
      <c r="N1797">
        <v>83.51</v>
      </c>
      <c r="O1797" t="s">
        <v>19</v>
      </c>
      <c r="P1797" t="s">
        <v>1267</v>
      </c>
      <c r="Q1797" t="s">
        <v>19</v>
      </c>
      <c r="R1797" t="str">
        <f>HYPERLINK("https://cfpub.epa.gov/ecotox/explore.cfm?ncbi=61383","Explore in ECOTOX")</f>
        <v>Explore in ECOTOX</v>
      </c>
    </row>
    <row r="1798" spans="1:18" x14ac:dyDescent="0.45">
      <c r="A1798" t="s">
        <v>1266</v>
      </c>
      <c r="B1798">
        <v>8</v>
      </c>
      <c r="C1798" t="str">
        <f>HYPERLINK("http://www.ncbi.nlm.nih.gov/protein/XP_023096133.2","XP_023096133.2")</f>
        <v>XP_023096133.2</v>
      </c>
      <c r="D1798">
        <v>74655</v>
      </c>
      <c r="E1798" t="str">
        <f>HYPERLINK("http://www.ncbi.nlm.nih.gov/Taxonomy/Browser/wwwtax.cgi?mode=Info&amp;id=9685&amp;lvl=3&amp;lin=f&amp;keep=1&amp;srchmode=1&amp;unlock","9685")</f>
        <v>9685</v>
      </c>
      <c r="F1798" t="s">
        <v>96</v>
      </c>
      <c r="G1798" t="str">
        <f>HYPERLINK("http://www.ncbi.nlm.nih.gov/Taxonomy/Browser/wwwtax.cgi?mode=Info&amp;id=9685&amp;lvl=3&amp;lin=f&amp;keep=1&amp;srchmode=1&amp;unlock","Felis catus")</f>
        <v>Felis catus</v>
      </c>
      <c r="H1798" t="s">
        <v>288</v>
      </c>
      <c r="I1798" t="str">
        <f>HYPERLINK("http://www.ncbi.nlm.nih.gov/protein/XP_023096133.2","ryanodine receptor 2 isoform X7")</f>
        <v>ryanodine receptor 2 isoform X7</v>
      </c>
      <c r="J1798">
        <v>8570.68</v>
      </c>
      <c r="K1798" t="s">
        <v>19</v>
      </c>
      <c r="L1798">
        <v>1210</v>
      </c>
      <c r="M1798">
        <v>7.13</v>
      </c>
      <c r="N1798">
        <v>83.51</v>
      </c>
      <c r="O1798" t="s">
        <v>19</v>
      </c>
      <c r="P1798" t="s">
        <v>1267</v>
      </c>
      <c r="Q1798" t="s">
        <v>19</v>
      </c>
      <c r="R1798" t="str">
        <f>HYPERLINK("https://cfpub.epa.gov/ecotox/explore.cfm?ncbi=9685","Explore in ECOTOX")</f>
        <v>Explore in ECOTOX</v>
      </c>
    </row>
    <row r="1799" spans="1:18" x14ac:dyDescent="0.45">
      <c r="A1799" t="s">
        <v>1266</v>
      </c>
      <c r="B1799">
        <v>8</v>
      </c>
      <c r="C1799" t="str">
        <f>HYPERLINK("http://www.ncbi.nlm.nih.gov/protein/XP_034365497.1","XP_034365497.1")</f>
        <v>XP_034365497.1</v>
      </c>
      <c r="D1799">
        <v>41697</v>
      </c>
      <c r="E1799" t="str">
        <f>HYPERLINK("http://www.ncbi.nlm.nih.gov/Taxonomy/Browser/wwwtax.cgi?mode=Info&amp;id=61156&amp;lvl=3&amp;lin=f&amp;keep=1&amp;srchmode=1&amp;unlock","61156")</f>
        <v>61156</v>
      </c>
      <c r="F1799" t="s">
        <v>96</v>
      </c>
      <c r="G1799" t="str">
        <f>HYPERLINK("http://www.ncbi.nlm.nih.gov/Taxonomy/Browser/wwwtax.cgi?mode=Info&amp;id=61156&amp;lvl=3&amp;lin=f&amp;keep=1&amp;srchmode=1&amp;unlock","Arvicanthis niloticus")</f>
        <v>Arvicanthis niloticus</v>
      </c>
      <c r="H1799" t="s">
        <v>379</v>
      </c>
      <c r="I1799" t="str">
        <f>HYPERLINK("http://www.ncbi.nlm.nih.gov/protein/XP_034365497.1","ryanodine receptor 2")</f>
        <v>ryanodine receptor 2</v>
      </c>
      <c r="J1799">
        <v>8570.68</v>
      </c>
      <c r="K1799" t="s">
        <v>19</v>
      </c>
      <c r="L1799">
        <v>1210</v>
      </c>
      <c r="M1799">
        <v>7.13</v>
      </c>
      <c r="N1799">
        <v>83.51</v>
      </c>
      <c r="O1799" t="s">
        <v>19</v>
      </c>
      <c r="P1799" t="s">
        <v>1267</v>
      </c>
      <c r="Q1799" t="s">
        <v>19</v>
      </c>
      <c r="R1799" t="str">
        <f>HYPERLINK("https://cfpub.epa.gov/ecotox/explore.cfm?ncbi=61156","Explore in ECOTOX")</f>
        <v>Explore in ECOTOX</v>
      </c>
    </row>
    <row r="1800" spans="1:18" x14ac:dyDescent="0.45">
      <c r="A1800" t="s">
        <v>1266</v>
      </c>
      <c r="B1800">
        <v>8</v>
      </c>
      <c r="C1800" t="str">
        <f>HYPERLINK("http://www.ncbi.nlm.nih.gov/protein/XP_038670247.1","XP_038670247.1")</f>
        <v>XP_038670247.1</v>
      </c>
      <c r="D1800">
        <v>50176</v>
      </c>
      <c r="E1800" t="str">
        <f>HYPERLINK("http://www.ncbi.nlm.nih.gov/Taxonomy/Browser/wwwtax.cgi?mode=Info&amp;id=7830&amp;lvl=3&amp;lin=f&amp;keep=1&amp;srchmode=1&amp;unlock","7830")</f>
        <v>7830</v>
      </c>
      <c r="F1800" t="s">
        <v>195</v>
      </c>
      <c r="G1800" t="str">
        <f>HYPERLINK("http://www.ncbi.nlm.nih.gov/Taxonomy/Browser/wwwtax.cgi?mode=Info&amp;id=7830&amp;lvl=3&amp;lin=f&amp;keep=1&amp;srchmode=1&amp;unlock","Scyliorhinus canicula")</f>
        <v>Scyliorhinus canicula</v>
      </c>
      <c r="H1800" t="s">
        <v>219</v>
      </c>
      <c r="I1800" t="str">
        <f>HYPERLINK("http://www.ncbi.nlm.nih.gov/protein/XP_038670247.1","ryanodine receptor 2 isoform X4")</f>
        <v>ryanodine receptor 2 isoform X4</v>
      </c>
      <c r="J1800">
        <v>8570.2900000000009</v>
      </c>
      <c r="K1800" t="s">
        <v>19</v>
      </c>
      <c r="L1800">
        <v>1210</v>
      </c>
      <c r="M1800">
        <v>7.13</v>
      </c>
      <c r="N1800">
        <v>83.51</v>
      </c>
      <c r="O1800" t="s">
        <v>19</v>
      </c>
      <c r="P1800" t="s">
        <v>1267</v>
      </c>
      <c r="Q1800" t="s">
        <v>19</v>
      </c>
      <c r="R1800" t="str">
        <f>HYPERLINK("https://cfpub.epa.gov/ecotox/explore.cfm?ncbi=7830","Explore in ECOTOX")</f>
        <v>Explore in ECOTOX</v>
      </c>
    </row>
    <row r="1801" spans="1:18" x14ac:dyDescent="0.45">
      <c r="A1801" t="s">
        <v>1266</v>
      </c>
      <c r="B1801">
        <v>8</v>
      </c>
      <c r="C1801" t="str">
        <f>HYPERLINK("http://www.ncbi.nlm.nih.gov/protein/XP_043781837.1","XP_043781837.1")</f>
        <v>XP_043781837.1</v>
      </c>
      <c r="D1801">
        <v>58386</v>
      </c>
      <c r="E1801" t="str">
        <f>HYPERLINK("http://www.ncbi.nlm.nih.gov/Taxonomy/Browser/wwwtax.cgi?mode=Info&amp;id=9860&amp;lvl=3&amp;lin=f&amp;keep=1&amp;srchmode=1&amp;unlock","9860")</f>
        <v>9860</v>
      </c>
      <c r="F1801" t="s">
        <v>96</v>
      </c>
      <c r="G1801" t="str">
        <f>HYPERLINK("http://www.ncbi.nlm.nih.gov/Taxonomy/Browser/wwwtax.cgi?mode=Info&amp;id=9860&amp;lvl=3&amp;lin=f&amp;keep=1&amp;srchmode=1&amp;unlock","Cervus elaphus")</f>
        <v>Cervus elaphus</v>
      </c>
      <c r="H1801" t="s">
        <v>576</v>
      </c>
      <c r="I1801" t="str">
        <f>HYPERLINK("http://www.ncbi.nlm.nih.gov/protein/XP_043781837.1","ryanodine receptor 2 isoform X8")</f>
        <v>ryanodine receptor 2 isoform X8</v>
      </c>
      <c r="J1801">
        <v>8569.91</v>
      </c>
      <c r="K1801" t="s">
        <v>19</v>
      </c>
      <c r="L1801">
        <v>1210</v>
      </c>
      <c r="M1801">
        <v>7.13</v>
      </c>
      <c r="N1801">
        <v>83.5</v>
      </c>
      <c r="O1801" t="s">
        <v>19</v>
      </c>
      <c r="P1801" t="s">
        <v>1267</v>
      </c>
      <c r="Q1801" t="s">
        <v>19</v>
      </c>
      <c r="R1801" t="str">
        <f>HYPERLINK("https://cfpub.epa.gov/ecotox/explore.cfm?ncbi=9860","Explore in ECOTOX")</f>
        <v>Explore in ECOTOX</v>
      </c>
    </row>
    <row r="1802" spans="1:18" x14ac:dyDescent="0.45">
      <c r="A1802" t="s">
        <v>1266</v>
      </c>
      <c r="B1802">
        <v>8</v>
      </c>
      <c r="C1802" t="str">
        <f>HYPERLINK("http://www.ncbi.nlm.nih.gov/protein/XP_059952720.1","XP_059952720.1")</f>
        <v>XP_059952720.1</v>
      </c>
      <c r="D1802">
        <v>43350</v>
      </c>
      <c r="E1802" t="str">
        <f>HYPERLINK("http://www.ncbi.nlm.nih.gov/Taxonomy/Browser/wwwtax.cgi?mode=Info&amp;id=48708&amp;lvl=3&amp;lin=f&amp;keep=1&amp;srchmode=1&amp;unlock","48708")</f>
        <v>48708</v>
      </c>
      <c r="F1802" t="s">
        <v>96</v>
      </c>
      <c r="G1802" t="str">
        <f>HYPERLINK("http://www.ncbi.nlm.nih.gov/Taxonomy/Browser/wwwtax.cgi?mode=Info&amp;id=48708&amp;lvl=3&amp;lin=f&amp;keep=1&amp;srchmode=1&amp;unlock","Mesoplodon densirostris")</f>
        <v>Mesoplodon densirostris</v>
      </c>
      <c r="H1802" t="s">
        <v>597</v>
      </c>
      <c r="I1802" t="str">
        <f>HYPERLINK("http://www.ncbi.nlm.nih.gov/protein/XP_059952720.1","ryanodine receptor 2")</f>
        <v>ryanodine receptor 2</v>
      </c>
      <c r="J1802">
        <v>8569.91</v>
      </c>
      <c r="K1802" t="s">
        <v>19</v>
      </c>
      <c r="L1802">
        <v>1210</v>
      </c>
      <c r="M1802">
        <v>7.13</v>
      </c>
      <c r="N1802">
        <v>83.5</v>
      </c>
      <c r="O1802" t="s">
        <v>19</v>
      </c>
      <c r="P1802" t="s">
        <v>1267</v>
      </c>
      <c r="Q1802" t="s">
        <v>19</v>
      </c>
      <c r="R1802" t="str">
        <f>HYPERLINK("https://cfpub.epa.gov/ecotox/explore.cfm?ncbi=48708","Explore in ECOTOX")</f>
        <v>Explore in ECOTOX</v>
      </c>
    </row>
    <row r="1803" spans="1:18" x14ac:dyDescent="0.45">
      <c r="A1803" t="s">
        <v>1266</v>
      </c>
      <c r="B1803">
        <v>8</v>
      </c>
      <c r="C1803" t="str">
        <f>HYPERLINK("http://www.ncbi.nlm.nih.gov/protein/XP_061017384.1","XP_061017384.1")</f>
        <v>XP_061017384.1</v>
      </c>
      <c r="D1803">
        <v>48826</v>
      </c>
      <c r="E1803" t="str">
        <f>HYPERLINK("http://www.ncbi.nlm.nih.gov/Taxonomy/Browser/wwwtax.cgi?mode=Info&amp;id=30532&amp;lvl=3&amp;lin=f&amp;keep=1&amp;srchmode=1&amp;unlock","30532")</f>
        <v>30532</v>
      </c>
      <c r="F1803" t="s">
        <v>96</v>
      </c>
      <c r="G1803" t="str">
        <f>HYPERLINK("http://www.ncbi.nlm.nih.gov/Taxonomy/Browser/wwwtax.cgi?mode=Info&amp;id=30532&amp;lvl=3&amp;lin=f&amp;keep=1&amp;srchmode=1&amp;unlock","Dama dama")</f>
        <v>Dama dama</v>
      </c>
      <c r="H1803" t="s">
        <v>364</v>
      </c>
      <c r="I1803" t="str">
        <f>HYPERLINK("http://www.ncbi.nlm.nih.gov/protein/XP_061017384.1","ryanodine receptor 2")</f>
        <v>ryanodine receptor 2</v>
      </c>
      <c r="J1803">
        <v>8569.52</v>
      </c>
      <c r="K1803" t="s">
        <v>19</v>
      </c>
      <c r="L1803">
        <v>1210</v>
      </c>
      <c r="M1803">
        <v>7.13</v>
      </c>
      <c r="N1803">
        <v>83.5</v>
      </c>
      <c r="O1803" t="s">
        <v>19</v>
      </c>
      <c r="P1803" t="s">
        <v>1267</v>
      </c>
      <c r="Q1803" t="s">
        <v>19</v>
      </c>
      <c r="R1803" t="str">
        <f>HYPERLINK("https://cfpub.epa.gov/ecotox/explore.cfm?ncbi=30532","Explore in ECOTOX")</f>
        <v>Explore in ECOTOX</v>
      </c>
    </row>
    <row r="1804" spans="1:18" x14ac:dyDescent="0.45">
      <c r="A1804" t="s">
        <v>1266</v>
      </c>
      <c r="B1804">
        <v>8</v>
      </c>
      <c r="C1804" t="str">
        <f>HYPERLINK("http://www.ncbi.nlm.nih.gov/protein/XP_032537662.1","XP_032537662.1")</f>
        <v>XP_032537662.1</v>
      </c>
      <c r="D1804">
        <v>39420</v>
      </c>
      <c r="E1804" t="str">
        <f>HYPERLINK("http://www.ncbi.nlm.nih.gov/Taxonomy/Browser/wwwtax.cgi?mode=Info&amp;id=296741&amp;lvl=3&amp;lin=f&amp;keep=1&amp;srchmode=1&amp;unlock","296741")</f>
        <v>296741</v>
      </c>
      <c r="F1804" t="s">
        <v>241</v>
      </c>
      <c r="G1804" t="str">
        <f>HYPERLINK("http://www.ncbi.nlm.nih.gov/Taxonomy/Browser/wwwtax.cgi?mode=Info&amp;id=296741&amp;lvl=3&amp;lin=f&amp;keep=1&amp;srchmode=1&amp;unlock","Chiroxiphia lanceolata")</f>
        <v>Chiroxiphia lanceolata</v>
      </c>
      <c r="H1804" t="s">
        <v>247</v>
      </c>
      <c r="I1804" t="str">
        <f>HYPERLINK("http://www.ncbi.nlm.nih.gov/protein/XP_032537662.1","ryanodine receptor 2 isoform X4")</f>
        <v>ryanodine receptor 2 isoform X4</v>
      </c>
      <c r="J1804">
        <v>8569.52</v>
      </c>
      <c r="K1804" t="s">
        <v>19</v>
      </c>
      <c r="L1804">
        <v>1210</v>
      </c>
      <c r="M1804">
        <v>7.13</v>
      </c>
      <c r="N1804">
        <v>83.5</v>
      </c>
      <c r="O1804" t="s">
        <v>19</v>
      </c>
      <c r="P1804" t="s">
        <v>1267</v>
      </c>
      <c r="Q1804" t="s">
        <v>19</v>
      </c>
      <c r="R1804" t="str">
        <f>HYPERLINK("https://cfpub.epa.gov/ecotox/explore.cfm?ncbi=296741","Explore in ECOTOX")</f>
        <v>Explore in ECOTOX</v>
      </c>
    </row>
    <row r="1805" spans="1:18" x14ac:dyDescent="0.45">
      <c r="A1805" t="s">
        <v>1266</v>
      </c>
      <c r="B1805">
        <v>8</v>
      </c>
      <c r="C1805" t="str">
        <f>HYPERLINK("http://www.ncbi.nlm.nih.gov/protein/XP_027513057.1","XP_027513057.1")</f>
        <v>XP_027513057.1</v>
      </c>
      <c r="D1805">
        <v>39234</v>
      </c>
      <c r="E1805" t="str">
        <f>HYPERLINK("http://www.ncbi.nlm.nih.gov/Taxonomy/Browser/wwwtax.cgi?mode=Info&amp;id=415028&amp;lvl=3&amp;lin=f&amp;keep=1&amp;srchmode=1&amp;unlock","415028")</f>
        <v>415028</v>
      </c>
      <c r="F1805" t="s">
        <v>241</v>
      </c>
      <c r="G1805" t="str">
        <f>HYPERLINK("http://www.ncbi.nlm.nih.gov/Taxonomy/Browser/wwwtax.cgi?mode=Info&amp;id=415028&amp;lvl=3&amp;lin=f&amp;keep=1&amp;srchmode=1&amp;unlock","Corapipo altera")</f>
        <v>Corapipo altera</v>
      </c>
      <c r="H1805" t="s">
        <v>252</v>
      </c>
      <c r="I1805" t="str">
        <f>HYPERLINK("http://www.ncbi.nlm.nih.gov/protein/XP_027513057.1","ryanodine receptor 2 isoform X4")</f>
        <v>ryanodine receptor 2 isoform X4</v>
      </c>
      <c r="J1805">
        <v>8569.14</v>
      </c>
      <c r="K1805" t="s">
        <v>19</v>
      </c>
      <c r="L1805">
        <v>1210</v>
      </c>
      <c r="M1805">
        <v>7.13</v>
      </c>
      <c r="N1805">
        <v>83.5</v>
      </c>
      <c r="O1805" t="s">
        <v>19</v>
      </c>
      <c r="P1805" t="s">
        <v>1267</v>
      </c>
      <c r="Q1805" t="s">
        <v>19</v>
      </c>
      <c r="R1805" t="str">
        <f>HYPERLINK("https://cfpub.epa.gov/ecotox/explore.cfm?ncbi=415028","Explore in ECOTOX")</f>
        <v>Explore in ECOTOX</v>
      </c>
    </row>
    <row r="1806" spans="1:18" x14ac:dyDescent="0.45">
      <c r="A1806" t="s">
        <v>1266</v>
      </c>
      <c r="B1806">
        <v>8</v>
      </c>
      <c r="C1806" t="str">
        <f>HYPERLINK("http://www.ncbi.nlm.nih.gov/protein/XP_036855098.1","XP_036855098.1")</f>
        <v>XP_036855098.1</v>
      </c>
      <c r="D1806">
        <v>75676</v>
      </c>
      <c r="E1806" t="str">
        <f>HYPERLINK("http://www.ncbi.nlm.nih.gov/Taxonomy/Browser/wwwtax.cgi?mode=Info&amp;id=9974&amp;lvl=3&amp;lin=f&amp;keep=1&amp;srchmode=1&amp;unlock","9974")</f>
        <v>9974</v>
      </c>
      <c r="F1806" t="s">
        <v>96</v>
      </c>
      <c r="G1806" t="str">
        <f>HYPERLINK("http://www.ncbi.nlm.nih.gov/Taxonomy/Browser/wwwtax.cgi?mode=Info&amp;id=9974&amp;lvl=3&amp;lin=f&amp;keep=1&amp;srchmode=1&amp;unlock","Manis javanica")</f>
        <v>Manis javanica</v>
      </c>
      <c r="H1806" t="s">
        <v>328</v>
      </c>
      <c r="I1806" t="str">
        <f>HYPERLINK("http://www.ncbi.nlm.nih.gov/protein/XP_036855098.1","ryanodine receptor 2")</f>
        <v>ryanodine receptor 2</v>
      </c>
      <c r="J1806">
        <v>8568.75</v>
      </c>
      <c r="K1806" t="s">
        <v>19</v>
      </c>
      <c r="L1806">
        <v>1210</v>
      </c>
      <c r="M1806">
        <v>7.13</v>
      </c>
      <c r="N1806">
        <v>83.49</v>
      </c>
      <c r="O1806" t="s">
        <v>19</v>
      </c>
      <c r="P1806" t="s">
        <v>1267</v>
      </c>
      <c r="Q1806" t="s">
        <v>19</v>
      </c>
      <c r="R1806" t="str">
        <f>HYPERLINK("https://cfpub.epa.gov/ecotox/explore.cfm?ncbi=9974","Explore in ECOTOX")</f>
        <v>Explore in ECOTOX</v>
      </c>
    </row>
    <row r="1807" spans="1:18" x14ac:dyDescent="0.45">
      <c r="A1807" t="s">
        <v>1266</v>
      </c>
      <c r="B1807">
        <v>8</v>
      </c>
      <c r="C1807" t="str">
        <f>HYPERLINK("http://www.ncbi.nlm.nih.gov/protein/XP_045021457.1","XP_045021457.1")</f>
        <v>XP_045021457.1</v>
      </c>
      <c r="D1807">
        <v>76377</v>
      </c>
      <c r="E1807" t="str">
        <f>HYPERLINK("http://www.ncbi.nlm.nih.gov/Taxonomy/Browser/wwwtax.cgi?mode=Info&amp;id=89462&amp;lvl=3&amp;lin=f&amp;keep=1&amp;srchmode=1&amp;unlock","89462")</f>
        <v>89462</v>
      </c>
      <c r="F1807" t="s">
        <v>96</v>
      </c>
      <c r="G1807" t="str">
        <f>HYPERLINK("http://www.ncbi.nlm.nih.gov/Taxonomy/Browser/wwwtax.cgi?mode=Info&amp;id=89462&amp;lvl=3&amp;lin=f&amp;keep=1&amp;srchmode=1&amp;unlock","Bubalus bubalis")</f>
        <v>Bubalus bubalis</v>
      </c>
      <c r="H1807" t="s">
        <v>374</v>
      </c>
      <c r="I1807" t="str">
        <f>HYPERLINK("http://www.ncbi.nlm.nih.gov/protein/XP_045021457.1","ryanodine receptor 2")</f>
        <v>ryanodine receptor 2</v>
      </c>
      <c r="J1807">
        <v>8568.3700000000008</v>
      </c>
      <c r="K1807" t="s">
        <v>19</v>
      </c>
      <c r="L1807">
        <v>1210</v>
      </c>
      <c r="M1807">
        <v>7.13</v>
      </c>
      <c r="N1807">
        <v>83.49</v>
      </c>
      <c r="O1807" t="s">
        <v>19</v>
      </c>
      <c r="P1807" t="s">
        <v>1267</v>
      </c>
      <c r="Q1807" t="s">
        <v>19</v>
      </c>
      <c r="R1807" t="str">
        <f>HYPERLINK("https://cfpub.epa.gov/ecotox/explore.cfm?ncbi=89462","Explore in ECOTOX")</f>
        <v>Explore in ECOTOX</v>
      </c>
    </row>
    <row r="1808" spans="1:18" x14ac:dyDescent="0.45">
      <c r="A1808" t="s">
        <v>1266</v>
      </c>
      <c r="B1808">
        <v>8</v>
      </c>
      <c r="C1808" t="str">
        <f>HYPERLINK("http://www.ncbi.nlm.nih.gov/protein/XP_021551817.1","XP_021551817.1")</f>
        <v>XP_021551817.1</v>
      </c>
      <c r="D1808">
        <v>39488</v>
      </c>
      <c r="E1808" t="str">
        <f>HYPERLINK("http://www.ncbi.nlm.nih.gov/Taxonomy/Browser/wwwtax.cgi?mode=Info&amp;id=29088&amp;lvl=3&amp;lin=f&amp;keep=1&amp;srchmode=1&amp;unlock","29088")</f>
        <v>29088</v>
      </c>
      <c r="F1808" t="s">
        <v>96</v>
      </c>
      <c r="G1808" t="str">
        <f>HYPERLINK("http://www.ncbi.nlm.nih.gov/Taxonomy/Browser/wwwtax.cgi?mode=Info&amp;id=29088&amp;lvl=3&amp;lin=f&amp;keep=1&amp;srchmode=1&amp;unlock","Neomonachus schauinslandi")</f>
        <v>Neomonachus schauinslandi</v>
      </c>
      <c r="H1808" t="s">
        <v>401</v>
      </c>
      <c r="I1808" t="str">
        <f>HYPERLINK("http://www.ncbi.nlm.nih.gov/protein/XP_021551817.1","ryanodine receptor 2")</f>
        <v>ryanodine receptor 2</v>
      </c>
      <c r="J1808">
        <v>8567.2099999999991</v>
      </c>
      <c r="K1808" t="s">
        <v>19</v>
      </c>
      <c r="L1808">
        <v>1210</v>
      </c>
      <c r="M1808">
        <v>7.13</v>
      </c>
      <c r="N1808">
        <v>83.48</v>
      </c>
      <c r="O1808" t="s">
        <v>19</v>
      </c>
      <c r="P1808" t="s">
        <v>1267</v>
      </c>
      <c r="Q1808" t="s">
        <v>19</v>
      </c>
      <c r="R1808" t="str">
        <f>HYPERLINK("https://cfpub.epa.gov/ecotox/explore.cfm?ncbi=29088","Explore in ECOTOX")</f>
        <v>Explore in ECOTOX</v>
      </c>
    </row>
    <row r="1809" spans="1:18" x14ac:dyDescent="0.45">
      <c r="A1809" t="s">
        <v>1266</v>
      </c>
      <c r="B1809">
        <v>8</v>
      </c>
      <c r="C1809" t="str">
        <f>HYPERLINK("http://www.ncbi.nlm.nih.gov/protein/XP_054018263.1","XP_054018263.1")</f>
        <v>XP_054018263.1</v>
      </c>
      <c r="D1809">
        <v>37780</v>
      </c>
      <c r="E1809" t="str">
        <f>HYPERLINK("http://www.ncbi.nlm.nih.gov/Taxonomy/Browser/wwwtax.cgi?mode=Info&amp;id=118200&amp;lvl=3&amp;lin=f&amp;keep=1&amp;srchmode=1&amp;unlock","118200")</f>
        <v>118200</v>
      </c>
      <c r="F1809" t="s">
        <v>241</v>
      </c>
      <c r="G1809" t="str">
        <f>HYPERLINK("http://www.ncbi.nlm.nih.gov/Taxonomy/Browser/wwwtax.cgi?mode=Info&amp;id=118200&amp;lvl=3&amp;lin=f&amp;keep=1&amp;srchmode=1&amp;unlock","Dryobates pubescens")</f>
        <v>Dryobates pubescens</v>
      </c>
      <c r="H1809" t="s">
        <v>250</v>
      </c>
      <c r="I1809" t="str">
        <f>HYPERLINK("http://www.ncbi.nlm.nih.gov/protein/XP_054018263.1","ryanodine receptor 2")</f>
        <v>ryanodine receptor 2</v>
      </c>
      <c r="J1809">
        <v>8567.2099999999991</v>
      </c>
      <c r="K1809" t="s">
        <v>19</v>
      </c>
      <c r="L1809">
        <v>1210</v>
      </c>
      <c r="M1809">
        <v>7.13</v>
      </c>
      <c r="N1809">
        <v>83.48</v>
      </c>
      <c r="O1809" t="s">
        <v>19</v>
      </c>
      <c r="P1809" t="s">
        <v>1267</v>
      </c>
      <c r="Q1809" t="s">
        <v>19</v>
      </c>
      <c r="R1809" t="str">
        <f>HYPERLINK("https://cfpub.epa.gov/ecotox/explore.cfm?ncbi=118200","Explore in ECOTOX")</f>
        <v>Explore in ECOTOX</v>
      </c>
    </row>
    <row r="1810" spans="1:18" x14ac:dyDescent="0.45">
      <c r="A1810" t="s">
        <v>1266</v>
      </c>
      <c r="B1810">
        <v>8</v>
      </c>
      <c r="C1810" t="str">
        <f>HYPERLINK("http://www.ncbi.nlm.nih.gov/protein/XP_044275747.1","XP_044275747.1")</f>
        <v>XP_044275747.1</v>
      </c>
      <c r="D1810">
        <v>57848</v>
      </c>
      <c r="E1810" t="str">
        <f>HYPERLINK("http://www.ncbi.nlm.nih.gov/Taxonomy/Browser/wwwtax.cgi?mode=Info&amp;id=61221&amp;lvl=3&amp;lin=f&amp;keep=1&amp;srchmode=1&amp;unlock","61221")</f>
        <v>61221</v>
      </c>
      <c r="F1810" t="s">
        <v>192</v>
      </c>
      <c r="G1810" t="str">
        <f>HYPERLINK("http://www.ncbi.nlm.nih.gov/Taxonomy/Browser/wwwtax.cgi?mode=Info&amp;id=61221&amp;lvl=3&amp;lin=f&amp;keep=1&amp;srchmode=1&amp;unlock","Varanus komodoensis")</f>
        <v>Varanus komodoensis</v>
      </c>
      <c r="H1810" t="s">
        <v>193</v>
      </c>
      <c r="I1810" t="str">
        <f>HYPERLINK("http://www.ncbi.nlm.nih.gov/protein/XP_044275747.1","ryanodine receptor 2 isoform X6")</f>
        <v>ryanodine receptor 2 isoform X6</v>
      </c>
      <c r="J1810">
        <v>8566.82</v>
      </c>
      <c r="K1810" t="s">
        <v>19</v>
      </c>
      <c r="L1810">
        <v>1210</v>
      </c>
      <c r="M1810">
        <v>7.13</v>
      </c>
      <c r="N1810">
        <v>83.47</v>
      </c>
      <c r="O1810" t="s">
        <v>19</v>
      </c>
      <c r="P1810" t="s">
        <v>1267</v>
      </c>
      <c r="Q1810" t="s">
        <v>19</v>
      </c>
      <c r="R1810" t="str">
        <f>HYPERLINK("https://cfpub.epa.gov/ecotox/explore.cfm?ncbi=61221","Explore in ECOTOX")</f>
        <v>Explore in ECOTOX</v>
      </c>
    </row>
    <row r="1811" spans="1:18" x14ac:dyDescent="0.45">
      <c r="A1811" t="s">
        <v>1266</v>
      </c>
      <c r="B1811">
        <v>8</v>
      </c>
      <c r="C1811" t="str">
        <f>HYPERLINK("http://www.ncbi.nlm.nih.gov/protein/XP_039423883.1","XP_039423883.1")</f>
        <v>XP_039423883.1</v>
      </c>
      <c r="D1811">
        <v>36909</v>
      </c>
      <c r="E1811" t="str">
        <f>HYPERLINK("http://www.ncbi.nlm.nih.gov/Taxonomy/Browser/wwwtax.cgi?mode=Info&amp;id=932674&amp;lvl=3&amp;lin=f&amp;keep=1&amp;srchmode=1&amp;unlock","932674")</f>
        <v>932674</v>
      </c>
      <c r="F1811" t="s">
        <v>241</v>
      </c>
      <c r="G1811" t="str">
        <f>HYPERLINK("http://www.ncbi.nlm.nih.gov/Taxonomy/Browser/wwwtax.cgi?mode=Info&amp;id=932674&amp;lvl=3&amp;lin=f&amp;keep=1&amp;srchmode=1&amp;unlock","Corvus cornix cornix")</f>
        <v>Corvus cornix cornix</v>
      </c>
      <c r="H1811" t="s">
        <v>520</v>
      </c>
      <c r="I1811" t="str">
        <f>HYPERLINK("http://www.ncbi.nlm.nih.gov/protein/XP_039423883.1","ryanodine receptor 2 isoform X11")</f>
        <v>ryanodine receptor 2 isoform X11</v>
      </c>
      <c r="J1811">
        <v>8566.82</v>
      </c>
      <c r="K1811" t="s">
        <v>19</v>
      </c>
      <c r="L1811">
        <v>1210</v>
      </c>
      <c r="M1811">
        <v>7.13</v>
      </c>
      <c r="N1811">
        <v>83.47</v>
      </c>
      <c r="O1811" t="s">
        <v>19</v>
      </c>
      <c r="P1811" t="s">
        <v>1267</v>
      </c>
      <c r="Q1811" t="s">
        <v>19</v>
      </c>
      <c r="R1811" t="str">
        <f>HYPERLINK("https://cfpub.epa.gov/ecotox/explore.cfm?ncbi=932674","Explore in ECOTOX")</f>
        <v>Explore in ECOTOX</v>
      </c>
    </row>
    <row r="1812" spans="1:18" x14ac:dyDescent="0.45">
      <c r="A1812" t="s">
        <v>1266</v>
      </c>
      <c r="B1812">
        <v>8</v>
      </c>
      <c r="C1812" t="str">
        <f>HYPERLINK("http://www.ncbi.nlm.nih.gov/protein/XP_054675156.1","XP_054675156.1")</f>
        <v>XP_054675156.1</v>
      </c>
      <c r="D1812">
        <v>62634</v>
      </c>
      <c r="E1812" t="str">
        <f>HYPERLINK("http://www.ncbi.nlm.nih.gov/Taxonomy/Browser/wwwtax.cgi?mode=Info&amp;id=9117&amp;lvl=3&amp;lin=f&amp;keep=1&amp;srchmode=1&amp;unlock","9117")</f>
        <v>9117</v>
      </c>
      <c r="F1812" t="s">
        <v>241</v>
      </c>
      <c r="G1812" t="str">
        <f>HYPERLINK("http://www.ncbi.nlm.nih.gov/Taxonomy/Browser/wwwtax.cgi?mode=Info&amp;id=9117&amp;lvl=3&amp;lin=f&amp;keep=1&amp;srchmode=1&amp;unlock","Grus americana")</f>
        <v>Grus americana</v>
      </c>
      <c r="H1812" t="s">
        <v>292</v>
      </c>
      <c r="I1812" t="str">
        <f>HYPERLINK("http://www.ncbi.nlm.nih.gov/protein/XP_054675156.1","ryanodine receptor 2 isoform X5")</f>
        <v>ryanodine receptor 2 isoform X5</v>
      </c>
      <c r="J1812">
        <v>8566.82</v>
      </c>
      <c r="K1812" t="s">
        <v>19</v>
      </c>
      <c r="L1812">
        <v>1210</v>
      </c>
      <c r="M1812">
        <v>7.13</v>
      </c>
      <c r="N1812">
        <v>83.47</v>
      </c>
      <c r="O1812" t="s">
        <v>19</v>
      </c>
      <c r="P1812" t="s">
        <v>1267</v>
      </c>
      <c r="Q1812" t="s">
        <v>19</v>
      </c>
      <c r="R1812" t="str">
        <f>HYPERLINK("https://cfpub.epa.gov/ecotox/explore.cfm?ncbi=9117","Explore in ECOTOX")</f>
        <v>Explore in ECOTOX</v>
      </c>
    </row>
    <row r="1813" spans="1:18" x14ac:dyDescent="0.45">
      <c r="A1813" t="s">
        <v>1266</v>
      </c>
      <c r="B1813">
        <v>8</v>
      </c>
      <c r="C1813" t="str">
        <f>HYPERLINK("http://www.ncbi.nlm.nih.gov/protein/XP_017897949.1","XP_017897949.1")</f>
        <v>XP_017897949.1</v>
      </c>
      <c r="D1813">
        <v>69243</v>
      </c>
      <c r="E1813" t="str">
        <f>HYPERLINK("http://www.ncbi.nlm.nih.gov/Taxonomy/Browser/wwwtax.cgi?mode=Info&amp;id=9925&amp;lvl=3&amp;lin=f&amp;keep=1&amp;srchmode=1&amp;unlock","9925")</f>
        <v>9925</v>
      </c>
      <c r="F1813" t="s">
        <v>96</v>
      </c>
      <c r="G1813" t="str">
        <f>HYPERLINK("http://www.ncbi.nlm.nih.gov/Taxonomy/Browser/wwwtax.cgi?mode=Info&amp;id=9925&amp;lvl=3&amp;lin=f&amp;keep=1&amp;srchmode=1&amp;unlock","Capra hircus")</f>
        <v>Capra hircus</v>
      </c>
      <c r="H1813" t="s">
        <v>368</v>
      </c>
      <c r="I1813" t="str">
        <f>HYPERLINK("http://www.ncbi.nlm.nih.gov/protein/XP_017897949.1","PREDICTED: ryanodine receptor 2")</f>
        <v>PREDICTED: ryanodine receptor 2</v>
      </c>
      <c r="J1813">
        <v>8566.82</v>
      </c>
      <c r="K1813" t="s">
        <v>19</v>
      </c>
      <c r="L1813">
        <v>1210</v>
      </c>
      <c r="M1813">
        <v>7.13</v>
      </c>
      <c r="N1813">
        <v>83.47</v>
      </c>
      <c r="O1813" t="s">
        <v>19</v>
      </c>
      <c r="P1813" t="s">
        <v>1267</v>
      </c>
      <c r="Q1813" t="s">
        <v>19</v>
      </c>
      <c r="R1813" t="str">
        <f>HYPERLINK("https://cfpub.epa.gov/ecotox/explore.cfm?ncbi=9925","Explore in ECOTOX")</f>
        <v>Explore in ECOTOX</v>
      </c>
    </row>
    <row r="1814" spans="1:18" x14ac:dyDescent="0.45">
      <c r="A1814" t="s">
        <v>1266</v>
      </c>
      <c r="B1814">
        <v>8</v>
      </c>
      <c r="C1814" t="str">
        <f>HYPERLINK("http://www.ncbi.nlm.nih.gov/protein/XP_014806099.1","XP_014806099.1")</f>
        <v>XP_014806099.1</v>
      </c>
      <c r="D1814">
        <v>30960</v>
      </c>
      <c r="E1814" t="str">
        <f>HYPERLINK("http://www.ncbi.nlm.nih.gov/Taxonomy/Browser/wwwtax.cgi?mode=Info&amp;id=198806&amp;lvl=3&amp;lin=f&amp;keep=1&amp;srchmode=1&amp;unlock","198806")</f>
        <v>198806</v>
      </c>
      <c r="F1814" t="s">
        <v>241</v>
      </c>
      <c r="G1814" t="str">
        <f>HYPERLINK("http://www.ncbi.nlm.nih.gov/Taxonomy/Browser/wwwtax.cgi?mode=Info&amp;id=198806&amp;lvl=3&amp;lin=f&amp;keep=1&amp;srchmode=1&amp;unlock","Calidris pugnax")</f>
        <v>Calidris pugnax</v>
      </c>
      <c r="H1814" t="s">
        <v>535</v>
      </c>
      <c r="I1814" t="str">
        <f>HYPERLINK("http://www.ncbi.nlm.nih.gov/protein/XP_014806099.1","PREDICTED: ryanodine receptor 2 isoform X5")</f>
        <v>PREDICTED: ryanodine receptor 2 isoform X5</v>
      </c>
      <c r="J1814">
        <v>8566.82</v>
      </c>
      <c r="K1814" t="s">
        <v>19</v>
      </c>
      <c r="L1814">
        <v>1210</v>
      </c>
      <c r="M1814">
        <v>7.13</v>
      </c>
      <c r="N1814">
        <v>83.47</v>
      </c>
      <c r="O1814" t="s">
        <v>19</v>
      </c>
      <c r="P1814" t="s">
        <v>1267</v>
      </c>
      <c r="Q1814" t="s">
        <v>19</v>
      </c>
      <c r="R1814" t="str">
        <f>HYPERLINK("https://cfpub.epa.gov/ecotox/explore.cfm?ncbi=198806","Explore in ECOTOX")</f>
        <v>Explore in ECOTOX</v>
      </c>
    </row>
    <row r="1815" spans="1:18" x14ac:dyDescent="0.45">
      <c r="A1815" t="s">
        <v>1266</v>
      </c>
      <c r="B1815">
        <v>8</v>
      </c>
      <c r="C1815" t="str">
        <f>HYPERLINK("http://www.ncbi.nlm.nih.gov/protein/XP_054550871.1","XP_054550871.1")</f>
        <v>XP_054550871.1</v>
      </c>
      <c r="D1815">
        <v>46938</v>
      </c>
      <c r="E1815" t="str">
        <f>HYPERLINK("http://www.ncbi.nlm.nih.gov/Taxonomy/Browser/wwwtax.cgi?mode=Info&amp;id=50954&amp;lvl=3&amp;lin=f&amp;keep=1&amp;srchmode=1&amp;unlock","50954")</f>
        <v>50954</v>
      </c>
      <c r="F1815" t="s">
        <v>96</v>
      </c>
      <c r="G1815" t="str">
        <f>HYPERLINK("http://www.ncbi.nlm.nih.gov/Taxonomy/Browser/wwwtax.cgi?mode=Info&amp;id=50954&amp;lvl=3&amp;lin=f&amp;keep=1&amp;srchmode=1&amp;unlock","Talpa occidentalis")</f>
        <v>Talpa occidentalis</v>
      </c>
      <c r="H1815" t="s">
        <v>552</v>
      </c>
      <c r="I1815" t="str">
        <f>HYPERLINK("http://www.ncbi.nlm.nih.gov/protein/XP_054550871.1","ryanodine receptor 2")</f>
        <v>ryanodine receptor 2</v>
      </c>
      <c r="J1815">
        <v>8566.44</v>
      </c>
      <c r="K1815" t="s">
        <v>19</v>
      </c>
      <c r="L1815">
        <v>1210</v>
      </c>
      <c r="M1815">
        <v>7.13</v>
      </c>
      <c r="N1815">
        <v>83.47</v>
      </c>
      <c r="O1815" t="s">
        <v>19</v>
      </c>
      <c r="P1815" t="s">
        <v>1267</v>
      </c>
      <c r="Q1815" t="s">
        <v>19</v>
      </c>
      <c r="R1815" t="str">
        <f>HYPERLINK("https://cfpub.epa.gov/ecotox/explore.cfm?ncbi=50954","Explore in ECOTOX")</f>
        <v>Explore in ECOTOX</v>
      </c>
    </row>
    <row r="1816" spans="1:18" x14ac:dyDescent="0.45">
      <c r="A1816" t="s">
        <v>1266</v>
      </c>
      <c r="B1816">
        <v>8</v>
      </c>
      <c r="C1816" t="str">
        <f>HYPERLINK("http://www.ncbi.nlm.nih.gov/protein/XP_031824389.1","XP_031824389.1")</f>
        <v>XP_031824389.1</v>
      </c>
      <c r="D1816">
        <v>46296</v>
      </c>
      <c r="E1816" t="str">
        <f>HYPERLINK("http://www.ncbi.nlm.nih.gov/Taxonomy/Browser/wwwtax.cgi?mode=Info&amp;id=9305&amp;lvl=3&amp;lin=f&amp;keep=1&amp;srchmode=1&amp;unlock","9305")</f>
        <v>9305</v>
      </c>
      <c r="F1816" t="s">
        <v>96</v>
      </c>
      <c r="G1816" t="str">
        <f>HYPERLINK("http://www.ncbi.nlm.nih.gov/Taxonomy/Browser/wwwtax.cgi?mode=Info&amp;id=9305&amp;lvl=3&amp;lin=f&amp;keep=1&amp;srchmode=1&amp;unlock","Sarcophilus harrisii")</f>
        <v>Sarcophilus harrisii</v>
      </c>
      <c r="H1816" t="s">
        <v>580</v>
      </c>
      <c r="I1816" t="str">
        <f>HYPERLINK("http://www.ncbi.nlm.nih.gov/protein/XP_031824389.1","ryanodine receptor 2 isoform X17")</f>
        <v>ryanodine receptor 2 isoform X17</v>
      </c>
      <c r="J1816">
        <v>8565.67</v>
      </c>
      <c r="K1816" t="s">
        <v>19</v>
      </c>
      <c r="L1816">
        <v>1210</v>
      </c>
      <c r="M1816">
        <v>7.13</v>
      </c>
      <c r="N1816">
        <v>83.46</v>
      </c>
      <c r="O1816" t="s">
        <v>19</v>
      </c>
      <c r="P1816" t="s">
        <v>1267</v>
      </c>
      <c r="Q1816" t="s">
        <v>19</v>
      </c>
      <c r="R1816" t="str">
        <f>HYPERLINK("https://cfpub.epa.gov/ecotox/explore.cfm?ncbi=9305","Explore in ECOTOX")</f>
        <v>Explore in ECOTOX</v>
      </c>
    </row>
    <row r="1817" spans="1:18" x14ac:dyDescent="0.45">
      <c r="A1817" t="s">
        <v>1266</v>
      </c>
      <c r="B1817">
        <v>8</v>
      </c>
      <c r="C1817" t="str">
        <f>HYPERLINK("http://www.ncbi.nlm.nih.gov/protein/XP_044095354.1","XP_044095354.1")</f>
        <v>XP_044095354.1</v>
      </c>
      <c r="D1817">
        <v>44674</v>
      </c>
      <c r="E1817" t="str">
        <f>HYPERLINK("http://www.ncbi.nlm.nih.gov/Taxonomy/Browser/wwwtax.cgi?mode=Info&amp;id=452646&amp;lvl=3&amp;lin=f&amp;keep=1&amp;srchmode=1&amp;unlock","452646")</f>
        <v>452646</v>
      </c>
      <c r="F1817" t="s">
        <v>96</v>
      </c>
      <c r="G1817" t="str">
        <f>HYPERLINK("http://www.ncbi.nlm.nih.gov/Taxonomy/Browser/wwwtax.cgi?mode=Info&amp;id=452646&amp;lvl=3&amp;lin=f&amp;keep=1&amp;srchmode=1&amp;unlock","Neogale vison")</f>
        <v>Neogale vison</v>
      </c>
      <c r="H1817" t="s">
        <v>557</v>
      </c>
      <c r="I1817" t="str">
        <f>HYPERLINK("http://www.ncbi.nlm.nih.gov/protein/XP_044095354.1","ryanodine receptor 2 isoform X4")</f>
        <v>ryanodine receptor 2 isoform X4</v>
      </c>
      <c r="J1817">
        <v>8565.67</v>
      </c>
      <c r="K1817" t="s">
        <v>19</v>
      </c>
      <c r="L1817">
        <v>1210</v>
      </c>
      <c r="M1817">
        <v>7.13</v>
      </c>
      <c r="N1817">
        <v>83.46</v>
      </c>
      <c r="O1817" t="s">
        <v>19</v>
      </c>
      <c r="P1817" t="s">
        <v>1267</v>
      </c>
      <c r="Q1817" t="s">
        <v>19</v>
      </c>
      <c r="R1817" t="str">
        <f>HYPERLINK("https://cfpub.epa.gov/ecotox/explore.cfm?ncbi=452646","Explore in ECOTOX")</f>
        <v>Explore in ECOTOX</v>
      </c>
    </row>
    <row r="1818" spans="1:18" x14ac:dyDescent="0.45">
      <c r="A1818" t="s">
        <v>1266</v>
      </c>
      <c r="B1818">
        <v>8</v>
      </c>
      <c r="C1818" t="str">
        <f>HYPERLINK("http://www.ncbi.nlm.nih.gov/protein/XP_055459907.1","XP_055459907.1")</f>
        <v>XP_055459907.1</v>
      </c>
      <c r="D1818">
        <v>38745</v>
      </c>
      <c r="E1818" t="str">
        <f>HYPERLINK("http://www.ncbi.nlm.nih.gov/Taxonomy/Browser/wwwtax.cgi?mode=Info&amp;id=48139&amp;lvl=3&amp;lin=f&amp;keep=1&amp;srchmode=1&amp;unlock","48139")</f>
        <v>48139</v>
      </c>
      <c r="F1818" t="s">
        <v>96</v>
      </c>
      <c r="G1818" t="str">
        <f>HYPERLINK("http://www.ncbi.nlm.nih.gov/Taxonomy/Browser/wwwtax.cgi?mode=Info&amp;id=48139&amp;lvl=3&amp;lin=f&amp;keep=1&amp;srchmode=1&amp;unlock","Psammomys obesus")</f>
        <v>Psammomys obesus</v>
      </c>
      <c r="H1818" t="s">
        <v>349</v>
      </c>
      <c r="I1818" t="str">
        <f>HYPERLINK("http://www.ncbi.nlm.nih.gov/protein/XP_055459907.1","ryanodine receptor 2")</f>
        <v>ryanodine receptor 2</v>
      </c>
      <c r="J1818">
        <v>8565.67</v>
      </c>
      <c r="K1818" t="s">
        <v>19</v>
      </c>
      <c r="L1818">
        <v>1210</v>
      </c>
      <c r="M1818">
        <v>7.13</v>
      </c>
      <c r="N1818">
        <v>83.46</v>
      </c>
      <c r="O1818" t="s">
        <v>19</v>
      </c>
      <c r="P1818" t="s">
        <v>1267</v>
      </c>
      <c r="Q1818" t="s">
        <v>19</v>
      </c>
      <c r="R1818" t="str">
        <f>HYPERLINK("https://cfpub.epa.gov/ecotox/explore.cfm?ncbi=48139","Explore in ECOTOX")</f>
        <v>Explore in ECOTOX</v>
      </c>
    </row>
    <row r="1819" spans="1:18" x14ac:dyDescent="0.45">
      <c r="A1819" t="s">
        <v>1266</v>
      </c>
      <c r="B1819">
        <v>8</v>
      </c>
      <c r="C1819" t="str">
        <f>HYPERLINK("http://www.ncbi.nlm.nih.gov/protein/XP_027443997.2","XP_027443997.2")</f>
        <v>XP_027443997.2</v>
      </c>
      <c r="D1819">
        <v>61139</v>
      </c>
      <c r="E1819" t="str">
        <f>HYPERLINK("http://www.ncbi.nlm.nih.gov/Taxonomy/Browser/wwwtax.cgi?mode=Info&amp;id=9704&amp;lvl=3&amp;lin=f&amp;keep=1&amp;srchmode=1&amp;unlock","9704")</f>
        <v>9704</v>
      </c>
      <c r="F1819" t="s">
        <v>96</v>
      </c>
      <c r="G1819" t="str">
        <f>HYPERLINK("http://www.ncbi.nlm.nih.gov/Taxonomy/Browser/wwwtax.cgi?mode=Info&amp;id=9704&amp;lvl=3&amp;lin=f&amp;keep=1&amp;srchmode=1&amp;unlock","Zalophus californianus")</f>
        <v>Zalophus californianus</v>
      </c>
      <c r="H1819" t="s">
        <v>378</v>
      </c>
      <c r="I1819" t="str">
        <f>HYPERLINK("http://www.ncbi.nlm.nih.gov/protein/XP_027443997.2","LOW QUALITY PROTEIN: ryanodine receptor 2")</f>
        <v>LOW QUALITY PROTEIN: ryanodine receptor 2</v>
      </c>
      <c r="J1819">
        <v>8565.2800000000007</v>
      </c>
      <c r="K1819" t="s">
        <v>19</v>
      </c>
      <c r="L1819">
        <v>1210</v>
      </c>
      <c r="M1819">
        <v>7.13</v>
      </c>
      <c r="N1819">
        <v>83.46</v>
      </c>
      <c r="O1819" t="s">
        <v>19</v>
      </c>
      <c r="P1819" t="s">
        <v>1267</v>
      </c>
      <c r="Q1819" t="s">
        <v>19</v>
      </c>
      <c r="R1819" t="str">
        <f>HYPERLINK("https://cfpub.epa.gov/ecotox/explore.cfm?ncbi=9704","Explore in ECOTOX")</f>
        <v>Explore in ECOTOX</v>
      </c>
    </row>
    <row r="1820" spans="1:18" x14ac:dyDescent="0.45">
      <c r="A1820" t="s">
        <v>1266</v>
      </c>
      <c r="B1820">
        <v>8</v>
      </c>
      <c r="C1820" t="str">
        <f>HYPERLINK("http://www.ncbi.nlm.nih.gov/protein/XP_034964272.1","XP_034964272.1")</f>
        <v>XP_034964272.1</v>
      </c>
      <c r="D1820">
        <v>70511</v>
      </c>
      <c r="E1820" t="str">
        <f>HYPERLINK("http://www.ncbi.nlm.nih.gov/Taxonomy/Browser/wwwtax.cgi?mode=Info&amp;id=8524&amp;lvl=3&amp;lin=f&amp;keep=1&amp;srchmode=1&amp;unlock","8524")</f>
        <v>8524</v>
      </c>
      <c r="F1820" t="s">
        <v>192</v>
      </c>
      <c r="G1820" t="str">
        <f>HYPERLINK("http://www.ncbi.nlm.nih.gov/Taxonomy/Browser/wwwtax.cgi?mode=Info&amp;id=8524&amp;lvl=3&amp;lin=f&amp;keep=1&amp;srchmode=1&amp;unlock","Zootoca vivipara")</f>
        <v>Zootoca vivipara</v>
      </c>
      <c r="H1820" t="s">
        <v>199</v>
      </c>
      <c r="I1820" t="str">
        <f>HYPERLINK("http://www.ncbi.nlm.nih.gov/protein/XP_034964272.1","ryanodine receptor 2")</f>
        <v>ryanodine receptor 2</v>
      </c>
      <c r="J1820">
        <v>8565.2800000000007</v>
      </c>
      <c r="K1820" t="s">
        <v>19</v>
      </c>
      <c r="L1820">
        <v>1210</v>
      </c>
      <c r="M1820">
        <v>7.13</v>
      </c>
      <c r="N1820">
        <v>83.46</v>
      </c>
      <c r="O1820" t="s">
        <v>19</v>
      </c>
      <c r="P1820" t="s">
        <v>1267</v>
      </c>
      <c r="Q1820" t="s">
        <v>19</v>
      </c>
      <c r="R1820" t="str">
        <f>HYPERLINK("https://cfpub.epa.gov/ecotox/explore.cfm?ncbi=8524","Explore in ECOTOX")</f>
        <v>Explore in ECOTOX</v>
      </c>
    </row>
    <row r="1821" spans="1:18" x14ac:dyDescent="0.45">
      <c r="A1821" t="s">
        <v>1266</v>
      </c>
      <c r="B1821">
        <v>8</v>
      </c>
      <c r="C1821" t="str">
        <f>HYPERLINK("http://www.ncbi.nlm.nih.gov/protein/XP_010858419.1","XP_010858419.1")</f>
        <v>XP_010858419.1</v>
      </c>
      <c r="D1821">
        <v>35575</v>
      </c>
      <c r="E1821" t="str">
        <f>HYPERLINK("http://www.ncbi.nlm.nih.gov/Taxonomy/Browser/wwwtax.cgi?mode=Info&amp;id=43346&amp;lvl=3&amp;lin=f&amp;keep=1&amp;srchmode=1&amp;unlock","43346")</f>
        <v>43346</v>
      </c>
      <c r="F1821" t="s">
        <v>96</v>
      </c>
      <c r="G1821" t="str">
        <f>HYPERLINK("http://www.ncbi.nlm.nih.gov/Taxonomy/Browser/wwwtax.cgi?mode=Info&amp;id=43346&amp;lvl=3&amp;lin=f&amp;keep=1&amp;srchmode=1&amp;unlock","Bison bison bison")</f>
        <v>Bison bison bison</v>
      </c>
      <c r="H1821" t="s">
        <v>372</v>
      </c>
      <c r="I1821" t="str">
        <f>HYPERLINK("http://www.ncbi.nlm.nih.gov/protein/XP_010858419.1","PREDICTED: ryanodine receptor 2")</f>
        <v>PREDICTED: ryanodine receptor 2</v>
      </c>
      <c r="J1821">
        <v>8564.9</v>
      </c>
      <c r="K1821" t="s">
        <v>19</v>
      </c>
      <c r="L1821">
        <v>1210</v>
      </c>
      <c r="M1821">
        <v>7.13</v>
      </c>
      <c r="N1821">
        <v>83.45</v>
      </c>
      <c r="O1821" t="s">
        <v>19</v>
      </c>
      <c r="P1821" t="s">
        <v>1267</v>
      </c>
      <c r="Q1821" t="s">
        <v>19</v>
      </c>
      <c r="R1821" t="str">
        <f>HYPERLINK("https://cfpub.epa.gov/ecotox/explore.cfm?ncbi=43346","Explore in ECOTOX")</f>
        <v>Explore in ECOTOX</v>
      </c>
    </row>
    <row r="1822" spans="1:18" x14ac:dyDescent="0.45">
      <c r="A1822" t="s">
        <v>1266</v>
      </c>
      <c r="B1822">
        <v>8</v>
      </c>
      <c r="C1822" t="str">
        <f>HYPERLINK("http://www.ncbi.nlm.nih.gov/protein/XP_028625688.1","XP_028625688.1")</f>
        <v>XP_028625688.1</v>
      </c>
      <c r="D1822">
        <v>38291</v>
      </c>
      <c r="E1822" t="str">
        <f>HYPERLINK("http://www.ncbi.nlm.nih.gov/Taxonomy/Browser/wwwtax.cgi?mode=Info&amp;id=491861&amp;lvl=3&amp;lin=f&amp;keep=1&amp;srchmode=1&amp;unlock","491861")</f>
        <v>491861</v>
      </c>
      <c r="F1822" t="s">
        <v>96</v>
      </c>
      <c r="G1822" t="str">
        <f>HYPERLINK("http://www.ncbi.nlm.nih.gov/Taxonomy/Browser/wwwtax.cgi?mode=Info&amp;id=491861&amp;lvl=3&amp;lin=f&amp;keep=1&amp;srchmode=1&amp;unlock","Grammomys surdaster")</f>
        <v>Grammomys surdaster</v>
      </c>
      <c r="H1822" t="s">
        <v>581</v>
      </c>
      <c r="I1822" t="str">
        <f>HYPERLINK("http://www.ncbi.nlm.nih.gov/protein/XP_028625688.1","ryanodine receptor 2")</f>
        <v>ryanodine receptor 2</v>
      </c>
      <c r="J1822">
        <v>8564.9</v>
      </c>
      <c r="K1822" t="s">
        <v>19</v>
      </c>
      <c r="L1822">
        <v>1210</v>
      </c>
      <c r="M1822">
        <v>7.13</v>
      </c>
      <c r="N1822">
        <v>83.45</v>
      </c>
      <c r="O1822" t="s">
        <v>19</v>
      </c>
      <c r="P1822" t="s">
        <v>1267</v>
      </c>
      <c r="Q1822" t="s">
        <v>19</v>
      </c>
      <c r="R1822" t="str">
        <f>HYPERLINK("https://cfpub.epa.gov/ecotox/explore.cfm?ncbi=491861","Explore in ECOTOX")</f>
        <v>Explore in ECOTOX</v>
      </c>
    </row>
    <row r="1823" spans="1:18" x14ac:dyDescent="0.45">
      <c r="A1823" t="s">
        <v>1266</v>
      </c>
      <c r="B1823">
        <v>8</v>
      </c>
      <c r="C1823" t="str">
        <f>HYPERLINK("http://www.ncbi.nlm.nih.gov/protein/XP_060047923.1","XP_060047923.1")</f>
        <v>XP_060047923.1</v>
      </c>
      <c r="D1823">
        <v>51727</v>
      </c>
      <c r="E1823" t="str">
        <f>HYPERLINK("http://www.ncbi.nlm.nih.gov/Taxonomy/Browser/wwwtax.cgi?mode=Info&amp;id=9365&amp;lvl=3&amp;lin=f&amp;keep=1&amp;srchmode=1&amp;unlock","9365")</f>
        <v>9365</v>
      </c>
      <c r="F1823" t="s">
        <v>96</v>
      </c>
      <c r="G1823" t="str">
        <f>HYPERLINK("http://www.ncbi.nlm.nih.gov/Taxonomy/Browser/wwwtax.cgi?mode=Info&amp;id=9365&amp;lvl=3&amp;lin=f&amp;keep=1&amp;srchmode=1&amp;unlock","Erinaceus europaeus")</f>
        <v>Erinaceus europaeus</v>
      </c>
      <c r="H1823" t="s">
        <v>483</v>
      </c>
      <c r="I1823" t="str">
        <f>HYPERLINK("http://www.ncbi.nlm.nih.gov/protein/XP_060047923.1","ryanodine receptor 2 isoform X3")</f>
        <v>ryanodine receptor 2 isoform X3</v>
      </c>
      <c r="J1823">
        <v>8564.9</v>
      </c>
      <c r="K1823" t="s">
        <v>19</v>
      </c>
      <c r="L1823">
        <v>1210</v>
      </c>
      <c r="M1823">
        <v>7.13</v>
      </c>
      <c r="N1823">
        <v>83.45</v>
      </c>
      <c r="O1823" t="s">
        <v>19</v>
      </c>
      <c r="P1823" t="s">
        <v>1267</v>
      </c>
      <c r="Q1823" t="s">
        <v>19</v>
      </c>
      <c r="R1823" t="str">
        <f>HYPERLINK("https://cfpub.epa.gov/ecotox/explore.cfm?ncbi=9365","Explore in ECOTOX")</f>
        <v>Explore in ECOTOX</v>
      </c>
    </row>
    <row r="1824" spans="1:18" x14ac:dyDescent="0.45">
      <c r="A1824" t="s">
        <v>1266</v>
      </c>
      <c r="B1824">
        <v>8</v>
      </c>
      <c r="C1824" t="str">
        <f>HYPERLINK("http://www.ncbi.nlm.nih.gov/protein/XP_048391762.2","XP_048391762.2")</f>
        <v>XP_048391762.2</v>
      </c>
      <c r="D1824">
        <v>50732</v>
      </c>
      <c r="E1824" t="str">
        <f>HYPERLINK("http://www.ncbi.nlm.nih.gov/Taxonomy/Browser/wwwtax.cgi?mode=Info&amp;id=3053191&amp;lvl=3&amp;lin=f&amp;keep=1&amp;srchmode=1&amp;unlock","3053191")</f>
        <v>3053191</v>
      </c>
      <c r="F1824" t="s">
        <v>195</v>
      </c>
      <c r="G1824" t="str">
        <f>HYPERLINK("http://www.ncbi.nlm.nih.gov/Taxonomy/Browser/wwwtax.cgi?mode=Info&amp;id=3053191&amp;lvl=3&amp;lin=f&amp;keep=1&amp;srchmode=1&amp;unlock","Stegostoma tigrinum")</f>
        <v>Stegostoma tigrinum</v>
      </c>
      <c r="H1824" t="s">
        <v>212</v>
      </c>
      <c r="I1824" t="str">
        <f>HYPERLINK("http://www.ncbi.nlm.nih.gov/protein/XP_048391762.2","ryanodine receptor 2")</f>
        <v>ryanodine receptor 2</v>
      </c>
      <c r="J1824">
        <v>8564.51</v>
      </c>
      <c r="K1824" t="s">
        <v>19</v>
      </c>
      <c r="L1824">
        <v>1210</v>
      </c>
      <c r="M1824">
        <v>7.13</v>
      </c>
      <c r="N1824">
        <v>83.45</v>
      </c>
      <c r="O1824" t="s">
        <v>19</v>
      </c>
      <c r="P1824" t="s">
        <v>1267</v>
      </c>
      <c r="Q1824" t="s">
        <v>19</v>
      </c>
      <c r="R1824" t="str">
        <f>HYPERLINK("https://cfpub.epa.gov/ecotox/explore.cfm?ncbi=3053191","Explore in ECOTOX")</f>
        <v>Explore in ECOTOX</v>
      </c>
    </row>
    <row r="1825" spans="1:18" x14ac:dyDescent="0.45">
      <c r="A1825" t="s">
        <v>1266</v>
      </c>
      <c r="B1825">
        <v>8</v>
      </c>
      <c r="C1825" t="str">
        <f>HYPERLINK("http://www.ncbi.nlm.nih.gov/protein/XP_055281718.1","XP_055281718.1")</f>
        <v>XP_055281718.1</v>
      </c>
      <c r="D1825">
        <v>45816</v>
      </c>
      <c r="E1825" t="str">
        <f>HYPERLINK("http://www.ncbi.nlm.nih.gov/Taxonomy/Browser/wwwtax.cgi?mode=Info&amp;id=68408&amp;lvl=3&amp;lin=f&amp;keep=1&amp;srchmode=1&amp;unlock","68408")</f>
        <v>68408</v>
      </c>
      <c r="F1825" t="s">
        <v>96</v>
      </c>
      <c r="G1825" t="str">
        <f>HYPERLINK("http://www.ncbi.nlm.nih.gov/Taxonomy/Browser/wwwtax.cgi?mode=Info&amp;id=68408&amp;lvl=3&amp;lin=f&amp;keep=1&amp;srchmode=1&amp;unlock","Moschus berezovskii")</f>
        <v>Moschus berezovskii</v>
      </c>
      <c r="H1825" t="s">
        <v>369</v>
      </c>
      <c r="I1825" t="str">
        <f>HYPERLINK("http://www.ncbi.nlm.nih.gov/protein/XP_055281718.1","ryanodine receptor 2")</f>
        <v>ryanodine receptor 2</v>
      </c>
      <c r="J1825">
        <v>8564.1299999999992</v>
      </c>
      <c r="K1825" t="s">
        <v>19</v>
      </c>
      <c r="L1825">
        <v>1210</v>
      </c>
      <c r="M1825">
        <v>7.13</v>
      </c>
      <c r="N1825">
        <v>83.45</v>
      </c>
      <c r="O1825" t="s">
        <v>19</v>
      </c>
      <c r="P1825" t="s">
        <v>1267</v>
      </c>
      <c r="Q1825" t="s">
        <v>19</v>
      </c>
      <c r="R1825" t="str">
        <f>HYPERLINK("https://cfpub.epa.gov/ecotox/explore.cfm?ncbi=68408","Explore in ECOTOX")</f>
        <v>Explore in ECOTOX</v>
      </c>
    </row>
    <row r="1826" spans="1:18" x14ac:dyDescent="0.45">
      <c r="A1826" t="s">
        <v>1266</v>
      </c>
      <c r="B1826">
        <v>8</v>
      </c>
      <c r="C1826" t="str">
        <f>HYPERLINK("http://www.ncbi.nlm.nih.gov/protein/XP_010561247.1","XP_010561247.1")</f>
        <v>XP_010561247.1</v>
      </c>
      <c r="D1826">
        <v>25385</v>
      </c>
      <c r="E1826" t="str">
        <f>HYPERLINK("http://www.ncbi.nlm.nih.gov/Taxonomy/Browser/wwwtax.cgi?mode=Info&amp;id=52644&amp;lvl=3&amp;lin=f&amp;keep=1&amp;srchmode=1&amp;unlock","52644")</f>
        <v>52644</v>
      </c>
      <c r="F1826" t="s">
        <v>241</v>
      </c>
      <c r="G1826" t="str">
        <f>HYPERLINK("http://www.ncbi.nlm.nih.gov/Taxonomy/Browser/wwwtax.cgi?mode=Info&amp;id=52644&amp;lvl=3&amp;lin=f&amp;keep=1&amp;srchmode=1&amp;unlock","Haliaeetus leucocephalus")</f>
        <v>Haliaeetus leucocephalus</v>
      </c>
      <c r="H1826" t="s">
        <v>569</v>
      </c>
      <c r="I1826" t="str">
        <f>HYPERLINK("http://www.ncbi.nlm.nih.gov/protein/XP_010561247.1","PREDICTED: ryanodine receptor 2")</f>
        <v>PREDICTED: ryanodine receptor 2</v>
      </c>
      <c r="J1826">
        <v>8563.74</v>
      </c>
      <c r="K1826" t="s">
        <v>19</v>
      </c>
      <c r="L1826">
        <v>1210</v>
      </c>
      <c r="M1826">
        <v>7.13</v>
      </c>
      <c r="N1826">
        <v>83.44</v>
      </c>
      <c r="O1826" t="s">
        <v>19</v>
      </c>
      <c r="P1826" t="s">
        <v>1267</v>
      </c>
      <c r="Q1826" t="s">
        <v>19</v>
      </c>
      <c r="R1826" t="str">
        <f>HYPERLINK("https://cfpub.epa.gov/ecotox/explore.cfm?ncbi=52644","Explore in ECOTOX")</f>
        <v>Explore in ECOTOX</v>
      </c>
    </row>
    <row r="1827" spans="1:18" x14ac:dyDescent="0.45">
      <c r="A1827" t="s">
        <v>1266</v>
      </c>
      <c r="B1827">
        <v>8</v>
      </c>
      <c r="C1827" t="str">
        <f>HYPERLINK("http://www.ncbi.nlm.nih.gov/protein/XP_042542136.1","XP_042542136.1")</f>
        <v>XP_042542136.1</v>
      </c>
      <c r="D1827">
        <v>37347</v>
      </c>
      <c r="E1827" t="str">
        <f>HYPERLINK("http://www.ncbi.nlm.nih.gov/Taxonomy/Browser/wwwtax.cgi?mode=Info&amp;id=105255&amp;lvl=3&amp;lin=f&amp;keep=1&amp;srchmode=1&amp;unlock","105255")</f>
        <v>105255</v>
      </c>
      <c r="F1827" t="s">
        <v>96</v>
      </c>
      <c r="G1827" t="str">
        <f>HYPERLINK("http://www.ncbi.nlm.nih.gov/Taxonomy/Browser/wwwtax.cgi?mode=Info&amp;id=105255&amp;lvl=3&amp;lin=f&amp;keep=1&amp;srchmode=1&amp;unlock","Dipodomys spectabilis")</f>
        <v>Dipodomys spectabilis</v>
      </c>
      <c r="H1827" t="s">
        <v>300</v>
      </c>
      <c r="I1827" t="str">
        <f>HYPERLINK("http://www.ncbi.nlm.nih.gov/protein/XP_042542136.1","ryanodine receptor 2")</f>
        <v>ryanodine receptor 2</v>
      </c>
      <c r="J1827">
        <v>8563.36</v>
      </c>
      <c r="K1827" t="s">
        <v>19</v>
      </c>
      <c r="L1827">
        <v>1210</v>
      </c>
      <c r="M1827">
        <v>7.13</v>
      </c>
      <c r="N1827">
        <v>83.44</v>
      </c>
      <c r="O1827" t="s">
        <v>19</v>
      </c>
      <c r="P1827" t="s">
        <v>1267</v>
      </c>
      <c r="Q1827" t="s">
        <v>19</v>
      </c>
      <c r="R1827" t="str">
        <f>HYPERLINK("https://cfpub.epa.gov/ecotox/explore.cfm?ncbi=105255","Explore in ECOTOX")</f>
        <v>Explore in ECOTOX</v>
      </c>
    </row>
    <row r="1828" spans="1:18" x14ac:dyDescent="0.45">
      <c r="A1828" t="s">
        <v>1266</v>
      </c>
      <c r="B1828">
        <v>8</v>
      </c>
      <c r="C1828" t="str">
        <f>HYPERLINK("http://www.ncbi.nlm.nih.gov/protein/XP_037677811.1","XP_037677811.1")</f>
        <v>XP_037677811.1</v>
      </c>
      <c r="D1828">
        <v>54619</v>
      </c>
      <c r="E1828" t="str">
        <f>HYPERLINK("http://www.ncbi.nlm.nih.gov/Taxonomy/Browser/wwwtax.cgi?mode=Info&amp;id=27675&amp;lvl=3&amp;lin=f&amp;keep=1&amp;srchmode=1&amp;unlock","27675")</f>
        <v>27675</v>
      </c>
      <c r="F1828" t="s">
        <v>96</v>
      </c>
      <c r="G1828" t="str">
        <f>HYPERLINK("http://www.ncbi.nlm.nih.gov/Taxonomy/Browser/wwwtax.cgi?mode=Info&amp;id=27675&amp;lvl=3&amp;lin=f&amp;keep=1&amp;srchmode=1&amp;unlock","Choloepus didactylus")</f>
        <v>Choloepus didactylus</v>
      </c>
      <c r="H1828" t="s">
        <v>565</v>
      </c>
      <c r="I1828" t="str">
        <f>HYPERLINK("http://www.ncbi.nlm.nih.gov/protein/XP_037677811.1","ryanodine receptor 2 isoform X5")</f>
        <v>ryanodine receptor 2 isoform X5</v>
      </c>
      <c r="J1828">
        <v>8563.36</v>
      </c>
      <c r="K1828" t="s">
        <v>19</v>
      </c>
      <c r="L1828">
        <v>1210</v>
      </c>
      <c r="M1828">
        <v>7.13</v>
      </c>
      <c r="N1828">
        <v>83.44</v>
      </c>
      <c r="O1828" t="s">
        <v>19</v>
      </c>
      <c r="P1828" t="s">
        <v>1267</v>
      </c>
      <c r="Q1828" t="s">
        <v>19</v>
      </c>
      <c r="R1828" t="str">
        <f>HYPERLINK("https://cfpub.epa.gov/ecotox/explore.cfm?ncbi=27675","Explore in ECOTOX")</f>
        <v>Explore in ECOTOX</v>
      </c>
    </row>
    <row r="1829" spans="1:18" x14ac:dyDescent="0.45">
      <c r="A1829" t="s">
        <v>1266</v>
      </c>
      <c r="B1829">
        <v>8</v>
      </c>
      <c r="C1829" t="str">
        <f>HYPERLINK("http://www.ncbi.nlm.nih.gov/protein/XP_059738636.1","XP_059738636.1")</f>
        <v>XP_059738636.1</v>
      </c>
      <c r="D1829">
        <v>140462</v>
      </c>
      <c r="E1829" t="str">
        <f>HYPERLINK("http://www.ncbi.nlm.nih.gov/Taxonomy/Browser/wwwtax.cgi?mode=Info&amp;id=9913&amp;lvl=3&amp;lin=f&amp;keep=1&amp;srchmode=1&amp;unlock","9913")</f>
        <v>9913</v>
      </c>
      <c r="F1829" t="s">
        <v>96</v>
      </c>
      <c r="G1829" t="str">
        <f>HYPERLINK("http://www.ncbi.nlm.nih.gov/Taxonomy/Browser/wwwtax.cgi?mode=Info&amp;id=9913&amp;lvl=3&amp;lin=f&amp;keep=1&amp;srchmode=1&amp;unlock","Bos taurus")</f>
        <v>Bos taurus</v>
      </c>
      <c r="H1829" t="s">
        <v>464</v>
      </c>
      <c r="I1829" t="str">
        <f>HYPERLINK("http://www.ncbi.nlm.nih.gov/protein/XP_059738636.1","ryanodine receptor 2 isoform X7")</f>
        <v>ryanodine receptor 2 isoform X7</v>
      </c>
      <c r="J1829">
        <v>8562.9699999999993</v>
      </c>
      <c r="K1829" t="s">
        <v>19</v>
      </c>
      <c r="L1829">
        <v>1210</v>
      </c>
      <c r="M1829">
        <v>7.13</v>
      </c>
      <c r="N1829">
        <v>83.44</v>
      </c>
      <c r="O1829" t="s">
        <v>19</v>
      </c>
      <c r="P1829" t="s">
        <v>1267</v>
      </c>
      <c r="Q1829" t="s">
        <v>19</v>
      </c>
      <c r="R1829" t="str">
        <f>HYPERLINK("https://cfpub.epa.gov/ecotox/explore.cfm?ncbi=9913","Explore in ECOTOX")</f>
        <v>Explore in ECOTOX</v>
      </c>
    </row>
    <row r="1830" spans="1:18" x14ac:dyDescent="0.45">
      <c r="A1830" t="s">
        <v>1266</v>
      </c>
      <c r="B1830">
        <v>8</v>
      </c>
      <c r="C1830" t="str">
        <f>HYPERLINK("http://www.ncbi.nlm.nih.gov/protein/XP_047680609.1","XP_047680609.1")</f>
        <v>XP_047680609.1</v>
      </c>
      <c r="D1830">
        <v>56465</v>
      </c>
      <c r="E1830" t="str">
        <f>HYPERLINK("http://www.ncbi.nlm.nih.gov/Taxonomy/Browser/wwwtax.cgi?mode=Info&amp;id=61388&amp;lvl=3&amp;lin=f&amp;keep=1&amp;srchmode=1&amp;unlock","61388")</f>
        <v>61388</v>
      </c>
      <c r="F1830" t="s">
        <v>96</v>
      </c>
      <c r="G1830" t="str">
        <f>HYPERLINK("http://www.ncbi.nlm.nih.gov/Taxonomy/Browser/wwwtax.cgi?mode=Info&amp;id=61388&amp;lvl=3&amp;lin=f&amp;keep=1&amp;srchmode=1&amp;unlock","Prionailurus viverrinus")</f>
        <v>Prionailurus viverrinus</v>
      </c>
      <c r="H1830" t="s">
        <v>306</v>
      </c>
      <c r="I1830" t="str">
        <f>HYPERLINK("http://www.ncbi.nlm.nih.gov/protein/XP_047680609.1","ryanodine receptor 2")</f>
        <v>ryanodine receptor 2</v>
      </c>
      <c r="J1830">
        <v>8562.9699999999993</v>
      </c>
      <c r="K1830" t="s">
        <v>19</v>
      </c>
      <c r="L1830">
        <v>1210</v>
      </c>
      <c r="M1830">
        <v>7.13</v>
      </c>
      <c r="N1830">
        <v>83.44</v>
      </c>
      <c r="O1830" t="s">
        <v>19</v>
      </c>
      <c r="P1830" t="s">
        <v>1267</v>
      </c>
      <c r="Q1830" t="s">
        <v>19</v>
      </c>
      <c r="R1830" t="str">
        <f>HYPERLINK("https://cfpub.epa.gov/ecotox/explore.cfm?ncbi=61388","Explore in ECOTOX")</f>
        <v>Explore in ECOTOX</v>
      </c>
    </row>
    <row r="1831" spans="1:18" x14ac:dyDescent="0.45">
      <c r="A1831" t="s">
        <v>1266</v>
      </c>
      <c r="B1831">
        <v>8</v>
      </c>
      <c r="C1831" t="str">
        <f>HYPERLINK("http://www.ncbi.nlm.nih.gov/protein/XP_027386924.1","XP_027386924.1")</f>
        <v>XP_027386924.1</v>
      </c>
      <c r="D1831">
        <v>54456</v>
      </c>
      <c r="E1831" t="str">
        <f>HYPERLINK("http://www.ncbi.nlm.nih.gov/Taxonomy/Browser/wwwtax.cgi?mode=Info&amp;id=30522&amp;lvl=3&amp;lin=f&amp;keep=1&amp;srchmode=1&amp;unlock","30522")</f>
        <v>30522</v>
      </c>
      <c r="F1831" t="s">
        <v>96</v>
      </c>
      <c r="G1831" t="str">
        <f>HYPERLINK("http://www.ncbi.nlm.nih.gov/Taxonomy/Browser/wwwtax.cgi?mode=Info&amp;id=30522&amp;lvl=3&amp;lin=f&amp;keep=1&amp;srchmode=1&amp;unlock","Bos indicus x Bos taurus")</f>
        <v>Bos indicus x Bos taurus</v>
      </c>
      <c r="H1831" t="s">
        <v>466</v>
      </c>
      <c r="I1831" t="str">
        <f>HYPERLINK("http://www.ncbi.nlm.nih.gov/protein/XP_027386924.1","ryanodine receptor 2")</f>
        <v>ryanodine receptor 2</v>
      </c>
      <c r="J1831">
        <v>8562.9699999999993</v>
      </c>
      <c r="K1831" t="s">
        <v>19</v>
      </c>
      <c r="L1831">
        <v>1210</v>
      </c>
      <c r="M1831">
        <v>7.13</v>
      </c>
      <c r="N1831">
        <v>83.44</v>
      </c>
      <c r="O1831" t="s">
        <v>19</v>
      </c>
      <c r="P1831" t="s">
        <v>1267</v>
      </c>
      <c r="Q1831" t="s">
        <v>19</v>
      </c>
      <c r="R1831" t="str">
        <f>HYPERLINK("https://cfpub.epa.gov/ecotox/explore.cfm?ncbi=30522","Explore in ECOTOX")</f>
        <v>Explore in ECOTOX</v>
      </c>
    </row>
    <row r="1832" spans="1:18" x14ac:dyDescent="0.45">
      <c r="A1832" t="s">
        <v>1266</v>
      </c>
      <c r="B1832">
        <v>8</v>
      </c>
      <c r="C1832" t="str">
        <f>HYPERLINK("http://www.ncbi.nlm.nih.gov/protein/XP_042673854.1","XP_042673854.1")</f>
        <v>XP_042673854.1</v>
      </c>
      <c r="D1832">
        <v>31606</v>
      </c>
      <c r="E1832" t="str">
        <f>HYPERLINK("http://www.ncbi.nlm.nih.gov/Taxonomy/Browser/wwwtax.cgi?mode=Info&amp;id=9002&amp;lvl=3&amp;lin=f&amp;keep=1&amp;srchmode=1&amp;unlock","9002")</f>
        <v>9002</v>
      </c>
      <c r="F1832" t="s">
        <v>241</v>
      </c>
      <c r="G1832" t="str">
        <f>HYPERLINK("http://www.ncbi.nlm.nih.gov/Taxonomy/Browser/wwwtax.cgi?mode=Info&amp;id=9002&amp;lvl=3&amp;lin=f&amp;keep=1&amp;srchmode=1&amp;unlock","Centrocercus urophasianus")</f>
        <v>Centrocercus urophasianus</v>
      </c>
      <c r="H1832" t="s">
        <v>275</v>
      </c>
      <c r="I1832" t="str">
        <f>HYPERLINK("http://www.ncbi.nlm.nih.gov/protein/XP_042673854.1","ryanodine receptor 2")</f>
        <v>ryanodine receptor 2</v>
      </c>
      <c r="J1832">
        <v>8562.59</v>
      </c>
      <c r="K1832" t="s">
        <v>19</v>
      </c>
      <c r="L1832">
        <v>1210</v>
      </c>
      <c r="M1832">
        <v>7.13</v>
      </c>
      <c r="N1832">
        <v>83.43</v>
      </c>
      <c r="O1832" t="s">
        <v>19</v>
      </c>
      <c r="P1832" t="s">
        <v>1267</v>
      </c>
      <c r="Q1832" t="s">
        <v>19</v>
      </c>
      <c r="R1832" t="str">
        <f>HYPERLINK("https://cfpub.epa.gov/ecotox/explore.cfm?ncbi=9002","Explore in ECOTOX")</f>
        <v>Explore in ECOTOX</v>
      </c>
    </row>
    <row r="1833" spans="1:18" x14ac:dyDescent="0.45">
      <c r="A1833" t="s">
        <v>1266</v>
      </c>
      <c r="B1833">
        <v>8</v>
      </c>
      <c r="C1833" t="str">
        <f>HYPERLINK("http://www.ncbi.nlm.nih.gov/protein/XP_042815988.1","XP_042815988.1")</f>
        <v>XP_042815988.1</v>
      </c>
      <c r="D1833">
        <v>56149</v>
      </c>
      <c r="E1833" t="str">
        <f>HYPERLINK("http://www.ncbi.nlm.nih.gov/Taxonomy/Browser/wwwtax.cgi?mode=Info&amp;id=9694&amp;lvl=3&amp;lin=f&amp;keep=1&amp;srchmode=1&amp;unlock","9694")</f>
        <v>9694</v>
      </c>
      <c r="F1833" t="s">
        <v>96</v>
      </c>
      <c r="G1833" t="str">
        <f>HYPERLINK("http://www.ncbi.nlm.nih.gov/Taxonomy/Browser/wwwtax.cgi?mode=Info&amp;id=9694&amp;lvl=3&amp;lin=f&amp;keep=1&amp;srchmode=1&amp;unlock","Panthera tigris")</f>
        <v>Panthera tigris</v>
      </c>
      <c r="H1833" t="s">
        <v>314</v>
      </c>
      <c r="I1833" t="str">
        <f>HYPERLINK("http://www.ncbi.nlm.nih.gov/protein/XP_042815988.1","ryanodine receptor 2")</f>
        <v>ryanodine receptor 2</v>
      </c>
      <c r="J1833">
        <v>8562.2000000000007</v>
      </c>
      <c r="K1833" t="s">
        <v>19</v>
      </c>
      <c r="L1833">
        <v>1210</v>
      </c>
      <c r="M1833">
        <v>7.13</v>
      </c>
      <c r="N1833">
        <v>83.43</v>
      </c>
      <c r="O1833" t="s">
        <v>19</v>
      </c>
      <c r="P1833" t="s">
        <v>1267</v>
      </c>
      <c r="Q1833" t="s">
        <v>19</v>
      </c>
      <c r="R1833" t="str">
        <f>HYPERLINK("https://cfpub.epa.gov/ecotox/explore.cfm?ncbi=9694","Explore in ECOTOX")</f>
        <v>Explore in ECOTOX</v>
      </c>
    </row>
    <row r="1834" spans="1:18" x14ac:dyDescent="0.45">
      <c r="A1834" t="s">
        <v>1266</v>
      </c>
      <c r="B1834">
        <v>8</v>
      </c>
      <c r="C1834" t="str">
        <f>HYPERLINK("http://www.ncbi.nlm.nih.gov/protein/XP_042763717.1","XP_042763717.1")</f>
        <v>XP_042763717.1</v>
      </c>
      <c r="D1834">
        <v>53687</v>
      </c>
      <c r="E1834" t="str">
        <f>HYPERLINK("http://www.ncbi.nlm.nih.gov/Taxonomy/Browser/wwwtax.cgi?mode=Info&amp;id=9689&amp;lvl=3&amp;lin=f&amp;keep=1&amp;srchmode=1&amp;unlock","9689")</f>
        <v>9689</v>
      </c>
      <c r="F1834" t="s">
        <v>96</v>
      </c>
      <c r="G1834" t="str">
        <f>HYPERLINK("http://www.ncbi.nlm.nih.gov/Taxonomy/Browser/wwwtax.cgi?mode=Info&amp;id=9689&amp;lvl=3&amp;lin=f&amp;keep=1&amp;srchmode=1&amp;unlock","Panthera leo")</f>
        <v>Panthera leo</v>
      </c>
      <c r="H1834" t="s">
        <v>318</v>
      </c>
      <c r="I1834" t="str">
        <f>HYPERLINK("http://www.ncbi.nlm.nih.gov/protein/XP_042763717.1","ryanodine receptor 2")</f>
        <v>ryanodine receptor 2</v>
      </c>
      <c r="J1834">
        <v>8561.43</v>
      </c>
      <c r="K1834" t="s">
        <v>19</v>
      </c>
      <c r="L1834">
        <v>1210</v>
      </c>
      <c r="M1834">
        <v>7.13</v>
      </c>
      <c r="N1834">
        <v>83.42</v>
      </c>
      <c r="O1834" t="s">
        <v>19</v>
      </c>
      <c r="P1834" t="s">
        <v>1267</v>
      </c>
      <c r="Q1834" t="s">
        <v>19</v>
      </c>
      <c r="R1834" t="str">
        <f>HYPERLINK("https://cfpub.epa.gov/ecotox/explore.cfm?ncbi=9689","Explore in ECOTOX")</f>
        <v>Explore in ECOTOX</v>
      </c>
    </row>
    <row r="1835" spans="1:18" x14ac:dyDescent="0.45">
      <c r="A1835" t="s">
        <v>1266</v>
      </c>
      <c r="B1835">
        <v>8</v>
      </c>
      <c r="C1835" t="str">
        <f>HYPERLINK("http://www.ncbi.nlm.nih.gov/protein/XP_028331495.1","XP_028331495.1")</f>
        <v>XP_028331495.1</v>
      </c>
      <c r="D1835">
        <v>43575</v>
      </c>
      <c r="E1835" t="str">
        <f>HYPERLINK("http://www.ncbi.nlm.nih.gov/Taxonomy/Browser/wwwtax.cgi?mode=Info&amp;id=441366&amp;lvl=3&amp;lin=f&amp;keep=1&amp;srchmode=1&amp;unlock","441366")</f>
        <v>441366</v>
      </c>
      <c r="F1835" t="s">
        <v>17</v>
      </c>
      <c r="G1835" t="str">
        <f>HYPERLINK("http://www.ncbi.nlm.nih.gov/Taxonomy/Browser/wwwtax.cgi?mode=Info&amp;id=441366&amp;lvl=3&amp;lin=f&amp;keep=1&amp;srchmode=1&amp;unlock","Gouania willdenowi")</f>
        <v>Gouania willdenowi</v>
      </c>
      <c r="H1835" t="s">
        <v>116</v>
      </c>
      <c r="I1835" t="str">
        <f>HYPERLINK("http://www.ncbi.nlm.nih.gov/protein/XP_028331495.1","ryanodine receptor 2 isoform X1")</f>
        <v>ryanodine receptor 2 isoform X1</v>
      </c>
      <c r="J1835">
        <v>8561.0499999999993</v>
      </c>
      <c r="K1835" t="s">
        <v>19</v>
      </c>
      <c r="L1835">
        <v>1210</v>
      </c>
      <c r="M1835">
        <v>7.13</v>
      </c>
      <c r="N1835">
        <v>83.42</v>
      </c>
      <c r="O1835" t="s">
        <v>19</v>
      </c>
      <c r="P1835" t="s">
        <v>1267</v>
      </c>
      <c r="Q1835" t="s">
        <v>19</v>
      </c>
      <c r="R1835" t="str">
        <f>HYPERLINK("https://cfpub.epa.gov/ecotox/explore.cfm?ncbi=441366","Explore in ECOTOX")</f>
        <v>Explore in ECOTOX</v>
      </c>
    </row>
    <row r="1836" spans="1:18" x14ac:dyDescent="0.45">
      <c r="A1836" t="s">
        <v>1266</v>
      </c>
      <c r="B1836">
        <v>8</v>
      </c>
      <c r="C1836" t="str">
        <f>HYPERLINK("http://www.ncbi.nlm.nih.gov/protein/XP_013799198.1","XP_013799198.1")</f>
        <v>XP_013799198.1</v>
      </c>
      <c r="D1836">
        <v>22840</v>
      </c>
      <c r="E1836" t="str">
        <f>HYPERLINK("http://www.ncbi.nlm.nih.gov/Taxonomy/Browser/wwwtax.cgi?mode=Info&amp;id=202946&amp;lvl=3&amp;lin=f&amp;keep=1&amp;srchmode=1&amp;unlock","202946")</f>
        <v>202946</v>
      </c>
      <c r="F1836" t="s">
        <v>241</v>
      </c>
      <c r="G1836" t="str">
        <f>HYPERLINK("http://www.ncbi.nlm.nih.gov/Taxonomy/Browser/wwwtax.cgi?mode=Info&amp;id=202946&amp;lvl=3&amp;lin=f&amp;keep=1&amp;srchmode=1&amp;unlock","Apteryx mantelli mantelli")</f>
        <v>Apteryx mantelli mantelli</v>
      </c>
      <c r="H1836" t="s">
        <v>341</v>
      </c>
      <c r="I1836" t="str">
        <f>HYPERLINK("http://www.ncbi.nlm.nih.gov/protein/XP_013799198.1","PREDICTED: ryanodine receptor 2")</f>
        <v>PREDICTED: ryanodine receptor 2</v>
      </c>
      <c r="J1836">
        <v>8561.0499999999993</v>
      </c>
      <c r="K1836" t="s">
        <v>19</v>
      </c>
      <c r="L1836">
        <v>1210</v>
      </c>
      <c r="M1836">
        <v>7.13</v>
      </c>
      <c r="N1836">
        <v>83.42</v>
      </c>
      <c r="O1836" t="s">
        <v>19</v>
      </c>
      <c r="P1836" t="s">
        <v>1267</v>
      </c>
      <c r="Q1836" t="s">
        <v>19</v>
      </c>
      <c r="R1836" t="str">
        <f>HYPERLINK("https://cfpub.epa.gov/ecotox/explore.cfm?ncbi=202946","Explore in ECOTOX")</f>
        <v>Explore in ECOTOX</v>
      </c>
    </row>
    <row r="1837" spans="1:18" x14ac:dyDescent="0.45">
      <c r="A1837" t="s">
        <v>1266</v>
      </c>
      <c r="B1837">
        <v>8</v>
      </c>
      <c r="C1837" t="str">
        <f>HYPERLINK("http://www.ncbi.nlm.nih.gov/protein/XP_040092229.1","XP_040092229.1")</f>
        <v>XP_040092229.1</v>
      </c>
      <c r="D1837">
        <v>44055</v>
      </c>
      <c r="E1837" t="str">
        <f>HYPERLINK("http://www.ncbi.nlm.nih.gov/Taxonomy/Browser/wwwtax.cgi?mode=Info&amp;id=59534&amp;lvl=3&amp;lin=f&amp;keep=1&amp;srchmode=1&amp;unlock","59534")</f>
        <v>59534</v>
      </c>
      <c r="F1837" t="s">
        <v>96</v>
      </c>
      <c r="G1837" t="str">
        <f>HYPERLINK("http://www.ncbi.nlm.nih.gov/Taxonomy/Browser/wwwtax.cgi?mode=Info&amp;id=59534&amp;lvl=3&amp;lin=f&amp;keep=1&amp;srchmode=1&amp;unlock","Oryx dammah")</f>
        <v>Oryx dammah</v>
      </c>
      <c r="H1837" t="s">
        <v>373</v>
      </c>
      <c r="I1837" t="str">
        <f>HYPERLINK("http://www.ncbi.nlm.nih.gov/protein/XP_040092229.1","ryanodine receptor 2-like")</f>
        <v>ryanodine receptor 2-like</v>
      </c>
      <c r="J1837">
        <v>8560.66</v>
      </c>
      <c r="K1837" t="s">
        <v>19</v>
      </c>
      <c r="L1837">
        <v>1210</v>
      </c>
      <c r="M1837">
        <v>7.13</v>
      </c>
      <c r="N1837">
        <v>83.41</v>
      </c>
      <c r="O1837" t="s">
        <v>19</v>
      </c>
      <c r="P1837" t="s">
        <v>1267</v>
      </c>
      <c r="Q1837" t="s">
        <v>19</v>
      </c>
      <c r="R1837" t="str">
        <f>HYPERLINK("https://cfpub.epa.gov/ecotox/explore.cfm?ncbi=59534","Explore in ECOTOX")</f>
        <v>Explore in ECOTOX</v>
      </c>
    </row>
    <row r="1838" spans="1:18" x14ac:dyDescent="0.45">
      <c r="A1838" t="s">
        <v>1266</v>
      </c>
      <c r="B1838">
        <v>8</v>
      </c>
      <c r="C1838" t="str">
        <f>HYPERLINK("http://www.ncbi.nlm.nih.gov/protein/XP_055003014.1","XP_055003014.1")</f>
        <v>XP_055003014.1</v>
      </c>
      <c r="D1838">
        <v>41587</v>
      </c>
      <c r="E1838" t="str">
        <f>HYPERLINK("http://www.ncbi.nlm.nih.gov/Taxonomy/Browser/wwwtax.cgi?mode=Info&amp;id=42254&amp;lvl=3&amp;lin=f&amp;keep=1&amp;srchmode=1&amp;unlock","42254")</f>
        <v>42254</v>
      </c>
      <c r="F1838" t="s">
        <v>96</v>
      </c>
      <c r="G1838" t="str">
        <f>HYPERLINK("http://www.ncbi.nlm.nih.gov/Taxonomy/Browser/wwwtax.cgi?mode=Info&amp;id=42254&amp;lvl=3&amp;lin=f&amp;keep=1&amp;srchmode=1&amp;unlock","Sorex araneus")</f>
        <v>Sorex araneus</v>
      </c>
      <c r="H1838" t="s">
        <v>311</v>
      </c>
      <c r="I1838" t="str">
        <f>HYPERLINK("http://www.ncbi.nlm.nih.gov/protein/XP_055003014.1","ryanodine receptor 2")</f>
        <v>ryanodine receptor 2</v>
      </c>
      <c r="J1838">
        <v>8560.66</v>
      </c>
      <c r="K1838" t="s">
        <v>19</v>
      </c>
      <c r="L1838">
        <v>1210</v>
      </c>
      <c r="M1838">
        <v>7.13</v>
      </c>
      <c r="N1838">
        <v>83.41</v>
      </c>
      <c r="O1838" t="s">
        <v>19</v>
      </c>
      <c r="P1838" t="s">
        <v>1267</v>
      </c>
      <c r="Q1838" t="s">
        <v>19</v>
      </c>
      <c r="R1838" t="str">
        <f>HYPERLINK("https://cfpub.epa.gov/ecotox/explore.cfm?ncbi=42254","Explore in ECOTOX")</f>
        <v>Explore in ECOTOX</v>
      </c>
    </row>
    <row r="1839" spans="1:18" x14ac:dyDescent="0.45">
      <c r="A1839" t="s">
        <v>1266</v>
      </c>
      <c r="B1839">
        <v>8</v>
      </c>
      <c r="C1839" t="str">
        <f>HYPERLINK("http://www.ncbi.nlm.nih.gov/protein/XP_027818181.1","XP_027818181.1")</f>
        <v>XP_027818181.1</v>
      </c>
      <c r="D1839">
        <v>120322</v>
      </c>
      <c r="E1839" t="str">
        <f>HYPERLINK("http://www.ncbi.nlm.nih.gov/Taxonomy/Browser/wwwtax.cgi?mode=Info&amp;id=9940&amp;lvl=3&amp;lin=f&amp;keep=1&amp;srchmode=1&amp;unlock","9940")</f>
        <v>9940</v>
      </c>
      <c r="F1839" t="s">
        <v>96</v>
      </c>
      <c r="G1839" t="str">
        <f>HYPERLINK("http://www.ncbi.nlm.nih.gov/Taxonomy/Browser/wwwtax.cgi?mode=Info&amp;id=9940&amp;lvl=3&amp;lin=f&amp;keep=1&amp;srchmode=1&amp;unlock","Ovis aries")</f>
        <v>Ovis aries</v>
      </c>
      <c r="H1839" t="s">
        <v>371</v>
      </c>
      <c r="I1839" t="str">
        <f>HYPERLINK("http://www.ncbi.nlm.nih.gov/protein/XP_027818181.1","ryanodine receptor 2")</f>
        <v>ryanodine receptor 2</v>
      </c>
      <c r="J1839">
        <v>8560.66</v>
      </c>
      <c r="K1839" t="s">
        <v>19</v>
      </c>
      <c r="L1839">
        <v>1210</v>
      </c>
      <c r="M1839">
        <v>7.13</v>
      </c>
      <c r="N1839">
        <v>83.41</v>
      </c>
      <c r="O1839" t="s">
        <v>19</v>
      </c>
      <c r="P1839" t="s">
        <v>1267</v>
      </c>
      <c r="Q1839" t="s">
        <v>19</v>
      </c>
      <c r="R1839" t="str">
        <f>HYPERLINK("https://cfpub.epa.gov/ecotox/explore.cfm?ncbi=9940","Explore in ECOTOX")</f>
        <v>Explore in ECOTOX</v>
      </c>
    </row>
    <row r="1840" spans="1:18" x14ac:dyDescent="0.45">
      <c r="A1840" t="s">
        <v>1266</v>
      </c>
      <c r="B1840">
        <v>8</v>
      </c>
      <c r="C1840" t="str">
        <f>HYPERLINK("http://www.ncbi.nlm.nih.gov/protein/XP_048699737.1","XP_048699737.1")</f>
        <v>XP_048699737.1</v>
      </c>
      <c r="D1840">
        <v>54936</v>
      </c>
      <c r="E1840" t="str">
        <f>HYPERLINK("http://www.ncbi.nlm.nih.gov/Taxonomy/Browser/wwwtax.cgi?mode=Info&amp;id=8467&amp;lvl=3&amp;lin=f&amp;keep=1&amp;srchmode=1&amp;unlock","8467")</f>
        <v>8467</v>
      </c>
      <c r="F1840" t="s">
        <v>203</v>
      </c>
      <c r="G1840" t="str">
        <f>HYPERLINK("http://www.ncbi.nlm.nih.gov/Taxonomy/Browser/wwwtax.cgi?mode=Info&amp;id=8467&amp;lvl=3&amp;lin=f&amp;keep=1&amp;srchmode=1&amp;unlock","Caretta caretta")</f>
        <v>Caretta caretta</v>
      </c>
      <c r="H1840" t="s">
        <v>227</v>
      </c>
      <c r="I1840" t="str">
        <f>HYPERLINK("http://www.ncbi.nlm.nih.gov/protein/XP_048699737.1","ryanodine receptor 2")</f>
        <v>ryanodine receptor 2</v>
      </c>
      <c r="J1840">
        <v>8560.2800000000007</v>
      </c>
      <c r="K1840" t="s">
        <v>19</v>
      </c>
      <c r="L1840">
        <v>1210</v>
      </c>
      <c r="M1840">
        <v>7.13</v>
      </c>
      <c r="N1840">
        <v>83.41</v>
      </c>
      <c r="O1840" t="s">
        <v>19</v>
      </c>
      <c r="P1840" t="s">
        <v>1267</v>
      </c>
      <c r="Q1840" t="s">
        <v>19</v>
      </c>
      <c r="R1840" t="str">
        <f>HYPERLINK("https://cfpub.epa.gov/ecotox/explore.cfm?ncbi=8467","Explore in ECOTOX")</f>
        <v>Explore in ECOTOX</v>
      </c>
    </row>
    <row r="1841" spans="1:18" x14ac:dyDescent="0.45">
      <c r="A1841" t="s">
        <v>1266</v>
      </c>
      <c r="B1841">
        <v>8</v>
      </c>
      <c r="C1841" t="str">
        <f>HYPERLINK("http://www.ncbi.nlm.nih.gov/protein/XP_033916657.1","XP_033916657.1")</f>
        <v>XP_033916657.1</v>
      </c>
      <c r="D1841">
        <v>29330</v>
      </c>
      <c r="E1841" t="str">
        <f>HYPERLINK("http://www.ncbi.nlm.nih.gov/Taxonomy/Browser/wwwtax.cgi?mode=Info&amp;id=13146&amp;lvl=3&amp;lin=f&amp;keep=1&amp;srchmode=1&amp;unlock","13146")</f>
        <v>13146</v>
      </c>
      <c r="F1841" t="s">
        <v>241</v>
      </c>
      <c r="G1841" t="str">
        <f>HYPERLINK("http://www.ncbi.nlm.nih.gov/Taxonomy/Browser/wwwtax.cgi?mode=Info&amp;id=13146&amp;lvl=3&amp;lin=f&amp;keep=1&amp;srchmode=1&amp;unlock","Melopsittacus undulatus")</f>
        <v>Melopsittacus undulatus</v>
      </c>
      <c r="H1841" t="s">
        <v>564</v>
      </c>
      <c r="I1841" t="str">
        <f>HYPERLINK("http://www.ncbi.nlm.nih.gov/protein/XP_033916657.1","ryanodine receptor 2")</f>
        <v>ryanodine receptor 2</v>
      </c>
      <c r="J1841">
        <v>8559.51</v>
      </c>
      <c r="K1841" t="s">
        <v>19</v>
      </c>
      <c r="L1841">
        <v>1210</v>
      </c>
      <c r="M1841">
        <v>7.13</v>
      </c>
      <c r="N1841">
        <v>83.4</v>
      </c>
      <c r="O1841" t="s">
        <v>19</v>
      </c>
      <c r="P1841" t="s">
        <v>1267</v>
      </c>
      <c r="Q1841" t="s">
        <v>19</v>
      </c>
      <c r="R1841" t="str">
        <f>HYPERLINK("https://cfpub.epa.gov/ecotox/explore.cfm?ncbi=13146","Explore in ECOTOX")</f>
        <v>Explore in ECOTOX</v>
      </c>
    </row>
    <row r="1842" spans="1:18" x14ac:dyDescent="0.45">
      <c r="A1842" t="s">
        <v>1266</v>
      </c>
      <c r="B1842">
        <v>8</v>
      </c>
      <c r="C1842" t="str">
        <f>HYPERLINK("http://www.ncbi.nlm.nih.gov/protein/XP_053063778.1","XP_053063778.1")</f>
        <v>XP_053063778.1</v>
      </c>
      <c r="D1842">
        <v>64266</v>
      </c>
      <c r="E1842" t="str">
        <f>HYPERLINK("http://www.ncbi.nlm.nih.gov/Taxonomy/Browser/wwwtax.cgi?mode=Info&amp;id=32536&amp;lvl=3&amp;lin=f&amp;keep=1&amp;srchmode=1&amp;unlock","32536")</f>
        <v>32536</v>
      </c>
      <c r="F1842" t="s">
        <v>96</v>
      </c>
      <c r="G1842" t="str">
        <f>HYPERLINK("http://www.ncbi.nlm.nih.gov/Taxonomy/Browser/wwwtax.cgi?mode=Info&amp;id=32536&amp;lvl=3&amp;lin=f&amp;keep=1&amp;srchmode=1&amp;unlock","Acinonyx jubatus")</f>
        <v>Acinonyx jubatus</v>
      </c>
      <c r="H1842" t="s">
        <v>333</v>
      </c>
      <c r="I1842" t="str">
        <f>HYPERLINK("http://www.ncbi.nlm.nih.gov/protein/XP_053063778.1","ryanodine receptor 2 isoform X6")</f>
        <v>ryanodine receptor 2 isoform X6</v>
      </c>
      <c r="J1842">
        <v>8559.51</v>
      </c>
      <c r="K1842" t="s">
        <v>19</v>
      </c>
      <c r="L1842">
        <v>1210</v>
      </c>
      <c r="M1842">
        <v>7.13</v>
      </c>
      <c r="N1842">
        <v>83.4</v>
      </c>
      <c r="O1842" t="s">
        <v>19</v>
      </c>
      <c r="P1842" t="s">
        <v>1267</v>
      </c>
      <c r="Q1842" t="s">
        <v>19</v>
      </c>
      <c r="R1842" t="str">
        <f>HYPERLINK("https://cfpub.epa.gov/ecotox/explore.cfm?ncbi=32536","Explore in ECOTOX")</f>
        <v>Explore in ECOTOX</v>
      </c>
    </row>
    <row r="1843" spans="1:18" x14ac:dyDescent="0.45">
      <c r="A1843" t="s">
        <v>1266</v>
      </c>
      <c r="B1843">
        <v>8</v>
      </c>
      <c r="C1843" t="str">
        <f>HYPERLINK("http://www.ncbi.nlm.nih.gov/protein/XP_055969562.1","XP_055969562.1")</f>
        <v>XP_055969562.1</v>
      </c>
      <c r="D1843">
        <v>32714</v>
      </c>
      <c r="E1843" t="str">
        <f>HYPERLINK("http://www.ncbi.nlm.nih.gov/Taxonomy/Browser/wwwtax.cgi?mode=Info&amp;id=62283&amp;lvl=3&amp;lin=f&amp;keep=1&amp;srchmode=1&amp;unlock","62283")</f>
        <v>62283</v>
      </c>
      <c r="F1843" t="s">
        <v>96</v>
      </c>
      <c r="G1843" t="str">
        <f>HYPERLINK("http://www.ncbi.nlm.nih.gov/Taxonomy/Browser/wwwtax.cgi?mode=Info&amp;id=62283&amp;lvl=3&amp;lin=f&amp;keep=1&amp;srchmode=1&amp;unlock","Sorex fumeus")</f>
        <v>Sorex fumeus</v>
      </c>
      <c r="H1843" t="s">
        <v>316</v>
      </c>
      <c r="I1843" t="str">
        <f>HYPERLINK("http://www.ncbi.nlm.nih.gov/protein/XP_055969562.1","ryanodine receptor 2")</f>
        <v>ryanodine receptor 2</v>
      </c>
      <c r="J1843">
        <v>8559.51</v>
      </c>
      <c r="K1843" t="s">
        <v>19</v>
      </c>
      <c r="L1843">
        <v>1210</v>
      </c>
      <c r="M1843">
        <v>7.13</v>
      </c>
      <c r="N1843">
        <v>83.4</v>
      </c>
      <c r="O1843" t="s">
        <v>19</v>
      </c>
      <c r="P1843" t="s">
        <v>1267</v>
      </c>
      <c r="Q1843" t="s">
        <v>19</v>
      </c>
      <c r="R1843" t="str">
        <f>HYPERLINK("https://cfpub.epa.gov/ecotox/explore.cfm?ncbi=62283","Explore in ECOTOX")</f>
        <v>Explore in ECOTOX</v>
      </c>
    </row>
    <row r="1844" spans="1:18" x14ac:dyDescent="0.45">
      <c r="A1844" t="s">
        <v>1266</v>
      </c>
      <c r="B1844">
        <v>8</v>
      </c>
      <c r="C1844" t="str">
        <f>HYPERLINK("http://www.ncbi.nlm.nih.gov/protein/XP_061260925.1","XP_061260925.1")</f>
        <v>XP_061260925.1</v>
      </c>
      <c r="D1844">
        <v>60537</v>
      </c>
      <c r="E1844" t="str">
        <f>HYPERLINK("http://www.ncbi.nlm.nih.gov/Taxonomy/Browser/wwwtax.cgi?mode=Info&amp;id=9906&amp;lvl=3&amp;lin=f&amp;keep=1&amp;srchmode=1&amp;unlock","9906")</f>
        <v>9906</v>
      </c>
      <c r="F1844" t="s">
        <v>96</v>
      </c>
      <c r="G1844" t="str">
        <f>HYPERLINK("http://www.ncbi.nlm.nih.gov/Taxonomy/Browser/wwwtax.cgi?mode=Info&amp;id=9906&amp;lvl=3&amp;lin=f&amp;keep=1&amp;srchmode=1&amp;unlock","Bos javanicus")</f>
        <v>Bos javanicus</v>
      </c>
      <c r="H1844" t="s">
        <v>467</v>
      </c>
      <c r="I1844" t="str">
        <f>HYPERLINK("http://www.ncbi.nlm.nih.gov/protein/XP_061260925.1","ryanodine receptor 2 isoform X7")</f>
        <v>ryanodine receptor 2 isoform X7</v>
      </c>
      <c r="J1844">
        <v>8559.1200000000008</v>
      </c>
      <c r="K1844" t="s">
        <v>19</v>
      </c>
      <c r="L1844">
        <v>1210</v>
      </c>
      <c r="M1844">
        <v>7.13</v>
      </c>
      <c r="N1844">
        <v>83.4</v>
      </c>
      <c r="O1844" t="s">
        <v>19</v>
      </c>
      <c r="P1844" t="s">
        <v>1267</v>
      </c>
      <c r="Q1844" t="s">
        <v>19</v>
      </c>
      <c r="R1844" t="str">
        <f>HYPERLINK("https://cfpub.epa.gov/ecotox/explore.cfm?ncbi=9906","Explore in ECOTOX")</f>
        <v>Explore in ECOTOX</v>
      </c>
    </row>
    <row r="1845" spans="1:18" x14ac:dyDescent="0.45">
      <c r="A1845" t="s">
        <v>1266</v>
      </c>
      <c r="B1845">
        <v>8</v>
      </c>
      <c r="C1845" t="str">
        <f>HYPERLINK("http://www.ncbi.nlm.nih.gov/protein/XP_043551507.1","XP_043551507.1")</f>
        <v>XP_043551507.1</v>
      </c>
      <c r="D1845">
        <v>47810</v>
      </c>
      <c r="E1845" t="str">
        <f>HYPERLINK("http://www.ncbi.nlm.nih.gov/Taxonomy/Browser/wwwtax.cgi?mode=Info&amp;id=36176&amp;lvl=3&amp;lin=f&amp;keep=1&amp;srchmode=1&amp;unlock","36176")</f>
        <v>36176</v>
      </c>
      <c r="F1845" t="s">
        <v>195</v>
      </c>
      <c r="G1845" t="str">
        <f>HYPERLINK("http://www.ncbi.nlm.nih.gov/Taxonomy/Browser/wwwtax.cgi?mode=Info&amp;id=36176&amp;lvl=3&amp;lin=f&amp;keep=1&amp;srchmode=1&amp;unlock","Chiloscyllium plagiosum")</f>
        <v>Chiloscyllium plagiosum</v>
      </c>
      <c r="H1845" t="s">
        <v>238</v>
      </c>
      <c r="I1845" t="str">
        <f>HYPERLINK("http://www.ncbi.nlm.nih.gov/protein/XP_043551507.1","ryanodine receptor 2")</f>
        <v>ryanodine receptor 2</v>
      </c>
      <c r="J1845">
        <v>8558.74</v>
      </c>
      <c r="K1845" t="s">
        <v>19</v>
      </c>
      <c r="L1845">
        <v>1210</v>
      </c>
      <c r="M1845">
        <v>7.13</v>
      </c>
      <c r="N1845">
        <v>83.39</v>
      </c>
      <c r="O1845" t="s">
        <v>19</v>
      </c>
      <c r="P1845" t="s">
        <v>1267</v>
      </c>
      <c r="Q1845" t="s">
        <v>19</v>
      </c>
      <c r="R1845" t="str">
        <f>HYPERLINK("https://cfpub.epa.gov/ecotox/explore.cfm?ncbi=36176","Explore in ECOTOX")</f>
        <v>Explore in ECOTOX</v>
      </c>
    </row>
    <row r="1846" spans="1:18" x14ac:dyDescent="0.45">
      <c r="A1846" t="s">
        <v>1266</v>
      </c>
      <c r="B1846">
        <v>8</v>
      </c>
      <c r="C1846" t="str">
        <f>HYPERLINK("http://www.ncbi.nlm.nih.gov/protein/XP_052012613.1","XP_052012613.1")</f>
        <v>XP_052012613.1</v>
      </c>
      <c r="D1846">
        <v>46958</v>
      </c>
      <c r="E1846" t="str">
        <f>HYPERLINK("http://www.ncbi.nlm.nih.gov/Taxonomy/Browser/wwwtax.cgi?mode=Info&amp;id=10129&amp;lvl=3&amp;lin=f&amp;keep=1&amp;srchmode=1&amp;unlock","10129")</f>
        <v>10129</v>
      </c>
      <c r="F1846" t="s">
        <v>96</v>
      </c>
      <c r="G1846" t="str">
        <f>HYPERLINK("http://www.ncbi.nlm.nih.gov/Taxonomy/Browser/wwwtax.cgi?mode=Info&amp;id=10129&amp;lvl=3&amp;lin=f&amp;keep=1&amp;srchmode=1&amp;unlock","Apodemus sylvaticus")</f>
        <v>Apodemus sylvaticus</v>
      </c>
      <c r="H1846" t="s">
        <v>380</v>
      </c>
      <c r="I1846" t="str">
        <f>HYPERLINK("http://www.ncbi.nlm.nih.gov/protein/XP_052012613.1","ryanodine receptor 2")</f>
        <v>ryanodine receptor 2</v>
      </c>
      <c r="J1846">
        <v>8558.74</v>
      </c>
      <c r="K1846" t="s">
        <v>19</v>
      </c>
      <c r="L1846">
        <v>1210</v>
      </c>
      <c r="M1846">
        <v>7.13</v>
      </c>
      <c r="N1846">
        <v>83.39</v>
      </c>
      <c r="O1846" t="s">
        <v>19</v>
      </c>
      <c r="P1846" t="s">
        <v>1267</v>
      </c>
      <c r="Q1846" t="s">
        <v>19</v>
      </c>
      <c r="R1846" t="str">
        <f>HYPERLINK("https://cfpub.epa.gov/ecotox/explore.cfm?ncbi=10129","Explore in ECOTOX")</f>
        <v>Explore in ECOTOX</v>
      </c>
    </row>
    <row r="1847" spans="1:18" x14ac:dyDescent="0.45">
      <c r="A1847" t="s">
        <v>1266</v>
      </c>
      <c r="B1847">
        <v>8</v>
      </c>
      <c r="C1847" t="str">
        <f>HYPERLINK("http://www.ncbi.nlm.nih.gov/protein/XP_054049706.1","XP_054049706.1")</f>
        <v>XP_054049706.1</v>
      </c>
      <c r="D1847">
        <v>58718</v>
      </c>
      <c r="E1847" t="str">
        <f>HYPERLINK("http://www.ncbi.nlm.nih.gov/Taxonomy/Browser/wwwtax.cgi?mode=Info&amp;id=75485&amp;lvl=3&amp;lin=f&amp;keep=1&amp;srchmode=1&amp;unlock","75485")</f>
        <v>75485</v>
      </c>
      <c r="F1847" t="s">
        <v>241</v>
      </c>
      <c r="G1847" t="str">
        <f>HYPERLINK("http://www.ncbi.nlm.nih.gov/Taxonomy/Browser/wwwtax.cgi?mode=Info&amp;id=75485&amp;lvl=3&amp;lin=f&amp;keep=1&amp;srchmode=1&amp;unlock","Rissa tridactyla")</f>
        <v>Rissa tridactyla</v>
      </c>
      <c r="H1847" t="s">
        <v>296</v>
      </c>
      <c r="I1847" t="str">
        <f>HYPERLINK("http://www.ncbi.nlm.nih.gov/protein/XP_054049706.1","ryanodine receptor 2 isoform X2")</f>
        <v>ryanodine receptor 2 isoform X2</v>
      </c>
      <c r="J1847">
        <v>8558.35</v>
      </c>
      <c r="K1847" t="s">
        <v>19</v>
      </c>
      <c r="L1847">
        <v>1210</v>
      </c>
      <c r="M1847">
        <v>7.13</v>
      </c>
      <c r="N1847">
        <v>83.39</v>
      </c>
      <c r="O1847" t="s">
        <v>19</v>
      </c>
      <c r="P1847" t="s">
        <v>1267</v>
      </c>
      <c r="Q1847" t="s">
        <v>19</v>
      </c>
      <c r="R1847" t="str">
        <f>HYPERLINK("https://cfpub.epa.gov/ecotox/explore.cfm?ncbi=75485","Explore in ECOTOX")</f>
        <v>Explore in ECOTOX</v>
      </c>
    </row>
    <row r="1848" spans="1:18" x14ac:dyDescent="0.45">
      <c r="A1848" t="s">
        <v>1266</v>
      </c>
      <c r="B1848">
        <v>8</v>
      </c>
      <c r="C1848" t="str">
        <f>HYPERLINK("http://www.ncbi.nlm.nih.gov/protein/XP_050749165.1","XP_050749165.1")</f>
        <v>XP_050749165.1</v>
      </c>
      <c r="D1848">
        <v>25319</v>
      </c>
      <c r="E1848" t="str">
        <f>HYPERLINK("http://www.ncbi.nlm.nih.gov/Taxonomy/Browser/wwwtax.cgi?mode=Info&amp;id=33616&amp;lvl=3&amp;lin=f&amp;keep=1&amp;srchmode=1&amp;unlock","33616")</f>
        <v>33616</v>
      </c>
      <c r="F1848" t="s">
        <v>241</v>
      </c>
      <c r="G1848" t="str">
        <f>HYPERLINK("http://www.ncbi.nlm.nih.gov/Taxonomy/Browser/wwwtax.cgi?mode=Info&amp;id=33616&amp;lvl=3&amp;lin=f&amp;keep=1&amp;srchmode=1&amp;unlock","Gymnogyps californianus")</f>
        <v>Gymnogyps californianus</v>
      </c>
      <c r="H1848" t="s">
        <v>348</v>
      </c>
      <c r="I1848" t="str">
        <f>HYPERLINK("http://www.ncbi.nlm.nih.gov/protein/XP_050749165.1","ryanodine receptor 2")</f>
        <v>ryanodine receptor 2</v>
      </c>
      <c r="J1848">
        <v>8557.9599999999991</v>
      </c>
      <c r="K1848" t="s">
        <v>19</v>
      </c>
      <c r="L1848">
        <v>1210</v>
      </c>
      <c r="M1848">
        <v>7.13</v>
      </c>
      <c r="N1848">
        <v>83.39</v>
      </c>
      <c r="O1848" t="s">
        <v>19</v>
      </c>
      <c r="P1848" t="s">
        <v>1267</v>
      </c>
      <c r="Q1848" t="s">
        <v>19</v>
      </c>
      <c r="R1848" t="str">
        <f>HYPERLINK("https://cfpub.epa.gov/ecotox/explore.cfm?ncbi=33616","Explore in ECOTOX")</f>
        <v>Explore in ECOTOX</v>
      </c>
    </row>
    <row r="1849" spans="1:18" x14ac:dyDescent="0.45">
      <c r="A1849" t="s">
        <v>1266</v>
      </c>
      <c r="B1849">
        <v>8</v>
      </c>
      <c r="C1849" t="str">
        <f>HYPERLINK("http://www.ncbi.nlm.nih.gov/protein/XP_025069545.1","XP_025069545.1")</f>
        <v>XP_025069545.1</v>
      </c>
      <c r="D1849">
        <v>43415</v>
      </c>
      <c r="E1849" t="str">
        <f>HYPERLINK("http://www.ncbi.nlm.nih.gov/Taxonomy/Browser/wwwtax.cgi?mode=Info&amp;id=38654&amp;lvl=3&amp;lin=f&amp;keep=1&amp;srchmode=1&amp;unlock","38654")</f>
        <v>38654</v>
      </c>
      <c r="F1849" t="s">
        <v>214</v>
      </c>
      <c r="G1849" t="str">
        <f>HYPERLINK("http://www.ncbi.nlm.nih.gov/Taxonomy/Browser/wwwtax.cgi?mode=Info&amp;id=38654&amp;lvl=3&amp;lin=f&amp;keep=1&amp;srchmode=1&amp;unlock","Alligator sinensis")</f>
        <v>Alligator sinensis</v>
      </c>
      <c r="H1849" t="s">
        <v>559</v>
      </c>
      <c r="I1849" t="str">
        <f>HYPERLINK("http://www.ncbi.nlm.nih.gov/protein/XP_025069545.1","ryanodine receptor 2 isoform X15")</f>
        <v>ryanodine receptor 2 isoform X15</v>
      </c>
      <c r="J1849">
        <v>8557.19</v>
      </c>
      <c r="K1849" t="s">
        <v>19</v>
      </c>
      <c r="L1849">
        <v>1210</v>
      </c>
      <c r="M1849">
        <v>7.13</v>
      </c>
      <c r="N1849">
        <v>83.38</v>
      </c>
      <c r="O1849" t="s">
        <v>19</v>
      </c>
      <c r="P1849" t="s">
        <v>1267</v>
      </c>
      <c r="Q1849" t="s">
        <v>19</v>
      </c>
      <c r="R1849" t="str">
        <f>HYPERLINK("https://cfpub.epa.gov/ecotox/explore.cfm?ncbi=38654","Explore in ECOTOX")</f>
        <v>Explore in ECOTOX</v>
      </c>
    </row>
    <row r="1850" spans="1:18" x14ac:dyDescent="0.45">
      <c r="A1850" t="s">
        <v>1266</v>
      </c>
      <c r="B1850">
        <v>8</v>
      </c>
      <c r="C1850" t="str">
        <f>HYPERLINK("http://www.ncbi.nlm.nih.gov/protein/XP_049998283.1","XP_049998283.1")</f>
        <v>XP_049998283.1</v>
      </c>
      <c r="D1850">
        <v>47946</v>
      </c>
      <c r="E1850" t="str">
        <f>HYPERLINK("http://www.ncbi.nlm.nih.gov/Taxonomy/Browser/wwwtax.cgi?mode=Info&amp;id=100897&amp;lvl=3&amp;lin=f&amp;keep=1&amp;srchmode=1&amp;unlock","100897")</f>
        <v>100897</v>
      </c>
      <c r="F1850" t="s">
        <v>96</v>
      </c>
      <c r="G1850" t="str">
        <f>HYPERLINK("http://www.ncbi.nlm.nih.gov/Taxonomy/Browser/wwwtax.cgi?mode=Info&amp;id=100897&amp;lvl=3&amp;lin=f&amp;keep=1&amp;srchmode=1&amp;unlock","Microtus fortis")</f>
        <v>Microtus fortis</v>
      </c>
      <c r="H1850" t="s">
        <v>428</v>
      </c>
      <c r="I1850" t="str">
        <f>HYPERLINK("http://www.ncbi.nlm.nih.gov/protein/XP_049998283.1","ryanodine receptor 2")</f>
        <v>ryanodine receptor 2</v>
      </c>
      <c r="J1850">
        <v>8556.42</v>
      </c>
      <c r="K1850" t="s">
        <v>19</v>
      </c>
      <c r="L1850">
        <v>1210</v>
      </c>
      <c r="M1850">
        <v>7.13</v>
      </c>
      <c r="N1850">
        <v>83.37</v>
      </c>
      <c r="O1850" t="s">
        <v>19</v>
      </c>
      <c r="P1850" t="s">
        <v>1267</v>
      </c>
      <c r="Q1850" t="s">
        <v>19</v>
      </c>
      <c r="R1850" t="str">
        <f>HYPERLINK("https://cfpub.epa.gov/ecotox/explore.cfm?ncbi=100897","Explore in ECOTOX")</f>
        <v>Explore in ECOTOX</v>
      </c>
    </row>
    <row r="1851" spans="1:18" x14ac:dyDescent="0.45">
      <c r="A1851" t="s">
        <v>1266</v>
      </c>
      <c r="B1851">
        <v>8</v>
      </c>
      <c r="C1851" t="str">
        <f>HYPERLINK("http://www.ncbi.nlm.nih.gov/protein/XP_019382265.1","XP_019382265.1")</f>
        <v>XP_019382265.1</v>
      </c>
      <c r="D1851">
        <v>27419</v>
      </c>
      <c r="E1851" t="str">
        <f>HYPERLINK("http://www.ncbi.nlm.nih.gov/Taxonomy/Browser/wwwtax.cgi?mode=Info&amp;id=94835&amp;lvl=3&amp;lin=f&amp;keep=1&amp;srchmode=1&amp;unlock","94835")</f>
        <v>94835</v>
      </c>
      <c r="F1851" t="s">
        <v>214</v>
      </c>
      <c r="G1851" t="str">
        <f>HYPERLINK("http://www.ncbi.nlm.nih.gov/Taxonomy/Browser/wwwtax.cgi?mode=Info&amp;id=94835&amp;lvl=3&amp;lin=f&amp;keep=1&amp;srchmode=1&amp;unlock","Gavialis gangeticus")</f>
        <v>Gavialis gangeticus</v>
      </c>
      <c r="H1851" t="s">
        <v>560</v>
      </c>
      <c r="I1851" t="str">
        <f>HYPERLINK("http://www.ncbi.nlm.nih.gov/protein/XP_019382265.1","PREDICTED: ryanodine receptor 2")</f>
        <v>PREDICTED: ryanodine receptor 2</v>
      </c>
      <c r="J1851">
        <v>8556.0400000000009</v>
      </c>
      <c r="K1851" t="s">
        <v>19</v>
      </c>
      <c r="L1851">
        <v>1210</v>
      </c>
      <c r="M1851">
        <v>7.13</v>
      </c>
      <c r="N1851">
        <v>83.37</v>
      </c>
      <c r="O1851" t="s">
        <v>19</v>
      </c>
      <c r="P1851" t="s">
        <v>1267</v>
      </c>
      <c r="Q1851" t="s">
        <v>19</v>
      </c>
      <c r="R1851" t="str">
        <f>HYPERLINK("https://cfpub.epa.gov/ecotox/explore.cfm?ncbi=94835","Explore in ECOTOX")</f>
        <v>Explore in ECOTOX</v>
      </c>
    </row>
    <row r="1852" spans="1:18" x14ac:dyDescent="0.45">
      <c r="A1852" t="s">
        <v>1266</v>
      </c>
      <c r="B1852">
        <v>8</v>
      </c>
      <c r="C1852" t="str">
        <f>HYPERLINK("http://www.ncbi.nlm.nih.gov/protein/XP_053238593.1","XP_053238593.1")</f>
        <v>XP_053238593.1</v>
      </c>
      <c r="D1852">
        <v>51575</v>
      </c>
      <c r="E1852" t="str">
        <f>HYPERLINK("http://www.ncbi.nlm.nih.gov/Taxonomy/Browser/wwwtax.cgi?mode=Info&amp;id=65483&amp;lvl=3&amp;lin=f&amp;keep=1&amp;srchmode=1&amp;unlock","65483")</f>
        <v>65483</v>
      </c>
      <c r="F1852" t="s">
        <v>192</v>
      </c>
      <c r="G1852" t="str">
        <f>HYPERLINK("http://www.ncbi.nlm.nih.gov/Taxonomy/Browser/wwwtax.cgi?mode=Info&amp;id=65483&amp;lvl=3&amp;lin=f&amp;keep=1&amp;srchmode=1&amp;unlock","Podarcis raffonei")</f>
        <v>Podarcis raffonei</v>
      </c>
      <c r="H1852" t="s">
        <v>197</v>
      </c>
      <c r="I1852" t="str">
        <f>HYPERLINK("http://www.ncbi.nlm.nih.gov/protein/XP_053238593.1","ryanodine receptor 2 isoform X14")</f>
        <v>ryanodine receptor 2 isoform X14</v>
      </c>
      <c r="J1852">
        <v>8555.65</v>
      </c>
      <c r="K1852" t="s">
        <v>19</v>
      </c>
      <c r="L1852">
        <v>1210</v>
      </c>
      <c r="M1852">
        <v>7.13</v>
      </c>
      <c r="N1852">
        <v>83.36</v>
      </c>
      <c r="O1852" t="s">
        <v>19</v>
      </c>
      <c r="P1852" t="s">
        <v>1267</v>
      </c>
      <c r="Q1852" t="s">
        <v>19</v>
      </c>
      <c r="R1852" t="str">
        <f>HYPERLINK("https://cfpub.epa.gov/ecotox/explore.cfm?ncbi=65483","Explore in ECOTOX")</f>
        <v>Explore in ECOTOX</v>
      </c>
    </row>
    <row r="1853" spans="1:18" x14ac:dyDescent="0.45">
      <c r="A1853" t="s">
        <v>1266</v>
      </c>
      <c r="B1853">
        <v>8</v>
      </c>
      <c r="C1853" t="str">
        <f>HYPERLINK("http://www.ncbi.nlm.nih.gov/protein/XP_009462130.1","XP_009462130.1")</f>
        <v>XP_009462130.1</v>
      </c>
      <c r="D1853">
        <v>31421</v>
      </c>
      <c r="E1853" t="str">
        <f>HYPERLINK("http://www.ncbi.nlm.nih.gov/Taxonomy/Browser/wwwtax.cgi?mode=Info&amp;id=128390&amp;lvl=3&amp;lin=f&amp;keep=1&amp;srchmode=1&amp;unlock","128390")</f>
        <v>128390</v>
      </c>
      <c r="F1853" t="s">
        <v>241</v>
      </c>
      <c r="G1853" t="str">
        <f>HYPERLINK("http://www.ncbi.nlm.nih.gov/Taxonomy/Browser/wwwtax.cgi?mode=Info&amp;id=128390&amp;lvl=3&amp;lin=f&amp;keep=1&amp;srchmode=1&amp;unlock","Nipponia nippon")</f>
        <v>Nipponia nippon</v>
      </c>
      <c r="H1853" t="s">
        <v>342</v>
      </c>
      <c r="I1853" t="str">
        <f>HYPERLINK("http://www.ncbi.nlm.nih.gov/protein/XP_009462130.1","PREDICTED: ryanodine receptor 2")</f>
        <v>PREDICTED: ryanodine receptor 2</v>
      </c>
      <c r="J1853">
        <v>8555.27</v>
      </c>
      <c r="K1853" t="s">
        <v>19</v>
      </c>
      <c r="L1853">
        <v>1210</v>
      </c>
      <c r="M1853">
        <v>7.13</v>
      </c>
      <c r="N1853">
        <v>83.36</v>
      </c>
      <c r="O1853" t="s">
        <v>19</v>
      </c>
      <c r="P1853" t="s">
        <v>1267</v>
      </c>
      <c r="Q1853" t="s">
        <v>19</v>
      </c>
      <c r="R1853" t="str">
        <f>HYPERLINK("https://cfpub.epa.gov/ecotox/explore.cfm?ncbi=128390","Explore in ECOTOX")</f>
        <v>Explore in ECOTOX</v>
      </c>
    </row>
    <row r="1854" spans="1:18" x14ac:dyDescent="0.45">
      <c r="A1854" t="s">
        <v>1266</v>
      </c>
      <c r="B1854">
        <v>8</v>
      </c>
      <c r="C1854" t="str">
        <f>HYPERLINK("http://www.ncbi.nlm.nih.gov/protein/XP_025257659.1","XP_025257659.1")</f>
        <v>XP_025257659.1</v>
      </c>
      <c r="D1854">
        <v>52710</v>
      </c>
      <c r="E1854" t="str">
        <f>HYPERLINK("http://www.ncbi.nlm.nih.gov/Taxonomy/Browser/wwwtax.cgi?mode=Info&amp;id=9565&amp;lvl=3&amp;lin=f&amp;keep=1&amp;srchmode=1&amp;unlock","9565")</f>
        <v>9565</v>
      </c>
      <c r="F1854" t="s">
        <v>96</v>
      </c>
      <c r="G1854" t="str">
        <f>HYPERLINK("http://www.ncbi.nlm.nih.gov/Taxonomy/Browser/wwwtax.cgi?mode=Info&amp;id=9565&amp;lvl=3&amp;lin=f&amp;keep=1&amp;srchmode=1&amp;unlock","Theropithecus gelada")</f>
        <v>Theropithecus gelada</v>
      </c>
      <c r="H1854" t="s">
        <v>389</v>
      </c>
      <c r="I1854" t="str">
        <f>HYPERLINK("http://www.ncbi.nlm.nih.gov/protein/XP_025257659.1","ryanodine receptor 2")</f>
        <v>ryanodine receptor 2</v>
      </c>
      <c r="J1854">
        <v>8555.27</v>
      </c>
      <c r="K1854" t="s">
        <v>19</v>
      </c>
      <c r="L1854">
        <v>1210</v>
      </c>
      <c r="M1854">
        <v>7.13</v>
      </c>
      <c r="N1854">
        <v>83.36</v>
      </c>
      <c r="O1854" t="s">
        <v>19</v>
      </c>
      <c r="P1854" t="s">
        <v>1267</v>
      </c>
      <c r="Q1854" t="s">
        <v>19</v>
      </c>
      <c r="R1854" t="str">
        <f>HYPERLINK("https://cfpub.epa.gov/ecotox/explore.cfm?ncbi=9565","Explore in ECOTOX")</f>
        <v>Explore in ECOTOX</v>
      </c>
    </row>
    <row r="1855" spans="1:18" x14ac:dyDescent="0.45">
      <c r="A1855" t="s">
        <v>1266</v>
      </c>
      <c r="B1855">
        <v>8</v>
      </c>
      <c r="C1855" t="str">
        <f>HYPERLINK("http://www.ncbi.nlm.nih.gov/protein/5GO9_A","5GO9_A")</f>
        <v>5GO9_A</v>
      </c>
      <c r="D1855">
        <v>90396</v>
      </c>
      <c r="E1855" t="str">
        <f>HYPERLINK("http://www.ncbi.nlm.nih.gov/Taxonomy/Browser/wwwtax.cgi?mode=Info&amp;id=9823&amp;lvl=3&amp;lin=f&amp;keep=1&amp;srchmode=1&amp;unlock","9823")</f>
        <v>9823</v>
      </c>
      <c r="F1855" t="s">
        <v>96</v>
      </c>
      <c r="G1855" t="str">
        <f>HYPERLINK("http://www.ncbi.nlm.nih.gov/Taxonomy/Browser/wwwtax.cgi?mode=Info&amp;id=9823&amp;lvl=3&amp;lin=f&amp;keep=1&amp;srchmode=1&amp;unlock","Sus scrofa")</f>
        <v>Sus scrofa</v>
      </c>
      <c r="H1855" t="s">
        <v>584</v>
      </c>
      <c r="I1855" t="str">
        <f>HYPERLINK("http://www.ncbi.nlm.nih.gov/protein/5GO9_A","Chain A, RyR2")</f>
        <v>Chain A, RyR2</v>
      </c>
      <c r="J1855">
        <v>8554.8799999999992</v>
      </c>
      <c r="K1855" t="s">
        <v>19</v>
      </c>
      <c r="L1855">
        <v>1210</v>
      </c>
      <c r="M1855">
        <v>7.13</v>
      </c>
      <c r="N1855">
        <v>83.36</v>
      </c>
      <c r="O1855" t="s">
        <v>19</v>
      </c>
      <c r="P1855" t="s">
        <v>1267</v>
      </c>
      <c r="Q1855" t="s">
        <v>19</v>
      </c>
      <c r="R1855" t="str">
        <f>HYPERLINK("https://cfpub.epa.gov/ecotox/explore.cfm?ncbi=9823","Explore in ECOTOX")</f>
        <v>Explore in ECOTOX</v>
      </c>
    </row>
    <row r="1856" spans="1:18" x14ac:dyDescent="0.45">
      <c r="A1856" t="s">
        <v>1266</v>
      </c>
      <c r="B1856">
        <v>8</v>
      </c>
      <c r="C1856" t="str">
        <f>HYPERLINK("http://www.ncbi.nlm.nih.gov/protein/XP_049502052.1","XP_049502052.1")</f>
        <v>XP_049502052.1</v>
      </c>
      <c r="D1856">
        <v>44053</v>
      </c>
      <c r="E1856" t="str">
        <f>HYPERLINK("http://www.ncbi.nlm.nih.gov/Taxonomy/Browser/wwwtax.cgi?mode=Info&amp;id=29064&amp;lvl=3&amp;lin=f&amp;keep=1&amp;srchmode=1&amp;unlock","29064")</f>
        <v>29064</v>
      </c>
      <c r="F1856" t="s">
        <v>96</v>
      </c>
      <c r="G1856" t="str">
        <f>HYPERLINK("http://www.ncbi.nlm.nih.gov/Taxonomy/Browser/wwwtax.cgi?mode=Info&amp;id=29064&amp;lvl=3&amp;lin=f&amp;keep=1&amp;srchmode=1&amp;unlock","Panthera uncia")</f>
        <v>Panthera uncia</v>
      </c>
      <c r="H1856" t="s">
        <v>327</v>
      </c>
      <c r="I1856" t="str">
        <f>HYPERLINK("http://www.ncbi.nlm.nih.gov/protein/XP_049502052.1","ryanodine receptor 2 isoform X2")</f>
        <v>ryanodine receptor 2 isoform X2</v>
      </c>
      <c r="J1856">
        <v>8554.5</v>
      </c>
      <c r="K1856" t="s">
        <v>19</v>
      </c>
      <c r="L1856">
        <v>1210</v>
      </c>
      <c r="M1856">
        <v>7.13</v>
      </c>
      <c r="N1856">
        <v>83.35</v>
      </c>
      <c r="O1856" t="s">
        <v>19</v>
      </c>
      <c r="P1856" t="s">
        <v>1267</v>
      </c>
      <c r="Q1856" t="s">
        <v>19</v>
      </c>
      <c r="R1856" t="str">
        <f>HYPERLINK("https://cfpub.epa.gov/ecotox/explore.cfm?ncbi=29064","Explore in ECOTOX")</f>
        <v>Explore in ECOTOX</v>
      </c>
    </row>
    <row r="1857" spans="1:18" x14ac:dyDescent="0.45">
      <c r="A1857" t="s">
        <v>1266</v>
      </c>
      <c r="B1857">
        <v>8</v>
      </c>
      <c r="C1857" t="str">
        <f>HYPERLINK("http://www.ncbi.nlm.nih.gov/protein/XP_048656368.1","XP_048656368.1")</f>
        <v>XP_048656368.1</v>
      </c>
      <c r="D1857">
        <v>56614</v>
      </c>
      <c r="E1857" t="str">
        <f>HYPERLINK("http://www.ncbi.nlm.nih.gov/Taxonomy/Browser/wwwtax.cgi?mode=Info&amp;id=9994&amp;lvl=3&amp;lin=f&amp;keep=1&amp;srchmode=1&amp;unlock","9994")</f>
        <v>9994</v>
      </c>
      <c r="F1857" t="s">
        <v>96</v>
      </c>
      <c r="G1857" t="str">
        <f>HYPERLINK("http://www.ncbi.nlm.nih.gov/Taxonomy/Browser/wwwtax.cgi?mode=Info&amp;id=9994&amp;lvl=3&amp;lin=f&amp;keep=1&amp;srchmode=1&amp;unlock","Marmota marmota marmota")</f>
        <v>Marmota marmota marmota</v>
      </c>
      <c r="H1857" t="s">
        <v>594</v>
      </c>
      <c r="I1857" t="str">
        <f>HYPERLINK("http://www.ncbi.nlm.nih.gov/protein/XP_048656368.1","ryanodine receptor 2")</f>
        <v>ryanodine receptor 2</v>
      </c>
      <c r="J1857">
        <v>8554.5</v>
      </c>
      <c r="K1857" t="s">
        <v>19</v>
      </c>
      <c r="L1857">
        <v>1210</v>
      </c>
      <c r="M1857">
        <v>7.13</v>
      </c>
      <c r="N1857">
        <v>83.35</v>
      </c>
      <c r="O1857" t="s">
        <v>19</v>
      </c>
      <c r="P1857" t="s">
        <v>1267</v>
      </c>
      <c r="Q1857" t="s">
        <v>19</v>
      </c>
      <c r="R1857" t="str">
        <f>HYPERLINK("https://cfpub.epa.gov/ecotox/explore.cfm?ncbi=9994","Explore in ECOTOX")</f>
        <v>Explore in ECOTOX</v>
      </c>
    </row>
    <row r="1858" spans="1:18" x14ac:dyDescent="0.45">
      <c r="A1858" t="s">
        <v>1266</v>
      </c>
      <c r="B1858">
        <v>8</v>
      </c>
      <c r="C1858" t="str">
        <f>HYPERLINK("http://www.ncbi.nlm.nih.gov/protein/XP_055085768.1","XP_055085768.1")</f>
        <v>XP_055085768.1</v>
      </c>
      <c r="D1858">
        <v>50626</v>
      </c>
      <c r="E1858" t="str">
        <f>HYPERLINK("http://www.ncbi.nlm.nih.gov/Taxonomy/Browser/wwwtax.cgi?mode=Info&amp;id=409849&amp;lvl=3&amp;lin=f&amp;keep=1&amp;srchmode=1&amp;unlock","409849")</f>
        <v>409849</v>
      </c>
      <c r="F1858" t="s">
        <v>17</v>
      </c>
      <c r="G1858" t="str">
        <f>HYPERLINK("http://www.ncbi.nlm.nih.gov/Taxonomy/Browser/wwwtax.cgi?mode=Info&amp;id=409849&amp;lvl=3&amp;lin=f&amp;keep=1&amp;srchmode=1&amp;unlock","Periophthalmus magnuspinnatus")</f>
        <v>Periophthalmus magnuspinnatus</v>
      </c>
      <c r="H1858" t="s">
        <v>94</v>
      </c>
      <c r="I1858" t="str">
        <f>HYPERLINK("http://www.ncbi.nlm.nih.gov/protein/XP_055085768.1","ryanodine receptor 2")</f>
        <v>ryanodine receptor 2</v>
      </c>
      <c r="J1858">
        <v>8554.11</v>
      </c>
      <c r="K1858" t="s">
        <v>19</v>
      </c>
      <c r="L1858">
        <v>1210</v>
      </c>
      <c r="M1858">
        <v>7.13</v>
      </c>
      <c r="N1858">
        <v>83.35</v>
      </c>
      <c r="O1858" t="s">
        <v>19</v>
      </c>
      <c r="P1858" t="s">
        <v>1267</v>
      </c>
      <c r="Q1858" t="s">
        <v>19</v>
      </c>
      <c r="R1858" t="str">
        <f>HYPERLINK("https://cfpub.epa.gov/ecotox/explore.cfm?ncbi=409849","Explore in ECOTOX")</f>
        <v>Explore in ECOTOX</v>
      </c>
    </row>
    <row r="1859" spans="1:18" x14ac:dyDescent="0.45">
      <c r="A1859" t="s">
        <v>1266</v>
      </c>
      <c r="B1859">
        <v>8</v>
      </c>
      <c r="C1859" t="str">
        <f>HYPERLINK("http://www.ncbi.nlm.nih.gov/protein/XP_027726509.1","XP_027726509.1")</f>
        <v>XP_027726509.1</v>
      </c>
      <c r="D1859">
        <v>42743</v>
      </c>
      <c r="E1859" t="str">
        <f>HYPERLINK("http://www.ncbi.nlm.nih.gov/Taxonomy/Browser/wwwtax.cgi?mode=Info&amp;id=29139&amp;lvl=3&amp;lin=f&amp;keep=1&amp;srchmode=1&amp;unlock","29139")</f>
        <v>29139</v>
      </c>
      <c r="F1859" t="s">
        <v>96</v>
      </c>
      <c r="G1859" t="str">
        <f>HYPERLINK("http://www.ncbi.nlm.nih.gov/Taxonomy/Browser/wwwtax.cgi?mode=Info&amp;id=29139&amp;lvl=3&amp;lin=f&amp;keep=1&amp;srchmode=1&amp;unlock","Vombatus ursinus")</f>
        <v>Vombatus ursinus</v>
      </c>
      <c r="H1859" t="s">
        <v>748</v>
      </c>
      <c r="I1859" t="str">
        <f>HYPERLINK("http://www.ncbi.nlm.nih.gov/protein/XP_027726509.1","ryanodine receptor 2")</f>
        <v>ryanodine receptor 2</v>
      </c>
      <c r="J1859">
        <v>8554.11</v>
      </c>
      <c r="K1859" t="s">
        <v>19</v>
      </c>
      <c r="L1859">
        <v>1210</v>
      </c>
      <c r="M1859">
        <v>7.13</v>
      </c>
      <c r="N1859">
        <v>83.35</v>
      </c>
      <c r="O1859" t="s">
        <v>19</v>
      </c>
      <c r="P1859" t="s">
        <v>1267</v>
      </c>
      <c r="Q1859" t="s">
        <v>19</v>
      </c>
      <c r="R1859" t="str">
        <f>HYPERLINK("https://cfpub.epa.gov/ecotox/explore.cfm?ncbi=29139","Explore in ECOTOX")</f>
        <v>Explore in ECOTOX</v>
      </c>
    </row>
    <row r="1860" spans="1:18" x14ac:dyDescent="0.45">
      <c r="A1860" t="s">
        <v>1266</v>
      </c>
      <c r="B1860">
        <v>8</v>
      </c>
      <c r="C1860" t="str">
        <f>HYPERLINK("http://www.ncbi.nlm.nih.gov/protein/XP_026702240.1","XP_026702240.1")</f>
        <v>XP_026702240.1</v>
      </c>
      <c r="D1860">
        <v>27798</v>
      </c>
      <c r="E1860" t="str">
        <f>HYPERLINK("http://www.ncbi.nlm.nih.gov/Taxonomy/Browser/wwwtax.cgi?mode=Info&amp;id=194338&amp;lvl=3&amp;lin=f&amp;keep=1&amp;srchmode=1&amp;unlock","194338")</f>
        <v>194338</v>
      </c>
      <c r="F1860" t="s">
        <v>241</v>
      </c>
      <c r="G1860" t="str">
        <f>HYPERLINK("http://www.ncbi.nlm.nih.gov/Taxonomy/Browser/wwwtax.cgi?mode=Info&amp;id=194338&amp;lvl=3&amp;lin=f&amp;keep=1&amp;srchmode=1&amp;unlock","Athene cunicularia")</f>
        <v>Athene cunicularia</v>
      </c>
      <c r="H1860" t="s">
        <v>571</v>
      </c>
      <c r="I1860" t="str">
        <f>HYPERLINK("http://www.ncbi.nlm.nih.gov/protein/XP_026702240.1","ryanodine receptor 2")</f>
        <v>ryanodine receptor 2</v>
      </c>
      <c r="J1860">
        <v>8554.11</v>
      </c>
      <c r="K1860" t="s">
        <v>19</v>
      </c>
      <c r="L1860">
        <v>1210</v>
      </c>
      <c r="M1860">
        <v>7.13</v>
      </c>
      <c r="N1860">
        <v>83.35</v>
      </c>
      <c r="O1860" t="s">
        <v>19</v>
      </c>
      <c r="P1860" t="s">
        <v>1267</v>
      </c>
      <c r="Q1860" t="s">
        <v>19</v>
      </c>
      <c r="R1860" t="str">
        <f>HYPERLINK("https://cfpub.epa.gov/ecotox/explore.cfm?ncbi=194338","Explore in ECOTOX")</f>
        <v>Explore in ECOTOX</v>
      </c>
    </row>
    <row r="1861" spans="1:18" x14ac:dyDescent="0.45">
      <c r="A1861" t="s">
        <v>1266</v>
      </c>
      <c r="B1861">
        <v>8</v>
      </c>
      <c r="C1861" t="str">
        <f>HYPERLINK("http://www.ncbi.nlm.nih.gov/protein/XP_020856068.1","XP_020856068.1")</f>
        <v>XP_020856068.1</v>
      </c>
      <c r="D1861">
        <v>47308</v>
      </c>
      <c r="E1861" t="str">
        <f>HYPERLINK("http://www.ncbi.nlm.nih.gov/Taxonomy/Browser/wwwtax.cgi?mode=Info&amp;id=38626&amp;lvl=3&amp;lin=f&amp;keep=1&amp;srchmode=1&amp;unlock","38626")</f>
        <v>38626</v>
      </c>
      <c r="F1861" t="s">
        <v>96</v>
      </c>
      <c r="G1861" t="str">
        <f>HYPERLINK("http://www.ncbi.nlm.nih.gov/Taxonomy/Browser/wwwtax.cgi?mode=Info&amp;id=38626&amp;lvl=3&amp;lin=f&amp;keep=1&amp;srchmode=1&amp;unlock","Phascolarctos cinereus")</f>
        <v>Phascolarctos cinereus</v>
      </c>
      <c r="H1861" t="s">
        <v>596</v>
      </c>
      <c r="I1861" t="str">
        <f>HYPERLINK("http://www.ncbi.nlm.nih.gov/protein/XP_020856068.1","LOW QUALITY PROTEIN: ryanodine receptor 2")</f>
        <v>LOW QUALITY PROTEIN: ryanodine receptor 2</v>
      </c>
      <c r="J1861">
        <v>8552.9599999999991</v>
      </c>
      <c r="K1861" t="s">
        <v>19</v>
      </c>
      <c r="L1861">
        <v>1210</v>
      </c>
      <c r="M1861">
        <v>7.13</v>
      </c>
      <c r="N1861">
        <v>83.34</v>
      </c>
      <c r="O1861" t="s">
        <v>19</v>
      </c>
      <c r="P1861" t="s">
        <v>1267</v>
      </c>
      <c r="Q1861" t="s">
        <v>19</v>
      </c>
      <c r="R1861" t="str">
        <f>HYPERLINK("https://cfpub.epa.gov/ecotox/explore.cfm?ncbi=38626","Explore in ECOTOX")</f>
        <v>Explore in ECOTOX</v>
      </c>
    </row>
    <row r="1862" spans="1:18" x14ac:dyDescent="0.45">
      <c r="A1862" t="s">
        <v>1266</v>
      </c>
      <c r="B1862">
        <v>8</v>
      </c>
      <c r="C1862" t="str">
        <f>HYPERLINK("http://www.ncbi.nlm.nih.gov/protein/XP_039222863.1","XP_039222863.1")</f>
        <v>XP_039222863.1</v>
      </c>
      <c r="D1862">
        <v>51713</v>
      </c>
      <c r="E1862" t="str">
        <f>HYPERLINK("http://www.ncbi.nlm.nih.gov/Taxonomy/Browser/wwwtax.cgi?mode=Info&amp;id=88082&amp;lvl=3&amp;lin=f&amp;keep=1&amp;srchmode=1&amp;unlock","88082")</f>
        <v>88082</v>
      </c>
      <c r="F1862" t="s">
        <v>192</v>
      </c>
      <c r="G1862" t="str">
        <f>HYPERLINK("http://www.ncbi.nlm.nih.gov/Taxonomy/Browser/wwwtax.cgi?mode=Info&amp;id=88082&amp;lvl=3&amp;lin=f&amp;keep=1&amp;srchmode=1&amp;unlock","Crotalus tigris")</f>
        <v>Crotalus tigris</v>
      </c>
      <c r="H1862" t="s">
        <v>208</v>
      </c>
      <c r="I1862" t="str">
        <f>HYPERLINK("http://www.ncbi.nlm.nih.gov/protein/XP_039222863.1","ryanodine receptor 2 isoform X11")</f>
        <v>ryanodine receptor 2 isoform X11</v>
      </c>
      <c r="J1862">
        <v>8552.19</v>
      </c>
      <c r="K1862" t="s">
        <v>19</v>
      </c>
      <c r="L1862">
        <v>1210</v>
      </c>
      <c r="M1862">
        <v>7.13</v>
      </c>
      <c r="N1862">
        <v>83.33</v>
      </c>
      <c r="O1862" t="s">
        <v>19</v>
      </c>
      <c r="P1862" t="s">
        <v>1267</v>
      </c>
      <c r="Q1862" t="s">
        <v>19</v>
      </c>
      <c r="R1862" t="str">
        <f>HYPERLINK("https://cfpub.epa.gov/ecotox/explore.cfm?ncbi=88082","Explore in ECOTOX")</f>
        <v>Explore in ECOTOX</v>
      </c>
    </row>
    <row r="1863" spans="1:18" x14ac:dyDescent="0.45">
      <c r="A1863" t="s">
        <v>1266</v>
      </c>
      <c r="B1863">
        <v>8</v>
      </c>
      <c r="C1863" t="str">
        <f>HYPERLINK("http://www.ncbi.nlm.nih.gov/protein/XP_042326139.1","XP_042326139.1")</f>
        <v>XP_042326139.1</v>
      </c>
      <c r="D1863">
        <v>43845</v>
      </c>
      <c r="E1863" t="str">
        <f>HYPERLINK("http://www.ncbi.nlm.nih.gov/Taxonomy/Browser/wwwtax.cgi?mode=Info&amp;id=8520&amp;lvl=3&amp;lin=f&amp;keep=1&amp;srchmode=1&amp;unlock","8520")</f>
        <v>8520</v>
      </c>
      <c r="F1863" t="s">
        <v>192</v>
      </c>
      <c r="G1863" t="str">
        <f>HYPERLINK("http://www.ncbi.nlm.nih.gov/Taxonomy/Browser/wwwtax.cgi?mode=Info&amp;id=8520&amp;lvl=3&amp;lin=f&amp;keep=1&amp;srchmode=1&amp;unlock","Sceloporus undulatus")</f>
        <v>Sceloporus undulatus</v>
      </c>
      <c r="H1863" t="s">
        <v>198</v>
      </c>
      <c r="I1863" t="str">
        <f>HYPERLINK("http://www.ncbi.nlm.nih.gov/protein/XP_042326139.1","ryanodine receptor 2 isoform X1")</f>
        <v>ryanodine receptor 2 isoform X1</v>
      </c>
      <c r="J1863">
        <v>8552.19</v>
      </c>
      <c r="K1863" t="s">
        <v>19</v>
      </c>
      <c r="L1863">
        <v>1210</v>
      </c>
      <c r="M1863">
        <v>7.13</v>
      </c>
      <c r="N1863">
        <v>83.33</v>
      </c>
      <c r="O1863" t="s">
        <v>19</v>
      </c>
      <c r="P1863" t="s">
        <v>1267</v>
      </c>
      <c r="Q1863" t="s">
        <v>19</v>
      </c>
      <c r="R1863" t="str">
        <f>HYPERLINK("https://cfpub.epa.gov/ecotox/explore.cfm?ncbi=8520","Explore in ECOTOX")</f>
        <v>Explore in ECOTOX</v>
      </c>
    </row>
    <row r="1864" spans="1:18" x14ac:dyDescent="0.45">
      <c r="A1864" t="s">
        <v>1266</v>
      </c>
      <c r="B1864">
        <v>8</v>
      </c>
      <c r="C1864" t="str">
        <f>HYPERLINK("http://www.ncbi.nlm.nih.gov/protein/XP_009688321.1","XP_009688321.1")</f>
        <v>XP_009688321.1</v>
      </c>
      <c r="D1864">
        <v>39498</v>
      </c>
      <c r="E1864" t="str">
        <f>HYPERLINK("http://www.ncbi.nlm.nih.gov/Taxonomy/Browser/wwwtax.cgi?mode=Info&amp;id=441894&amp;lvl=3&amp;lin=f&amp;keep=1&amp;srchmode=1&amp;unlock","441894")</f>
        <v>441894</v>
      </c>
      <c r="F1864" t="s">
        <v>241</v>
      </c>
      <c r="G1864" t="str">
        <f>HYPERLINK("http://www.ncbi.nlm.nih.gov/Taxonomy/Browser/wwwtax.cgi?mode=Info&amp;id=441894&amp;lvl=3&amp;lin=f&amp;keep=1&amp;srchmode=1&amp;unlock","Struthio camelus australis")</f>
        <v>Struthio camelus australis</v>
      </c>
      <c r="H1864" t="s">
        <v>356</v>
      </c>
      <c r="I1864" t="str">
        <f>HYPERLINK("http://www.ncbi.nlm.nih.gov/protein/XP_009688321.1","PREDICTED: LOW QUALITY PROTEIN: ryanodine receptor 2")</f>
        <v>PREDICTED: LOW QUALITY PROTEIN: ryanodine receptor 2</v>
      </c>
      <c r="J1864">
        <v>8551.42</v>
      </c>
      <c r="K1864" t="s">
        <v>19</v>
      </c>
      <c r="L1864">
        <v>1210</v>
      </c>
      <c r="M1864">
        <v>7.13</v>
      </c>
      <c r="N1864">
        <v>83.32</v>
      </c>
      <c r="O1864" t="s">
        <v>19</v>
      </c>
      <c r="P1864" t="s">
        <v>1267</v>
      </c>
      <c r="Q1864" t="s">
        <v>19</v>
      </c>
      <c r="R1864" t="str">
        <f>HYPERLINK("https://cfpub.epa.gov/ecotox/explore.cfm?ncbi=441894","Explore in ECOTOX")</f>
        <v>Explore in ECOTOX</v>
      </c>
    </row>
    <row r="1865" spans="1:18" x14ac:dyDescent="0.45">
      <c r="A1865" t="s">
        <v>1266</v>
      </c>
      <c r="B1865">
        <v>8</v>
      </c>
      <c r="C1865" t="str">
        <f>HYPERLINK("http://www.ncbi.nlm.nih.gov/protein/XP_034620938.1","XP_034620938.1")</f>
        <v>XP_034620938.1</v>
      </c>
      <c r="D1865">
        <v>42405</v>
      </c>
      <c r="E1865" t="str">
        <f>HYPERLINK("http://www.ncbi.nlm.nih.gov/Taxonomy/Browser/wwwtax.cgi?mode=Info&amp;id=31138&amp;lvl=3&amp;lin=f&amp;keep=1&amp;srchmode=1&amp;unlock","31138")</f>
        <v>31138</v>
      </c>
      <c r="F1865" t="s">
        <v>203</v>
      </c>
      <c r="G1865" t="str">
        <f>HYPERLINK("http://www.ncbi.nlm.nih.gov/Taxonomy/Browser/wwwtax.cgi?mode=Info&amp;id=31138&amp;lvl=3&amp;lin=f&amp;keep=1&amp;srchmode=1&amp;unlock","Trachemys scripta elegans")</f>
        <v>Trachemys scripta elegans</v>
      </c>
      <c r="H1865" t="s">
        <v>273</v>
      </c>
      <c r="I1865" t="str">
        <f>HYPERLINK("http://www.ncbi.nlm.nih.gov/protein/XP_034620938.1","ryanodine receptor 2 isoform X10")</f>
        <v>ryanodine receptor 2 isoform X10</v>
      </c>
      <c r="J1865">
        <v>8551.42</v>
      </c>
      <c r="K1865" t="s">
        <v>19</v>
      </c>
      <c r="L1865">
        <v>1210</v>
      </c>
      <c r="M1865">
        <v>7.13</v>
      </c>
      <c r="N1865">
        <v>83.32</v>
      </c>
      <c r="O1865" t="s">
        <v>19</v>
      </c>
      <c r="P1865" t="s">
        <v>1267</v>
      </c>
      <c r="Q1865" t="s">
        <v>19</v>
      </c>
      <c r="R1865" t="str">
        <f>HYPERLINK("https://cfpub.epa.gov/ecotox/explore.cfm?ncbi=31138","Explore in ECOTOX")</f>
        <v>Explore in ECOTOX</v>
      </c>
    </row>
    <row r="1866" spans="1:18" x14ac:dyDescent="0.45">
      <c r="A1866" t="s">
        <v>1266</v>
      </c>
      <c r="B1866">
        <v>8</v>
      </c>
      <c r="C1866" t="str">
        <f>HYPERLINK("http://www.ncbi.nlm.nih.gov/protein/XP_022408780.1","XP_022408780.1")</f>
        <v>XP_022408780.1</v>
      </c>
      <c r="D1866">
        <v>51122</v>
      </c>
      <c r="E1866" t="str">
        <f>HYPERLINK("http://www.ncbi.nlm.nih.gov/Taxonomy/Browser/wwwtax.cgi?mode=Info&amp;id=9749&amp;lvl=3&amp;lin=f&amp;keep=1&amp;srchmode=1&amp;unlock","9749")</f>
        <v>9749</v>
      </c>
      <c r="F1866" t="s">
        <v>96</v>
      </c>
      <c r="G1866" t="str">
        <f>HYPERLINK("http://www.ncbi.nlm.nih.gov/Taxonomy/Browser/wwwtax.cgi?mode=Info&amp;id=9749&amp;lvl=3&amp;lin=f&amp;keep=1&amp;srchmode=1&amp;unlock","Delphinapterus leucas")</f>
        <v>Delphinapterus leucas</v>
      </c>
      <c r="H1866" t="s">
        <v>586</v>
      </c>
      <c r="I1866" t="str">
        <f>HYPERLINK("http://www.ncbi.nlm.nih.gov/protein/XP_022408780.1","ryanodine receptor 2 isoform X3")</f>
        <v>ryanodine receptor 2 isoform X3</v>
      </c>
      <c r="J1866">
        <v>8551.42</v>
      </c>
      <c r="K1866" t="s">
        <v>19</v>
      </c>
      <c r="L1866">
        <v>1210</v>
      </c>
      <c r="M1866">
        <v>7.13</v>
      </c>
      <c r="N1866">
        <v>83.32</v>
      </c>
      <c r="O1866" t="s">
        <v>19</v>
      </c>
      <c r="P1866" t="s">
        <v>1267</v>
      </c>
      <c r="Q1866" t="s">
        <v>19</v>
      </c>
      <c r="R1866" t="str">
        <f>HYPERLINK("https://cfpub.epa.gov/ecotox/explore.cfm?ncbi=9749","Explore in ECOTOX")</f>
        <v>Explore in ECOTOX</v>
      </c>
    </row>
    <row r="1867" spans="1:18" x14ac:dyDescent="0.45">
      <c r="A1867" t="s">
        <v>1266</v>
      </c>
      <c r="B1867">
        <v>8</v>
      </c>
      <c r="C1867" t="str">
        <f>HYPERLINK("http://www.ncbi.nlm.nih.gov/protein/XP_055445021.1","XP_055445021.1")</f>
        <v>XP_055445021.1</v>
      </c>
      <c r="D1867">
        <v>56900</v>
      </c>
      <c r="E1867" t="str">
        <f>HYPERLINK("http://www.ncbi.nlm.nih.gov/Taxonomy/Browser/wwwtax.cgi?mode=Info&amp;id=346063&amp;lvl=3&amp;lin=f&amp;keep=1&amp;srchmode=1&amp;unlock","346063")</f>
        <v>346063</v>
      </c>
      <c r="F1867" t="s">
        <v>96</v>
      </c>
      <c r="G1867" t="str">
        <f>HYPERLINK("http://www.ncbi.nlm.nih.gov/Taxonomy/Browser/wwwtax.cgi?mode=Info&amp;id=346063&amp;lvl=3&amp;lin=f&amp;keep=1&amp;srchmode=1&amp;unlock","Bubalus carabanensis")</f>
        <v>Bubalus carabanensis</v>
      </c>
      <c r="H1867" t="s">
        <v>402</v>
      </c>
      <c r="I1867" t="str">
        <f>HYPERLINK("http://www.ncbi.nlm.nih.gov/protein/XP_055445021.1","ryanodine receptor 2")</f>
        <v>ryanodine receptor 2</v>
      </c>
      <c r="J1867">
        <v>8549.8799999999992</v>
      </c>
      <c r="K1867" t="s">
        <v>19</v>
      </c>
      <c r="L1867">
        <v>1210</v>
      </c>
      <c r="M1867">
        <v>7.13</v>
      </c>
      <c r="N1867">
        <v>83.31</v>
      </c>
      <c r="O1867" t="s">
        <v>19</v>
      </c>
      <c r="P1867" t="s">
        <v>1267</v>
      </c>
      <c r="Q1867" t="s">
        <v>19</v>
      </c>
      <c r="R1867" t="str">
        <f>HYPERLINK("https://cfpub.epa.gov/ecotox/explore.cfm?ncbi=346063","Explore in ECOTOX")</f>
        <v>Explore in ECOTOX</v>
      </c>
    </row>
    <row r="1868" spans="1:18" x14ac:dyDescent="0.45">
      <c r="A1868" t="s">
        <v>1266</v>
      </c>
      <c r="B1868">
        <v>8</v>
      </c>
      <c r="C1868" t="str">
        <f>HYPERLINK("http://www.ncbi.nlm.nih.gov/protein/XP_047618320.1","XP_047618320.1")</f>
        <v>XP_047618320.1</v>
      </c>
      <c r="D1868">
        <v>48289</v>
      </c>
      <c r="E1868" t="str">
        <f>HYPERLINK("http://www.ncbi.nlm.nih.gov/Taxonomy/Browser/wwwtax.cgi?mode=Info&amp;id=41426&amp;lvl=3&amp;lin=f&amp;keep=1&amp;srchmode=1&amp;unlock","41426")</f>
        <v>41426</v>
      </c>
      <c r="F1868" t="s">
        <v>96</v>
      </c>
      <c r="G1868" t="str">
        <f>HYPERLINK("http://www.ncbi.nlm.nih.gov/Taxonomy/Browser/wwwtax.cgi?mode=Info&amp;id=41426&amp;lvl=3&amp;lin=f&amp;keep=1&amp;srchmode=1&amp;unlock","Phacochoerus africanus")</f>
        <v>Phacochoerus africanus</v>
      </c>
      <c r="H1868" t="s">
        <v>355</v>
      </c>
      <c r="I1868" t="str">
        <f>HYPERLINK("http://www.ncbi.nlm.nih.gov/protein/XP_047618320.1","ryanodine receptor 2 isoform X2")</f>
        <v>ryanodine receptor 2 isoform X2</v>
      </c>
      <c r="J1868">
        <v>8549.11</v>
      </c>
      <c r="K1868" t="s">
        <v>19</v>
      </c>
      <c r="L1868">
        <v>1210</v>
      </c>
      <c r="M1868">
        <v>7.13</v>
      </c>
      <c r="N1868">
        <v>83.3</v>
      </c>
      <c r="O1868" t="s">
        <v>19</v>
      </c>
      <c r="P1868" t="s">
        <v>1267</v>
      </c>
      <c r="Q1868" t="s">
        <v>19</v>
      </c>
      <c r="R1868" t="str">
        <f>HYPERLINK("https://cfpub.epa.gov/ecotox/explore.cfm?ncbi=41426","Explore in ECOTOX")</f>
        <v>Explore in ECOTOX</v>
      </c>
    </row>
    <row r="1869" spans="1:18" x14ac:dyDescent="0.45">
      <c r="A1869" t="s">
        <v>1266</v>
      </c>
      <c r="B1869">
        <v>8</v>
      </c>
      <c r="C1869" t="str">
        <f>HYPERLINK("http://www.ncbi.nlm.nih.gov/protein/XP_035945155.1","XP_035945155.1")</f>
        <v>XP_035945155.1</v>
      </c>
      <c r="D1869">
        <v>60464</v>
      </c>
      <c r="E1869" t="str">
        <f>HYPERLINK("http://www.ncbi.nlm.nih.gov/Taxonomy/Browser/wwwtax.cgi?mode=Info&amp;id=9711&amp;lvl=3&amp;lin=f&amp;keep=1&amp;srchmode=1&amp;unlock","9711")</f>
        <v>9711</v>
      </c>
      <c r="F1869" t="s">
        <v>96</v>
      </c>
      <c r="G1869" t="str">
        <f>HYPERLINK("http://www.ncbi.nlm.nih.gov/Taxonomy/Browser/wwwtax.cgi?mode=Info&amp;id=9711&amp;lvl=3&amp;lin=f&amp;keep=1&amp;srchmode=1&amp;unlock","Halichoerus grypus")</f>
        <v>Halichoerus grypus</v>
      </c>
      <c r="H1869" t="s">
        <v>416</v>
      </c>
      <c r="I1869" t="str">
        <f>HYPERLINK("http://www.ncbi.nlm.nih.gov/protein/XP_035945155.1","LOW QUALITY PROTEIN: ryanodine receptor 2")</f>
        <v>LOW QUALITY PROTEIN: ryanodine receptor 2</v>
      </c>
      <c r="J1869">
        <v>8548.33</v>
      </c>
      <c r="K1869" t="s">
        <v>19</v>
      </c>
      <c r="L1869">
        <v>1210</v>
      </c>
      <c r="M1869">
        <v>7.13</v>
      </c>
      <c r="N1869">
        <v>83.29</v>
      </c>
      <c r="O1869" t="s">
        <v>19</v>
      </c>
      <c r="P1869" t="s">
        <v>1267</v>
      </c>
      <c r="Q1869" t="s">
        <v>19</v>
      </c>
      <c r="R1869" t="str">
        <f>HYPERLINK("https://cfpub.epa.gov/ecotox/explore.cfm?ncbi=9711","Explore in ECOTOX")</f>
        <v>Explore in ECOTOX</v>
      </c>
    </row>
    <row r="1870" spans="1:18" x14ac:dyDescent="0.45">
      <c r="A1870" t="s">
        <v>1266</v>
      </c>
      <c r="B1870">
        <v>8</v>
      </c>
      <c r="C1870" t="str">
        <f>HYPERLINK("http://www.ncbi.nlm.nih.gov/protein/XP_049553176.1","XP_049553176.1")</f>
        <v>XP_049553176.1</v>
      </c>
      <c r="D1870">
        <v>63778</v>
      </c>
      <c r="E1870" t="str">
        <f>HYPERLINK("http://www.ncbi.nlm.nih.gov/Taxonomy/Browser/wwwtax.cgi?mode=Info&amp;id=9733&amp;lvl=3&amp;lin=f&amp;keep=1&amp;srchmode=1&amp;unlock","9733")</f>
        <v>9733</v>
      </c>
      <c r="F1870" t="s">
        <v>96</v>
      </c>
      <c r="G1870" t="str">
        <f>HYPERLINK("http://www.ncbi.nlm.nih.gov/Taxonomy/Browser/wwwtax.cgi?mode=Info&amp;id=9733&amp;lvl=3&amp;lin=f&amp;keep=1&amp;srchmode=1&amp;unlock","Orcinus orca")</f>
        <v>Orcinus orca</v>
      </c>
      <c r="H1870" t="s">
        <v>605</v>
      </c>
      <c r="I1870" t="str">
        <f>HYPERLINK("http://www.ncbi.nlm.nih.gov/protein/XP_049553176.1","ryanodine receptor 2")</f>
        <v>ryanodine receptor 2</v>
      </c>
      <c r="J1870">
        <v>8547.9500000000007</v>
      </c>
      <c r="K1870" t="s">
        <v>19</v>
      </c>
      <c r="L1870">
        <v>1210</v>
      </c>
      <c r="M1870">
        <v>7.13</v>
      </c>
      <c r="N1870">
        <v>83.29</v>
      </c>
      <c r="O1870" t="s">
        <v>19</v>
      </c>
      <c r="P1870" t="s">
        <v>1267</v>
      </c>
      <c r="Q1870" t="s">
        <v>19</v>
      </c>
      <c r="R1870" t="str">
        <f>HYPERLINK("https://cfpub.epa.gov/ecotox/explore.cfm?ncbi=9733","Explore in ECOTOX")</f>
        <v>Explore in ECOTOX</v>
      </c>
    </row>
    <row r="1871" spans="1:18" x14ac:dyDescent="0.45">
      <c r="A1871" t="s">
        <v>1266</v>
      </c>
      <c r="B1871">
        <v>8</v>
      </c>
      <c r="C1871" t="str">
        <f>HYPERLINK("http://www.ncbi.nlm.nih.gov/protein/XP_051867254.1","XP_051867254.1")</f>
        <v>XP_051867254.1</v>
      </c>
      <c r="D1871">
        <v>37228</v>
      </c>
      <c r="E1871" t="str">
        <f>HYPERLINK("http://www.ncbi.nlm.nih.gov/Taxonomy/Browser/wwwtax.cgi?mode=Info&amp;id=685728&amp;lvl=3&amp;lin=f&amp;keep=1&amp;srchmode=1&amp;unlock","685728")</f>
        <v>685728</v>
      </c>
      <c r="F1871" t="s">
        <v>195</v>
      </c>
      <c r="G1871" t="str">
        <f>HYPERLINK("http://www.ncbi.nlm.nih.gov/Taxonomy/Browser/wwwtax.cgi?mode=Info&amp;id=685728&amp;lvl=3&amp;lin=f&amp;keep=1&amp;srchmode=1&amp;unlock","Pristis pectinata")</f>
        <v>Pristis pectinata</v>
      </c>
      <c r="H1871" t="s">
        <v>202</v>
      </c>
      <c r="I1871" t="str">
        <f>HYPERLINK("http://www.ncbi.nlm.nih.gov/protein/XP_051867254.1","ryanodine receptor 2 isoform X1")</f>
        <v>ryanodine receptor 2 isoform X1</v>
      </c>
      <c r="J1871">
        <v>8547.9500000000007</v>
      </c>
      <c r="K1871" t="s">
        <v>19</v>
      </c>
      <c r="L1871">
        <v>1210</v>
      </c>
      <c r="M1871">
        <v>7.13</v>
      </c>
      <c r="N1871">
        <v>83.29</v>
      </c>
      <c r="O1871" t="s">
        <v>19</v>
      </c>
      <c r="P1871" t="s">
        <v>1267</v>
      </c>
      <c r="Q1871" t="s">
        <v>19</v>
      </c>
      <c r="R1871" t="str">
        <f>HYPERLINK("https://cfpub.epa.gov/ecotox/explore.cfm?ncbi=685728","Explore in ECOTOX")</f>
        <v>Explore in ECOTOX</v>
      </c>
    </row>
    <row r="1872" spans="1:18" x14ac:dyDescent="0.45">
      <c r="A1872" t="s">
        <v>1266</v>
      </c>
      <c r="B1872">
        <v>8</v>
      </c>
      <c r="C1872" t="str">
        <f>HYPERLINK("http://www.ncbi.nlm.nih.gov/protein/XP_052496484.1","XP_052496484.1")</f>
        <v>XP_052496484.1</v>
      </c>
      <c r="D1872">
        <v>29021</v>
      </c>
      <c r="E1872" t="str">
        <f>HYPERLINK("http://www.ncbi.nlm.nih.gov/Taxonomy/Browser/wwwtax.cgi?mode=Info&amp;id=37181&amp;lvl=3&amp;lin=f&amp;keep=1&amp;srchmode=1&amp;unlock","37181")</f>
        <v>37181</v>
      </c>
      <c r="F1872" t="s">
        <v>96</v>
      </c>
      <c r="G1872" t="str">
        <f>HYPERLINK("http://www.ncbi.nlm.nih.gov/Taxonomy/Browser/wwwtax.cgi?mode=Info&amp;id=37181&amp;lvl=3&amp;lin=f&amp;keep=1&amp;srchmode=1&amp;unlock","Budorcas taxicolor")</f>
        <v>Budorcas taxicolor</v>
      </c>
      <c r="H1872" t="s">
        <v>394</v>
      </c>
      <c r="I1872" t="str">
        <f>HYPERLINK("http://www.ncbi.nlm.nih.gov/protein/XP_052496484.1","ryanodine receptor 2")</f>
        <v>ryanodine receptor 2</v>
      </c>
      <c r="J1872">
        <v>8547.9500000000007</v>
      </c>
      <c r="K1872" t="s">
        <v>19</v>
      </c>
      <c r="L1872">
        <v>1210</v>
      </c>
      <c r="M1872">
        <v>7.13</v>
      </c>
      <c r="N1872">
        <v>83.29</v>
      </c>
      <c r="O1872" t="s">
        <v>19</v>
      </c>
      <c r="P1872" t="s">
        <v>1267</v>
      </c>
      <c r="Q1872" t="s">
        <v>19</v>
      </c>
      <c r="R1872" t="str">
        <f>HYPERLINK("https://cfpub.epa.gov/ecotox/explore.cfm?ncbi=37181","Explore in ECOTOX")</f>
        <v>Explore in ECOTOX</v>
      </c>
    </row>
    <row r="1873" spans="1:18" x14ac:dyDescent="0.45">
      <c r="A1873" t="s">
        <v>1266</v>
      </c>
      <c r="B1873">
        <v>8</v>
      </c>
      <c r="C1873" t="str">
        <f>HYPERLINK("http://www.ncbi.nlm.nih.gov/protein/XP_025940883.1","XP_025940883.1")</f>
        <v>XP_025940883.1</v>
      </c>
      <c r="D1873">
        <v>37693</v>
      </c>
      <c r="E1873" t="str">
        <f>HYPERLINK("http://www.ncbi.nlm.nih.gov/Taxonomy/Browser/wwwtax.cgi?mode=Info&amp;id=308060&amp;lvl=3&amp;lin=f&amp;keep=1&amp;srchmode=1&amp;unlock","308060")</f>
        <v>308060</v>
      </c>
      <c r="F1873" t="s">
        <v>241</v>
      </c>
      <c r="G1873" t="str">
        <f>HYPERLINK("http://www.ncbi.nlm.nih.gov/Taxonomy/Browser/wwwtax.cgi?mode=Info&amp;id=308060&amp;lvl=3&amp;lin=f&amp;keep=1&amp;srchmode=1&amp;unlock","Apteryx rowi")</f>
        <v>Apteryx rowi</v>
      </c>
      <c r="H1873" t="s">
        <v>319</v>
      </c>
      <c r="I1873" t="str">
        <f>HYPERLINK("http://www.ncbi.nlm.nih.gov/protein/XP_025940883.1","ryanodine receptor 2")</f>
        <v>ryanodine receptor 2</v>
      </c>
      <c r="J1873">
        <v>8547.9500000000007</v>
      </c>
      <c r="K1873" t="s">
        <v>19</v>
      </c>
      <c r="L1873">
        <v>1210</v>
      </c>
      <c r="M1873">
        <v>7.13</v>
      </c>
      <c r="N1873">
        <v>83.29</v>
      </c>
      <c r="O1873" t="s">
        <v>19</v>
      </c>
      <c r="P1873" t="s">
        <v>1267</v>
      </c>
      <c r="Q1873" t="s">
        <v>19</v>
      </c>
      <c r="R1873" t="str">
        <f>HYPERLINK("https://cfpub.epa.gov/ecotox/explore.cfm?ncbi=308060","Explore in ECOTOX")</f>
        <v>Explore in ECOTOX</v>
      </c>
    </row>
    <row r="1874" spans="1:18" x14ac:dyDescent="0.45">
      <c r="A1874" t="s">
        <v>1266</v>
      </c>
      <c r="B1874">
        <v>8</v>
      </c>
      <c r="C1874" t="str">
        <f>HYPERLINK("http://www.ncbi.nlm.nih.gov/protein/XP_025043878.1","XP_025043878.1")</f>
        <v>XP_025043878.1</v>
      </c>
      <c r="D1874">
        <v>39306</v>
      </c>
      <c r="E1874" t="str">
        <f>HYPERLINK("http://www.ncbi.nlm.nih.gov/Taxonomy/Browser/wwwtax.cgi?mode=Info&amp;id=13735&amp;lvl=3&amp;lin=f&amp;keep=1&amp;srchmode=1&amp;unlock","13735")</f>
        <v>13735</v>
      </c>
      <c r="F1874" t="s">
        <v>203</v>
      </c>
      <c r="G1874" t="str">
        <f>HYPERLINK("http://www.ncbi.nlm.nih.gov/Taxonomy/Browser/wwwtax.cgi?mode=Info&amp;id=13735&amp;lvl=3&amp;lin=f&amp;keep=1&amp;srchmode=1&amp;unlock","Pelodiscus sinensis")</f>
        <v>Pelodiscus sinensis</v>
      </c>
      <c r="H1874" t="s">
        <v>336</v>
      </c>
      <c r="I1874" t="str">
        <f>HYPERLINK("http://www.ncbi.nlm.nih.gov/protein/XP_025043878.1","LOW QUALITY PROTEIN: ryanodine receptor 2")</f>
        <v>LOW QUALITY PROTEIN: ryanodine receptor 2</v>
      </c>
      <c r="J1874">
        <v>8547.18</v>
      </c>
      <c r="K1874" t="s">
        <v>19</v>
      </c>
      <c r="L1874">
        <v>1210</v>
      </c>
      <c r="M1874">
        <v>7.13</v>
      </c>
      <c r="N1874">
        <v>83.28</v>
      </c>
      <c r="O1874" t="s">
        <v>19</v>
      </c>
      <c r="P1874" t="s">
        <v>1267</v>
      </c>
      <c r="Q1874" t="s">
        <v>19</v>
      </c>
      <c r="R1874" t="str">
        <f>HYPERLINK("https://cfpub.epa.gov/ecotox/explore.cfm?ncbi=13735","Explore in ECOTOX")</f>
        <v>Explore in ECOTOX</v>
      </c>
    </row>
    <row r="1875" spans="1:18" x14ac:dyDescent="0.45">
      <c r="A1875" t="s">
        <v>1266</v>
      </c>
      <c r="B1875">
        <v>8</v>
      </c>
      <c r="C1875" t="str">
        <f>HYPERLINK("http://www.ncbi.nlm.nih.gov/protein/XP_036609822.1","XP_036609822.1")</f>
        <v>XP_036609822.1</v>
      </c>
      <c r="D1875">
        <v>36165</v>
      </c>
      <c r="E1875" t="str">
        <f>HYPERLINK("http://www.ncbi.nlm.nih.gov/Taxonomy/Browser/wwwtax.cgi?mode=Info&amp;id=9337&amp;lvl=3&amp;lin=f&amp;keep=1&amp;srchmode=1&amp;unlock","9337")</f>
        <v>9337</v>
      </c>
      <c r="F1875" t="s">
        <v>96</v>
      </c>
      <c r="G1875" t="str">
        <f>HYPERLINK("http://www.ncbi.nlm.nih.gov/Taxonomy/Browser/wwwtax.cgi?mode=Info&amp;id=9337&amp;lvl=3&amp;lin=f&amp;keep=1&amp;srchmode=1&amp;unlock","Trichosurus vulpecula")</f>
        <v>Trichosurus vulpecula</v>
      </c>
      <c r="H1875" t="s">
        <v>595</v>
      </c>
      <c r="I1875" t="str">
        <f>HYPERLINK("http://www.ncbi.nlm.nih.gov/protein/XP_036609822.1","ryanodine receptor 2 isoform X4")</f>
        <v>ryanodine receptor 2 isoform X4</v>
      </c>
      <c r="J1875">
        <v>8547.18</v>
      </c>
      <c r="K1875" t="s">
        <v>19</v>
      </c>
      <c r="L1875">
        <v>1210</v>
      </c>
      <c r="M1875">
        <v>7.13</v>
      </c>
      <c r="N1875">
        <v>83.28</v>
      </c>
      <c r="O1875" t="s">
        <v>19</v>
      </c>
      <c r="P1875" t="s">
        <v>1267</v>
      </c>
      <c r="Q1875" t="s">
        <v>19</v>
      </c>
      <c r="R1875" t="str">
        <f>HYPERLINK("https://cfpub.epa.gov/ecotox/explore.cfm?ncbi=9337","Explore in ECOTOX")</f>
        <v>Explore in ECOTOX</v>
      </c>
    </row>
    <row r="1876" spans="1:18" x14ac:dyDescent="0.45">
      <c r="A1876" t="s">
        <v>1266</v>
      </c>
      <c r="B1876">
        <v>8</v>
      </c>
      <c r="C1876" t="str">
        <f>HYPERLINK("http://www.ncbi.nlm.nih.gov/protein/XP_028579936.1","XP_028579936.1")</f>
        <v>XP_028579936.1</v>
      </c>
      <c r="D1876">
        <v>51309</v>
      </c>
      <c r="E1876" t="str">
        <f>HYPERLINK("http://www.ncbi.nlm.nih.gov/Taxonomy/Browser/wwwtax.cgi?mode=Info&amp;id=64176&amp;lvl=3&amp;lin=f&amp;keep=1&amp;srchmode=1&amp;unlock","64176")</f>
        <v>64176</v>
      </c>
      <c r="F1876" t="s">
        <v>192</v>
      </c>
      <c r="G1876" t="str">
        <f>HYPERLINK("http://www.ncbi.nlm.nih.gov/Taxonomy/Browser/wwwtax.cgi?mode=Info&amp;id=64176&amp;lvl=3&amp;lin=f&amp;keep=1&amp;srchmode=1&amp;unlock","Podarcis muralis")</f>
        <v>Podarcis muralis</v>
      </c>
      <c r="H1876" t="s">
        <v>223</v>
      </c>
      <c r="I1876" t="str">
        <f>HYPERLINK("http://www.ncbi.nlm.nih.gov/protein/XP_028579936.1","LOW QUALITY PROTEIN: ryanodine receptor 2")</f>
        <v>LOW QUALITY PROTEIN: ryanodine receptor 2</v>
      </c>
      <c r="J1876">
        <v>8546.7900000000009</v>
      </c>
      <c r="K1876" t="s">
        <v>19</v>
      </c>
      <c r="L1876">
        <v>1210</v>
      </c>
      <c r="M1876">
        <v>7.13</v>
      </c>
      <c r="N1876">
        <v>83.28</v>
      </c>
      <c r="O1876" t="s">
        <v>19</v>
      </c>
      <c r="P1876" t="s">
        <v>1267</v>
      </c>
      <c r="Q1876" t="s">
        <v>19</v>
      </c>
      <c r="R1876" t="str">
        <f>HYPERLINK("https://cfpub.epa.gov/ecotox/explore.cfm?ncbi=64176","Explore in ECOTOX")</f>
        <v>Explore in ECOTOX</v>
      </c>
    </row>
    <row r="1877" spans="1:18" x14ac:dyDescent="0.45">
      <c r="A1877" t="s">
        <v>1266</v>
      </c>
      <c r="B1877">
        <v>8</v>
      </c>
      <c r="C1877" t="str">
        <f>HYPERLINK("http://www.ncbi.nlm.nih.gov/protein/XP_027960296.1","XP_027960296.1")</f>
        <v>XP_027960296.1</v>
      </c>
      <c r="D1877">
        <v>40115</v>
      </c>
      <c r="E1877" t="str">
        <f>HYPERLINK("http://www.ncbi.nlm.nih.gov/Taxonomy/Browser/wwwtax.cgi?mode=Info&amp;id=34886&amp;lvl=3&amp;lin=f&amp;keep=1&amp;srchmode=1&amp;unlock","34886")</f>
        <v>34886</v>
      </c>
      <c r="F1877" t="s">
        <v>96</v>
      </c>
      <c r="G1877" t="str">
        <f>HYPERLINK("http://www.ncbi.nlm.nih.gov/Taxonomy/Browser/wwwtax.cgi?mode=Info&amp;id=34886&amp;lvl=3&amp;lin=f&amp;keep=1&amp;srchmode=1&amp;unlock","Eumetopias jubatus")</f>
        <v>Eumetopias jubatus</v>
      </c>
      <c r="H1877" t="s">
        <v>405</v>
      </c>
      <c r="I1877" t="str">
        <f>HYPERLINK("http://www.ncbi.nlm.nih.gov/protein/XP_027960296.1","ryanodine receptor 2")</f>
        <v>ryanodine receptor 2</v>
      </c>
      <c r="J1877">
        <v>8546.41</v>
      </c>
      <c r="K1877" t="s">
        <v>19</v>
      </c>
      <c r="L1877">
        <v>1210</v>
      </c>
      <c r="M1877">
        <v>7.13</v>
      </c>
      <c r="N1877">
        <v>83.27</v>
      </c>
      <c r="O1877" t="s">
        <v>19</v>
      </c>
      <c r="P1877" t="s">
        <v>1267</v>
      </c>
      <c r="Q1877" t="s">
        <v>19</v>
      </c>
      <c r="R1877" t="str">
        <f>HYPERLINK("https://cfpub.epa.gov/ecotox/explore.cfm?ncbi=34886","Explore in ECOTOX")</f>
        <v>Explore in ECOTOX</v>
      </c>
    </row>
    <row r="1878" spans="1:18" x14ac:dyDescent="0.45">
      <c r="A1878" t="s">
        <v>1266</v>
      </c>
      <c r="B1878">
        <v>8</v>
      </c>
      <c r="C1878" t="str">
        <f>HYPERLINK("http://www.ncbi.nlm.nih.gov/protein/XP_032347817.1","XP_032347817.1")</f>
        <v>XP_032347817.1</v>
      </c>
      <c r="D1878">
        <v>74725</v>
      </c>
      <c r="E1878" t="str">
        <f>HYPERLINK("http://www.ncbi.nlm.nih.gov/Taxonomy/Browser/wwwtax.cgi?mode=Info&amp;id=419612&amp;lvl=3&amp;lin=f&amp;keep=1&amp;srchmode=1&amp;unlock","419612")</f>
        <v>419612</v>
      </c>
      <c r="F1878" t="s">
        <v>96</v>
      </c>
      <c r="G1878" t="str">
        <f>HYPERLINK("http://www.ncbi.nlm.nih.gov/Taxonomy/Browser/wwwtax.cgi?mode=Info&amp;id=419612&amp;lvl=3&amp;lin=f&amp;keep=1&amp;srchmode=1&amp;unlock","Camelus ferus")</f>
        <v>Camelus ferus</v>
      </c>
      <c r="H1878" t="s">
        <v>351</v>
      </c>
      <c r="I1878" t="str">
        <f>HYPERLINK("http://www.ncbi.nlm.nih.gov/protein/XP_032347817.1","ryanodine receptor 2")</f>
        <v>ryanodine receptor 2</v>
      </c>
      <c r="J1878">
        <v>8546.41</v>
      </c>
      <c r="K1878" t="s">
        <v>19</v>
      </c>
      <c r="L1878">
        <v>1210</v>
      </c>
      <c r="M1878">
        <v>7.13</v>
      </c>
      <c r="N1878">
        <v>83.27</v>
      </c>
      <c r="O1878" t="s">
        <v>19</v>
      </c>
      <c r="P1878" t="s">
        <v>1267</v>
      </c>
      <c r="Q1878" t="s">
        <v>19</v>
      </c>
      <c r="R1878" t="str">
        <f>HYPERLINK("https://cfpub.epa.gov/ecotox/explore.cfm?ncbi=419612","Explore in ECOTOX")</f>
        <v>Explore in ECOTOX</v>
      </c>
    </row>
    <row r="1879" spans="1:18" x14ac:dyDescent="0.45">
      <c r="A1879" t="s">
        <v>1266</v>
      </c>
      <c r="B1879">
        <v>8</v>
      </c>
      <c r="C1879" t="str">
        <f>HYPERLINK("http://www.ncbi.nlm.nih.gov/protein/XP_032911631.1","XP_032911631.1")</f>
        <v>XP_032911631.1</v>
      </c>
      <c r="D1879">
        <v>36262</v>
      </c>
      <c r="E1879" t="str">
        <f>HYPERLINK("http://www.ncbi.nlm.nih.gov/Taxonomy/Browser/wwwtax.cgi?mode=Info&amp;id=91951&amp;lvl=3&amp;lin=f&amp;keep=1&amp;srchmode=1&amp;unlock","91951")</f>
        <v>91951</v>
      </c>
      <c r="F1879" t="s">
        <v>241</v>
      </c>
      <c r="G1879" t="str">
        <f>HYPERLINK("http://www.ncbi.nlm.nih.gov/Taxonomy/Browser/wwwtax.cgi?mode=Info&amp;id=91951&amp;lvl=3&amp;lin=f&amp;keep=1&amp;srchmode=1&amp;unlock","Catharus ustulatus")</f>
        <v>Catharus ustulatus</v>
      </c>
      <c r="H1879" t="s">
        <v>551</v>
      </c>
      <c r="I1879" t="str">
        <f>HYPERLINK("http://www.ncbi.nlm.nih.gov/protein/XP_032911631.1","ryanodine receptor 2 isoform X11")</f>
        <v>ryanodine receptor 2 isoform X11</v>
      </c>
      <c r="J1879">
        <v>8546.41</v>
      </c>
      <c r="K1879" t="s">
        <v>19</v>
      </c>
      <c r="L1879">
        <v>1210</v>
      </c>
      <c r="M1879">
        <v>7.13</v>
      </c>
      <c r="N1879">
        <v>83.27</v>
      </c>
      <c r="O1879" t="s">
        <v>19</v>
      </c>
      <c r="P1879" t="s">
        <v>1267</v>
      </c>
      <c r="Q1879" t="s">
        <v>19</v>
      </c>
      <c r="R1879" t="str">
        <f>HYPERLINK("https://cfpub.epa.gov/ecotox/explore.cfm?ncbi=91951","Explore in ECOTOX")</f>
        <v>Explore in ECOTOX</v>
      </c>
    </row>
    <row r="1880" spans="1:18" x14ac:dyDescent="0.45">
      <c r="A1880" t="s">
        <v>1266</v>
      </c>
      <c r="B1880">
        <v>8</v>
      </c>
      <c r="C1880" t="str">
        <f>HYPERLINK("http://www.ncbi.nlm.nih.gov/protein/XP_041069010.1","XP_041069010.1")</f>
        <v>XP_041069010.1</v>
      </c>
      <c r="D1880">
        <v>44666</v>
      </c>
      <c r="E1880" t="str">
        <f>HYPERLINK("http://www.ncbi.nlm.nih.gov/Taxonomy/Browser/wwwtax.cgi?mode=Info&amp;id=13397&amp;lvl=3&amp;lin=f&amp;keep=1&amp;srchmode=1&amp;unlock","13397")</f>
        <v>13397</v>
      </c>
      <c r="F1880" t="s">
        <v>195</v>
      </c>
      <c r="G1880" t="str">
        <f>HYPERLINK("http://www.ncbi.nlm.nih.gov/Taxonomy/Browser/wwwtax.cgi?mode=Info&amp;id=13397&amp;lvl=3&amp;lin=f&amp;keep=1&amp;srchmode=1&amp;unlock","Carcharodon carcharias")</f>
        <v>Carcharodon carcharias</v>
      </c>
      <c r="H1880" t="s">
        <v>196</v>
      </c>
      <c r="I1880" t="str">
        <f>HYPERLINK("http://www.ncbi.nlm.nih.gov/protein/XP_041069010.1","ryanodine receptor 2")</f>
        <v>ryanodine receptor 2</v>
      </c>
      <c r="J1880">
        <v>8546.41</v>
      </c>
      <c r="K1880" t="s">
        <v>19</v>
      </c>
      <c r="L1880">
        <v>1210</v>
      </c>
      <c r="M1880">
        <v>7.13</v>
      </c>
      <c r="N1880">
        <v>83.27</v>
      </c>
      <c r="O1880" t="s">
        <v>19</v>
      </c>
      <c r="P1880" t="s">
        <v>1267</v>
      </c>
      <c r="Q1880" t="s">
        <v>19</v>
      </c>
      <c r="R1880" t="str">
        <f>HYPERLINK("https://cfpub.epa.gov/ecotox/explore.cfm?ncbi=13397","Explore in ECOTOX")</f>
        <v>Explore in ECOTOX</v>
      </c>
    </row>
    <row r="1881" spans="1:18" x14ac:dyDescent="0.45">
      <c r="A1881" t="s">
        <v>1266</v>
      </c>
      <c r="B1881">
        <v>8</v>
      </c>
      <c r="C1881" t="str">
        <f>HYPERLINK("http://www.ncbi.nlm.nih.gov/protein/CAI9712018.1","CAI9712018.1")</f>
        <v>CAI9712018.1</v>
      </c>
      <c r="D1881">
        <v>54675</v>
      </c>
      <c r="E1881" t="str">
        <f>HYPERLINK("http://www.ncbi.nlm.nih.gov/Taxonomy/Browser/wwwtax.cgi?mode=Info&amp;id=3082113&amp;lvl=3&amp;lin=f&amp;keep=1&amp;srchmode=1&amp;unlock","3082113")</f>
        <v>3082113</v>
      </c>
      <c r="F1881" t="s">
        <v>96</v>
      </c>
      <c r="G1881" t="str">
        <f>HYPERLINK("http://www.ncbi.nlm.nih.gov/Taxonomy/Browser/wwwtax.cgi?mode=Info&amp;id=3082113&amp;lvl=3&amp;lin=f&amp;keep=1&amp;srchmode=1&amp;unlock","Rangifer tarandus platyrhynchus")</f>
        <v>Rangifer tarandus platyrhynchus</v>
      </c>
      <c r="H1881" t="s">
        <v>398</v>
      </c>
      <c r="I1881" t="str">
        <f>HYPERLINK("http://www.ncbi.nlm.nih.gov/protein/CAI9712018.1","unnamed protein product")</f>
        <v>unnamed protein product</v>
      </c>
      <c r="J1881">
        <v>8546.02</v>
      </c>
      <c r="K1881" t="s">
        <v>19</v>
      </c>
      <c r="L1881">
        <v>1210</v>
      </c>
      <c r="M1881">
        <v>7.13</v>
      </c>
      <c r="N1881">
        <v>83.27</v>
      </c>
      <c r="O1881" t="s">
        <v>19</v>
      </c>
      <c r="P1881" t="s">
        <v>1267</v>
      </c>
      <c r="Q1881" t="s">
        <v>19</v>
      </c>
      <c r="R1881" t="str">
        <f>HYPERLINK("https://cfpub.epa.gov/ecotox/explore.cfm?ncbi=3082113","Explore in ECOTOX")</f>
        <v>Explore in ECOTOX</v>
      </c>
    </row>
    <row r="1882" spans="1:18" x14ac:dyDescent="0.45">
      <c r="A1882" t="s">
        <v>1266</v>
      </c>
      <c r="B1882">
        <v>8</v>
      </c>
      <c r="C1882" t="str">
        <f>HYPERLINK("http://www.ncbi.nlm.nih.gov/protein/XP_019809208.1","XP_019809208.1")</f>
        <v>XP_019809208.1</v>
      </c>
      <c r="D1882">
        <v>38094</v>
      </c>
      <c r="E1882" t="str">
        <f>HYPERLINK("http://www.ncbi.nlm.nih.gov/Taxonomy/Browser/wwwtax.cgi?mode=Info&amp;id=9915&amp;lvl=3&amp;lin=f&amp;keep=1&amp;srchmode=1&amp;unlock","9915")</f>
        <v>9915</v>
      </c>
      <c r="F1882" t="s">
        <v>96</v>
      </c>
      <c r="G1882" t="str">
        <f>HYPERLINK("http://www.ncbi.nlm.nih.gov/Taxonomy/Browser/wwwtax.cgi?mode=Info&amp;id=9915&amp;lvl=3&amp;lin=f&amp;keep=1&amp;srchmode=1&amp;unlock","Bos indicus")</f>
        <v>Bos indicus</v>
      </c>
      <c r="H1882" t="s">
        <v>609</v>
      </c>
      <c r="I1882" t="str">
        <f>HYPERLINK("http://www.ncbi.nlm.nih.gov/protein/XP_019809208.1","PREDICTED: ryanodine receptor 2")</f>
        <v>PREDICTED: ryanodine receptor 2</v>
      </c>
      <c r="J1882">
        <v>8545.64</v>
      </c>
      <c r="K1882" t="s">
        <v>19</v>
      </c>
      <c r="L1882">
        <v>1210</v>
      </c>
      <c r="M1882">
        <v>7.13</v>
      </c>
      <c r="N1882">
        <v>83.27</v>
      </c>
      <c r="O1882" t="s">
        <v>19</v>
      </c>
      <c r="P1882" t="s">
        <v>1267</v>
      </c>
      <c r="Q1882" t="s">
        <v>19</v>
      </c>
      <c r="R1882" t="str">
        <f>HYPERLINK("https://cfpub.epa.gov/ecotox/explore.cfm?ncbi=9915","Explore in ECOTOX")</f>
        <v>Explore in ECOTOX</v>
      </c>
    </row>
    <row r="1883" spans="1:18" x14ac:dyDescent="0.45">
      <c r="A1883" t="s">
        <v>1266</v>
      </c>
      <c r="B1883">
        <v>8</v>
      </c>
      <c r="C1883" t="str">
        <f>HYPERLINK("http://www.ncbi.nlm.nih.gov/protein/VFV47226.1","VFV47226.1")</f>
        <v>VFV47226.1</v>
      </c>
      <c r="D1883">
        <v>31255</v>
      </c>
      <c r="E1883" t="str">
        <f>HYPERLINK("http://www.ncbi.nlm.nih.gov/Taxonomy/Browser/wwwtax.cgi?mode=Info&amp;id=191816&amp;lvl=3&amp;lin=f&amp;keep=1&amp;srchmode=1&amp;unlock","191816")</f>
        <v>191816</v>
      </c>
      <c r="F1883" t="s">
        <v>96</v>
      </c>
      <c r="G1883" t="str">
        <f>HYPERLINK("http://www.ncbi.nlm.nih.gov/Taxonomy/Browser/wwwtax.cgi?mode=Info&amp;id=191816&amp;lvl=3&amp;lin=f&amp;keep=1&amp;srchmode=1&amp;unlock","Lynx pardinus")</f>
        <v>Lynx pardinus</v>
      </c>
      <c r="H1883" t="s">
        <v>575</v>
      </c>
      <c r="I1883" t="str">
        <f>HYPERLINK("http://www.ncbi.nlm.nih.gov/protein/VFV47226.1","low quality protein: ryanodine")</f>
        <v>low quality protein: ryanodine</v>
      </c>
      <c r="J1883">
        <v>8545.64</v>
      </c>
      <c r="K1883" t="s">
        <v>19</v>
      </c>
      <c r="L1883">
        <v>1210</v>
      </c>
      <c r="M1883">
        <v>7.13</v>
      </c>
      <c r="N1883">
        <v>83.27</v>
      </c>
      <c r="O1883" t="s">
        <v>19</v>
      </c>
      <c r="P1883" t="s">
        <v>1267</v>
      </c>
      <c r="Q1883" t="s">
        <v>19</v>
      </c>
      <c r="R1883" t="str">
        <f>HYPERLINK("https://cfpub.epa.gov/ecotox/explore.cfm?ncbi=191816","Explore in ECOTOX")</f>
        <v>Explore in ECOTOX</v>
      </c>
    </row>
    <row r="1884" spans="1:18" x14ac:dyDescent="0.45">
      <c r="A1884" t="s">
        <v>1266</v>
      </c>
      <c r="B1884">
        <v>8</v>
      </c>
      <c r="C1884" t="str">
        <f>HYPERLINK("http://www.ncbi.nlm.nih.gov/protein/XP_039385162.1","XP_039385162.1")</f>
        <v>XP_039385162.1</v>
      </c>
      <c r="D1884">
        <v>67726</v>
      </c>
      <c r="E1884" t="str">
        <f>HYPERLINK("http://www.ncbi.nlm.nih.gov/Taxonomy/Browser/wwwtax.cgi?mode=Info&amp;id=260615&amp;lvl=3&amp;lin=f&amp;keep=1&amp;srchmode=1&amp;unlock","260615")</f>
        <v>260615</v>
      </c>
      <c r="F1884" t="s">
        <v>203</v>
      </c>
      <c r="G1884" t="str">
        <f>HYPERLINK("http://www.ncbi.nlm.nih.gov/Taxonomy/Browser/wwwtax.cgi?mode=Info&amp;id=260615&amp;lvl=3&amp;lin=f&amp;keep=1&amp;srchmode=1&amp;unlock","Mauremys reevesii")</f>
        <v>Mauremys reevesii</v>
      </c>
      <c r="H1884" t="s">
        <v>221</v>
      </c>
      <c r="I1884" t="str">
        <f>HYPERLINK("http://www.ncbi.nlm.nih.gov/protein/XP_039385162.1","ryanodine receptor 2")</f>
        <v>ryanodine receptor 2</v>
      </c>
      <c r="J1884">
        <v>8545.64</v>
      </c>
      <c r="K1884" t="s">
        <v>19</v>
      </c>
      <c r="L1884">
        <v>1210</v>
      </c>
      <c r="M1884">
        <v>7.13</v>
      </c>
      <c r="N1884">
        <v>83.27</v>
      </c>
      <c r="O1884" t="s">
        <v>19</v>
      </c>
      <c r="P1884" t="s">
        <v>1267</v>
      </c>
      <c r="Q1884" t="s">
        <v>19</v>
      </c>
      <c r="R1884" t="str">
        <f>HYPERLINK("https://cfpub.epa.gov/ecotox/explore.cfm?ncbi=260615","Explore in ECOTOX")</f>
        <v>Explore in ECOTOX</v>
      </c>
    </row>
    <row r="1885" spans="1:18" x14ac:dyDescent="0.45">
      <c r="A1885" t="s">
        <v>1266</v>
      </c>
      <c r="B1885">
        <v>8</v>
      </c>
      <c r="C1885" t="str">
        <f>HYPERLINK("http://www.ncbi.nlm.nih.gov/protein/XP_061046393.1","XP_061046393.1")</f>
        <v>XP_061046393.1</v>
      </c>
      <c r="D1885">
        <v>43123</v>
      </c>
      <c r="E1885" t="str">
        <f>HYPERLINK("http://www.ncbi.nlm.nih.gov/Taxonomy/Browser/wwwtax.cgi?mode=Info&amp;id=27606&amp;lvl=3&amp;lin=f&amp;keep=1&amp;srchmode=1&amp;unlock","27606")</f>
        <v>27606</v>
      </c>
      <c r="F1885" t="s">
        <v>96</v>
      </c>
      <c r="G1885" t="str">
        <f>HYPERLINK("http://www.ncbi.nlm.nih.gov/Taxonomy/Browser/wwwtax.cgi?mode=Info&amp;id=27606&amp;lvl=3&amp;lin=f&amp;keep=1&amp;srchmode=1&amp;unlock","Eubalaena glacialis")</f>
        <v>Eubalaena glacialis</v>
      </c>
      <c r="H1885" t="s">
        <v>484</v>
      </c>
      <c r="I1885" t="str">
        <f>HYPERLINK("http://www.ncbi.nlm.nih.gov/protein/XP_061046393.1","ryanodine receptor 2")</f>
        <v>ryanodine receptor 2</v>
      </c>
      <c r="J1885">
        <v>8545.25</v>
      </c>
      <c r="K1885" t="s">
        <v>19</v>
      </c>
      <c r="L1885">
        <v>1210</v>
      </c>
      <c r="M1885">
        <v>7.13</v>
      </c>
      <c r="N1885">
        <v>83.26</v>
      </c>
      <c r="O1885" t="s">
        <v>19</v>
      </c>
      <c r="P1885" t="s">
        <v>1267</v>
      </c>
      <c r="Q1885" t="s">
        <v>19</v>
      </c>
      <c r="R1885" t="str">
        <f>HYPERLINK("https://cfpub.epa.gov/ecotox/explore.cfm?ncbi=27606","Explore in ECOTOX")</f>
        <v>Explore in ECOTOX</v>
      </c>
    </row>
    <row r="1886" spans="1:18" x14ac:dyDescent="0.45">
      <c r="A1886" t="s">
        <v>1266</v>
      </c>
      <c r="B1886">
        <v>8</v>
      </c>
      <c r="C1886" t="str">
        <f>HYPERLINK("http://www.ncbi.nlm.nih.gov/protein/XP_044530920.1","XP_044530920.1")</f>
        <v>XP_044530920.1</v>
      </c>
      <c r="D1886">
        <v>29091</v>
      </c>
      <c r="E1886" t="str">
        <f>HYPERLINK("http://www.ncbi.nlm.nih.gov/Taxonomy/Browser/wwwtax.cgi?mode=Info&amp;id=191870&amp;lvl=3&amp;lin=f&amp;keep=1&amp;srchmode=1&amp;unlock","191870")</f>
        <v>191870</v>
      </c>
      <c r="F1886" t="s">
        <v>96</v>
      </c>
      <c r="G1886" t="str">
        <f>HYPERLINK("http://www.ncbi.nlm.nih.gov/Taxonomy/Browser/wwwtax.cgi?mode=Info&amp;id=191870&amp;lvl=3&amp;lin=f&amp;keep=1&amp;srchmode=1&amp;unlock","Gracilinanus agilis")</f>
        <v>Gracilinanus agilis</v>
      </c>
      <c r="H1886" t="s">
        <v>230</v>
      </c>
      <c r="I1886" t="str">
        <f>HYPERLINK("http://www.ncbi.nlm.nih.gov/protein/XP_044530920.1","ryanodine receptor 2")</f>
        <v>ryanodine receptor 2</v>
      </c>
      <c r="J1886">
        <v>8545.25</v>
      </c>
      <c r="K1886" t="s">
        <v>19</v>
      </c>
      <c r="L1886">
        <v>1210</v>
      </c>
      <c r="M1886">
        <v>7.13</v>
      </c>
      <c r="N1886">
        <v>83.26</v>
      </c>
      <c r="O1886" t="s">
        <v>19</v>
      </c>
      <c r="P1886" t="s">
        <v>1267</v>
      </c>
      <c r="Q1886" t="s">
        <v>19</v>
      </c>
      <c r="R1886" t="str">
        <f>HYPERLINK("https://cfpub.epa.gov/ecotox/explore.cfm?ncbi=191870","Explore in ECOTOX")</f>
        <v>Explore in ECOTOX</v>
      </c>
    </row>
    <row r="1887" spans="1:18" x14ac:dyDescent="0.45">
      <c r="A1887" t="s">
        <v>1266</v>
      </c>
      <c r="B1887">
        <v>8</v>
      </c>
      <c r="C1887" t="str">
        <f>HYPERLINK("http://www.ncbi.nlm.nih.gov/protein/XP_053918845.1","XP_053918845.1")</f>
        <v>XP_053918845.1</v>
      </c>
      <c r="D1887">
        <v>57483</v>
      </c>
      <c r="E1887" t="str">
        <f>HYPERLINK("http://www.ncbi.nlm.nih.gov/Taxonomy/Browser/wwwtax.cgi?mode=Info&amp;id=55661&amp;lvl=3&amp;lin=f&amp;keep=1&amp;srchmode=1&amp;unlock","55661")</f>
        <v>55661</v>
      </c>
      <c r="F1887" t="s">
        <v>241</v>
      </c>
      <c r="G1887" t="str">
        <f>HYPERLINK("http://www.ncbi.nlm.nih.gov/Taxonomy/Browser/wwwtax.cgi?mode=Info&amp;id=55661&amp;lvl=3&amp;lin=f&amp;keep=1&amp;srchmode=1&amp;unlock","Cuculus canorus")</f>
        <v>Cuculus canorus</v>
      </c>
      <c r="H1887" t="s">
        <v>299</v>
      </c>
      <c r="I1887" t="str">
        <f>HYPERLINK("http://www.ncbi.nlm.nih.gov/protein/XP_053918845.1","ryanodine receptor 2")</f>
        <v>ryanodine receptor 2</v>
      </c>
      <c r="J1887">
        <v>8544.8700000000008</v>
      </c>
      <c r="K1887" t="s">
        <v>19</v>
      </c>
      <c r="L1887">
        <v>1210</v>
      </c>
      <c r="M1887">
        <v>7.13</v>
      </c>
      <c r="N1887">
        <v>83.26</v>
      </c>
      <c r="O1887" t="s">
        <v>19</v>
      </c>
      <c r="P1887" t="s">
        <v>1267</v>
      </c>
      <c r="Q1887" t="s">
        <v>19</v>
      </c>
      <c r="R1887" t="str">
        <f>HYPERLINK("https://cfpub.epa.gov/ecotox/explore.cfm?ncbi=55661","Explore in ECOTOX")</f>
        <v>Explore in ECOTOX</v>
      </c>
    </row>
    <row r="1888" spans="1:18" x14ac:dyDescent="0.45">
      <c r="A1888" t="s">
        <v>1266</v>
      </c>
      <c r="B1888">
        <v>8</v>
      </c>
      <c r="C1888" t="str">
        <f>HYPERLINK("http://www.ncbi.nlm.nih.gov/protein/XP_026947662.1","XP_026947662.1")</f>
        <v>XP_026947662.1</v>
      </c>
      <c r="D1888">
        <v>54700</v>
      </c>
      <c r="E1888" t="str">
        <f>HYPERLINK("http://www.ncbi.nlm.nih.gov/Taxonomy/Browser/wwwtax.cgi?mode=Info&amp;id=90247&amp;lvl=3&amp;lin=f&amp;keep=1&amp;srchmode=1&amp;unlock","90247")</f>
        <v>90247</v>
      </c>
      <c r="F1888" t="s">
        <v>96</v>
      </c>
      <c r="G1888" t="str">
        <f>HYPERLINK("http://www.ncbi.nlm.nih.gov/Taxonomy/Browser/wwwtax.cgi?mode=Info&amp;id=90247&amp;lvl=3&amp;lin=f&amp;keep=1&amp;srchmode=1&amp;unlock","Lagenorhynchus obliquidens")</f>
        <v>Lagenorhynchus obliquidens</v>
      </c>
      <c r="H1888" t="s">
        <v>606</v>
      </c>
      <c r="I1888" t="str">
        <f>HYPERLINK("http://www.ncbi.nlm.nih.gov/protein/XP_026947662.1","ryanodine receptor 2")</f>
        <v>ryanodine receptor 2</v>
      </c>
      <c r="J1888">
        <v>8544.8700000000008</v>
      </c>
      <c r="K1888" t="s">
        <v>19</v>
      </c>
      <c r="L1888">
        <v>1210</v>
      </c>
      <c r="M1888">
        <v>7.13</v>
      </c>
      <c r="N1888">
        <v>83.26</v>
      </c>
      <c r="O1888" t="s">
        <v>19</v>
      </c>
      <c r="P1888" t="s">
        <v>1267</v>
      </c>
      <c r="Q1888" t="s">
        <v>19</v>
      </c>
      <c r="R1888" t="str">
        <f>HYPERLINK("https://cfpub.epa.gov/ecotox/explore.cfm?ncbi=90247","Explore in ECOTOX")</f>
        <v>Explore in ECOTOX</v>
      </c>
    </row>
    <row r="1889" spans="1:18" x14ac:dyDescent="0.45">
      <c r="A1889" t="s">
        <v>1266</v>
      </c>
      <c r="B1889">
        <v>8</v>
      </c>
      <c r="C1889" t="str">
        <f>HYPERLINK("http://www.ncbi.nlm.nih.gov/protein/XP_054252820.1","XP_054252820.1")</f>
        <v>XP_054252820.1</v>
      </c>
      <c r="D1889">
        <v>20201</v>
      </c>
      <c r="E1889" t="str">
        <f>HYPERLINK("http://www.ncbi.nlm.nih.gov/Taxonomy/Browser/wwwtax.cgi?mode=Info&amp;id=1002788&amp;lvl=3&amp;lin=f&amp;keep=1&amp;srchmode=1&amp;unlock","1002788")</f>
        <v>1002788</v>
      </c>
      <c r="F1889" t="s">
        <v>241</v>
      </c>
      <c r="G1889" t="str">
        <f>HYPERLINK("http://www.ncbi.nlm.nih.gov/Taxonomy/Browser/wwwtax.cgi?mode=Info&amp;id=1002788&amp;lvl=3&amp;lin=f&amp;keep=1&amp;srchmode=1&amp;unlock","Indicator indicator")</f>
        <v>Indicator indicator</v>
      </c>
      <c r="H1889" t="s">
        <v>310</v>
      </c>
      <c r="I1889" t="str">
        <f>HYPERLINK("http://www.ncbi.nlm.nih.gov/protein/XP_054252820.1","ryanodine receptor 2")</f>
        <v>ryanodine receptor 2</v>
      </c>
      <c r="J1889">
        <v>8544.48</v>
      </c>
      <c r="K1889" t="s">
        <v>19</v>
      </c>
      <c r="L1889">
        <v>1210</v>
      </c>
      <c r="M1889">
        <v>7.13</v>
      </c>
      <c r="N1889">
        <v>83.26</v>
      </c>
      <c r="O1889" t="s">
        <v>19</v>
      </c>
      <c r="P1889" t="s">
        <v>1267</v>
      </c>
      <c r="Q1889" t="s">
        <v>19</v>
      </c>
      <c r="R1889" t="str">
        <f>HYPERLINK("https://cfpub.epa.gov/ecotox/explore.cfm?ncbi=1002788","Explore in ECOTOX")</f>
        <v>Explore in ECOTOX</v>
      </c>
    </row>
    <row r="1890" spans="1:18" x14ac:dyDescent="0.45">
      <c r="A1890" t="s">
        <v>1266</v>
      </c>
      <c r="B1890">
        <v>8</v>
      </c>
      <c r="C1890" t="str">
        <f>HYPERLINK("http://www.ncbi.nlm.nih.gov/protein/XP_033697600.1","XP_033697600.1")</f>
        <v>XP_033697600.1</v>
      </c>
      <c r="D1890">
        <v>57134</v>
      </c>
      <c r="E1890" t="str">
        <f>HYPERLINK("http://www.ncbi.nlm.nih.gov/Taxonomy/Browser/wwwtax.cgi?mode=Info&amp;id=9739&amp;lvl=3&amp;lin=f&amp;keep=1&amp;srchmode=1&amp;unlock","9739")</f>
        <v>9739</v>
      </c>
      <c r="F1890" t="s">
        <v>96</v>
      </c>
      <c r="G1890" t="str">
        <f>HYPERLINK("http://www.ncbi.nlm.nih.gov/Taxonomy/Browser/wwwtax.cgi?mode=Info&amp;id=9739&amp;lvl=3&amp;lin=f&amp;keep=1&amp;srchmode=1&amp;unlock","Tursiops truncatus")</f>
        <v>Tursiops truncatus</v>
      </c>
      <c r="H1890" t="s">
        <v>604</v>
      </c>
      <c r="I1890" t="str">
        <f>HYPERLINK("http://www.ncbi.nlm.nih.gov/protein/XP_033697600.1","ryanodine receptor 2")</f>
        <v>ryanodine receptor 2</v>
      </c>
      <c r="J1890">
        <v>8543.7099999999991</v>
      </c>
      <c r="K1890" t="s">
        <v>19</v>
      </c>
      <c r="L1890">
        <v>1210</v>
      </c>
      <c r="M1890">
        <v>7.13</v>
      </c>
      <c r="N1890">
        <v>83.25</v>
      </c>
      <c r="O1890" t="s">
        <v>19</v>
      </c>
      <c r="P1890" t="s">
        <v>1267</v>
      </c>
      <c r="Q1890" t="s">
        <v>19</v>
      </c>
      <c r="R1890" t="str">
        <f>HYPERLINK("https://cfpub.epa.gov/ecotox/explore.cfm?ncbi=9739","Explore in ECOTOX")</f>
        <v>Explore in ECOTOX</v>
      </c>
    </row>
    <row r="1891" spans="1:18" x14ac:dyDescent="0.45">
      <c r="A1891" t="s">
        <v>1266</v>
      </c>
      <c r="B1891">
        <v>8</v>
      </c>
      <c r="C1891" t="str">
        <f>HYPERLINK("http://www.ncbi.nlm.nih.gov/protein/XP_032741093.1","XP_032741093.1")</f>
        <v>XP_032741093.1</v>
      </c>
      <c r="D1891">
        <v>36663</v>
      </c>
      <c r="E1891" t="str">
        <f>HYPERLINK("http://www.ncbi.nlm.nih.gov/Taxonomy/Browser/wwwtax.cgi?mode=Info&amp;id=10117&amp;lvl=3&amp;lin=f&amp;keep=1&amp;srchmode=1&amp;unlock","10117")</f>
        <v>10117</v>
      </c>
      <c r="F1891" t="s">
        <v>96</v>
      </c>
      <c r="G1891" t="str">
        <f>HYPERLINK("http://www.ncbi.nlm.nih.gov/Taxonomy/Browser/wwwtax.cgi?mode=Info&amp;id=10117&amp;lvl=3&amp;lin=f&amp;keep=1&amp;srchmode=1&amp;unlock","Rattus rattus")</f>
        <v>Rattus rattus</v>
      </c>
      <c r="H1891" t="s">
        <v>403</v>
      </c>
      <c r="I1891" t="str">
        <f>HYPERLINK("http://www.ncbi.nlm.nih.gov/protein/XP_032741093.1","ryanodine receptor 2")</f>
        <v>ryanodine receptor 2</v>
      </c>
      <c r="J1891">
        <v>8543.7099999999991</v>
      </c>
      <c r="K1891" t="s">
        <v>19</v>
      </c>
      <c r="L1891">
        <v>1210</v>
      </c>
      <c r="M1891">
        <v>7.13</v>
      </c>
      <c r="N1891">
        <v>83.25</v>
      </c>
      <c r="O1891" t="s">
        <v>19</v>
      </c>
      <c r="P1891" t="s">
        <v>1267</v>
      </c>
      <c r="Q1891" t="s">
        <v>19</v>
      </c>
      <c r="R1891" t="str">
        <f>HYPERLINK("https://cfpub.epa.gov/ecotox/explore.cfm?ncbi=10117","Explore in ECOTOX")</f>
        <v>Explore in ECOTOX</v>
      </c>
    </row>
    <row r="1892" spans="1:18" x14ac:dyDescent="0.45">
      <c r="A1892" t="s">
        <v>1266</v>
      </c>
      <c r="B1892">
        <v>8</v>
      </c>
      <c r="C1892" t="str">
        <f>HYPERLINK("http://www.ncbi.nlm.nih.gov/protein/XP_055006532.1","XP_055006532.1")</f>
        <v>XP_055006532.1</v>
      </c>
      <c r="D1892">
        <v>52854</v>
      </c>
      <c r="E1892" t="str">
        <f>HYPERLINK("http://www.ncbi.nlm.nih.gov/Taxonomy/Browser/wwwtax.cgi?mode=Info&amp;id=150288&amp;lvl=3&amp;lin=f&amp;keep=1&amp;srchmode=1&amp;unlock","150288")</f>
        <v>150288</v>
      </c>
      <c r="F1892" t="s">
        <v>17</v>
      </c>
      <c r="G1892" t="str">
        <f>HYPERLINK("http://www.ncbi.nlm.nih.gov/Taxonomy/Browser/wwwtax.cgi?mode=Info&amp;id=150288&amp;lvl=3&amp;lin=f&amp;keep=1&amp;srchmode=1&amp;unlock","Boleophthalmus pectinirostris")</f>
        <v>Boleophthalmus pectinirostris</v>
      </c>
      <c r="H1892" t="s">
        <v>127</v>
      </c>
      <c r="I1892" t="str">
        <f>HYPERLINK("http://www.ncbi.nlm.nih.gov/protein/XP_055006532.1","ryanodine receptor 2")</f>
        <v>ryanodine receptor 2</v>
      </c>
      <c r="J1892">
        <v>8543.33</v>
      </c>
      <c r="K1892" t="s">
        <v>19</v>
      </c>
      <c r="L1892">
        <v>1210</v>
      </c>
      <c r="M1892">
        <v>7.13</v>
      </c>
      <c r="N1892">
        <v>83.24</v>
      </c>
      <c r="O1892" t="s">
        <v>19</v>
      </c>
      <c r="P1892" t="s">
        <v>1267</v>
      </c>
      <c r="Q1892" t="s">
        <v>19</v>
      </c>
      <c r="R1892" t="str">
        <f>HYPERLINK("https://cfpub.epa.gov/ecotox/explore.cfm?ncbi=150288","Explore in ECOTOX")</f>
        <v>Explore in ECOTOX</v>
      </c>
    </row>
    <row r="1893" spans="1:18" x14ac:dyDescent="0.45">
      <c r="A1893" t="s">
        <v>1266</v>
      </c>
      <c r="B1893">
        <v>8</v>
      </c>
      <c r="C1893" t="str">
        <f>HYPERLINK("http://www.ncbi.nlm.nih.gov/protein/XP_043367352.1","XP_043367352.1")</f>
        <v>XP_043367352.1</v>
      </c>
      <c r="D1893">
        <v>61243</v>
      </c>
      <c r="E1893" t="str">
        <f>HYPERLINK("http://www.ncbi.nlm.nih.gov/Taxonomy/Browser/wwwtax.cgi?mode=Info&amp;id=27794&amp;lvl=3&amp;lin=f&amp;keep=1&amp;srchmode=1&amp;unlock","27794")</f>
        <v>27794</v>
      </c>
      <c r="F1893" t="s">
        <v>203</v>
      </c>
      <c r="G1893" t="str">
        <f>HYPERLINK("http://www.ncbi.nlm.nih.gov/Taxonomy/Browser/wwwtax.cgi?mode=Info&amp;id=27794&amp;lvl=3&amp;lin=f&amp;keep=1&amp;srchmode=1&amp;unlock","Dermochelys coriacea")</f>
        <v>Dermochelys coriacea</v>
      </c>
      <c r="H1893" t="s">
        <v>218</v>
      </c>
      <c r="I1893" t="str">
        <f>HYPERLINK("http://www.ncbi.nlm.nih.gov/protein/XP_043367352.1","ryanodine receptor 2 isoform X1")</f>
        <v>ryanodine receptor 2 isoform X1</v>
      </c>
      <c r="J1893">
        <v>8542.94</v>
      </c>
      <c r="K1893" t="s">
        <v>19</v>
      </c>
      <c r="L1893">
        <v>1210</v>
      </c>
      <c r="M1893">
        <v>7.13</v>
      </c>
      <c r="N1893">
        <v>83.24</v>
      </c>
      <c r="O1893" t="s">
        <v>19</v>
      </c>
      <c r="P1893" t="s">
        <v>1267</v>
      </c>
      <c r="Q1893" t="s">
        <v>19</v>
      </c>
      <c r="R1893" t="str">
        <f>HYPERLINK("https://cfpub.epa.gov/ecotox/explore.cfm?ncbi=27794","Explore in ECOTOX")</f>
        <v>Explore in ECOTOX</v>
      </c>
    </row>
    <row r="1894" spans="1:18" x14ac:dyDescent="0.45">
      <c r="A1894" t="s">
        <v>1266</v>
      </c>
      <c r="B1894">
        <v>8</v>
      </c>
      <c r="C1894" t="str">
        <f>HYPERLINK("http://www.ncbi.nlm.nih.gov/protein/XP_031958118.1","XP_031958118.1")</f>
        <v>XP_031958118.1</v>
      </c>
      <c r="D1894">
        <v>56759</v>
      </c>
      <c r="E1894" t="str">
        <f>HYPERLINK("http://www.ncbi.nlm.nih.gov/Taxonomy/Browser/wwwtax.cgi?mode=Info&amp;id=1196302&amp;lvl=3&amp;lin=f&amp;keep=1&amp;srchmode=1&amp;unlock","1196302")</f>
        <v>1196302</v>
      </c>
      <c r="F1894" t="s">
        <v>241</v>
      </c>
      <c r="G1894" t="str">
        <f>HYPERLINK("http://www.ncbi.nlm.nih.gov/Taxonomy/Browser/wwwtax.cgi?mode=Info&amp;id=1196302&amp;lvl=3&amp;lin=f&amp;keep=1&amp;srchmode=1&amp;unlock","Corvus moneduloides")</f>
        <v>Corvus moneduloides</v>
      </c>
      <c r="H1894" t="s">
        <v>506</v>
      </c>
      <c r="I1894" t="str">
        <f>HYPERLINK("http://www.ncbi.nlm.nih.gov/protein/XP_031958118.1","ryanodine receptor 2 isoform X2")</f>
        <v>ryanodine receptor 2 isoform X2</v>
      </c>
      <c r="J1894">
        <v>8542.94</v>
      </c>
      <c r="K1894" t="s">
        <v>19</v>
      </c>
      <c r="L1894">
        <v>1210</v>
      </c>
      <c r="M1894">
        <v>7.13</v>
      </c>
      <c r="N1894">
        <v>83.24</v>
      </c>
      <c r="O1894" t="s">
        <v>19</v>
      </c>
      <c r="P1894" t="s">
        <v>1267</v>
      </c>
      <c r="Q1894" t="s">
        <v>19</v>
      </c>
      <c r="R1894" t="str">
        <f>HYPERLINK("https://cfpub.epa.gov/ecotox/explore.cfm?ncbi=1196302","Explore in ECOTOX")</f>
        <v>Explore in ECOTOX</v>
      </c>
    </row>
    <row r="1895" spans="1:18" x14ac:dyDescent="0.45">
      <c r="A1895" t="s">
        <v>1266</v>
      </c>
      <c r="B1895">
        <v>8</v>
      </c>
      <c r="C1895" t="str">
        <f>HYPERLINK("http://www.ncbi.nlm.nih.gov/protein/XP_019602364.1","XP_019602364.1")</f>
        <v>XP_019602364.1</v>
      </c>
      <c r="D1895">
        <v>44859</v>
      </c>
      <c r="E1895" t="str">
        <f>HYPERLINK("http://www.ncbi.nlm.nih.gov/Taxonomy/Browser/wwwtax.cgi?mode=Info&amp;id=89399&amp;lvl=3&amp;lin=f&amp;keep=1&amp;srchmode=1&amp;unlock","89399")</f>
        <v>89399</v>
      </c>
      <c r="F1895" t="s">
        <v>96</v>
      </c>
      <c r="G1895" t="str">
        <f>HYPERLINK("http://www.ncbi.nlm.nih.gov/Taxonomy/Browser/wwwtax.cgi?mode=Info&amp;id=89399&amp;lvl=3&amp;lin=f&amp;keep=1&amp;srchmode=1&amp;unlock","Rhinolophus sinicus")</f>
        <v>Rhinolophus sinicus</v>
      </c>
      <c r="H1895" t="s">
        <v>383</v>
      </c>
      <c r="I1895" t="str">
        <f>HYPERLINK("http://www.ncbi.nlm.nih.gov/protein/XP_019602364.1","PREDICTED: ryanodine receptor 2")</f>
        <v>PREDICTED: ryanodine receptor 2</v>
      </c>
      <c r="J1895">
        <v>8542.56</v>
      </c>
      <c r="K1895" t="s">
        <v>19</v>
      </c>
      <c r="L1895">
        <v>1210</v>
      </c>
      <c r="M1895">
        <v>7.13</v>
      </c>
      <c r="N1895">
        <v>83.24</v>
      </c>
      <c r="O1895" t="s">
        <v>19</v>
      </c>
      <c r="P1895" t="s">
        <v>1267</v>
      </c>
      <c r="Q1895" t="s">
        <v>19</v>
      </c>
      <c r="R1895" t="str">
        <f>HYPERLINK("https://cfpub.epa.gov/ecotox/explore.cfm?ncbi=89399","Explore in ECOTOX")</f>
        <v>Explore in ECOTOX</v>
      </c>
    </row>
    <row r="1896" spans="1:18" x14ac:dyDescent="0.45">
      <c r="A1896" t="s">
        <v>1266</v>
      </c>
      <c r="B1896">
        <v>8</v>
      </c>
      <c r="C1896" t="str">
        <f>HYPERLINK("http://www.ncbi.nlm.nih.gov/protein/XP_048155723.1","XP_048155723.1")</f>
        <v>XP_048155723.1</v>
      </c>
      <c r="D1896">
        <v>43175</v>
      </c>
      <c r="E1896" t="str">
        <f>HYPERLINK("http://www.ncbi.nlm.nih.gov/Taxonomy/Browser/wwwtax.cgi?mode=Info&amp;id=134902&amp;lvl=3&amp;lin=f&amp;keep=1&amp;srchmode=1&amp;unlock","134902")</f>
        <v>134902</v>
      </c>
      <c r="F1896" t="s">
        <v>241</v>
      </c>
      <c r="G1896" t="str">
        <f>HYPERLINK("http://www.ncbi.nlm.nih.gov/Taxonomy/Browser/wwwtax.cgi?mode=Info&amp;id=134902&amp;lvl=3&amp;lin=f&amp;keep=1&amp;srchmode=1&amp;unlock","Corvus hawaiiensis")</f>
        <v>Corvus hawaiiensis</v>
      </c>
      <c r="H1896" t="s">
        <v>542</v>
      </c>
      <c r="I1896" t="str">
        <f>HYPERLINK("http://www.ncbi.nlm.nih.gov/protein/XP_048155723.1","ryanodine receptor 2 isoform X2")</f>
        <v>ryanodine receptor 2 isoform X2</v>
      </c>
      <c r="J1896">
        <v>8542.17</v>
      </c>
      <c r="K1896" t="s">
        <v>19</v>
      </c>
      <c r="L1896">
        <v>1210</v>
      </c>
      <c r="M1896">
        <v>7.13</v>
      </c>
      <c r="N1896">
        <v>83.23</v>
      </c>
      <c r="O1896" t="s">
        <v>19</v>
      </c>
      <c r="P1896" t="s">
        <v>1267</v>
      </c>
      <c r="Q1896" t="s">
        <v>19</v>
      </c>
      <c r="R1896" t="str">
        <f>HYPERLINK("https://cfpub.epa.gov/ecotox/explore.cfm?ncbi=134902","Explore in ECOTOX")</f>
        <v>Explore in ECOTOX</v>
      </c>
    </row>
    <row r="1897" spans="1:18" x14ac:dyDescent="0.45">
      <c r="A1897" t="s">
        <v>1266</v>
      </c>
      <c r="B1897">
        <v>8</v>
      </c>
      <c r="C1897" t="str">
        <f>HYPERLINK("http://www.ncbi.nlm.nih.gov/protein/XP_023805328.1","XP_023805328.1")</f>
        <v>XP_023805328.1</v>
      </c>
      <c r="D1897">
        <v>47355</v>
      </c>
      <c r="E1897" t="str">
        <f>HYPERLINK("http://www.ncbi.nlm.nih.gov/Taxonomy/Browser/wwwtax.cgi?mode=Info&amp;id=8090&amp;lvl=3&amp;lin=f&amp;keep=1&amp;srchmode=1&amp;unlock","8090")</f>
        <v>8090</v>
      </c>
      <c r="F1897" t="s">
        <v>17</v>
      </c>
      <c r="G1897" t="str">
        <f>HYPERLINK("http://www.ncbi.nlm.nih.gov/Taxonomy/Browser/wwwtax.cgi?mode=Info&amp;id=8090&amp;lvl=3&amp;lin=f&amp;keep=1&amp;srchmode=1&amp;unlock","Oryzias latipes")</f>
        <v>Oryzias latipes</v>
      </c>
      <c r="H1897" t="s">
        <v>106</v>
      </c>
      <c r="I1897" t="str">
        <f>HYPERLINK("http://www.ncbi.nlm.nih.gov/protein/XP_023805328.1","ryanodine receptor 2 isoform X1")</f>
        <v>ryanodine receptor 2 isoform X1</v>
      </c>
      <c r="J1897">
        <v>8541.7900000000009</v>
      </c>
      <c r="K1897" t="s">
        <v>19</v>
      </c>
      <c r="L1897">
        <v>1210</v>
      </c>
      <c r="M1897">
        <v>7.13</v>
      </c>
      <c r="N1897">
        <v>83.23</v>
      </c>
      <c r="O1897" t="s">
        <v>19</v>
      </c>
      <c r="P1897" t="s">
        <v>1267</v>
      </c>
      <c r="Q1897" t="s">
        <v>19</v>
      </c>
      <c r="R1897" t="str">
        <f>HYPERLINK("https://cfpub.epa.gov/ecotox/explore.cfm?ncbi=8090","Explore in ECOTOX")</f>
        <v>Explore in ECOTOX</v>
      </c>
    </row>
    <row r="1898" spans="1:18" x14ac:dyDescent="0.45">
      <c r="A1898" t="s">
        <v>1266</v>
      </c>
      <c r="B1898">
        <v>8</v>
      </c>
      <c r="C1898" t="str">
        <f>HYPERLINK("http://www.ncbi.nlm.nih.gov/protein/XP_027540432.1","XP_027540432.1")</f>
        <v>XP_027540432.1</v>
      </c>
      <c r="D1898">
        <v>39505</v>
      </c>
      <c r="E1898" t="str">
        <f>HYPERLINK("http://www.ncbi.nlm.nih.gov/Taxonomy/Browser/wwwtax.cgi?mode=Info&amp;id=114329&amp;lvl=3&amp;lin=f&amp;keep=1&amp;srchmode=1&amp;unlock","114329")</f>
        <v>114329</v>
      </c>
      <c r="F1898" t="s">
        <v>241</v>
      </c>
      <c r="G1898" t="str">
        <f>HYPERLINK("http://www.ncbi.nlm.nih.gov/Taxonomy/Browser/wwwtax.cgi?mode=Info&amp;id=114329&amp;lvl=3&amp;lin=f&amp;keep=1&amp;srchmode=1&amp;unlock","Neopelma chrysocephalum")</f>
        <v>Neopelma chrysocephalum</v>
      </c>
      <c r="H1898" t="s">
        <v>269</v>
      </c>
      <c r="I1898" t="str">
        <f>HYPERLINK("http://www.ncbi.nlm.nih.gov/protein/XP_027540432.1","ryanodine receptor 2 isoform X4")</f>
        <v>ryanodine receptor 2 isoform X4</v>
      </c>
      <c r="J1898">
        <v>8541.7900000000009</v>
      </c>
      <c r="K1898" t="s">
        <v>19</v>
      </c>
      <c r="L1898">
        <v>1210</v>
      </c>
      <c r="M1898">
        <v>7.13</v>
      </c>
      <c r="N1898">
        <v>83.23</v>
      </c>
      <c r="O1898" t="s">
        <v>19</v>
      </c>
      <c r="P1898" t="s">
        <v>1267</v>
      </c>
      <c r="Q1898" t="s">
        <v>19</v>
      </c>
      <c r="R1898" t="str">
        <f>HYPERLINK("https://cfpub.epa.gov/ecotox/explore.cfm?ncbi=114329","Explore in ECOTOX")</f>
        <v>Explore in ECOTOX</v>
      </c>
    </row>
    <row r="1899" spans="1:18" x14ac:dyDescent="0.45">
      <c r="A1899" t="s">
        <v>1266</v>
      </c>
      <c r="B1899">
        <v>8</v>
      </c>
      <c r="C1899" t="str">
        <f>HYPERLINK("http://www.ncbi.nlm.nih.gov/protein/XP_050806305.1","XP_050806305.1")</f>
        <v>XP_050806305.1</v>
      </c>
      <c r="D1899">
        <v>53772</v>
      </c>
      <c r="E1899" t="str">
        <f>HYPERLINK("http://www.ncbi.nlm.nih.gov/Taxonomy/Browser/wwwtax.cgi?mode=Info&amp;id=286002&amp;lvl=3&amp;lin=f&amp;keep=1&amp;srchmode=1&amp;unlock","286002")</f>
        <v>286002</v>
      </c>
      <c r="F1899" t="s">
        <v>203</v>
      </c>
      <c r="G1899" t="str">
        <f>HYPERLINK("http://www.ncbi.nlm.nih.gov/Taxonomy/Browser/wwwtax.cgi?mode=Info&amp;id=286002&amp;lvl=3&amp;lin=f&amp;keep=1&amp;srchmode=1&amp;unlock","Gopherus flavomarginatus")</f>
        <v>Gopherus flavomarginatus</v>
      </c>
      <c r="H1899" t="s">
        <v>204</v>
      </c>
      <c r="I1899" t="str">
        <f>HYPERLINK("http://www.ncbi.nlm.nih.gov/protein/XP_050806305.1","ryanodine receptor 2 isoform X6")</f>
        <v>ryanodine receptor 2 isoform X6</v>
      </c>
      <c r="J1899">
        <v>8541.7900000000009</v>
      </c>
      <c r="K1899" t="s">
        <v>19</v>
      </c>
      <c r="L1899">
        <v>1210</v>
      </c>
      <c r="M1899">
        <v>7.13</v>
      </c>
      <c r="N1899">
        <v>83.23</v>
      </c>
      <c r="O1899" t="s">
        <v>19</v>
      </c>
      <c r="P1899" t="s">
        <v>1267</v>
      </c>
      <c r="Q1899" t="s">
        <v>19</v>
      </c>
      <c r="R1899" t="str">
        <f>HYPERLINK("https://cfpub.epa.gov/ecotox/explore.cfm?ncbi=286002","Explore in ECOTOX")</f>
        <v>Explore in ECOTOX</v>
      </c>
    </row>
    <row r="1900" spans="1:18" x14ac:dyDescent="0.45">
      <c r="A1900" t="s">
        <v>1266</v>
      </c>
      <c r="B1900">
        <v>8</v>
      </c>
      <c r="C1900" t="str">
        <f>HYPERLINK("http://www.ncbi.nlm.nih.gov/protein/XP_059755642.1","XP_059755642.1")</f>
        <v>XP_059755642.1</v>
      </c>
      <c r="D1900">
        <v>50351</v>
      </c>
      <c r="E1900" t="str">
        <f>HYPERLINK("http://www.ncbi.nlm.nih.gov/Taxonomy/Browser/wwwtax.cgi?mode=Info&amp;id=2746895&amp;lvl=3&amp;lin=f&amp;keep=1&amp;srchmode=1&amp;unlock","2746895")</f>
        <v>2746895</v>
      </c>
      <c r="F1900" t="s">
        <v>96</v>
      </c>
      <c r="G1900" t="str">
        <f>HYPERLINK("http://www.ncbi.nlm.nih.gov/Taxonomy/Browser/wwwtax.cgi?mode=Info&amp;id=2746895&amp;lvl=3&amp;lin=f&amp;keep=1&amp;srchmode=1&amp;unlock","Balaenoptera ricei")</f>
        <v>Balaenoptera ricei</v>
      </c>
      <c r="H1900" t="s">
        <v>485</v>
      </c>
      <c r="I1900" t="str">
        <f>HYPERLINK("http://www.ncbi.nlm.nih.gov/protein/XP_059755642.1","ryanodine receptor 2")</f>
        <v>ryanodine receptor 2</v>
      </c>
      <c r="J1900">
        <v>8541.4</v>
      </c>
      <c r="K1900" t="s">
        <v>19</v>
      </c>
      <c r="L1900">
        <v>1210</v>
      </c>
      <c r="M1900">
        <v>7.13</v>
      </c>
      <c r="N1900">
        <v>83.23</v>
      </c>
      <c r="O1900" t="s">
        <v>19</v>
      </c>
      <c r="P1900" t="s">
        <v>1267</v>
      </c>
      <c r="Q1900" t="s">
        <v>19</v>
      </c>
      <c r="R1900" t="str">
        <f>HYPERLINK("https://cfpub.epa.gov/ecotox/explore.cfm?ncbi=2746895","Explore in ECOTOX")</f>
        <v>Explore in ECOTOX</v>
      </c>
    </row>
    <row r="1901" spans="1:18" x14ac:dyDescent="0.45">
      <c r="A1901" t="s">
        <v>1266</v>
      </c>
      <c r="B1901">
        <v>8</v>
      </c>
      <c r="C1901" t="str">
        <f>HYPERLINK("http://www.ncbi.nlm.nih.gov/protein/XP_041881257.1","XP_041881257.1")</f>
        <v>XP_041881257.1</v>
      </c>
      <c r="D1901">
        <v>41339</v>
      </c>
      <c r="E1901" t="str">
        <f>HYPERLINK("http://www.ncbi.nlm.nih.gov/Taxonomy/Browser/wwwtax.cgi?mode=Info&amp;id=68294&amp;lvl=3&amp;lin=f&amp;keep=1&amp;srchmode=1&amp;unlock","68294")</f>
        <v>68294</v>
      </c>
      <c r="F1901" t="s">
        <v>241</v>
      </c>
      <c r="G1901" t="str">
        <f>HYPERLINK("http://www.ncbi.nlm.nih.gov/Taxonomy/Browser/wwwtax.cgi?mode=Info&amp;id=68294&amp;lvl=3&amp;lin=f&amp;keep=1&amp;srchmode=1&amp;unlock","Corvus kubaryi")</f>
        <v>Corvus kubaryi</v>
      </c>
      <c r="H1901" t="s">
        <v>543</v>
      </c>
      <c r="I1901" t="str">
        <f>HYPERLINK("http://www.ncbi.nlm.nih.gov/protein/XP_041881257.1","ryanodine receptor 2 isoform X2")</f>
        <v>ryanodine receptor 2 isoform X2</v>
      </c>
      <c r="J1901">
        <v>8541.02</v>
      </c>
      <c r="K1901" t="s">
        <v>19</v>
      </c>
      <c r="L1901">
        <v>1210</v>
      </c>
      <c r="M1901">
        <v>7.13</v>
      </c>
      <c r="N1901">
        <v>83.22</v>
      </c>
      <c r="O1901" t="s">
        <v>19</v>
      </c>
      <c r="P1901" t="s">
        <v>1267</v>
      </c>
      <c r="Q1901" t="s">
        <v>19</v>
      </c>
      <c r="R1901" t="str">
        <f>HYPERLINK("https://cfpub.epa.gov/ecotox/explore.cfm?ncbi=68294","Explore in ECOTOX")</f>
        <v>Explore in ECOTOX</v>
      </c>
    </row>
    <row r="1902" spans="1:18" x14ac:dyDescent="0.45">
      <c r="A1902" t="s">
        <v>1266</v>
      </c>
      <c r="B1902">
        <v>8</v>
      </c>
      <c r="C1902" t="str">
        <f>HYPERLINK("http://www.ncbi.nlm.nih.gov/protein/XP_043400279.1","XP_043400279.1")</f>
        <v>XP_043400279.1</v>
      </c>
      <c r="D1902">
        <v>90498</v>
      </c>
      <c r="E1902" t="str">
        <f>HYPERLINK("http://www.ncbi.nlm.nih.gov/Taxonomy/Browser/wwwtax.cgi?mode=Info&amp;id=8469&amp;lvl=3&amp;lin=f&amp;keep=1&amp;srchmode=1&amp;unlock","8469")</f>
        <v>8469</v>
      </c>
      <c r="F1902" t="s">
        <v>203</v>
      </c>
      <c r="G1902" t="str">
        <f>HYPERLINK("http://www.ncbi.nlm.nih.gov/Taxonomy/Browser/wwwtax.cgi?mode=Info&amp;id=8469&amp;lvl=3&amp;lin=f&amp;keep=1&amp;srchmode=1&amp;unlock","Chelonia mydas")</f>
        <v>Chelonia mydas</v>
      </c>
      <c r="H1902" t="s">
        <v>502</v>
      </c>
      <c r="I1902" t="str">
        <f>HYPERLINK("http://www.ncbi.nlm.nih.gov/protein/XP_043400279.1","ryanodine receptor 2 isoform X2")</f>
        <v>ryanodine receptor 2 isoform X2</v>
      </c>
      <c r="J1902">
        <v>8539.86</v>
      </c>
      <c r="K1902" t="s">
        <v>19</v>
      </c>
      <c r="L1902">
        <v>1210</v>
      </c>
      <c r="M1902">
        <v>7.13</v>
      </c>
      <c r="N1902">
        <v>83.21</v>
      </c>
      <c r="O1902" t="s">
        <v>19</v>
      </c>
      <c r="P1902" t="s">
        <v>1267</v>
      </c>
      <c r="Q1902" t="s">
        <v>19</v>
      </c>
      <c r="R1902" t="str">
        <f>HYPERLINK("https://cfpub.epa.gov/ecotox/explore.cfm?ncbi=8469","Explore in ECOTOX")</f>
        <v>Explore in ECOTOX</v>
      </c>
    </row>
    <row r="1903" spans="1:18" x14ac:dyDescent="0.45">
      <c r="A1903" t="s">
        <v>1266</v>
      </c>
      <c r="B1903">
        <v>8</v>
      </c>
      <c r="C1903" t="str">
        <f>HYPERLINK("http://www.ncbi.nlm.nih.gov/protein/XP_022354891.1","XP_022354891.1")</f>
        <v>XP_022354891.1</v>
      </c>
      <c r="D1903">
        <v>36593</v>
      </c>
      <c r="E1903" t="str">
        <f>HYPERLINK("http://www.ncbi.nlm.nih.gov/Taxonomy/Browser/wwwtax.cgi?mode=Info&amp;id=391180&amp;lvl=3&amp;lin=f&amp;keep=1&amp;srchmode=1&amp;unlock","391180")</f>
        <v>391180</v>
      </c>
      <c r="F1903" t="s">
        <v>96</v>
      </c>
      <c r="G1903" t="str">
        <f>HYPERLINK("http://www.ncbi.nlm.nih.gov/Taxonomy/Browser/wwwtax.cgi?mode=Info&amp;id=391180&amp;lvl=3&amp;lin=f&amp;keep=1&amp;srchmode=1&amp;unlock","Enhydra lutris kenyoni")</f>
        <v>Enhydra lutris kenyoni</v>
      </c>
      <c r="H1903" t="s">
        <v>601</v>
      </c>
      <c r="I1903" t="str">
        <f>HYPERLINK("http://www.ncbi.nlm.nih.gov/protein/XP_022354891.1","LOW QUALITY PROTEIN: ryanodine receptor 2")</f>
        <v>LOW QUALITY PROTEIN: ryanodine receptor 2</v>
      </c>
      <c r="J1903">
        <v>8539.48</v>
      </c>
      <c r="K1903" t="s">
        <v>19</v>
      </c>
      <c r="L1903">
        <v>1210</v>
      </c>
      <c r="M1903">
        <v>7.13</v>
      </c>
      <c r="N1903">
        <v>83.21</v>
      </c>
      <c r="O1903" t="s">
        <v>19</v>
      </c>
      <c r="P1903" t="s">
        <v>1267</v>
      </c>
      <c r="Q1903" t="s">
        <v>19</v>
      </c>
      <c r="R1903" t="str">
        <f>HYPERLINK("https://cfpub.epa.gov/ecotox/explore.cfm?ncbi=391180","Explore in ECOTOX")</f>
        <v>Explore in ECOTOX</v>
      </c>
    </row>
    <row r="1904" spans="1:18" x14ac:dyDescent="0.45">
      <c r="A1904" t="s">
        <v>1266</v>
      </c>
      <c r="B1904">
        <v>8</v>
      </c>
      <c r="C1904" t="str">
        <f>HYPERLINK("http://www.ncbi.nlm.nih.gov/protein/XP_029101417.1","XP_029101417.1")</f>
        <v>XP_029101417.1</v>
      </c>
      <c r="D1904">
        <v>65828</v>
      </c>
      <c r="E1904" t="str">
        <f>HYPERLINK("http://www.ncbi.nlm.nih.gov/Taxonomy/Browser/wwwtax.cgi?mode=Info&amp;id=40151&amp;lvl=3&amp;lin=f&amp;keep=1&amp;srchmode=1&amp;unlock","40151")</f>
        <v>40151</v>
      </c>
      <c r="F1904" t="s">
        <v>96</v>
      </c>
      <c r="G1904" t="str">
        <f>HYPERLINK("http://www.ncbi.nlm.nih.gov/Taxonomy/Browser/wwwtax.cgi?mode=Info&amp;id=40151&amp;lvl=3&amp;lin=f&amp;keep=1&amp;srchmode=1&amp;unlock","Monodon monoceros")</f>
        <v>Monodon monoceros</v>
      </c>
      <c r="H1904" t="s">
        <v>591</v>
      </c>
      <c r="I1904" t="str">
        <f>HYPERLINK("http://www.ncbi.nlm.nih.gov/protein/XP_029101417.1","ryanodine receptor 2")</f>
        <v>ryanodine receptor 2</v>
      </c>
      <c r="J1904">
        <v>8539.09</v>
      </c>
      <c r="K1904" t="s">
        <v>19</v>
      </c>
      <c r="L1904">
        <v>1210</v>
      </c>
      <c r="M1904">
        <v>7.13</v>
      </c>
      <c r="N1904">
        <v>83.2</v>
      </c>
      <c r="O1904" t="s">
        <v>19</v>
      </c>
      <c r="P1904" t="s">
        <v>1267</v>
      </c>
      <c r="Q1904" t="s">
        <v>19</v>
      </c>
      <c r="R1904" t="str">
        <f>HYPERLINK("https://cfpub.epa.gov/ecotox/explore.cfm?ncbi=40151","Explore in ECOTOX")</f>
        <v>Explore in ECOTOX</v>
      </c>
    </row>
    <row r="1905" spans="1:18" x14ac:dyDescent="0.45">
      <c r="A1905" t="s">
        <v>1266</v>
      </c>
      <c r="B1905">
        <v>8</v>
      </c>
      <c r="C1905" t="str">
        <f>HYPERLINK("http://www.ncbi.nlm.nih.gov/protein/XP_050172642.1","XP_050172642.1")</f>
        <v>XP_050172642.1</v>
      </c>
      <c r="D1905">
        <v>35686</v>
      </c>
      <c r="E1905" t="str">
        <f>HYPERLINK("http://www.ncbi.nlm.nih.gov/Taxonomy/Browser/wwwtax.cgi?mode=Info&amp;id=478635&amp;lvl=3&amp;lin=f&amp;keep=1&amp;srchmode=1&amp;unlock","478635")</f>
        <v>478635</v>
      </c>
      <c r="F1905" t="s">
        <v>241</v>
      </c>
      <c r="G1905" t="str">
        <f>HYPERLINK("http://www.ncbi.nlm.nih.gov/Taxonomy/Browser/wwwtax.cgi?mode=Info&amp;id=478635&amp;lvl=3&amp;lin=f&amp;keep=1&amp;srchmode=1&amp;unlock","Myiozetetes cayanensis")</f>
        <v>Myiozetetes cayanensis</v>
      </c>
      <c r="H1905" t="s">
        <v>435</v>
      </c>
      <c r="I1905" t="str">
        <f>HYPERLINK("http://www.ncbi.nlm.nih.gov/protein/XP_050172642.1","ryanodine receptor 2 isoform X5")</f>
        <v>ryanodine receptor 2 isoform X5</v>
      </c>
      <c r="J1905">
        <v>8538.7000000000007</v>
      </c>
      <c r="K1905" t="s">
        <v>19</v>
      </c>
      <c r="L1905">
        <v>1210</v>
      </c>
      <c r="M1905">
        <v>7.13</v>
      </c>
      <c r="N1905">
        <v>83.2</v>
      </c>
      <c r="O1905" t="s">
        <v>19</v>
      </c>
      <c r="P1905" t="s">
        <v>1267</v>
      </c>
      <c r="Q1905" t="s">
        <v>19</v>
      </c>
      <c r="R1905" t="str">
        <f>HYPERLINK("https://cfpub.epa.gov/ecotox/explore.cfm?ncbi=478635","Explore in ECOTOX")</f>
        <v>Explore in ECOTOX</v>
      </c>
    </row>
    <row r="1906" spans="1:18" x14ac:dyDescent="0.45">
      <c r="A1906" t="s">
        <v>1266</v>
      </c>
      <c r="B1906">
        <v>8</v>
      </c>
      <c r="C1906" t="str">
        <f>HYPERLINK("http://www.ncbi.nlm.nih.gov/protein/XP_014122906.1","XP_014122906.1")</f>
        <v>XP_014122906.1</v>
      </c>
      <c r="D1906">
        <v>26792</v>
      </c>
      <c r="E1906" t="str">
        <f>HYPERLINK("http://www.ncbi.nlm.nih.gov/Taxonomy/Browser/wwwtax.cgi?mode=Info&amp;id=44394&amp;lvl=3&amp;lin=f&amp;keep=1&amp;srchmode=1&amp;unlock","44394")</f>
        <v>44394</v>
      </c>
      <c r="F1906" t="s">
        <v>241</v>
      </c>
      <c r="G1906" t="str">
        <f>HYPERLINK("http://www.ncbi.nlm.nih.gov/Taxonomy/Browser/wwwtax.cgi?mode=Info&amp;id=44394&amp;lvl=3&amp;lin=f&amp;keep=1&amp;srchmode=1&amp;unlock","Zonotrichia albicollis")</f>
        <v>Zonotrichia albicollis</v>
      </c>
      <c r="H1906" t="s">
        <v>544</v>
      </c>
      <c r="I1906" t="str">
        <f>HYPERLINK("http://www.ncbi.nlm.nih.gov/protein/XP_014122906.1","ryanodine receptor 2 isoform X9")</f>
        <v>ryanodine receptor 2 isoform X9</v>
      </c>
      <c r="J1906">
        <v>8538.7000000000007</v>
      </c>
      <c r="K1906" t="s">
        <v>19</v>
      </c>
      <c r="L1906">
        <v>1210</v>
      </c>
      <c r="M1906">
        <v>7.13</v>
      </c>
      <c r="N1906">
        <v>83.2</v>
      </c>
      <c r="O1906" t="s">
        <v>19</v>
      </c>
      <c r="P1906" t="s">
        <v>1267</v>
      </c>
      <c r="Q1906" t="s">
        <v>19</v>
      </c>
      <c r="R1906" t="str">
        <f>HYPERLINK("https://cfpub.epa.gov/ecotox/explore.cfm?ncbi=44394","Explore in ECOTOX")</f>
        <v>Explore in ECOTOX</v>
      </c>
    </row>
    <row r="1907" spans="1:18" x14ac:dyDescent="0.45">
      <c r="A1907" t="s">
        <v>1266</v>
      </c>
      <c r="B1907">
        <v>8</v>
      </c>
      <c r="C1907" t="str">
        <f>HYPERLINK("http://www.ncbi.nlm.nih.gov/protein/XP_050565782.1","XP_050565782.1")</f>
        <v>XP_050565782.1</v>
      </c>
      <c r="D1907">
        <v>36870</v>
      </c>
      <c r="E1907" t="str">
        <f>HYPERLINK("http://www.ncbi.nlm.nih.gov/Taxonomy/Browser/wwwtax.cgi?mode=Info&amp;id=8868&amp;lvl=3&amp;lin=f&amp;keep=1&amp;srchmode=1&amp;unlock","8868")</f>
        <v>8868</v>
      </c>
      <c r="F1907" t="s">
        <v>241</v>
      </c>
      <c r="G1907" t="str">
        <f>HYPERLINK("http://www.ncbi.nlm.nih.gov/Taxonomy/Browser/wwwtax.cgi?mode=Info&amp;id=8868&amp;lvl=3&amp;lin=f&amp;keep=1&amp;srchmode=1&amp;unlock","Cygnus atratus")</f>
        <v>Cygnus atratus</v>
      </c>
      <c r="H1907" t="s">
        <v>585</v>
      </c>
      <c r="I1907" t="str">
        <f>HYPERLINK("http://www.ncbi.nlm.nih.gov/protein/XP_050565782.1","ryanodine receptor 2")</f>
        <v>ryanodine receptor 2</v>
      </c>
      <c r="J1907">
        <v>8538.7000000000007</v>
      </c>
      <c r="K1907" t="s">
        <v>19</v>
      </c>
      <c r="L1907">
        <v>1210</v>
      </c>
      <c r="M1907">
        <v>7.13</v>
      </c>
      <c r="N1907">
        <v>83.2</v>
      </c>
      <c r="O1907" t="s">
        <v>19</v>
      </c>
      <c r="P1907" t="s">
        <v>1267</v>
      </c>
      <c r="Q1907" t="s">
        <v>19</v>
      </c>
      <c r="R1907" t="str">
        <f>HYPERLINK("https://cfpub.epa.gov/ecotox/explore.cfm?ncbi=8868","Explore in ECOTOX")</f>
        <v>Explore in ECOTOX</v>
      </c>
    </row>
    <row r="1908" spans="1:18" x14ac:dyDescent="0.45">
      <c r="A1908" t="s">
        <v>1266</v>
      </c>
      <c r="B1908">
        <v>8</v>
      </c>
      <c r="C1908" t="str">
        <f>HYPERLINK("http://www.ncbi.nlm.nih.gov/protein/XP_053878679.1","XP_053878679.1")</f>
        <v>XP_053878679.1</v>
      </c>
      <c r="D1908">
        <v>44760</v>
      </c>
      <c r="E1908" t="str">
        <f>HYPERLINK("http://www.ncbi.nlm.nih.gov/Taxonomy/Browser/wwwtax.cgi?mode=Info&amp;id=2991368&amp;lvl=3&amp;lin=f&amp;keep=1&amp;srchmode=1&amp;unlock","2991368")</f>
        <v>2991368</v>
      </c>
      <c r="F1908" t="s">
        <v>203</v>
      </c>
      <c r="G1908" t="str">
        <f>HYPERLINK("http://www.ncbi.nlm.nih.gov/Taxonomy/Browser/wwwtax.cgi?mode=Info&amp;id=2991368&amp;lvl=3&amp;lin=f&amp;keep=1&amp;srchmode=1&amp;unlock","Malaclemys terrapin pileata")</f>
        <v>Malaclemys terrapin pileata</v>
      </c>
      <c r="H1908" t="s">
        <v>211</v>
      </c>
      <c r="I1908" t="str">
        <f>HYPERLINK("http://www.ncbi.nlm.nih.gov/protein/XP_053878679.1","ryanodine receptor 2")</f>
        <v>ryanodine receptor 2</v>
      </c>
      <c r="J1908">
        <v>8538.32</v>
      </c>
      <c r="K1908" t="s">
        <v>19</v>
      </c>
      <c r="L1908">
        <v>1210</v>
      </c>
      <c r="M1908">
        <v>7.13</v>
      </c>
      <c r="N1908">
        <v>83.2</v>
      </c>
      <c r="O1908" t="s">
        <v>19</v>
      </c>
      <c r="P1908" t="s">
        <v>1267</v>
      </c>
      <c r="Q1908" t="s">
        <v>19</v>
      </c>
      <c r="R1908" t="str">
        <f>HYPERLINK("https://cfpub.epa.gov/ecotox/explore.cfm?ncbi=2991368","Explore in ECOTOX")</f>
        <v>Explore in ECOTOX</v>
      </c>
    </row>
    <row r="1909" spans="1:18" x14ac:dyDescent="0.45">
      <c r="A1909" t="s">
        <v>1266</v>
      </c>
      <c r="B1909">
        <v>8</v>
      </c>
      <c r="C1909" t="str">
        <f>HYPERLINK("http://www.ncbi.nlm.nih.gov/protein/XP_024617253.1","XP_024617253.1")</f>
        <v>XP_024617253.1</v>
      </c>
      <c r="D1909">
        <v>38184</v>
      </c>
      <c r="E1909" t="str">
        <f>HYPERLINK("http://www.ncbi.nlm.nih.gov/Taxonomy/Browser/wwwtax.cgi?mode=Info&amp;id=1706337&amp;lvl=3&amp;lin=f&amp;keep=1&amp;srchmode=1&amp;unlock","1706337")</f>
        <v>1706337</v>
      </c>
      <c r="F1909" t="s">
        <v>96</v>
      </c>
      <c r="G1909" t="str">
        <f>HYPERLINK("http://www.ncbi.nlm.nih.gov/Taxonomy/Browser/wwwtax.cgi?mode=Info&amp;id=1706337&amp;lvl=3&amp;lin=f&amp;keep=1&amp;srchmode=1&amp;unlock","Neophocaena asiaeorientalis asiaeorientalis")</f>
        <v>Neophocaena asiaeorientalis asiaeorientalis</v>
      </c>
      <c r="H1909" t="s">
        <v>615</v>
      </c>
      <c r="I1909" t="str">
        <f>HYPERLINK("http://www.ncbi.nlm.nih.gov/protein/XP_024617253.1","ryanodine receptor 2")</f>
        <v>ryanodine receptor 2</v>
      </c>
      <c r="J1909">
        <v>8537.5499999999993</v>
      </c>
      <c r="K1909" t="s">
        <v>19</v>
      </c>
      <c r="L1909">
        <v>1210</v>
      </c>
      <c r="M1909">
        <v>7.13</v>
      </c>
      <c r="N1909">
        <v>83.19</v>
      </c>
      <c r="O1909" t="s">
        <v>19</v>
      </c>
      <c r="P1909" t="s">
        <v>1267</v>
      </c>
      <c r="Q1909" t="s">
        <v>19</v>
      </c>
      <c r="R1909" t="str">
        <f>HYPERLINK("https://cfpub.epa.gov/ecotox/explore.cfm?ncbi=1706337","Explore in ECOTOX")</f>
        <v>Explore in ECOTOX</v>
      </c>
    </row>
    <row r="1910" spans="1:18" x14ac:dyDescent="0.45">
      <c r="A1910" t="s">
        <v>1266</v>
      </c>
      <c r="B1910">
        <v>8</v>
      </c>
      <c r="C1910" t="str">
        <f>HYPERLINK("http://www.ncbi.nlm.nih.gov/protein/XP_055570648.1","XP_055570648.1")</f>
        <v>XP_055570648.1</v>
      </c>
      <c r="D1910">
        <v>43129</v>
      </c>
      <c r="E1910" t="str">
        <f>HYPERLINK("http://www.ncbi.nlm.nih.gov/Taxonomy/Browser/wwwtax.cgi?mode=Info&amp;id=345164&amp;lvl=3&amp;lin=f&amp;keep=1&amp;srchmode=1&amp;unlock","345164")</f>
        <v>345164</v>
      </c>
      <c r="F1910" t="s">
        <v>241</v>
      </c>
      <c r="G1910" t="str">
        <f>HYPERLINK("http://www.ncbi.nlm.nih.gov/Taxonomy/Browser/wwwtax.cgi?mode=Info&amp;id=345164&amp;lvl=3&amp;lin=f&amp;keep=1&amp;srchmode=1&amp;unlock","Falco cherrug")</f>
        <v>Falco cherrug</v>
      </c>
      <c r="H1910" t="s">
        <v>265</v>
      </c>
      <c r="I1910" t="str">
        <f>HYPERLINK("http://www.ncbi.nlm.nih.gov/protein/XP_055570648.1","ryanodine receptor 2 isoform X4")</f>
        <v>ryanodine receptor 2 isoform X4</v>
      </c>
      <c r="J1910">
        <v>8537.5499999999993</v>
      </c>
      <c r="K1910" t="s">
        <v>19</v>
      </c>
      <c r="L1910">
        <v>1210</v>
      </c>
      <c r="M1910">
        <v>7.13</v>
      </c>
      <c r="N1910">
        <v>83.19</v>
      </c>
      <c r="O1910" t="s">
        <v>19</v>
      </c>
      <c r="P1910" t="s">
        <v>1267</v>
      </c>
      <c r="Q1910" t="s">
        <v>19</v>
      </c>
      <c r="R1910" t="str">
        <f>HYPERLINK("https://cfpub.epa.gov/ecotox/explore.cfm?ncbi=345164","Explore in ECOTOX")</f>
        <v>Explore in ECOTOX</v>
      </c>
    </row>
    <row r="1911" spans="1:18" x14ac:dyDescent="0.45">
      <c r="A1911" t="s">
        <v>1266</v>
      </c>
      <c r="B1911">
        <v>8</v>
      </c>
      <c r="C1911" t="str">
        <f>HYPERLINK("http://www.ncbi.nlm.nih.gov/protein/XP_056200299.1","XP_056200299.1")</f>
        <v>XP_056200299.1</v>
      </c>
      <c r="D1911">
        <v>41514</v>
      </c>
      <c r="E1911" t="str">
        <f>HYPERLINK("http://www.ncbi.nlm.nih.gov/Taxonomy/Browser/wwwtax.cgi?mode=Info&amp;id=345155&amp;lvl=3&amp;lin=f&amp;keep=1&amp;srchmode=1&amp;unlock","345155")</f>
        <v>345155</v>
      </c>
      <c r="F1911" t="s">
        <v>241</v>
      </c>
      <c r="G1911" t="str">
        <f>HYPERLINK("http://www.ncbi.nlm.nih.gov/Taxonomy/Browser/wwwtax.cgi?mode=Info&amp;id=345155&amp;lvl=3&amp;lin=f&amp;keep=1&amp;srchmode=1&amp;unlock","Falco biarmicus")</f>
        <v>Falco biarmicus</v>
      </c>
      <c r="H1911" t="s">
        <v>264</v>
      </c>
      <c r="I1911" t="str">
        <f>HYPERLINK("http://www.ncbi.nlm.nih.gov/protein/XP_056200299.1","ryanodine receptor 2 isoform X4")</f>
        <v>ryanodine receptor 2 isoform X4</v>
      </c>
      <c r="J1911">
        <v>8537.5499999999993</v>
      </c>
      <c r="K1911" t="s">
        <v>19</v>
      </c>
      <c r="L1911">
        <v>1210</v>
      </c>
      <c r="M1911">
        <v>7.13</v>
      </c>
      <c r="N1911">
        <v>83.19</v>
      </c>
      <c r="O1911" t="s">
        <v>19</v>
      </c>
      <c r="P1911" t="s">
        <v>1267</v>
      </c>
      <c r="Q1911" t="s">
        <v>19</v>
      </c>
      <c r="R1911" t="str">
        <f>HYPERLINK("https://cfpub.epa.gov/ecotox/explore.cfm?ncbi=345155","Explore in ECOTOX")</f>
        <v>Explore in ECOTOX</v>
      </c>
    </row>
    <row r="1912" spans="1:18" x14ac:dyDescent="0.45">
      <c r="A1912" t="s">
        <v>1266</v>
      </c>
      <c r="B1912">
        <v>8</v>
      </c>
      <c r="C1912" t="str">
        <f>HYPERLINK("http://www.ncbi.nlm.nih.gov/protein/XP_059982874.1","XP_059982874.1")</f>
        <v>XP_059982874.1</v>
      </c>
      <c r="D1912">
        <v>50311</v>
      </c>
      <c r="E1912" t="str">
        <f>HYPERLINK("http://www.ncbi.nlm.nih.gov/Taxonomy/Browser/wwwtax.cgi?mode=Info&amp;id=27610&amp;lvl=3&amp;lin=f&amp;keep=1&amp;srchmode=1&amp;unlock","27610")</f>
        <v>27610</v>
      </c>
      <c r="F1912" t="s">
        <v>96</v>
      </c>
      <c r="G1912" t="str">
        <f>HYPERLINK("http://www.ncbi.nlm.nih.gov/Taxonomy/Browser/wwwtax.cgi?mode=Info&amp;id=27610&amp;lvl=3&amp;lin=f&amp;keep=1&amp;srchmode=1&amp;unlock","Lagenorhynchus albirostris")</f>
        <v>Lagenorhynchus albirostris</v>
      </c>
      <c r="H1912" t="s">
        <v>491</v>
      </c>
      <c r="I1912" t="str">
        <f>HYPERLINK("http://www.ncbi.nlm.nih.gov/protein/XP_059982874.1","ryanodine receptor 2")</f>
        <v>ryanodine receptor 2</v>
      </c>
      <c r="J1912">
        <v>8537.16</v>
      </c>
      <c r="K1912" t="s">
        <v>19</v>
      </c>
      <c r="L1912">
        <v>1210</v>
      </c>
      <c r="M1912">
        <v>7.13</v>
      </c>
      <c r="N1912">
        <v>83.18</v>
      </c>
      <c r="O1912" t="s">
        <v>19</v>
      </c>
      <c r="P1912" t="s">
        <v>1267</v>
      </c>
      <c r="Q1912" t="s">
        <v>19</v>
      </c>
      <c r="R1912" t="str">
        <f>HYPERLINK("https://cfpub.epa.gov/ecotox/explore.cfm?ncbi=27610","Explore in ECOTOX")</f>
        <v>Explore in ECOTOX</v>
      </c>
    </row>
    <row r="1913" spans="1:18" x14ac:dyDescent="0.45">
      <c r="A1913" t="s">
        <v>1266</v>
      </c>
      <c r="B1913">
        <v>8</v>
      </c>
      <c r="C1913" t="str">
        <f>HYPERLINK("http://www.ncbi.nlm.nih.gov/protein/XP_055667060.1","XP_055667060.1")</f>
        <v>XP_055667060.1</v>
      </c>
      <c r="D1913">
        <v>42171</v>
      </c>
      <c r="E1913" t="str">
        <f>HYPERLINK("http://www.ncbi.nlm.nih.gov/Taxonomy/Browser/wwwtax.cgi?mode=Info&amp;id=8954&amp;lvl=3&amp;lin=f&amp;keep=1&amp;srchmode=1&amp;unlock","8954")</f>
        <v>8954</v>
      </c>
      <c r="F1913" t="s">
        <v>241</v>
      </c>
      <c r="G1913" t="str">
        <f>HYPERLINK("http://www.ncbi.nlm.nih.gov/Taxonomy/Browser/wwwtax.cgi?mode=Info&amp;id=8954&amp;lvl=3&amp;lin=f&amp;keep=1&amp;srchmode=1&amp;unlock","Falco peregrinus")</f>
        <v>Falco peregrinus</v>
      </c>
      <c r="H1913" t="s">
        <v>267</v>
      </c>
      <c r="I1913" t="str">
        <f>HYPERLINK("http://www.ncbi.nlm.nih.gov/protein/XP_055667060.1","ryanodine receptor 2 isoform X4")</f>
        <v>ryanodine receptor 2 isoform X4</v>
      </c>
      <c r="J1913">
        <v>8536.01</v>
      </c>
      <c r="K1913" t="s">
        <v>19</v>
      </c>
      <c r="L1913">
        <v>1210</v>
      </c>
      <c r="M1913">
        <v>7.13</v>
      </c>
      <c r="N1913">
        <v>83.17</v>
      </c>
      <c r="O1913" t="s">
        <v>19</v>
      </c>
      <c r="P1913" t="s">
        <v>1267</v>
      </c>
      <c r="Q1913" t="s">
        <v>19</v>
      </c>
      <c r="R1913" t="str">
        <f>HYPERLINK("https://cfpub.epa.gov/ecotox/explore.cfm?ncbi=8954","Explore in ECOTOX")</f>
        <v>Explore in ECOTOX</v>
      </c>
    </row>
    <row r="1914" spans="1:18" x14ac:dyDescent="0.45">
      <c r="A1914" t="s">
        <v>1266</v>
      </c>
      <c r="B1914">
        <v>8</v>
      </c>
      <c r="C1914" t="str">
        <f>HYPERLINK("http://www.ncbi.nlm.nih.gov/protein/XP_005905296.1","XP_005905296.1")</f>
        <v>XP_005905296.1</v>
      </c>
      <c r="D1914">
        <v>68008</v>
      </c>
      <c r="E1914" t="str">
        <f>HYPERLINK("http://www.ncbi.nlm.nih.gov/Taxonomy/Browser/wwwtax.cgi?mode=Info&amp;id=72004&amp;lvl=3&amp;lin=f&amp;keep=1&amp;srchmode=1&amp;unlock","72004")</f>
        <v>72004</v>
      </c>
      <c r="F1914" t="s">
        <v>96</v>
      </c>
      <c r="G1914" t="str">
        <f>HYPERLINK("http://www.ncbi.nlm.nih.gov/Taxonomy/Browser/wwwtax.cgi?mode=Info&amp;id=72004&amp;lvl=3&amp;lin=f&amp;keep=1&amp;srchmode=1&amp;unlock","Bos mutus")</f>
        <v>Bos mutus</v>
      </c>
      <c r="H1914" t="s">
        <v>616</v>
      </c>
      <c r="I1914" t="str">
        <f>HYPERLINK("http://www.ncbi.nlm.nih.gov/protein/XP_005905296.1","PREDICTED: LOW QUALITY PROTEIN: ryanodine receptor 2")</f>
        <v>PREDICTED: LOW QUALITY PROTEIN: ryanodine receptor 2</v>
      </c>
      <c r="J1914">
        <v>8535.6200000000008</v>
      </c>
      <c r="K1914" t="s">
        <v>19</v>
      </c>
      <c r="L1914">
        <v>1210</v>
      </c>
      <c r="M1914">
        <v>7.13</v>
      </c>
      <c r="N1914">
        <v>83.17</v>
      </c>
      <c r="O1914" t="s">
        <v>19</v>
      </c>
      <c r="P1914" t="s">
        <v>1267</v>
      </c>
      <c r="Q1914" t="s">
        <v>19</v>
      </c>
      <c r="R1914" t="str">
        <f>HYPERLINK("https://cfpub.epa.gov/ecotox/explore.cfm?ncbi=72004","Explore in ECOTOX")</f>
        <v>Explore in ECOTOX</v>
      </c>
    </row>
    <row r="1915" spans="1:18" x14ac:dyDescent="0.45">
      <c r="A1915" t="s">
        <v>1266</v>
      </c>
      <c r="B1915">
        <v>8</v>
      </c>
      <c r="C1915" t="str">
        <f>HYPERLINK("http://www.ncbi.nlm.nih.gov/protein/XP_051639729.1","XP_051639729.1")</f>
        <v>XP_051639729.1</v>
      </c>
      <c r="D1915">
        <v>44983</v>
      </c>
      <c r="E1915" t="str">
        <f>HYPERLINK("http://www.ncbi.nlm.nih.gov/Taxonomy/Browser/wwwtax.cgi?mode=Info&amp;id=415023&amp;lvl=3&amp;lin=f&amp;keep=1&amp;srchmode=1&amp;unlock","415023")</f>
        <v>415023</v>
      </c>
      <c r="F1915" t="s">
        <v>241</v>
      </c>
      <c r="G1915" t="str">
        <f>HYPERLINK("http://www.ncbi.nlm.nih.gov/Taxonomy/Browser/wwwtax.cgi?mode=Info&amp;id=415023&amp;lvl=3&amp;lin=f&amp;keep=1&amp;srchmode=1&amp;unlock","Manacus candei")</f>
        <v>Manacus candei</v>
      </c>
      <c r="H1915" t="s">
        <v>278</v>
      </c>
      <c r="I1915" t="str">
        <f>HYPERLINK("http://www.ncbi.nlm.nih.gov/protein/XP_051639729.1","ryanodine receptor 2 isoform X2")</f>
        <v>ryanodine receptor 2 isoform X2</v>
      </c>
      <c r="J1915">
        <v>8535.6200000000008</v>
      </c>
      <c r="K1915" t="s">
        <v>19</v>
      </c>
      <c r="L1915">
        <v>1210</v>
      </c>
      <c r="M1915">
        <v>7.13</v>
      </c>
      <c r="N1915">
        <v>83.17</v>
      </c>
      <c r="O1915" t="s">
        <v>19</v>
      </c>
      <c r="P1915" t="s">
        <v>1267</v>
      </c>
      <c r="Q1915" t="s">
        <v>19</v>
      </c>
      <c r="R1915" t="str">
        <f>HYPERLINK("https://cfpub.epa.gov/ecotox/explore.cfm?ncbi=415023","Explore in ECOTOX")</f>
        <v>Explore in ECOTOX</v>
      </c>
    </row>
    <row r="1916" spans="1:18" x14ac:dyDescent="0.45">
      <c r="A1916" t="s">
        <v>1266</v>
      </c>
      <c r="B1916">
        <v>8</v>
      </c>
      <c r="C1916" t="str">
        <f>HYPERLINK("http://www.ncbi.nlm.nih.gov/protein/XP_029820985.1","XP_029820985.1")</f>
        <v>XP_029820985.1</v>
      </c>
      <c r="D1916">
        <v>37259</v>
      </c>
      <c r="E1916" t="str">
        <f>HYPERLINK("http://www.ncbi.nlm.nih.gov/Taxonomy/Browser/wwwtax.cgi?mode=Info&amp;id=328815&amp;lvl=3&amp;lin=f&amp;keep=1&amp;srchmode=1&amp;unlock","328815")</f>
        <v>328815</v>
      </c>
      <c r="F1916" t="s">
        <v>241</v>
      </c>
      <c r="G1916" t="str">
        <f>HYPERLINK("http://www.ncbi.nlm.nih.gov/Taxonomy/Browser/wwwtax.cgi?mode=Info&amp;id=328815&amp;lvl=3&amp;lin=f&amp;keep=1&amp;srchmode=1&amp;unlock","Manacus vitellinus")</f>
        <v>Manacus vitellinus</v>
      </c>
      <c r="H1916" t="s">
        <v>332</v>
      </c>
      <c r="I1916" t="str">
        <f>HYPERLINK("http://www.ncbi.nlm.nih.gov/protein/XP_029820985.1","ryanodine receptor 2")</f>
        <v>ryanodine receptor 2</v>
      </c>
      <c r="J1916">
        <v>8535.24</v>
      </c>
      <c r="K1916" t="s">
        <v>19</v>
      </c>
      <c r="L1916">
        <v>1210</v>
      </c>
      <c r="M1916">
        <v>7.13</v>
      </c>
      <c r="N1916">
        <v>83.17</v>
      </c>
      <c r="O1916" t="s">
        <v>19</v>
      </c>
      <c r="P1916" t="s">
        <v>1267</v>
      </c>
      <c r="Q1916" t="s">
        <v>19</v>
      </c>
      <c r="R1916" t="str">
        <f>HYPERLINK("https://cfpub.epa.gov/ecotox/explore.cfm?ncbi=328815","Explore in ECOTOX")</f>
        <v>Explore in ECOTOX</v>
      </c>
    </row>
    <row r="1917" spans="1:18" x14ac:dyDescent="0.45">
      <c r="A1917" t="s">
        <v>1266</v>
      </c>
      <c r="B1917">
        <v>8</v>
      </c>
      <c r="C1917" t="str">
        <f>HYPERLINK("http://www.ncbi.nlm.nih.gov/protein/XP_009931611.1","XP_009931611.1")</f>
        <v>XP_009931611.1</v>
      </c>
      <c r="D1917">
        <v>27858</v>
      </c>
      <c r="E1917" t="str">
        <f>HYPERLINK("http://www.ncbi.nlm.nih.gov/Taxonomy/Browser/wwwtax.cgi?mode=Info&amp;id=30419&amp;lvl=3&amp;lin=f&amp;keep=1&amp;srchmode=1&amp;unlock","30419")</f>
        <v>30419</v>
      </c>
      <c r="F1917" t="s">
        <v>241</v>
      </c>
      <c r="G1917" t="str">
        <f>HYPERLINK("http://www.ncbi.nlm.nih.gov/Taxonomy/Browser/wwwtax.cgi?mode=Info&amp;id=30419&amp;lvl=3&amp;lin=f&amp;keep=1&amp;srchmode=1&amp;unlock","Opisthocomus hoazin")</f>
        <v>Opisthocomus hoazin</v>
      </c>
      <c r="H1917" t="s">
        <v>346</v>
      </c>
      <c r="I1917" t="str">
        <f>HYPERLINK("http://www.ncbi.nlm.nih.gov/protein/XP_009931611.1","PREDICTED: ryanodine receptor 2")</f>
        <v>PREDICTED: ryanodine receptor 2</v>
      </c>
      <c r="J1917">
        <v>8534.4699999999993</v>
      </c>
      <c r="K1917" t="s">
        <v>19</v>
      </c>
      <c r="L1917">
        <v>1210</v>
      </c>
      <c r="M1917">
        <v>7.13</v>
      </c>
      <c r="N1917">
        <v>83.16</v>
      </c>
      <c r="O1917" t="s">
        <v>19</v>
      </c>
      <c r="P1917" t="s">
        <v>1267</v>
      </c>
      <c r="Q1917" t="s">
        <v>19</v>
      </c>
      <c r="R1917" t="str">
        <f>HYPERLINK("https://cfpub.epa.gov/ecotox/explore.cfm?ncbi=30419","Explore in ECOTOX")</f>
        <v>Explore in ECOTOX</v>
      </c>
    </row>
    <row r="1918" spans="1:18" x14ac:dyDescent="0.45">
      <c r="A1918" t="s">
        <v>1266</v>
      </c>
      <c r="B1918">
        <v>8</v>
      </c>
      <c r="C1918" t="str">
        <f>HYPERLINK("http://www.ncbi.nlm.nih.gov/protein/XP_054831138.1","XP_054831138.1")</f>
        <v>XP_054831138.1</v>
      </c>
      <c r="D1918">
        <v>34377</v>
      </c>
      <c r="E1918" t="str">
        <f>HYPERLINK("http://www.ncbi.nlm.nih.gov/Taxonomy/Browser/wwwtax.cgi?mode=Info&amp;id=481883&amp;lvl=3&amp;lin=f&amp;keep=1&amp;srchmode=1&amp;unlock","481883")</f>
        <v>481883</v>
      </c>
      <c r="F1918" t="s">
        <v>192</v>
      </c>
      <c r="G1918" t="str">
        <f>HYPERLINK("http://www.ncbi.nlm.nih.gov/Taxonomy/Browser/wwwtax.cgi?mode=Info&amp;id=481883&amp;lvl=3&amp;lin=f&amp;keep=1&amp;srchmode=1&amp;unlock","Eublepharis macularius")</f>
        <v>Eublepharis macularius</v>
      </c>
      <c r="H1918" t="s">
        <v>207</v>
      </c>
      <c r="I1918" t="str">
        <f>HYPERLINK("http://www.ncbi.nlm.nih.gov/protein/XP_054831138.1","ryanodine receptor 2")</f>
        <v>ryanodine receptor 2</v>
      </c>
      <c r="J1918">
        <v>8534.08</v>
      </c>
      <c r="K1918" t="s">
        <v>19</v>
      </c>
      <c r="L1918">
        <v>1210</v>
      </c>
      <c r="M1918">
        <v>7.13</v>
      </c>
      <c r="N1918">
        <v>83.15</v>
      </c>
      <c r="O1918" t="s">
        <v>19</v>
      </c>
      <c r="P1918" t="s">
        <v>1267</v>
      </c>
      <c r="Q1918" t="s">
        <v>19</v>
      </c>
      <c r="R1918" t="str">
        <f>HYPERLINK("https://cfpub.epa.gov/ecotox/explore.cfm?ncbi=481883","Explore in ECOTOX")</f>
        <v>Explore in ECOTOX</v>
      </c>
    </row>
    <row r="1919" spans="1:18" x14ac:dyDescent="0.45">
      <c r="A1919" t="s">
        <v>1266</v>
      </c>
      <c r="B1919">
        <v>8</v>
      </c>
      <c r="C1919" t="str">
        <f>HYPERLINK("http://www.ncbi.nlm.nih.gov/protein/XP_056672063.1","XP_056672063.1")</f>
        <v>XP_056672063.1</v>
      </c>
      <c r="D1919">
        <v>64551</v>
      </c>
      <c r="E1919" t="str">
        <f>HYPERLINK("http://www.ncbi.nlm.nih.gov/Taxonomy/Browser/wwwtax.cgi?mode=Info&amp;id=13616&amp;lvl=3&amp;lin=f&amp;keep=1&amp;srchmode=1&amp;unlock","13616")</f>
        <v>13616</v>
      </c>
      <c r="F1919" t="s">
        <v>96</v>
      </c>
      <c r="G1919" t="str">
        <f>HYPERLINK("http://www.ncbi.nlm.nih.gov/Taxonomy/Browser/wwwtax.cgi?mode=Info&amp;id=13616&amp;lvl=3&amp;lin=f&amp;keep=1&amp;srchmode=1&amp;unlock","Monodelphis domestica")</f>
        <v>Monodelphis domestica</v>
      </c>
      <c r="H1919" t="s">
        <v>376</v>
      </c>
      <c r="I1919" t="str">
        <f>HYPERLINK("http://www.ncbi.nlm.nih.gov/protein/XP_056672063.1","ryanodine receptor 2 isoform X1")</f>
        <v>ryanodine receptor 2 isoform X1</v>
      </c>
      <c r="J1919">
        <v>8534.08</v>
      </c>
      <c r="K1919" t="s">
        <v>19</v>
      </c>
      <c r="L1919">
        <v>1210</v>
      </c>
      <c r="M1919">
        <v>7.13</v>
      </c>
      <c r="N1919">
        <v>83.15</v>
      </c>
      <c r="O1919" t="s">
        <v>19</v>
      </c>
      <c r="P1919" t="s">
        <v>1267</v>
      </c>
      <c r="Q1919" t="s">
        <v>19</v>
      </c>
      <c r="R1919" t="str">
        <f>HYPERLINK("https://cfpub.epa.gov/ecotox/explore.cfm?ncbi=13616","Explore in ECOTOX")</f>
        <v>Explore in ECOTOX</v>
      </c>
    </row>
    <row r="1920" spans="1:18" x14ac:dyDescent="0.45">
      <c r="A1920" t="s">
        <v>1266</v>
      </c>
      <c r="B1920">
        <v>8</v>
      </c>
      <c r="C1920" t="str">
        <f>HYPERLINK("http://www.ncbi.nlm.nih.gov/protein/XP_054937185.1","XP_054937185.1")</f>
        <v>XP_054937185.1</v>
      </c>
      <c r="D1920">
        <v>52454</v>
      </c>
      <c r="E1920" t="str">
        <f>HYPERLINK("http://www.ncbi.nlm.nih.gov/Taxonomy/Browser/wwwtax.cgi?mode=Info&amp;id=9755&amp;lvl=3&amp;lin=f&amp;keep=1&amp;srchmode=1&amp;unlock","9755")</f>
        <v>9755</v>
      </c>
      <c r="F1920" t="s">
        <v>96</v>
      </c>
      <c r="G1920" t="str">
        <f>HYPERLINK("http://www.ncbi.nlm.nih.gov/Taxonomy/Browser/wwwtax.cgi?mode=Info&amp;id=9755&amp;lvl=3&amp;lin=f&amp;keep=1&amp;srchmode=1&amp;unlock","Physeter catodon")</f>
        <v>Physeter catodon</v>
      </c>
      <c r="H1920" t="s">
        <v>399</v>
      </c>
      <c r="I1920" t="str">
        <f>HYPERLINK("http://www.ncbi.nlm.nih.gov/protein/XP_054937185.1","ryanodine receptor 2")</f>
        <v>ryanodine receptor 2</v>
      </c>
      <c r="J1920">
        <v>8534.08</v>
      </c>
      <c r="K1920" t="s">
        <v>19</v>
      </c>
      <c r="L1920">
        <v>1210</v>
      </c>
      <c r="M1920">
        <v>7.13</v>
      </c>
      <c r="N1920">
        <v>83.15</v>
      </c>
      <c r="O1920" t="s">
        <v>19</v>
      </c>
      <c r="P1920" t="s">
        <v>1267</v>
      </c>
      <c r="Q1920" t="s">
        <v>19</v>
      </c>
      <c r="R1920" t="str">
        <f>HYPERLINK("https://cfpub.epa.gov/ecotox/explore.cfm?ncbi=9755","Explore in ECOTOX")</f>
        <v>Explore in ECOTOX</v>
      </c>
    </row>
    <row r="1921" spans="1:18" x14ac:dyDescent="0.45">
      <c r="A1921" t="s">
        <v>1266</v>
      </c>
      <c r="B1921">
        <v>8</v>
      </c>
      <c r="C1921" t="str">
        <f>HYPERLINK("http://www.ncbi.nlm.nih.gov/protein/XP_044866252.1","XP_044866252.1")</f>
        <v>XP_044866252.1</v>
      </c>
      <c r="D1921">
        <v>78394</v>
      </c>
      <c r="E1921" t="str">
        <f>HYPERLINK("http://www.ncbi.nlm.nih.gov/Taxonomy/Browser/wwwtax.cgi?mode=Info&amp;id=74926&amp;lvl=3&amp;lin=f&amp;keep=1&amp;srchmode=1&amp;unlock","74926")</f>
        <v>74926</v>
      </c>
      <c r="F1921" t="s">
        <v>203</v>
      </c>
      <c r="G1921" t="str">
        <f>HYPERLINK("http://www.ncbi.nlm.nih.gov/Taxonomy/Browser/wwwtax.cgi?mode=Info&amp;id=74926&amp;lvl=3&amp;lin=f&amp;keep=1&amp;srchmode=1&amp;unlock","Mauremys mutica")</f>
        <v>Mauremys mutica</v>
      </c>
      <c r="H1921" t="s">
        <v>222</v>
      </c>
      <c r="I1921" t="str">
        <f>HYPERLINK("http://www.ncbi.nlm.nih.gov/protein/XP_044866252.1","ryanodine receptor 2, partial")</f>
        <v>ryanodine receptor 2, partial</v>
      </c>
      <c r="J1921">
        <v>8533.7000000000007</v>
      </c>
      <c r="K1921" t="s">
        <v>19</v>
      </c>
      <c r="L1921">
        <v>1210</v>
      </c>
      <c r="M1921">
        <v>7.13</v>
      </c>
      <c r="N1921">
        <v>83.15</v>
      </c>
      <c r="O1921" t="s">
        <v>19</v>
      </c>
      <c r="P1921" t="s">
        <v>1267</v>
      </c>
      <c r="Q1921" t="s">
        <v>19</v>
      </c>
      <c r="R1921" t="str">
        <f>HYPERLINK("https://cfpub.epa.gov/ecotox/explore.cfm?ncbi=74926","Explore in ECOTOX")</f>
        <v>Explore in ECOTOX</v>
      </c>
    </row>
    <row r="1922" spans="1:18" x14ac:dyDescent="0.45">
      <c r="A1922" t="s">
        <v>1266</v>
      </c>
      <c r="B1922">
        <v>8</v>
      </c>
      <c r="C1922" t="str">
        <f>HYPERLINK("http://www.ncbi.nlm.nih.gov/protein/XP_058275573.1","XP_058275573.1")</f>
        <v>XP_058275573.1</v>
      </c>
      <c r="D1922">
        <v>51036</v>
      </c>
      <c r="E1922" t="str">
        <f>HYPERLINK("http://www.ncbi.nlm.nih.gov/Taxonomy/Browser/wwwtax.cgi?mode=Info&amp;id=43150&amp;lvl=3&amp;lin=f&amp;keep=1&amp;srchmode=1&amp;unlock","43150")</f>
        <v>43150</v>
      </c>
      <c r="F1922" t="s">
        <v>241</v>
      </c>
      <c r="G1922" t="str">
        <f>HYPERLINK("http://www.ncbi.nlm.nih.gov/Taxonomy/Browser/wwwtax.cgi?mode=Info&amp;id=43150&amp;lvl=3&amp;lin=f&amp;keep=1&amp;srchmode=1&amp;unlock","Hirundo rustica")</f>
        <v>Hirundo rustica</v>
      </c>
      <c r="H1922" t="s">
        <v>549</v>
      </c>
      <c r="I1922" t="str">
        <f>HYPERLINK("http://www.ncbi.nlm.nih.gov/protein/XP_058275573.1","ryanodine receptor 2 isoform X2")</f>
        <v>ryanodine receptor 2 isoform X2</v>
      </c>
      <c r="J1922">
        <v>8533.7000000000007</v>
      </c>
      <c r="K1922" t="s">
        <v>19</v>
      </c>
      <c r="L1922">
        <v>1210</v>
      </c>
      <c r="M1922">
        <v>7.13</v>
      </c>
      <c r="N1922">
        <v>83.15</v>
      </c>
      <c r="O1922" t="s">
        <v>19</v>
      </c>
      <c r="P1922" t="s">
        <v>1267</v>
      </c>
      <c r="Q1922" t="s">
        <v>19</v>
      </c>
      <c r="R1922" t="str">
        <f>HYPERLINK("https://cfpub.epa.gov/ecotox/explore.cfm?ncbi=43150","Explore in ECOTOX")</f>
        <v>Explore in ECOTOX</v>
      </c>
    </row>
    <row r="1923" spans="1:18" x14ac:dyDescent="0.45">
      <c r="A1923" t="s">
        <v>1266</v>
      </c>
      <c r="B1923">
        <v>8</v>
      </c>
      <c r="C1923" t="str">
        <f>HYPERLINK("http://www.ncbi.nlm.nih.gov/protein/XP_014118778.1","XP_014118778.1")</f>
        <v>XP_014118778.1</v>
      </c>
      <c r="D1923">
        <v>27658</v>
      </c>
      <c r="E1923" t="str">
        <f>HYPERLINK("http://www.ncbi.nlm.nih.gov/Taxonomy/Browser/wwwtax.cgi?mode=Info&amp;id=181119&amp;lvl=3&amp;lin=f&amp;keep=1&amp;srchmode=1&amp;unlock","181119")</f>
        <v>181119</v>
      </c>
      <c r="F1923" t="s">
        <v>241</v>
      </c>
      <c r="G1923" t="str">
        <f>HYPERLINK("http://www.ncbi.nlm.nih.gov/Taxonomy/Browser/wwwtax.cgi?mode=Info&amp;id=181119&amp;lvl=3&amp;lin=f&amp;keep=1&amp;srchmode=1&amp;unlock","Pseudopodoces humilis")</f>
        <v>Pseudopodoces humilis</v>
      </c>
      <c r="H1923" t="s">
        <v>567</v>
      </c>
      <c r="I1923" t="str">
        <f>HYPERLINK("http://www.ncbi.nlm.nih.gov/protein/XP_014118778.1","PREDICTED: ryanodine receptor 2")</f>
        <v>PREDICTED: ryanodine receptor 2</v>
      </c>
      <c r="J1923">
        <v>8533.31</v>
      </c>
      <c r="K1923" t="s">
        <v>19</v>
      </c>
      <c r="L1923">
        <v>1210</v>
      </c>
      <c r="M1923">
        <v>7.13</v>
      </c>
      <c r="N1923">
        <v>83.15</v>
      </c>
      <c r="O1923" t="s">
        <v>19</v>
      </c>
      <c r="P1923" t="s">
        <v>1267</v>
      </c>
      <c r="Q1923" t="s">
        <v>19</v>
      </c>
      <c r="R1923" t="str">
        <f>HYPERLINK("https://cfpub.epa.gov/ecotox/explore.cfm?ncbi=181119","Explore in ECOTOX")</f>
        <v>Explore in ECOTOX</v>
      </c>
    </row>
    <row r="1924" spans="1:18" x14ac:dyDescent="0.45">
      <c r="A1924" t="s">
        <v>1266</v>
      </c>
      <c r="B1924">
        <v>8</v>
      </c>
      <c r="C1924" t="str">
        <f>HYPERLINK("http://www.ncbi.nlm.nih.gov/protein/XP_007453016.1","XP_007453016.1")</f>
        <v>XP_007453016.1</v>
      </c>
      <c r="D1924">
        <v>26246</v>
      </c>
      <c r="E1924" t="str">
        <f>HYPERLINK("http://www.ncbi.nlm.nih.gov/Taxonomy/Browser/wwwtax.cgi?mode=Info&amp;id=118797&amp;lvl=3&amp;lin=f&amp;keep=1&amp;srchmode=1&amp;unlock","118797")</f>
        <v>118797</v>
      </c>
      <c r="F1924" t="s">
        <v>96</v>
      </c>
      <c r="G1924" t="str">
        <f>HYPERLINK("http://www.ncbi.nlm.nih.gov/Taxonomy/Browser/wwwtax.cgi?mode=Info&amp;id=118797&amp;lvl=3&amp;lin=f&amp;keep=1&amp;srchmode=1&amp;unlock","Lipotes vexillifer")</f>
        <v>Lipotes vexillifer</v>
      </c>
      <c r="H1924" t="s">
        <v>499</v>
      </c>
      <c r="I1924" t="str">
        <f>HYPERLINK("http://www.ncbi.nlm.nih.gov/protein/XP_007453016.1","PREDICTED: ryanodine receptor 2-like")</f>
        <v>PREDICTED: ryanodine receptor 2-like</v>
      </c>
      <c r="J1924">
        <v>8532.93</v>
      </c>
      <c r="K1924" t="s">
        <v>19</v>
      </c>
      <c r="L1924">
        <v>1210</v>
      </c>
      <c r="M1924">
        <v>7.13</v>
      </c>
      <c r="N1924">
        <v>83.14</v>
      </c>
      <c r="O1924" t="s">
        <v>19</v>
      </c>
      <c r="P1924" t="s">
        <v>1267</v>
      </c>
      <c r="Q1924" t="s">
        <v>19</v>
      </c>
      <c r="R1924" t="str">
        <f>HYPERLINK("https://cfpub.epa.gov/ecotox/explore.cfm?ncbi=118797","Explore in ECOTOX")</f>
        <v>Explore in ECOTOX</v>
      </c>
    </row>
    <row r="1925" spans="1:18" x14ac:dyDescent="0.45">
      <c r="A1925" t="s">
        <v>1266</v>
      </c>
      <c r="B1925">
        <v>8</v>
      </c>
      <c r="C1925" t="str">
        <f>HYPERLINK("http://www.ncbi.nlm.nih.gov/protein/XP_029775287.1","XP_029775287.1")</f>
        <v>XP_029775287.1</v>
      </c>
      <c r="D1925">
        <v>43433</v>
      </c>
      <c r="E1925" t="str">
        <f>HYPERLINK("http://www.ncbi.nlm.nih.gov/Taxonomy/Browser/wwwtax.cgi?mode=Info&amp;id=37032&amp;lvl=3&amp;lin=f&amp;keep=1&amp;srchmode=1&amp;unlock","37032")</f>
        <v>37032</v>
      </c>
      <c r="F1925" t="s">
        <v>96</v>
      </c>
      <c r="G1925" t="str">
        <f>HYPERLINK("http://www.ncbi.nlm.nih.gov/Taxonomy/Browser/wwwtax.cgi?mode=Info&amp;id=37032&amp;lvl=3&amp;lin=f&amp;keep=1&amp;srchmode=1&amp;unlock","Suricata suricatta")</f>
        <v>Suricata suricatta</v>
      </c>
      <c r="H1925" t="s">
        <v>377</v>
      </c>
      <c r="I1925" t="str">
        <f>HYPERLINK("http://www.ncbi.nlm.nih.gov/protein/XP_029775287.1","ryanodine receptor 2")</f>
        <v>ryanodine receptor 2</v>
      </c>
      <c r="J1925">
        <v>8530.23</v>
      </c>
      <c r="K1925" t="s">
        <v>19</v>
      </c>
      <c r="L1925">
        <v>1210</v>
      </c>
      <c r="M1925">
        <v>7.13</v>
      </c>
      <c r="N1925">
        <v>83.12</v>
      </c>
      <c r="O1925" t="s">
        <v>19</v>
      </c>
      <c r="P1925" t="s">
        <v>1267</v>
      </c>
      <c r="Q1925" t="s">
        <v>19</v>
      </c>
      <c r="R1925" t="str">
        <f>HYPERLINK("https://cfpub.epa.gov/ecotox/explore.cfm?ncbi=37032","Explore in ECOTOX")</f>
        <v>Explore in ECOTOX</v>
      </c>
    </row>
    <row r="1926" spans="1:18" x14ac:dyDescent="0.45">
      <c r="A1926" t="s">
        <v>1266</v>
      </c>
      <c r="B1926">
        <v>8</v>
      </c>
      <c r="C1926" t="str">
        <f>HYPERLINK("http://www.ncbi.nlm.nih.gov/protein/XP_043333238.1","XP_043333238.1")</f>
        <v>XP_043333238.1</v>
      </c>
      <c r="D1926">
        <v>56212</v>
      </c>
      <c r="E1926" t="str">
        <f>HYPERLINK("http://www.ncbi.nlm.nih.gov/Taxonomy/Browser/wwwtax.cgi?mode=Info&amp;id=1574408&amp;lvl=3&amp;lin=f&amp;keep=1&amp;srchmode=1&amp;unlock","1574408")</f>
        <v>1574408</v>
      </c>
      <c r="F1926" t="s">
        <v>96</v>
      </c>
      <c r="G1926" t="str">
        <f>HYPERLINK("http://www.ncbi.nlm.nih.gov/Taxonomy/Browser/wwwtax.cgi?mode=Info&amp;id=1574408&amp;lvl=3&amp;lin=f&amp;keep=1&amp;srchmode=1&amp;unlock","Cervus canadensis")</f>
        <v>Cervus canadensis</v>
      </c>
      <c r="H1926" t="s">
        <v>614</v>
      </c>
      <c r="I1926" t="str">
        <f>HYPERLINK("http://www.ncbi.nlm.nih.gov/protein/XP_043333238.1","ryanodine receptor 2")</f>
        <v>ryanodine receptor 2</v>
      </c>
      <c r="J1926">
        <v>8529.85</v>
      </c>
      <c r="K1926" t="s">
        <v>19</v>
      </c>
      <c r="L1926">
        <v>1210</v>
      </c>
      <c r="M1926">
        <v>7.13</v>
      </c>
      <c r="N1926">
        <v>83.11</v>
      </c>
      <c r="O1926" t="s">
        <v>19</v>
      </c>
      <c r="P1926" t="s">
        <v>1267</v>
      </c>
      <c r="Q1926" t="s">
        <v>19</v>
      </c>
      <c r="R1926" t="str">
        <f>HYPERLINK("https://cfpub.epa.gov/ecotox/explore.cfm?ncbi=1574408","Explore in ECOTOX")</f>
        <v>Explore in ECOTOX</v>
      </c>
    </row>
    <row r="1927" spans="1:18" x14ac:dyDescent="0.45">
      <c r="A1927" t="s">
        <v>1266</v>
      </c>
      <c r="B1927">
        <v>8</v>
      </c>
      <c r="C1927" t="str">
        <f>HYPERLINK("http://www.ncbi.nlm.nih.gov/protein/XP_009891954.1","XP_009891954.1")</f>
        <v>XP_009891954.1</v>
      </c>
      <c r="D1927">
        <v>30702</v>
      </c>
      <c r="E1927" t="str">
        <f>HYPERLINK("http://www.ncbi.nlm.nih.gov/Taxonomy/Browser/wwwtax.cgi?mode=Info&amp;id=50402&amp;lvl=3&amp;lin=f&amp;keep=1&amp;srchmode=1&amp;unlock","50402")</f>
        <v>50402</v>
      </c>
      <c r="F1927" t="s">
        <v>241</v>
      </c>
      <c r="G1927" t="str">
        <f>HYPERLINK("http://www.ncbi.nlm.nih.gov/Taxonomy/Browser/wwwtax.cgi?mode=Info&amp;id=50402&amp;lvl=3&amp;lin=f&amp;keep=1&amp;srchmode=1&amp;unlock","Charadrius vociferus")</f>
        <v>Charadrius vociferus</v>
      </c>
      <c r="H1927" t="s">
        <v>357</v>
      </c>
      <c r="I1927" t="str">
        <f>HYPERLINK("http://www.ncbi.nlm.nih.gov/protein/XP_009891954.1","PREDICTED: ryanodine receptor 2")</f>
        <v>PREDICTED: ryanodine receptor 2</v>
      </c>
      <c r="J1927">
        <v>8529.4599999999991</v>
      </c>
      <c r="K1927" t="s">
        <v>19</v>
      </c>
      <c r="L1927">
        <v>1210</v>
      </c>
      <c r="M1927">
        <v>7.13</v>
      </c>
      <c r="N1927">
        <v>83.11</v>
      </c>
      <c r="O1927" t="s">
        <v>19</v>
      </c>
      <c r="P1927" t="s">
        <v>1267</v>
      </c>
      <c r="Q1927" t="s">
        <v>19</v>
      </c>
      <c r="R1927" t="str">
        <f>HYPERLINK("https://cfpub.epa.gov/ecotox/explore.cfm?ncbi=50402","Explore in ECOTOX")</f>
        <v>Explore in ECOTOX</v>
      </c>
    </row>
    <row r="1928" spans="1:18" x14ac:dyDescent="0.45">
      <c r="A1928" t="s">
        <v>1266</v>
      </c>
      <c r="B1928">
        <v>8</v>
      </c>
      <c r="C1928" t="str">
        <f>HYPERLINK("http://www.ncbi.nlm.nih.gov/protein/XP_060686775.1","XP_060686775.1")</f>
        <v>XP_060686775.1</v>
      </c>
      <c r="D1928">
        <v>36593</v>
      </c>
      <c r="E1928" t="str">
        <f>HYPERLINK("http://www.ncbi.nlm.nih.gov/Taxonomy/Browser/wwwtax.cgi?mode=Info&amp;id=170820&amp;lvl=3&amp;lin=f&amp;keep=1&amp;srchmode=1&amp;unlock","170820")</f>
        <v>170820</v>
      </c>
      <c r="F1928" t="s">
        <v>195</v>
      </c>
      <c r="G1928" t="str">
        <f>HYPERLINK("http://www.ncbi.nlm.nih.gov/Taxonomy/Browser/wwwtax.cgi?mode=Info&amp;id=170820&amp;lvl=3&amp;lin=f&amp;keep=1&amp;srchmode=1&amp;unlock","Hemiscyllium ocellatum")</f>
        <v>Hemiscyllium ocellatum</v>
      </c>
      <c r="H1928" t="s">
        <v>205</v>
      </c>
      <c r="I1928" t="str">
        <f>HYPERLINK("http://www.ncbi.nlm.nih.gov/protein/XP_060686775.1","ryanodine receptor 2")</f>
        <v>ryanodine receptor 2</v>
      </c>
      <c r="J1928">
        <v>8529.07</v>
      </c>
      <c r="K1928" t="s">
        <v>19</v>
      </c>
      <c r="L1928">
        <v>1210</v>
      </c>
      <c r="M1928">
        <v>7.13</v>
      </c>
      <c r="N1928">
        <v>83.11</v>
      </c>
      <c r="O1928" t="s">
        <v>19</v>
      </c>
      <c r="P1928" t="s">
        <v>1267</v>
      </c>
      <c r="Q1928" t="s">
        <v>19</v>
      </c>
      <c r="R1928" t="str">
        <f>HYPERLINK("https://cfpub.epa.gov/ecotox/explore.cfm?ncbi=170820","Explore in ECOTOX")</f>
        <v>Explore in ECOTOX</v>
      </c>
    </row>
    <row r="1929" spans="1:18" x14ac:dyDescent="0.45">
      <c r="A1929" t="s">
        <v>1266</v>
      </c>
      <c r="B1929">
        <v>8</v>
      </c>
      <c r="C1929" t="str">
        <f>HYPERLINK("http://www.ncbi.nlm.nih.gov/protein/XP_042704312.1","XP_042704312.1")</f>
        <v>XP_042704312.1</v>
      </c>
      <c r="D1929">
        <v>57095</v>
      </c>
      <c r="E1929" t="str">
        <f>HYPERLINK("http://www.ncbi.nlm.nih.gov/Taxonomy/Browser/wwwtax.cgi?mode=Info&amp;id=8478&amp;lvl=3&amp;lin=f&amp;keep=1&amp;srchmode=1&amp;unlock","8478")</f>
        <v>8478</v>
      </c>
      <c r="F1929" t="s">
        <v>203</v>
      </c>
      <c r="G1929" t="str">
        <f>HYPERLINK("http://www.ncbi.nlm.nih.gov/Taxonomy/Browser/wwwtax.cgi?mode=Info&amp;id=8478&amp;lvl=3&amp;lin=f&amp;keep=1&amp;srchmode=1&amp;unlock","Chrysemys picta bellii")</f>
        <v>Chrysemys picta bellii</v>
      </c>
      <c r="H1929" t="s">
        <v>326</v>
      </c>
      <c r="I1929" t="str">
        <f>HYPERLINK("http://www.ncbi.nlm.nih.gov/protein/XP_042704312.1","LOW QUALITY PROTEIN: ryanodine receptor 2")</f>
        <v>LOW QUALITY PROTEIN: ryanodine receptor 2</v>
      </c>
      <c r="J1929">
        <v>8529.07</v>
      </c>
      <c r="K1929" t="s">
        <v>19</v>
      </c>
      <c r="L1929">
        <v>1210</v>
      </c>
      <c r="M1929">
        <v>7.13</v>
      </c>
      <c r="N1929">
        <v>83.11</v>
      </c>
      <c r="O1929" t="s">
        <v>19</v>
      </c>
      <c r="P1929" t="s">
        <v>1267</v>
      </c>
      <c r="Q1929" t="s">
        <v>19</v>
      </c>
      <c r="R1929" t="str">
        <f>HYPERLINK("https://cfpub.epa.gov/ecotox/explore.cfm?ncbi=8478","Explore in ECOTOX")</f>
        <v>Explore in ECOTOX</v>
      </c>
    </row>
    <row r="1930" spans="1:18" x14ac:dyDescent="0.45">
      <c r="A1930" t="s">
        <v>1266</v>
      </c>
      <c r="B1930">
        <v>8</v>
      </c>
      <c r="C1930" t="str">
        <f>HYPERLINK("http://www.ncbi.nlm.nih.gov/protein/XP_031408049.1","XP_031408049.1")</f>
        <v>XP_031408049.1</v>
      </c>
      <c r="D1930">
        <v>30643</v>
      </c>
      <c r="E1930" t="str">
        <f>HYPERLINK("http://www.ncbi.nlm.nih.gov/Taxonomy/Browser/wwwtax.cgi?mode=Info&amp;id=9103&amp;lvl=3&amp;lin=f&amp;keep=1&amp;srchmode=1&amp;unlock","9103")</f>
        <v>9103</v>
      </c>
      <c r="F1930" t="s">
        <v>241</v>
      </c>
      <c r="G1930" t="str">
        <f>HYPERLINK("http://www.ncbi.nlm.nih.gov/Taxonomy/Browser/wwwtax.cgi?mode=Info&amp;id=9103&amp;lvl=3&amp;lin=f&amp;keep=1&amp;srchmode=1&amp;unlock","Meleagris gallopavo")</f>
        <v>Meleagris gallopavo</v>
      </c>
      <c r="H1930" t="s">
        <v>592</v>
      </c>
      <c r="I1930" t="str">
        <f>HYPERLINK("http://www.ncbi.nlm.nih.gov/protein/XP_031408049.1","LOW QUALITY PROTEIN: ryanodine receptor 2")</f>
        <v>LOW QUALITY PROTEIN: ryanodine receptor 2</v>
      </c>
      <c r="J1930">
        <v>8528.2999999999993</v>
      </c>
      <c r="K1930" t="s">
        <v>19</v>
      </c>
      <c r="L1930">
        <v>1210</v>
      </c>
      <c r="M1930">
        <v>7.13</v>
      </c>
      <c r="N1930">
        <v>83.1</v>
      </c>
      <c r="O1930" t="s">
        <v>19</v>
      </c>
      <c r="P1930" t="s">
        <v>1267</v>
      </c>
      <c r="Q1930" t="s">
        <v>19</v>
      </c>
      <c r="R1930" t="str">
        <f>HYPERLINK("https://cfpub.epa.gov/ecotox/explore.cfm?ncbi=9103","Explore in ECOTOX")</f>
        <v>Explore in ECOTOX</v>
      </c>
    </row>
    <row r="1931" spans="1:18" x14ac:dyDescent="0.45">
      <c r="A1931" t="s">
        <v>1266</v>
      </c>
      <c r="B1931">
        <v>8</v>
      </c>
      <c r="C1931" t="str">
        <f>HYPERLINK("http://www.ncbi.nlm.nih.gov/protein/XP_025893157.1","XP_025893157.1")</f>
        <v>XP_025893157.1</v>
      </c>
      <c r="D1931">
        <v>21567</v>
      </c>
      <c r="E1931" t="str">
        <f>HYPERLINK("http://www.ncbi.nlm.nih.gov/Taxonomy/Browser/wwwtax.cgi?mode=Info&amp;id=30464&amp;lvl=3&amp;lin=f&amp;keep=1&amp;srchmode=1&amp;unlock","30464")</f>
        <v>30464</v>
      </c>
      <c r="F1931" t="s">
        <v>241</v>
      </c>
      <c r="G1931" t="str">
        <f>HYPERLINK("http://www.ncbi.nlm.nih.gov/Taxonomy/Browser/wwwtax.cgi?mode=Info&amp;id=30464&amp;lvl=3&amp;lin=f&amp;keep=1&amp;srchmode=1&amp;unlock","Nothoprocta perdicaria")</f>
        <v>Nothoprocta perdicaria</v>
      </c>
      <c r="H1931" t="s">
        <v>367</v>
      </c>
      <c r="I1931" t="str">
        <f>HYPERLINK("http://www.ncbi.nlm.nih.gov/protein/XP_025893157.1","LOW QUALITY PROTEIN: ryanodine receptor 2")</f>
        <v>LOW QUALITY PROTEIN: ryanodine receptor 2</v>
      </c>
      <c r="J1931">
        <v>8528.2999999999993</v>
      </c>
      <c r="K1931" t="s">
        <v>19</v>
      </c>
      <c r="L1931">
        <v>1210</v>
      </c>
      <c r="M1931">
        <v>7.13</v>
      </c>
      <c r="N1931">
        <v>83.1</v>
      </c>
      <c r="O1931" t="s">
        <v>19</v>
      </c>
      <c r="P1931" t="s">
        <v>1267</v>
      </c>
      <c r="Q1931" t="s">
        <v>19</v>
      </c>
      <c r="R1931" t="str">
        <f>HYPERLINK("https://cfpub.epa.gov/ecotox/explore.cfm?ncbi=30464","Explore in ECOTOX")</f>
        <v>Explore in ECOTOX</v>
      </c>
    </row>
    <row r="1932" spans="1:18" x14ac:dyDescent="0.45">
      <c r="A1932" t="s">
        <v>1266</v>
      </c>
      <c r="B1932">
        <v>8</v>
      </c>
      <c r="C1932" t="str">
        <f>HYPERLINK("http://www.ncbi.nlm.nih.gov/protein/XP_051852528.1","XP_051852528.1")</f>
        <v>XP_051852528.1</v>
      </c>
      <c r="D1932">
        <v>40889</v>
      </c>
      <c r="E1932" t="str">
        <f>HYPERLINK("http://www.ncbi.nlm.nih.gov/Taxonomy/Browser/wwwtax.cgi?mode=Info&amp;id=38775&amp;lvl=3&amp;lin=f&amp;keep=1&amp;srchmode=1&amp;unlock","38775")</f>
        <v>38775</v>
      </c>
      <c r="F1932" t="s">
        <v>96</v>
      </c>
      <c r="G1932" t="str">
        <f>HYPERLINK("http://www.ncbi.nlm.nih.gov/Taxonomy/Browser/wwwtax.cgi?mode=Info&amp;id=38775&amp;lvl=3&amp;lin=f&amp;keep=1&amp;srchmode=1&amp;unlock","Antechinus flavipes")</f>
        <v>Antechinus flavipes</v>
      </c>
      <c r="H1932" t="s">
        <v>619</v>
      </c>
      <c r="I1932" t="str">
        <f>HYPERLINK("http://www.ncbi.nlm.nih.gov/protein/XP_051852528.1","ryanodine receptor 2")</f>
        <v>ryanodine receptor 2</v>
      </c>
      <c r="J1932">
        <v>8528.2999999999993</v>
      </c>
      <c r="K1932" t="s">
        <v>19</v>
      </c>
      <c r="L1932">
        <v>1210</v>
      </c>
      <c r="M1932">
        <v>7.13</v>
      </c>
      <c r="N1932">
        <v>83.1</v>
      </c>
      <c r="O1932" t="s">
        <v>19</v>
      </c>
      <c r="P1932" t="s">
        <v>1267</v>
      </c>
      <c r="Q1932" t="s">
        <v>19</v>
      </c>
      <c r="R1932" t="str">
        <f>HYPERLINK("https://cfpub.epa.gov/ecotox/explore.cfm?ncbi=38775","Explore in ECOTOX")</f>
        <v>Explore in ECOTOX</v>
      </c>
    </row>
    <row r="1933" spans="1:18" x14ac:dyDescent="0.45">
      <c r="A1933" t="s">
        <v>1266</v>
      </c>
      <c r="B1933">
        <v>8</v>
      </c>
      <c r="C1933" t="str">
        <f>HYPERLINK("http://www.ncbi.nlm.nih.gov/protein/XP_009327490.1","XP_009327490.1")</f>
        <v>XP_009327490.1</v>
      </c>
      <c r="D1933">
        <v>29694</v>
      </c>
      <c r="E1933" t="str">
        <f>HYPERLINK("http://www.ncbi.nlm.nih.gov/Taxonomy/Browser/wwwtax.cgi?mode=Info&amp;id=9238&amp;lvl=3&amp;lin=f&amp;keep=1&amp;srchmode=1&amp;unlock","9238")</f>
        <v>9238</v>
      </c>
      <c r="F1933" t="s">
        <v>241</v>
      </c>
      <c r="G1933" t="str">
        <f>HYPERLINK("http://www.ncbi.nlm.nih.gov/Taxonomy/Browser/wwwtax.cgi?mode=Info&amp;id=9238&amp;lvl=3&amp;lin=f&amp;keep=1&amp;srchmode=1&amp;unlock","Pygoscelis adeliae")</f>
        <v>Pygoscelis adeliae</v>
      </c>
      <c r="H1933" t="s">
        <v>572</v>
      </c>
      <c r="I1933" t="str">
        <f>HYPERLINK("http://www.ncbi.nlm.nih.gov/protein/XP_009327490.1","PREDICTED: ryanodine receptor 2")</f>
        <v>PREDICTED: ryanodine receptor 2</v>
      </c>
      <c r="J1933">
        <v>8527.92</v>
      </c>
      <c r="K1933" t="s">
        <v>19</v>
      </c>
      <c r="L1933">
        <v>1210</v>
      </c>
      <c r="M1933">
        <v>7.13</v>
      </c>
      <c r="N1933">
        <v>83.09</v>
      </c>
      <c r="O1933" t="s">
        <v>19</v>
      </c>
      <c r="P1933" t="s">
        <v>1267</v>
      </c>
      <c r="Q1933" t="s">
        <v>19</v>
      </c>
      <c r="R1933" t="str">
        <f>HYPERLINK("https://cfpub.epa.gov/ecotox/explore.cfm?ncbi=9238","Explore in ECOTOX")</f>
        <v>Explore in ECOTOX</v>
      </c>
    </row>
    <row r="1934" spans="1:18" x14ac:dyDescent="0.45">
      <c r="A1934" t="s">
        <v>1266</v>
      </c>
      <c r="B1934">
        <v>8</v>
      </c>
      <c r="C1934" t="str">
        <f>HYPERLINK("http://www.ncbi.nlm.nih.gov/protein/XP_037986331.1","XP_037986331.1")</f>
        <v>XP_037986331.1</v>
      </c>
      <c r="D1934">
        <v>42237</v>
      </c>
      <c r="E1934" t="str">
        <f>HYPERLINK("http://www.ncbi.nlm.nih.gov/Taxonomy/Browser/wwwtax.cgi?mode=Info&amp;id=1094192&amp;lvl=3&amp;lin=f&amp;keep=1&amp;srchmode=1&amp;unlock","1094192")</f>
        <v>1094192</v>
      </c>
      <c r="F1934" t="s">
        <v>241</v>
      </c>
      <c r="G1934" t="str">
        <f>HYPERLINK("http://www.ncbi.nlm.nih.gov/Taxonomy/Browser/wwwtax.cgi?mode=Info&amp;id=1094192&amp;lvl=3&amp;lin=f&amp;keep=1&amp;srchmode=1&amp;unlock","Motacilla alba alba")</f>
        <v>Motacilla alba alba</v>
      </c>
      <c r="H1934" t="s">
        <v>558</v>
      </c>
      <c r="I1934" t="str">
        <f>HYPERLINK("http://www.ncbi.nlm.nih.gov/protein/XP_037986331.1","ryanodine receptor 2 isoform X9")</f>
        <v>ryanodine receptor 2 isoform X9</v>
      </c>
      <c r="J1934">
        <v>8527.92</v>
      </c>
      <c r="K1934" t="s">
        <v>19</v>
      </c>
      <c r="L1934">
        <v>1210</v>
      </c>
      <c r="M1934">
        <v>7.13</v>
      </c>
      <c r="N1934">
        <v>83.09</v>
      </c>
      <c r="O1934" t="s">
        <v>19</v>
      </c>
      <c r="P1934" t="s">
        <v>1267</v>
      </c>
      <c r="Q1934" t="s">
        <v>19</v>
      </c>
      <c r="R1934" t="str">
        <f>HYPERLINK("https://cfpub.epa.gov/ecotox/explore.cfm?ncbi=1094192","Explore in ECOTOX")</f>
        <v>Explore in ECOTOX</v>
      </c>
    </row>
    <row r="1935" spans="1:18" x14ac:dyDescent="0.45">
      <c r="A1935" t="s">
        <v>1266</v>
      </c>
      <c r="B1935">
        <v>8</v>
      </c>
      <c r="C1935" t="str">
        <f>HYPERLINK("http://www.ncbi.nlm.nih.gov/protein/XP_036684140.1","XP_036684140.1")</f>
        <v>XP_036684140.1</v>
      </c>
      <c r="D1935">
        <v>52583</v>
      </c>
      <c r="E1935" t="str">
        <f>HYPERLINK("http://www.ncbi.nlm.nih.gov/Taxonomy/Browser/wwwtax.cgi?mode=Info&amp;id=9771&amp;lvl=3&amp;lin=f&amp;keep=1&amp;srchmode=1&amp;unlock","9771")</f>
        <v>9771</v>
      </c>
      <c r="F1935" t="s">
        <v>96</v>
      </c>
      <c r="G1935" t="str">
        <f>HYPERLINK("http://www.ncbi.nlm.nih.gov/Taxonomy/Browser/wwwtax.cgi?mode=Info&amp;id=9771&amp;lvl=3&amp;lin=f&amp;keep=1&amp;srchmode=1&amp;unlock","Balaenoptera musculus")</f>
        <v>Balaenoptera musculus</v>
      </c>
      <c r="H1935" t="s">
        <v>482</v>
      </c>
      <c r="I1935" t="str">
        <f>HYPERLINK("http://www.ncbi.nlm.nih.gov/protein/XP_036684140.1","LOW QUALITY PROTEIN: ryanodine receptor 2")</f>
        <v>LOW QUALITY PROTEIN: ryanodine receptor 2</v>
      </c>
      <c r="J1935">
        <v>8527.92</v>
      </c>
      <c r="K1935" t="s">
        <v>19</v>
      </c>
      <c r="L1935">
        <v>1210</v>
      </c>
      <c r="M1935">
        <v>7.13</v>
      </c>
      <c r="N1935">
        <v>83.09</v>
      </c>
      <c r="O1935" t="s">
        <v>19</v>
      </c>
      <c r="P1935" t="s">
        <v>1267</v>
      </c>
      <c r="Q1935" t="s">
        <v>19</v>
      </c>
      <c r="R1935" t="str">
        <f>HYPERLINK("https://cfpub.epa.gov/ecotox/explore.cfm?ncbi=9771","Explore in ECOTOX")</f>
        <v>Explore in ECOTOX</v>
      </c>
    </row>
    <row r="1936" spans="1:18" x14ac:dyDescent="0.45">
      <c r="A1936" t="s">
        <v>1266</v>
      </c>
      <c r="B1936">
        <v>8</v>
      </c>
      <c r="C1936" t="str">
        <f>HYPERLINK("http://www.ncbi.nlm.nih.gov/protein/XP_046944624.1","XP_046944624.1")</f>
        <v>XP_046944624.1</v>
      </c>
      <c r="D1936">
        <v>38820</v>
      </c>
      <c r="E1936" t="str">
        <f>HYPERLINK("http://www.ncbi.nlm.nih.gov/Taxonomy/Browser/wwwtax.cgi?mode=Info&amp;id=61384&amp;lvl=3&amp;lin=f&amp;keep=1&amp;srchmode=1&amp;unlock","61384")</f>
        <v>61384</v>
      </c>
      <c r="F1936" t="s">
        <v>96</v>
      </c>
      <c r="G1936" t="str">
        <f>HYPERLINK("http://www.ncbi.nlm.nih.gov/Taxonomy/Browser/wwwtax.cgi?mode=Info&amp;id=61384&amp;lvl=3&amp;lin=f&amp;keep=1&amp;srchmode=1&amp;unlock","Lynx rufus")</f>
        <v>Lynx rufus</v>
      </c>
      <c r="H1936" t="s">
        <v>359</v>
      </c>
      <c r="I1936" t="str">
        <f>HYPERLINK("http://www.ncbi.nlm.nih.gov/protein/XP_046944624.1","ryanodine receptor 2")</f>
        <v>ryanodine receptor 2</v>
      </c>
      <c r="J1936">
        <v>8527.15</v>
      </c>
      <c r="K1936" t="s">
        <v>19</v>
      </c>
      <c r="L1936">
        <v>1210</v>
      </c>
      <c r="M1936">
        <v>7.13</v>
      </c>
      <c r="N1936">
        <v>83.09</v>
      </c>
      <c r="O1936" t="s">
        <v>19</v>
      </c>
      <c r="P1936" t="s">
        <v>1267</v>
      </c>
      <c r="Q1936" t="s">
        <v>19</v>
      </c>
      <c r="R1936" t="str">
        <f>HYPERLINK("https://cfpub.epa.gov/ecotox/explore.cfm?ncbi=61384","Explore in ECOTOX")</f>
        <v>Explore in ECOTOX</v>
      </c>
    </row>
    <row r="1937" spans="1:18" x14ac:dyDescent="0.45">
      <c r="A1937" t="s">
        <v>1266</v>
      </c>
      <c r="B1937">
        <v>8</v>
      </c>
      <c r="C1937" t="str">
        <f>HYPERLINK("http://www.ncbi.nlm.nih.gov/protein/XP_030412828.1","XP_030412828.1")</f>
        <v>XP_030412828.1</v>
      </c>
      <c r="D1937">
        <v>50866</v>
      </c>
      <c r="E1937" t="str">
        <f>HYPERLINK("http://www.ncbi.nlm.nih.gov/Taxonomy/Browser/wwwtax.cgi?mode=Info&amp;id=1825980&amp;lvl=3&amp;lin=f&amp;keep=1&amp;srchmode=1&amp;unlock","1825980")</f>
        <v>1825980</v>
      </c>
      <c r="F1937" t="s">
        <v>203</v>
      </c>
      <c r="G1937" t="str">
        <f>HYPERLINK("http://www.ncbi.nlm.nih.gov/Taxonomy/Browser/wwwtax.cgi?mode=Info&amp;id=1825980&amp;lvl=3&amp;lin=f&amp;keep=1&amp;srchmode=1&amp;unlock","Gopherus evgoodei")</f>
        <v>Gopherus evgoodei</v>
      </c>
      <c r="H1937" t="s">
        <v>232</v>
      </c>
      <c r="I1937" t="str">
        <f>HYPERLINK("http://www.ncbi.nlm.nih.gov/protein/XP_030412828.1","ryanodine receptor 2 isoform X3")</f>
        <v>ryanodine receptor 2 isoform X3</v>
      </c>
      <c r="J1937">
        <v>8525.99</v>
      </c>
      <c r="K1937" t="s">
        <v>19</v>
      </c>
      <c r="L1937">
        <v>1210</v>
      </c>
      <c r="M1937">
        <v>7.13</v>
      </c>
      <c r="N1937">
        <v>83.08</v>
      </c>
      <c r="O1937" t="s">
        <v>19</v>
      </c>
      <c r="P1937" t="s">
        <v>1267</v>
      </c>
      <c r="Q1937" t="s">
        <v>19</v>
      </c>
      <c r="R1937" t="str">
        <f>HYPERLINK("https://cfpub.epa.gov/ecotox/explore.cfm?ncbi=1825980","Explore in ECOTOX")</f>
        <v>Explore in ECOTOX</v>
      </c>
    </row>
    <row r="1938" spans="1:18" x14ac:dyDescent="0.45">
      <c r="A1938" t="s">
        <v>1266</v>
      </c>
      <c r="B1938">
        <v>8</v>
      </c>
      <c r="C1938" t="str">
        <f>HYPERLINK("http://www.ncbi.nlm.nih.gov/protein/XP_008295421.1","XP_008295421.1")</f>
        <v>XP_008295421.1</v>
      </c>
      <c r="D1938">
        <v>31764</v>
      </c>
      <c r="E1938" t="str">
        <f>HYPERLINK("http://www.ncbi.nlm.nih.gov/Taxonomy/Browser/wwwtax.cgi?mode=Info&amp;id=144197&amp;lvl=3&amp;lin=f&amp;keep=1&amp;srchmode=1&amp;unlock","144197")</f>
        <v>144197</v>
      </c>
      <c r="F1938" t="s">
        <v>17</v>
      </c>
      <c r="G1938" t="str">
        <f>HYPERLINK("http://www.ncbi.nlm.nih.gov/Taxonomy/Browser/wwwtax.cgi?mode=Info&amp;id=144197&amp;lvl=3&amp;lin=f&amp;keep=1&amp;srchmode=1&amp;unlock","Stegastes partitus")</f>
        <v>Stegastes partitus</v>
      </c>
      <c r="H1938" t="s">
        <v>85</v>
      </c>
      <c r="I1938" t="str">
        <f>HYPERLINK("http://www.ncbi.nlm.nih.gov/protein/XP_008295421.1","PREDICTED: LOW QUALITY PROTEIN: ryanodine receptor 2-like")</f>
        <v>PREDICTED: LOW QUALITY PROTEIN: ryanodine receptor 2-like</v>
      </c>
      <c r="J1938">
        <v>8525.2199999999993</v>
      </c>
      <c r="K1938" t="s">
        <v>19</v>
      </c>
      <c r="L1938">
        <v>1210</v>
      </c>
      <c r="M1938">
        <v>7.13</v>
      </c>
      <c r="N1938">
        <v>83.07</v>
      </c>
      <c r="O1938" t="s">
        <v>19</v>
      </c>
      <c r="P1938" t="s">
        <v>1267</v>
      </c>
      <c r="Q1938" t="s">
        <v>19</v>
      </c>
      <c r="R1938" t="str">
        <f>HYPERLINK("https://cfpub.epa.gov/ecotox/explore.cfm?ncbi=144197","Explore in ECOTOX")</f>
        <v>Explore in ECOTOX</v>
      </c>
    </row>
    <row r="1939" spans="1:18" x14ac:dyDescent="0.45">
      <c r="A1939" t="s">
        <v>1266</v>
      </c>
      <c r="B1939">
        <v>8</v>
      </c>
      <c r="C1939" t="str">
        <f>HYPERLINK("http://www.ncbi.nlm.nih.gov/protein/XP_034284175.1","XP_034284175.1")</f>
        <v>XP_034284175.1</v>
      </c>
      <c r="D1939">
        <v>45202</v>
      </c>
      <c r="E1939" t="str">
        <f>HYPERLINK("http://www.ncbi.nlm.nih.gov/Taxonomy/Browser/wwwtax.cgi?mode=Info&amp;id=94885&amp;lvl=3&amp;lin=f&amp;keep=1&amp;srchmode=1&amp;unlock","94885")</f>
        <v>94885</v>
      </c>
      <c r="F1939" t="s">
        <v>192</v>
      </c>
      <c r="G1939" t="str">
        <f>HYPERLINK("http://www.ncbi.nlm.nih.gov/Taxonomy/Browser/wwwtax.cgi?mode=Info&amp;id=94885&amp;lvl=3&amp;lin=f&amp;keep=1&amp;srchmode=1&amp;unlock","Pantherophis guttatus")</f>
        <v>Pantherophis guttatus</v>
      </c>
      <c r="H1939" t="s">
        <v>272</v>
      </c>
      <c r="I1939" t="str">
        <f>HYPERLINK("http://www.ncbi.nlm.nih.gov/protein/XP_034284175.1","ryanodine receptor 2 isoform X3")</f>
        <v>ryanodine receptor 2 isoform X3</v>
      </c>
      <c r="J1939">
        <v>8525.2199999999993</v>
      </c>
      <c r="K1939" t="s">
        <v>19</v>
      </c>
      <c r="L1939">
        <v>1210</v>
      </c>
      <c r="M1939">
        <v>7.13</v>
      </c>
      <c r="N1939">
        <v>83.07</v>
      </c>
      <c r="O1939" t="s">
        <v>19</v>
      </c>
      <c r="P1939" t="s">
        <v>1267</v>
      </c>
      <c r="Q1939" t="s">
        <v>19</v>
      </c>
      <c r="R1939" t="str">
        <f>HYPERLINK("https://cfpub.epa.gov/ecotox/explore.cfm?ncbi=94885","Explore in ECOTOX")</f>
        <v>Explore in ECOTOX</v>
      </c>
    </row>
    <row r="1940" spans="1:18" x14ac:dyDescent="0.45">
      <c r="A1940" t="s">
        <v>1266</v>
      </c>
      <c r="B1940">
        <v>8</v>
      </c>
      <c r="C1940" t="str">
        <f>HYPERLINK("http://www.ncbi.nlm.nih.gov/protein/XP_048317093.1","XP_048317093.1")</f>
        <v>XP_048317093.1</v>
      </c>
      <c r="D1940">
        <v>49669</v>
      </c>
      <c r="E1940" t="str">
        <f>HYPERLINK("http://www.ncbi.nlm.nih.gov/Taxonomy/Browser/wwwtax.cgi?mode=Info&amp;id=447135&amp;lvl=3&amp;lin=f&amp;keep=1&amp;srchmode=1&amp;unlock","447135")</f>
        <v>447135</v>
      </c>
      <c r="F1940" t="s">
        <v>96</v>
      </c>
      <c r="G1940" t="str">
        <f>HYPERLINK("http://www.ncbi.nlm.nih.gov/Taxonomy/Browser/wwwtax.cgi?mode=Info&amp;id=447135&amp;lvl=3&amp;lin=f&amp;keep=1&amp;srchmode=1&amp;unlock","Myodes glareolus")</f>
        <v>Myodes glareolus</v>
      </c>
      <c r="H1940" t="s">
        <v>404</v>
      </c>
      <c r="I1940" t="str">
        <f>HYPERLINK("http://www.ncbi.nlm.nih.gov/protein/XP_048317093.1","ryanodine receptor 2")</f>
        <v>ryanodine receptor 2</v>
      </c>
      <c r="J1940">
        <v>8524.84</v>
      </c>
      <c r="K1940" t="s">
        <v>19</v>
      </c>
      <c r="L1940">
        <v>1210</v>
      </c>
      <c r="M1940">
        <v>7.13</v>
      </c>
      <c r="N1940">
        <v>83.06</v>
      </c>
      <c r="O1940" t="s">
        <v>19</v>
      </c>
      <c r="P1940" t="s">
        <v>1267</v>
      </c>
      <c r="Q1940" t="s">
        <v>19</v>
      </c>
      <c r="R1940" t="str">
        <f>HYPERLINK("https://cfpub.epa.gov/ecotox/explore.cfm?ncbi=447135","Explore in ECOTOX")</f>
        <v>Explore in ECOTOX</v>
      </c>
    </row>
    <row r="1941" spans="1:18" x14ac:dyDescent="0.45">
      <c r="A1941" t="s">
        <v>1266</v>
      </c>
      <c r="B1941">
        <v>8</v>
      </c>
      <c r="C1941" t="str">
        <f>HYPERLINK("http://www.ncbi.nlm.nih.gov/protein/XP_033617665.1","XP_033617665.1")</f>
        <v>XP_033617665.1</v>
      </c>
      <c r="D1941">
        <v>67680</v>
      </c>
      <c r="E1941" t="str">
        <f>HYPERLINK("http://www.ncbi.nlm.nih.gov/Taxonomy/Browser/wwwtax.cgi?mode=Info&amp;id=885580&amp;lvl=3&amp;lin=f&amp;keep=1&amp;srchmode=1&amp;unlock","885580")</f>
        <v>885580</v>
      </c>
      <c r="F1941" t="s">
        <v>96</v>
      </c>
      <c r="G1941" t="str">
        <f>HYPERLINK("http://www.ncbi.nlm.nih.gov/Taxonomy/Browser/wwwtax.cgi?mode=Info&amp;id=885580&amp;lvl=3&amp;lin=f&amp;keep=1&amp;srchmode=1&amp;unlock","Fukomys damarensis")</f>
        <v>Fukomys damarensis</v>
      </c>
      <c r="H1941" t="s">
        <v>386</v>
      </c>
      <c r="I1941" t="str">
        <f>HYPERLINK("http://www.ncbi.nlm.nih.gov/protein/XP_033617665.1","ryanodine receptor 2")</f>
        <v>ryanodine receptor 2</v>
      </c>
      <c r="J1941">
        <v>8524.4500000000007</v>
      </c>
      <c r="K1941" t="s">
        <v>19</v>
      </c>
      <c r="L1941">
        <v>1210</v>
      </c>
      <c r="M1941">
        <v>7.13</v>
      </c>
      <c r="N1941">
        <v>83.06</v>
      </c>
      <c r="O1941" t="s">
        <v>19</v>
      </c>
      <c r="P1941" t="s">
        <v>1267</v>
      </c>
      <c r="Q1941" t="s">
        <v>19</v>
      </c>
      <c r="R1941" t="str">
        <f>HYPERLINK("https://cfpub.epa.gov/ecotox/explore.cfm?ncbi=885580","Explore in ECOTOX")</f>
        <v>Explore in ECOTOX</v>
      </c>
    </row>
    <row r="1942" spans="1:18" x14ac:dyDescent="0.45">
      <c r="A1942" t="s">
        <v>1266</v>
      </c>
      <c r="B1942">
        <v>8</v>
      </c>
      <c r="C1942" t="str">
        <f>HYPERLINK("http://www.ncbi.nlm.nih.gov/protein/XP_029449767.1","XP_029449767.1")</f>
        <v>XP_029449767.1</v>
      </c>
      <c r="D1942">
        <v>49321</v>
      </c>
      <c r="E1942" t="str">
        <f>HYPERLINK("http://www.ncbi.nlm.nih.gov/Taxonomy/Browser/wwwtax.cgi?mode=Info&amp;id=194408&amp;lvl=3&amp;lin=f&amp;keep=1&amp;srchmode=1&amp;unlock","194408")</f>
        <v>194408</v>
      </c>
      <c r="F1942" t="s">
        <v>177</v>
      </c>
      <c r="G1942" t="str">
        <f>HYPERLINK("http://www.ncbi.nlm.nih.gov/Taxonomy/Browser/wwwtax.cgi?mode=Info&amp;id=194408&amp;lvl=3&amp;lin=f&amp;keep=1&amp;srchmode=1&amp;unlock","Rhinatrema bivittatum")</f>
        <v>Rhinatrema bivittatum</v>
      </c>
      <c r="H1942" t="s">
        <v>339</v>
      </c>
      <c r="I1942" t="str">
        <f>HYPERLINK("http://www.ncbi.nlm.nih.gov/protein/XP_029449767.1","LOW QUALITY PROTEIN: ryanodine receptor 2")</f>
        <v>LOW QUALITY PROTEIN: ryanodine receptor 2</v>
      </c>
      <c r="J1942">
        <v>8522.91</v>
      </c>
      <c r="K1942" t="s">
        <v>19</v>
      </c>
      <c r="L1942">
        <v>1210</v>
      </c>
      <c r="M1942">
        <v>7.13</v>
      </c>
      <c r="N1942">
        <v>83.05</v>
      </c>
      <c r="O1942" t="s">
        <v>19</v>
      </c>
      <c r="P1942" t="s">
        <v>1267</v>
      </c>
      <c r="Q1942" t="s">
        <v>19</v>
      </c>
      <c r="R1942" t="str">
        <f>HYPERLINK("https://cfpub.epa.gov/ecotox/explore.cfm?ncbi=194408","Explore in ECOTOX")</f>
        <v>Explore in ECOTOX</v>
      </c>
    </row>
    <row r="1943" spans="1:18" x14ac:dyDescent="0.45">
      <c r="A1943" t="s">
        <v>1266</v>
      </c>
      <c r="B1943">
        <v>8</v>
      </c>
      <c r="C1943" t="str">
        <f>HYPERLINK("http://www.ncbi.nlm.nih.gov/protein/XP_020013049.1","XP_020013049.1")</f>
        <v>XP_020013049.1</v>
      </c>
      <c r="D1943">
        <v>37577</v>
      </c>
      <c r="E1943" t="str">
        <f>HYPERLINK("http://www.ncbi.nlm.nih.gov/Taxonomy/Browser/wwwtax.cgi?mode=Info&amp;id=51338&amp;lvl=3&amp;lin=f&amp;keep=1&amp;srchmode=1&amp;unlock","51338")</f>
        <v>51338</v>
      </c>
      <c r="F1943" t="s">
        <v>96</v>
      </c>
      <c r="G1943" t="str">
        <f>HYPERLINK("http://www.ncbi.nlm.nih.gov/Taxonomy/Browser/wwwtax.cgi?mode=Info&amp;id=51338&amp;lvl=3&amp;lin=f&amp;keep=1&amp;srchmode=1&amp;unlock","Castor canadensis")</f>
        <v>Castor canadensis</v>
      </c>
      <c r="H1943" t="s">
        <v>618</v>
      </c>
      <c r="I1943" t="str">
        <f>HYPERLINK("http://www.ncbi.nlm.nih.gov/protein/XP_020013049.1","LOW QUALITY PROTEIN: ryanodine receptor 2")</f>
        <v>LOW QUALITY PROTEIN: ryanodine receptor 2</v>
      </c>
      <c r="J1943">
        <v>8520.99</v>
      </c>
      <c r="K1943" t="s">
        <v>19</v>
      </c>
      <c r="L1943">
        <v>1210</v>
      </c>
      <c r="M1943">
        <v>7.13</v>
      </c>
      <c r="N1943">
        <v>83.03</v>
      </c>
      <c r="O1943" t="s">
        <v>19</v>
      </c>
      <c r="P1943" t="s">
        <v>1267</v>
      </c>
      <c r="Q1943" t="s">
        <v>19</v>
      </c>
      <c r="R1943" t="str">
        <f>HYPERLINK("https://cfpub.epa.gov/ecotox/explore.cfm?ncbi=51338","Explore in ECOTOX")</f>
        <v>Explore in ECOTOX</v>
      </c>
    </row>
    <row r="1944" spans="1:18" x14ac:dyDescent="0.45">
      <c r="A1944" t="s">
        <v>1266</v>
      </c>
      <c r="B1944">
        <v>8</v>
      </c>
      <c r="C1944" t="str">
        <f>HYPERLINK("http://www.ncbi.nlm.nih.gov/protein/XP_058908823.1","XP_058908823.1")</f>
        <v>XP_058908823.1</v>
      </c>
      <c r="D1944">
        <v>48382</v>
      </c>
      <c r="E1944" t="str">
        <f>HYPERLINK("http://www.ncbi.nlm.nih.gov/Taxonomy/Browser/wwwtax.cgi?mode=Info&amp;id=27615&amp;lvl=3&amp;lin=f&amp;keep=1&amp;srchmode=1&amp;unlock","27615")</f>
        <v>27615</v>
      </c>
      <c r="F1944" t="s">
        <v>96</v>
      </c>
      <c r="G1944" t="str">
        <f>HYPERLINK("http://www.ncbi.nlm.nih.gov/Taxonomy/Browser/wwwtax.cgi?mode=Info&amp;id=27615&amp;lvl=3&amp;lin=f&amp;keep=1&amp;srchmode=1&amp;unlock","Kogia breviceps")</f>
        <v>Kogia breviceps</v>
      </c>
      <c r="H1944" t="s">
        <v>409</v>
      </c>
      <c r="I1944" t="str">
        <f>HYPERLINK("http://www.ncbi.nlm.nih.gov/protein/XP_058908823.1","ryanodine receptor 2")</f>
        <v>ryanodine receptor 2</v>
      </c>
      <c r="J1944">
        <v>8520.6</v>
      </c>
      <c r="K1944" t="s">
        <v>19</v>
      </c>
      <c r="L1944">
        <v>1210</v>
      </c>
      <c r="M1944">
        <v>7.13</v>
      </c>
      <c r="N1944">
        <v>83.02</v>
      </c>
      <c r="O1944" t="s">
        <v>19</v>
      </c>
      <c r="P1944" t="s">
        <v>1267</v>
      </c>
      <c r="Q1944" t="s">
        <v>19</v>
      </c>
      <c r="R1944" t="str">
        <f>HYPERLINK("https://cfpub.epa.gov/ecotox/explore.cfm?ncbi=27615","Explore in ECOTOX")</f>
        <v>Explore in ECOTOX</v>
      </c>
    </row>
    <row r="1945" spans="1:18" x14ac:dyDescent="0.45">
      <c r="A1945" t="s">
        <v>1266</v>
      </c>
      <c r="B1945">
        <v>8</v>
      </c>
      <c r="C1945" t="str">
        <f>HYPERLINK("http://www.ncbi.nlm.nih.gov/protein/XP_059571693.1","XP_059571693.1")</f>
        <v>XP_059571693.1</v>
      </c>
      <c r="D1945">
        <v>80366</v>
      </c>
      <c r="E1945" t="str">
        <f>HYPERLINK("http://www.ncbi.nlm.nih.gov/Taxonomy/Browser/wwwtax.cgi?mode=Info&amp;id=8496&amp;lvl=3&amp;lin=f&amp;keep=1&amp;srchmode=1&amp;unlock","8496")</f>
        <v>8496</v>
      </c>
      <c r="F1945" t="s">
        <v>214</v>
      </c>
      <c r="G1945" t="str">
        <f>HYPERLINK("http://www.ncbi.nlm.nih.gov/Taxonomy/Browser/wwwtax.cgi?mode=Info&amp;id=8496&amp;lvl=3&amp;lin=f&amp;keep=1&amp;srchmode=1&amp;unlock","Alligator mississippiensis")</f>
        <v>Alligator mississippiensis</v>
      </c>
      <c r="H1945" t="s">
        <v>215</v>
      </c>
      <c r="I1945" t="str">
        <f>HYPERLINK("http://www.ncbi.nlm.nih.gov/protein/XP_059571693.1","ryanodine receptor 2")</f>
        <v>ryanodine receptor 2</v>
      </c>
      <c r="J1945">
        <v>8520.2199999999993</v>
      </c>
      <c r="K1945" t="s">
        <v>19</v>
      </c>
      <c r="L1945">
        <v>1210</v>
      </c>
      <c r="M1945">
        <v>7.13</v>
      </c>
      <c r="N1945">
        <v>83.02</v>
      </c>
      <c r="O1945" t="s">
        <v>19</v>
      </c>
      <c r="P1945" t="s">
        <v>1267</v>
      </c>
      <c r="Q1945" t="s">
        <v>19</v>
      </c>
      <c r="R1945" t="str">
        <f>HYPERLINK("https://cfpub.epa.gov/ecotox/explore.cfm?ncbi=8496","Explore in ECOTOX")</f>
        <v>Explore in ECOTOX</v>
      </c>
    </row>
    <row r="1946" spans="1:18" x14ac:dyDescent="0.45">
      <c r="A1946" t="s">
        <v>1266</v>
      </c>
      <c r="B1946">
        <v>8</v>
      </c>
      <c r="C1946" t="str">
        <f>HYPERLINK("http://www.ncbi.nlm.nih.gov/protein/XP_006895449.1","XP_006895449.1")</f>
        <v>XP_006895449.1</v>
      </c>
      <c r="D1946">
        <v>25301</v>
      </c>
      <c r="E1946" t="str">
        <f>HYPERLINK("http://www.ncbi.nlm.nih.gov/Taxonomy/Browser/wwwtax.cgi?mode=Info&amp;id=28737&amp;lvl=3&amp;lin=f&amp;keep=1&amp;srchmode=1&amp;unlock","28737")</f>
        <v>28737</v>
      </c>
      <c r="F1946" t="s">
        <v>96</v>
      </c>
      <c r="G1946" t="str">
        <f>HYPERLINK("http://www.ncbi.nlm.nih.gov/Taxonomy/Browser/wwwtax.cgi?mode=Info&amp;id=28737&amp;lvl=3&amp;lin=f&amp;keep=1&amp;srchmode=1&amp;unlock","Elephantulus edwardii")</f>
        <v>Elephantulus edwardii</v>
      </c>
      <c r="H1946" t="s">
        <v>382</v>
      </c>
      <c r="I1946" t="str">
        <f>HYPERLINK("http://www.ncbi.nlm.nih.gov/protein/XP_006895449.1","PREDICTED: ryanodine receptor 2-like")</f>
        <v>PREDICTED: ryanodine receptor 2-like</v>
      </c>
      <c r="J1946">
        <v>8519.44</v>
      </c>
      <c r="K1946" t="s">
        <v>19</v>
      </c>
      <c r="L1946">
        <v>1210</v>
      </c>
      <c r="M1946">
        <v>7.13</v>
      </c>
      <c r="N1946">
        <v>83.01</v>
      </c>
      <c r="O1946" t="s">
        <v>19</v>
      </c>
      <c r="P1946" t="s">
        <v>1267</v>
      </c>
      <c r="Q1946" t="s">
        <v>19</v>
      </c>
      <c r="R1946" t="str">
        <f>HYPERLINK("https://cfpub.epa.gov/ecotox/explore.cfm?ncbi=28737","Explore in ECOTOX")</f>
        <v>Explore in ECOTOX</v>
      </c>
    </row>
    <row r="1947" spans="1:18" x14ac:dyDescent="0.45">
      <c r="A1947" t="s">
        <v>1266</v>
      </c>
      <c r="B1947">
        <v>8</v>
      </c>
      <c r="C1947" t="str">
        <f>HYPERLINK("http://www.ncbi.nlm.nih.gov/protein/XP_048341616.1","XP_048341616.1")</f>
        <v>XP_048341616.1</v>
      </c>
      <c r="D1947">
        <v>38376</v>
      </c>
      <c r="E1947" t="str">
        <f>HYPERLINK("http://www.ncbi.nlm.nih.gov/Taxonomy/Browser/wwwtax.cgi?mode=Info&amp;id=933632&amp;lvl=3&amp;lin=f&amp;keep=1&amp;srchmode=1&amp;unlock","933632")</f>
        <v>933632</v>
      </c>
      <c r="F1947" t="s">
        <v>192</v>
      </c>
      <c r="G1947" t="str">
        <f>HYPERLINK("http://www.ncbi.nlm.nih.gov/Taxonomy/Browser/wwwtax.cgi?mode=Info&amp;id=933632&amp;lvl=3&amp;lin=f&amp;keep=1&amp;srchmode=1&amp;unlock","Sphaerodactylus townsendi")</f>
        <v>Sphaerodactylus townsendi</v>
      </c>
      <c r="H1947" t="s">
        <v>255</v>
      </c>
      <c r="I1947" t="str">
        <f>HYPERLINK("http://www.ncbi.nlm.nih.gov/protein/XP_048341616.1","ryanodine receptor 2")</f>
        <v>ryanodine receptor 2</v>
      </c>
      <c r="J1947">
        <v>8517.9</v>
      </c>
      <c r="K1947" t="s">
        <v>19</v>
      </c>
      <c r="L1947">
        <v>1210</v>
      </c>
      <c r="M1947">
        <v>7.13</v>
      </c>
      <c r="N1947">
        <v>83</v>
      </c>
      <c r="O1947" t="s">
        <v>19</v>
      </c>
      <c r="P1947" t="s">
        <v>1267</v>
      </c>
      <c r="Q1947" t="s">
        <v>19</v>
      </c>
      <c r="R1947" t="str">
        <f>HYPERLINK("https://cfpub.epa.gov/ecotox/explore.cfm?ncbi=933632","Explore in ECOTOX")</f>
        <v>Explore in ECOTOX</v>
      </c>
    </row>
    <row r="1948" spans="1:18" x14ac:dyDescent="0.45">
      <c r="A1948" t="s">
        <v>1266</v>
      </c>
      <c r="B1948">
        <v>8</v>
      </c>
      <c r="C1948" t="str">
        <f>HYPERLINK("http://www.ncbi.nlm.nih.gov/protein/XP_054485605.1","XP_054485605.1")</f>
        <v>XP_054485605.1</v>
      </c>
      <c r="D1948">
        <v>41278</v>
      </c>
      <c r="E1948" t="str">
        <f>HYPERLINK("http://www.ncbi.nlm.nih.gov/Taxonomy/Browser/wwwtax.cgi?mode=Info&amp;id=39638&amp;lvl=3&amp;lin=f&amp;keep=1&amp;srchmode=1&amp;unlock","39638")</f>
        <v>39638</v>
      </c>
      <c r="F1948" t="s">
        <v>241</v>
      </c>
      <c r="G1948" t="str">
        <f>HYPERLINK("http://www.ncbi.nlm.nih.gov/Taxonomy/Browser/wwwtax.cgi?mode=Info&amp;id=39638&amp;lvl=3&amp;lin=f&amp;keep=1&amp;srchmode=1&amp;unlock","Agelaius phoeniceus")</f>
        <v>Agelaius phoeniceus</v>
      </c>
      <c r="H1948" t="s">
        <v>579</v>
      </c>
      <c r="I1948" t="str">
        <f>HYPERLINK("http://www.ncbi.nlm.nih.gov/protein/XP_054485605.1","ryanodine receptor 2")</f>
        <v>ryanodine receptor 2</v>
      </c>
      <c r="J1948">
        <v>8516.36</v>
      </c>
      <c r="K1948" t="s">
        <v>19</v>
      </c>
      <c r="L1948">
        <v>1210</v>
      </c>
      <c r="M1948">
        <v>7.13</v>
      </c>
      <c r="N1948">
        <v>82.98</v>
      </c>
      <c r="O1948" t="s">
        <v>19</v>
      </c>
      <c r="P1948" t="s">
        <v>1267</v>
      </c>
      <c r="Q1948" t="s">
        <v>19</v>
      </c>
      <c r="R1948" t="str">
        <f>HYPERLINK("https://cfpub.epa.gov/ecotox/explore.cfm?ncbi=39638","Explore in ECOTOX")</f>
        <v>Explore in ECOTOX</v>
      </c>
    </row>
    <row r="1949" spans="1:18" x14ac:dyDescent="0.45">
      <c r="A1949" t="s">
        <v>1266</v>
      </c>
      <c r="B1949">
        <v>8</v>
      </c>
      <c r="C1949" t="str">
        <f>HYPERLINK("http://www.ncbi.nlm.nih.gov/protein/XP_043856463.1","XP_043856463.1")</f>
        <v>XP_043856463.1</v>
      </c>
      <c r="D1949">
        <v>43715</v>
      </c>
      <c r="E1949" t="str">
        <f>HYPERLINK("http://www.ncbi.nlm.nih.gov/Taxonomy/Browser/wwwtax.cgi?mode=Info&amp;id=33562&amp;lvl=3&amp;lin=f&amp;keep=1&amp;srchmode=1&amp;unlock","33562")</f>
        <v>33562</v>
      </c>
      <c r="F1949" t="s">
        <v>96</v>
      </c>
      <c r="G1949" t="str">
        <f>HYPERLINK("http://www.ncbi.nlm.nih.gov/Taxonomy/Browser/wwwtax.cgi?mode=Info&amp;id=33562&amp;lvl=3&amp;lin=f&amp;keep=1&amp;srchmode=1&amp;unlock","Dromiciops gliroides")</f>
        <v>Dromiciops gliroides</v>
      </c>
      <c r="H1949" t="s">
        <v>418</v>
      </c>
      <c r="I1949" t="str">
        <f>HYPERLINK("http://www.ncbi.nlm.nih.gov/protein/XP_043856463.1","LOW QUALITY PROTEIN: ryanodine receptor 2")</f>
        <v>LOW QUALITY PROTEIN: ryanodine receptor 2</v>
      </c>
      <c r="J1949">
        <v>8516.36</v>
      </c>
      <c r="K1949" t="s">
        <v>19</v>
      </c>
      <c r="L1949">
        <v>1210</v>
      </c>
      <c r="M1949">
        <v>7.13</v>
      </c>
      <c r="N1949">
        <v>82.98</v>
      </c>
      <c r="O1949" t="s">
        <v>19</v>
      </c>
      <c r="P1949" t="s">
        <v>1267</v>
      </c>
      <c r="Q1949" t="s">
        <v>19</v>
      </c>
      <c r="R1949" t="str">
        <f>HYPERLINK("https://cfpub.epa.gov/ecotox/explore.cfm?ncbi=33562","Explore in ECOTOX")</f>
        <v>Explore in ECOTOX</v>
      </c>
    </row>
    <row r="1950" spans="1:18" x14ac:dyDescent="0.45">
      <c r="A1950" t="s">
        <v>1266</v>
      </c>
      <c r="B1950">
        <v>8</v>
      </c>
      <c r="C1950" t="str">
        <f>HYPERLINK("http://www.ncbi.nlm.nih.gov/protein/XP_058657166.1","XP_058657166.1")</f>
        <v>XP_058657166.1</v>
      </c>
      <c r="D1950">
        <v>25903</v>
      </c>
      <c r="E1950" t="str">
        <f>HYPERLINK("http://www.ncbi.nlm.nih.gov/Taxonomy/Browser/wwwtax.cgi?mode=Info&amp;id=2857398&amp;lvl=3&amp;lin=f&amp;keep=1&amp;srchmode=1&amp;unlock","2857398")</f>
        <v>2857398</v>
      </c>
      <c r="F1950" t="s">
        <v>241</v>
      </c>
      <c r="G1950" t="str">
        <f>HYPERLINK("http://www.ncbi.nlm.nih.gov/Taxonomy/Browser/wwwtax.cgi?mode=Info&amp;id=2857398&amp;lvl=3&amp;lin=f&amp;keep=1&amp;srchmode=1&amp;unlock","Ammospiza caudacuta")</f>
        <v>Ammospiza caudacuta</v>
      </c>
      <c r="H1950" t="s">
        <v>435</v>
      </c>
      <c r="I1950" t="str">
        <f>HYPERLINK("http://www.ncbi.nlm.nih.gov/protein/XP_058657166.1","ryanodine receptor 2")</f>
        <v>ryanodine receptor 2</v>
      </c>
      <c r="J1950">
        <v>8515.98</v>
      </c>
      <c r="K1950" t="s">
        <v>19</v>
      </c>
      <c r="L1950">
        <v>1210</v>
      </c>
      <c r="M1950">
        <v>7.13</v>
      </c>
      <c r="N1950">
        <v>82.98</v>
      </c>
      <c r="O1950" t="s">
        <v>19</v>
      </c>
      <c r="P1950" t="s">
        <v>1267</v>
      </c>
      <c r="Q1950" t="s">
        <v>19</v>
      </c>
      <c r="R1950" t="str">
        <f>HYPERLINK("https://cfpub.epa.gov/ecotox/explore.cfm?ncbi=2857398","Explore in ECOTOX")</f>
        <v>Explore in ECOTOX</v>
      </c>
    </row>
    <row r="1951" spans="1:18" x14ac:dyDescent="0.45">
      <c r="A1951" t="s">
        <v>1266</v>
      </c>
      <c r="B1951">
        <v>8</v>
      </c>
      <c r="C1951" t="str">
        <f>HYPERLINK("http://www.ncbi.nlm.nih.gov/protein/XP_059324865.1","XP_059324865.1")</f>
        <v>XP_059324865.1</v>
      </c>
      <c r="D1951">
        <v>28293</v>
      </c>
      <c r="E1951" t="str">
        <f>HYPERLINK("http://www.ncbi.nlm.nih.gov/Taxonomy/Browser/wwwtax.cgi?mode=Info&amp;id=2857394&amp;lvl=3&amp;lin=f&amp;keep=1&amp;srchmode=1&amp;unlock","2857394")</f>
        <v>2857394</v>
      </c>
      <c r="F1951" t="s">
        <v>241</v>
      </c>
      <c r="G1951" t="str">
        <f>HYPERLINK("http://www.ncbi.nlm.nih.gov/Taxonomy/Browser/wwwtax.cgi?mode=Info&amp;id=2857394&amp;lvl=3&amp;lin=f&amp;keep=1&amp;srchmode=1&amp;unlock","Ammospiza nelsoni")</f>
        <v>Ammospiza nelsoni</v>
      </c>
      <c r="H1951" t="s">
        <v>435</v>
      </c>
      <c r="I1951" t="str">
        <f>HYPERLINK("http://www.ncbi.nlm.nih.gov/protein/XP_059324865.1","ryanodine receptor 2 isoform X3")</f>
        <v>ryanodine receptor 2 isoform X3</v>
      </c>
      <c r="J1951">
        <v>8514.82</v>
      </c>
      <c r="K1951" t="s">
        <v>19</v>
      </c>
      <c r="L1951">
        <v>1210</v>
      </c>
      <c r="M1951">
        <v>7.13</v>
      </c>
      <c r="N1951">
        <v>82.97</v>
      </c>
      <c r="O1951" t="s">
        <v>19</v>
      </c>
      <c r="P1951" t="s">
        <v>1267</v>
      </c>
      <c r="Q1951" t="s">
        <v>19</v>
      </c>
      <c r="R1951" t="str">
        <f>HYPERLINK("https://cfpub.epa.gov/ecotox/explore.cfm?ncbi=2857394","Explore in ECOTOX")</f>
        <v>Explore in ECOTOX</v>
      </c>
    </row>
    <row r="1952" spans="1:18" x14ac:dyDescent="0.45">
      <c r="A1952" t="s">
        <v>1266</v>
      </c>
      <c r="B1952">
        <v>8</v>
      </c>
      <c r="C1952" t="str">
        <f>HYPERLINK("http://www.ncbi.nlm.nih.gov/protein/XP_050828612.1","XP_050828612.1")</f>
        <v>XP_050828612.1</v>
      </c>
      <c r="D1952">
        <v>36254</v>
      </c>
      <c r="E1952" t="str">
        <f>HYPERLINK("http://www.ncbi.nlm.nih.gov/Taxonomy/Browser/wwwtax.cgi?mode=Info&amp;id=9135&amp;lvl=3&amp;lin=f&amp;keep=1&amp;srchmode=1&amp;unlock","9135")</f>
        <v>9135</v>
      </c>
      <c r="F1952" t="s">
        <v>241</v>
      </c>
      <c r="G1952" t="str">
        <f>HYPERLINK("http://www.ncbi.nlm.nih.gov/Taxonomy/Browser/wwwtax.cgi?mode=Info&amp;id=9135&amp;lvl=3&amp;lin=f&amp;keep=1&amp;srchmode=1&amp;unlock","Serinus canaria")</f>
        <v>Serinus canaria</v>
      </c>
      <c r="H1952" t="s">
        <v>553</v>
      </c>
      <c r="I1952" t="str">
        <f>HYPERLINK("http://www.ncbi.nlm.nih.gov/protein/XP_050828612.1","ryanodine receptor 2")</f>
        <v>ryanodine receptor 2</v>
      </c>
      <c r="J1952">
        <v>8514.82</v>
      </c>
      <c r="K1952" t="s">
        <v>19</v>
      </c>
      <c r="L1952">
        <v>1210</v>
      </c>
      <c r="M1952">
        <v>7.13</v>
      </c>
      <c r="N1952">
        <v>82.97</v>
      </c>
      <c r="O1952" t="s">
        <v>19</v>
      </c>
      <c r="P1952" t="s">
        <v>1267</v>
      </c>
      <c r="Q1952" t="s">
        <v>19</v>
      </c>
      <c r="R1952" t="str">
        <f>HYPERLINK("https://cfpub.epa.gov/ecotox/explore.cfm?ncbi=9135","Explore in ECOTOX")</f>
        <v>Explore in ECOTOX</v>
      </c>
    </row>
    <row r="1953" spans="1:18" x14ac:dyDescent="0.45">
      <c r="A1953" t="s">
        <v>1266</v>
      </c>
      <c r="B1953">
        <v>8</v>
      </c>
      <c r="C1953" t="str">
        <f>HYPERLINK("http://www.ncbi.nlm.nih.gov/protein/XP_009995897.1","XP_009995897.1")</f>
        <v>XP_009995897.1</v>
      </c>
      <c r="D1953">
        <v>29247</v>
      </c>
      <c r="E1953" t="str">
        <f>HYPERLINK("http://www.ncbi.nlm.nih.gov/Taxonomy/Browser/wwwtax.cgi?mode=Info&amp;id=8897&amp;lvl=3&amp;lin=f&amp;keep=1&amp;srchmode=1&amp;unlock","8897")</f>
        <v>8897</v>
      </c>
      <c r="F1953" t="s">
        <v>241</v>
      </c>
      <c r="G1953" t="str">
        <f>HYPERLINK("http://www.ncbi.nlm.nih.gov/Taxonomy/Browser/wwwtax.cgi?mode=Info&amp;id=8897&amp;lvl=3&amp;lin=f&amp;keep=1&amp;srchmode=1&amp;unlock","Chaetura pelagica")</f>
        <v>Chaetura pelagica</v>
      </c>
      <c r="H1953" t="s">
        <v>384</v>
      </c>
      <c r="I1953" t="str">
        <f>HYPERLINK("http://www.ncbi.nlm.nih.gov/protein/XP_009995897.1","PREDICTED: ryanodine receptor 2")</f>
        <v>PREDICTED: ryanodine receptor 2</v>
      </c>
      <c r="J1953">
        <v>8514.82</v>
      </c>
      <c r="K1953" t="s">
        <v>19</v>
      </c>
      <c r="L1953">
        <v>1210</v>
      </c>
      <c r="M1953">
        <v>7.13</v>
      </c>
      <c r="N1953">
        <v>82.97</v>
      </c>
      <c r="O1953" t="s">
        <v>19</v>
      </c>
      <c r="P1953" t="s">
        <v>1267</v>
      </c>
      <c r="Q1953" t="s">
        <v>19</v>
      </c>
      <c r="R1953" t="str">
        <f>HYPERLINK("https://cfpub.epa.gov/ecotox/explore.cfm?ncbi=8897","Explore in ECOTOX")</f>
        <v>Explore in ECOTOX</v>
      </c>
    </row>
    <row r="1954" spans="1:18" x14ac:dyDescent="0.45">
      <c r="A1954" t="s">
        <v>1266</v>
      </c>
      <c r="B1954">
        <v>8</v>
      </c>
      <c r="C1954" t="str">
        <f>HYPERLINK("http://www.ncbi.nlm.nih.gov/protein/XP_051471006.1","XP_051471006.1")</f>
        <v>XP_051471006.1</v>
      </c>
      <c r="D1954">
        <v>36428</v>
      </c>
      <c r="E1954" t="str">
        <f>HYPERLINK("http://www.ncbi.nlm.nih.gov/Taxonomy/Browser/wwwtax.cgi?mode=Info&amp;id=8895&amp;lvl=3&amp;lin=f&amp;keep=1&amp;srchmode=1&amp;unlock","8895")</f>
        <v>8895</v>
      </c>
      <c r="F1954" t="s">
        <v>241</v>
      </c>
      <c r="G1954" t="str">
        <f>HYPERLINK("http://www.ncbi.nlm.nih.gov/Taxonomy/Browser/wwwtax.cgi?mode=Info&amp;id=8895&amp;lvl=3&amp;lin=f&amp;keep=1&amp;srchmode=1&amp;unlock","Apus apus")</f>
        <v>Apus apus</v>
      </c>
      <c r="H1954" t="s">
        <v>343</v>
      </c>
      <c r="I1954" t="str">
        <f>HYPERLINK("http://www.ncbi.nlm.nih.gov/protein/XP_051471006.1","ryanodine receptor 2")</f>
        <v>ryanodine receptor 2</v>
      </c>
      <c r="J1954">
        <v>8514.82</v>
      </c>
      <c r="K1954" t="s">
        <v>19</v>
      </c>
      <c r="L1954">
        <v>1210</v>
      </c>
      <c r="M1954">
        <v>7.13</v>
      </c>
      <c r="N1954">
        <v>82.97</v>
      </c>
      <c r="O1954" t="s">
        <v>19</v>
      </c>
      <c r="P1954" t="s">
        <v>1267</v>
      </c>
      <c r="Q1954" t="s">
        <v>19</v>
      </c>
      <c r="R1954" t="str">
        <f>HYPERLINK("https://cfpub.epa.gov/ecotox/explore.cfm?ncbi=8895","Explore in ECOTOX")</f>
        <v>Explore in ECOTOX</v>
      </c>
    </row>
    <row r="1955" spans="1:18" x14ac:dyDescent="0.45">
      <c r="A1955" t="s">
        <v>1266</v>
      </c>
      <c r="B1955">
        <v>8</v>
      </c>
      <c r="C1955" t="str">
        <f>HYPERLINK("http://www.ncbi.nlm.nih.gov/protein/XP_030800548.1","XP_030800548.1")</f>
        <v>XP_030800548.1</v>
      </c>
      <c r="D1955">
        <v>28938</v>
      </c>
      <c r="E1955" t="str">
        <f>HYPERLINK("http://www.ncbi.nlm.nih.gov/Taxonomy/Browser/wwwtax.cgi?mode=Info&amp;id=87175&amp;lvl=3&amp;lin=f&amp;keep=1&amp;srchmode=1&amp;unlock","87175")</f>
        <v>87175</v>
      </c>
      <c r="F1955" t="s">
        <v>241</v>
      </c>
      <c r="G1955" t="str">
        <f>HYPERLINK("http://www.ncbi.nlm.nih.gov/Taxonomy/Browser/wwwtax.cgi?mode=Info&amp;id=87175&amp;lvl=3&amp;lin=f&amp;keep=1&amp;srchmode=1&amp;unlock","Camarhynchus parvulus")</f>
        <v>Camarhynchus parvulus</v>
      </c>
      <c r="H1955" t="s">
        <v>561</v>
      </c>
      <c r="I1955" t="str">
        <f>HYPERLINK("http://www.ncbi.nlm.nih.gov/protein/XP_030800548.1","ryanodine receptor 2")</f>
        <v>ryanodine receptor 2</v>
      </c>
      <c r="J1955">
        <v>8512.1299999999992</v>
      </c>
      <c r="K1955" t="s">
        <v>19</v>
      </c>
      <c r="L1955">
        <v>1210</v>
      </c>
      <c r="M1955">
        <v>7.13</v>
      </c>
      <c r="N1955">
        <v>82.94</v>
      </c>
      <c r="O1955" t="s">
        <v>19</v>
      </c>
      <c r="P1955" t="s">
        <v>1267</v>
      </c>
      <c r="Q1955" t="s">
        <v>19</v>
      </c>
      <c r="R1955" t="str">
        <f>HYPERLINK("https://cfpub.epa.gov/ecotox/explore.cfm?ncbi=87175","Explore in ECOTOX")</f>
        <v>Explore in ECOTOX</v>
      </c>
    </row>
    <row r="1956" spans="1:18" x14ac:dyDescent="0.45">
      <c r="A1956" t="s">
        <v>1266</v>
      </c>
      <c r="B1956">
        <v>8</v>
      </c>
      <c r="C1956" t="str">
        <f>HYPERLINK("http://www.ncbi.nlm.nih.gov/protein/XP_057876325.1","XP_057876325.1")</f>
        <v>XP_057876325.1</v>
      </c>
      <c r="D1956">
        <v>27661</v>
      </c>
      <c r="E1956" t="str">
        <f>HYPERLINK("http://www.ncbi.nlm.nih.gov/Taxonomy/Browser/wwwtax.cgi?mode=Info&amp;id=44398&amp;lvl=3&amp;lin=f&amp;keep=1&amp;srchmode=1&amp;unlock","44398")</f>
        <v>44398</v>
      </c>
      <c r="F1956" t="s">
        <v>241</v>
      </c>
      <c r="G1956" t="str">
        <f>HYPERLINK("http://www.ncbi.nlm.nih.gov/Taxonomy/Browser/wwwtax.cgi?mode=Info&amp;id=44398&amp;lvl=3&amp;lin=f&amp;keep=1&amp;srchmode=1&amp;unlock","Melospiza georgiana")</f>
        <v>Melospiza georgiana</v>
      </c>
      <c r="H1956" t="s">
        <v>435</v>
      </c>
      <c r="I1956" t="str">
        <f>HYPERLINK("http://www.ncbi.nlm.nih.gov/protein/XP_057876325.1","ryanodine receptor 2 isoform X2")</f>
        <v>ryanodine receptor 2 isoform X2</v>
      </c>
      <c r="J1956">
        <v>8511.74</v>
      </c>
      <c r="K1956" t="s">
        <v>19</v>
      </c>
      <c r="L1956">
        <v>1210</v>
      </c>
      <c r="M1956">
        <v>7.13</v>
      </c>
      <c r="N1956">
        <v>82.94</v>
      </c>
      <c r="O1956" t="s">
        <v>19</v>
      </c>
      <c r="P1956" t="s">
        <v>1267</v>
      </c>
      <c r="Q1956" t="s">
        <v>19</v>
      </c>
      <c r="R1956" t="str">
        <f>HYPERLINK("https://cfpub.epa.gov/ecotox/explore.cfm?ncbi=44398","Explore in ECOTOX")</f>
        <v>Explore in ECOTOX</v>
      </c>
    </row>
    <row r="1957" spans="1:18" x14ac:dyDescent="0.45">
      <c r="A1957" t="s">
        <v>1266</v>
      </c>
      <c r="B1957">
        <v>8</v>
      </c>
      <c r="C1957" t="str">
        <f>HYPERLINK("http://www.ncbi.nlm.nih.gov/protein/XP_041341383.1","XP_041341383.1")</f>
        <v>XP_041341383.1</v>
      </c>
      <c r="D1957">
        <v>32675</v>
      </c>
      <c r="E1957" t="str">
        <f>HYPERLINK("http://www.ncbi.nlm.nih.gov/Taxonomy/Browser/wwwtax.cgi?mode=Info&amp;id=221976&amp;lvl=3&amp;lin=f&amp;keep=1&amp;srchmode=1&amp;unlock","221976")</f>
        <v>221976</v>
      </c>
      <c r="F1957" t="s">
        <v>241</v>
      </c>
      <c r="G1957" t="str">
        <f>HYPERLINK("http://www.ncbi.nlm.nih.gov/Taxonomy/Browser/wwwtax.cgi?mode=Info&amp;id=221976&amp;lvl=3&amp;lin=f&amp;keep=1&amp;srchmode=1&amp;unlock","Pyrgilauda ruficollis")</f>
        <v>Pyrgilauda ruficollis</v>
      </c>
      <c r="H1957" t="s">
        <v>577</v>
      </c>
      <c r="I1957" t="str">
        <f>HYPERLINK("http://www.ncbi.nlm.nih.gov/protein/XP_041341383.1","ryanodine receptor 2")</f>
        <v>ryanodine receptor 2</v>
      </c>
      <c r="J1957">
        <v>8510.9699999999993</v>
      </c>
      <c r="K1957" t="s">
        <v>19</v>
      </c>
      <c r="L1957">
        <v>1210</v>
      </c>
      <c r="M1957">
        <v>7.13</v>
      </c>
      <c r="N1957">
        <v>82.93</v>
      </c>
      <c r="O1957" t="s">
        <v>19</v>
      </c>
      <c r="P1957" t="s">
        <v>1267</v>
      </c>
      <c r="Q1957" t="s">
        <v>19</v>
      </c>
      <c r="R1957" t="str">
        <f>HYPERLINK("https://cfpub.epa.gov/ecotox/explore.cfm?ncbi=221976","Explore in ECOTOX")</f>
        <v>Explore in ECOTOX</v>
      </c>
    </row>
    <row r="1958" spans="1:18" x14ac:dyDescent="0.45">
      <c r="A1958" t="s">
        <v>1266</v>
      </c>
      <c r="B1958">
        <v>8</v>
      </c>
      <c r="C1958" t="str">
        <f>HYPERLINK("http://www.ncbi.nlm.nih.gov/protein/XP_037593742.1","XP_037593742.1")</f>
        <v>XP_037593742.1</v>
      </c>
      <c r="D1958">
        <v>55947</v>
      </c>
      <c r="E1958" t="str">
        <f>HYPERLINK("http://www.ncbi.nlm.nih.gov/Taxonomy/Browser/wwwtax.cgi?mode=Info&amp;id=2715852&amp;lvl=3&amp;lin=f&amp;keep=1&amp;srchmode=1&amp;unlock","2715852")</f>
        <v>2715852</v>
      </c>
      <c r="F1958" t="s">
        <v>96</v>
      </c>
      <c r="G1958" t="str">
        <f>HYPERLINK("http://www.ncbi.nlm.nih.gov/Taxonomy/Browser/wwwtax.cgi?mode=Info&amp;id=2715852&amp;lvl=3&amp;lin=f&amp;keep=1&amp;srchmode=1&amp;unlock","Cebus imitator")</f>
        <v>Cebus imitator</v>
      </c>
      <c r="H1958" t="s">
        <v>425</v>
      </c>
      <c r="I1958" t="str">
        <f>HYPERLINK("http://www.ncbi.nlm.nih.gov/protein/XP_037593742.1","ryanodine receptor 2")</f>
        <v>ryanodine receptor 2</v>
      </c>
      <c r="J1958">
        <v>8510.59</v>
      </c>
      <c r="K1958" t="s">
        <v>19</v>
      </c>
      <c r="L1958">
        <v>1210</v>
      </c>
      <c r="M1958">
        <v>7.13</v>
      </c>
      <c r="N1958">
        <v>82.93</v>
      </c>
      <c r="O1958" t="s">
        <v>19</v>
      </c>
      <c r="P1958" t="s">
        <v>1267</v>
      </c>
      <c r="Q1958" t="s">
        <v>19</v>
      </c>
      <c r="R1958" t="str">
        <f>HYPERLINK("https://cfpub.epa.gov/ecotox/explore.cfm?ncbi=2715852","Explore in ECOTOX")</f>
        <v>Explore in ECOTOX</v>
      </c>
    </row>
    <row r="1959" spans="1:18" x14ac:dyDescent="0.45">
      <c r="A1959" t="s">
        <v>1266</v>
      </c>
      <c r="B1959">
        <v>8</v>
      </c>
      <c r="C1959" t="str">
        <f>HYPERLINK("http://www.ncbi.nlm.nih.gov/protein/XP_039562808.1","XP_039562808.1")</f>
        <v>XP_039562808.1</v>
      </c>
      <c r="D1959">
        <v>39382</v>
      </c>
      <c r="E1959" t="str">
        <f>HYPERLINK("http://www.ncbi.nlm.nih.gov/Taxonomy/Browser/wwwtax.cgi?mode=Info&amp;id=9160&amp;lvl=3&amp;lin=f&amp;keep=1&amp;srchmode=1&amp;unlock","9160")</f>
        <v>9160</v>
      </c>
      <c r="F1959" t="s">
        <v>241</v>
      </c>
      <c r="G1959" t="str">
        <f>HYPERLINK("http://www.ncbi.nlm.nih.gov/Taxonomy/Browser/wwwtax.cgi?mode=Info&amp;id=9160&amp;lvl=3&amp;lin=f&amp;keep=1&amp;srchmode=1&amp;unlock","Passer montanus")</f>
        <v>Passer montanus</v>
      </c>
      <c r="H1959" t="s">
        <v>554</v>
      </c>
      <c r="I1959" t="str">
        <f>HYPERLINK("http://www.ncbi.nlm.nih.gov/protein/XP_039562808.1","ryanodine receptor 2 isoform X8")</f>
        <v>ryanodine receptor 2 isoform X8</v>
      </c>
      <c r="J1959">
        <v>8509.0400000000009</v>
      </c>
      <c r="K1959" t="s">
        <v>19</v>
      </c>
      <c r="L1959">
        <v>1210</v>
      </c>
      <c r="M1959">
        <v>7.13</v>
      </c>
      <c r="N1959">
        <v>82.91</v>
      </c>
      <c r="O1959" t="s">
        <v>19</v>
      </c>
      <c r="P1959" t="s">
        <v>1267</v>
      </c>
      <c r="Q1959" t="s">
        <v>19</v>
      </c>
      <c r="R1959" t="str">
        <f>HYPERLINK("https://cfpub.epa.gov/ecotox/explore.cfm?ncbi=9160","Explore in ECOTOX")</f>
        <v>Explore in ECOTOX</v>
      </c>
    </row>
    <row r="1960" spans="1:18" x14ac:dyDescent="0.45">
      <c r="A1960" t="s">
        <v>1266</v>
      </c>
      <c r="B1960">
        <v>8</v>
      </c>
      <c r="C1960" t="str">
        <f>HYPERLINK("http://www.ncbi.nlm.nih.gov/protein/XP_032464973.1","XP_032464973.1")</f>
        <v>XP_032464973.1</v>
      </c>
      <c r="D1960">
        <v>52383</v>
      </c>
      <c r="E1960" t="str">
        <f>HYPERLINK("http://www.ncbi.nlm.nih.gov/Taxonomy/Browser/wwwtax.cgi?mode=Info&amp;id=42100&amp;lvl=3&amp;lin=f&amp;keep=1&amp;srchmode=1&amp;unlock","42100")</f>
        <v>42100</v>
      </c>
      <c r="F1960" t="s">
        <v>96</v>
      </c>
      <c r="G1960" t="str">
        <f>HYPERLINK("http://www.ncbi.nlm.nih.gov/Taxonomy/Browser/wwwtax.cgi?mode=Info&amp;id=42100&amp;lvl=3&amp;lin=f&amp;keep=1&amp;srchmode=1&amp;unlock","Phocoena sinus")</f>
        <v>Phocoena sinus</v>
      </c>
      <c r="H1960" t="s">
        <v>630</v>
      </c>
      <c r="I1960" t="str">
        <f>HYPERLINK("http://www.ncbi.nlm.nih.gov/protein/XP_032464973.1","LOW QUALITY PROTEIN: ryanodine receptor 2")</f>
        <v>LOW QUALITY PROTEIN: ryanodine receptor 2</v>
      </c>
      <c r="J1960">
        <v>8508.66</v>
      </c>
      <c r="K1960" t="s">
        <v>19</v>
      </c>
      <c r="L1960">
        <v>1210</v>
      </c>
      <c r="M1960">
        <v>7.13</v>
      </c>
      <c r="N1960">
        <v>82.91</v>
      </c>
      <c r="O1960" t="s">
        <v>19</v>
      </c>
      <c r="P1960" t="s">
        <v>1267</v>
      </c>
      <c r="Q1960" t="s">
        <v>19</v>
      </c>
      <c r="R1960" t="str">
        <f>HYPERLINK("https://cfpub.epa.gov/ecotox/explore.cfm?ncbi=42100","Explore in ECOTOX")</f>
        <v>Explore in ECOTOX</v>
      </c>
    </row>
    <row r="1961" spans="1:18" x14ac:dyDescent="0.45">
      <c r="A1961" t="s">
        <v>1266</v>
      </c>
      <c r="B1961">
        <v>8</v>
      </c>
      <c r="C1961" t="str">
        <f>HYPERLINK("http://www.ncbi.nlm.nih.gov/protein/XP_053793408.1","XP_053793408.1")</f>
        <v>XP_053793408.1</v>
      </c>
      <c r="D1961">
        <v>52025</v>
      </c>
      <c r="E1961" t="str">
        <f>HYPERLINK("http://www.ncbi.nlm.nih.gov/Taxonomy/Browser/wwwtax.cgi?mode=Info&amp;id=81927&amp;lvl=3&amp;lin=f&amp;keep=1&amp;srchmode=1&amp;unlock","81927")</f>
        <v>81927</v>
      </c>
      <c r="F1961" t="s">
        <v>241</v>
      </c>
      <c r="G1961" t="str">
        <f>HYPERLINK("http://www.ncbi.nlm.nih.gov/Taxonomy/Browser/wwwtax.cgi?mode=Info&amp;id=81927&amp;lvl=3&amp;lin=f&amp;keep=1&amp;srchmode=1&amp;unlock","Vidua chalybeata")</f>
        <v>Vidua chalybeata</v>
      </c>
      <c r="H1961" t="s">
        <v>435</v>
      </c>
      <c r="I1961" t="str">
        <f>HYPERLINK("http://www.ncbi.nlm.nih.gov/protein/XP_053793408.1","ryanodine receptor 2")</f>
        <v>ryanodine receptor 2</v>
      </c>
      <c r="J1961">
        <v>8508.27</v>
      </c>
      <c r="K1961" t="s">
        <v>19</v>
      </c>
      <c r="L1961">
        <v>1210</v>
      </c>
      <c r="M1961">
        <v>7.13</v>
      </c>
      <c r="N1961">
        <v>82.9</v>
      </c>
      <c r="O1961" t="s">
        <v>19</v>
      </c>
      <c r="P1961" t="s">
        <v>1267</v>
      </c>
      <c r="Q1961" t="s">
        <v>19</v>
      </c>
      <c r="R1961" t="str">
        <f>HYPERLINK("https://cfpub.epa.gov/ecotox/explore.cfm?ncbi=81927","Explore in ECOTOX")</f>
        <v>Explore in ECOTOX</v>
      </c>
    </row>
    <row r="1962" spans="1:18" x14ac:dyDescent="0.45">
      <c r="A1962" t="s">
        <v>1266</v>
      </c>
      <c r="B1962">
        <v>8</v>
      </c>
      <c r="C1962" t="str">
        <f>HYPERLINK("http://www.ncbi.nlm.nih.gov/protein/XP_015477485.1","XP_015477485.1")</f>
        <v>XP_015477485.1</v>
      </c>
      <c r="D1962">
        <v>39863</v>
      </c>
      <c r="E1962" t="str">
        <f>HYPERLINK("http://www.ncbi.nlm.nih.gov/Taxonomy/Browser/wwwtax.cgi?mode=Info&amp;id=9157&amp;lvl=3&amp;lin=f&amp;keep=1&amp;srchmode=1&amp;unlock","9157")</f>
        <v>9157</v>
      </c>
      <c r="F1962" t="s">
        <v>241</v>
      </c>
      <c r="G1962" t="str">
        <f>HYPERLINK("http://www.ncbi.nlm.nih.gov/Taxonomy/Browser/wwwtax.cgi?mode=Info&amp;id=9157&amp;lvl=3&amp;lin=f&amp;keep=1&amp;srchmode=1&amp;unlock","Parus major")</f>
        <v>Parus major</v>
      </c>
      <c r="H1962" t="s">
        <v>573</v>
      </c>
      <c r="I1962" t="str">
        <f>HYPERLINK("http://www.ncbi.nlm.nih.gov/protein/XP_015477485.1","ryanodine receptor 2 isoform X5")</f>
        <v>ryanodine receptor 2 isoform X5</v>
      </c>
      <c r="J1962">
        <v>8508.27</v>
      </c>
      <c r="K1962" t="s">
        <v>19</v>
      </c>
      <c r="L1962">
        <v>1210</v>
      </c>
      <c r="M1962">
        <v>7.13</v>
      </c>
      <c r="N1962">
        <v>82.9</v>
      </c>
      <c r="O1962" t="s">
        <v>19</v>
      </c>
      <c r="P1962" t="s">
        <v>1267</v>
      </c>
      <c r="Q1962" t="s">
        <v>19</v>
      </c>
      <c r="R1962" t="str">
        <f>HYPERLINK("https://cfpub.epa.gov/ecotox/explore.cfm?ncbi=9157","Explore in ECOTOX")</f>
        <v>Explore in ECOTOX</v>
      </c>
    </row>
    <row r="1963" spans="1:18" x14ac:dyDescent="0.45">
      <c r="A1963" t="s">
        <v>1266</v>
      </c>
      <c r="B1963">
        <v>8</v>
      </c>
      <c r="C1963" t="str">
        <f>HYPERLINK("http://www.ncbi.nlm.nih.gov/protein/XP_040134456.1","XP_040134456.1")</f>
        <v>XP_040134456.1</v>
      </c>
      <c r="D1963">
        <v>94499</v>
      </c>
      <c r="E1963" t="str">
        <f>HYPERLINK("http://www.ncbi.nlm.nih.gov/Taxonomy/Browser/wwwtax.cgi?mode=Info&amp;id=43179&amp;lvl=3&amp;lin=f&amp;keep=1&amp;srchmode=1&amp;unlock","43179")</f>
        <v>43179</v>
      </c>
      <c r="F1963" t="s">
        <v>96</v>
      </c>
      <c r="G1963" t="str">
        <f>HYPERLINK("http://www.ncbi.nlm.nih.gov/Taxonomy/Browser/wwwtax.cgi?mode=Info&amp;id=43179&amp;lvl=3&amp;lin=f&amp;keep=1&amp;srchmode=1&amp;unlock","Ictidomys tridecemlineatus")</f>
        <v>Ictidomys tridecemlineatus</v>
      </c>
      <c r="H1963" t="s">
        <v>649</v>
      </c>
      <c r="I1963" t="str">
        <f>HYPERLINK("http://www.ncbi.nlm.nih.gov/protein/XP_040134456.1","ryanodine receptor 2")</f>
        <v>ryanodine receptor 2</v>
      </c>
      <c r="J1963">
        <v>8507.89</v>
      </c>
      <c r="K1963" t="s">
        <v>19</v>
      </c>
      <c r="L1963">
        <v>1210</v>
      </c>
      <c r="M1963">
        <v>7.13</v>
      </c>
      <c r="N1963">
        <v>82.9</v>
      </c>
      <c r="O1963" t="s">
        <v>19</v>
      </c>
      <c r="P1963" t="s">
        <v>1267</v>
      </c>
      <c r="Q1963" t="s">
        <v>19</v>
      </c>
      <c r="R1963" t="str">
        <f>HYPERLINK("https://cfpub.epa.gov/ecotox/explore.cfm?ncbi=43179","Explore in ECOTOX")</f>
        <v>Explore in ECOTOX</v>
      </c>
    </row>
    <row r="1964" spans="1:18" x14ac:dyDescent="0.45">
      <c r="A1964" t="s">
        <v>1266</v>
      </c>
      <c r="B1964">
        <v>8</v>
      </c>
      <c r="C1964" t="str">
        <f>HYPERLINK("http://www.ncbi.nlm.nih.gov/protein/XP_053830138.1","XP_053830138.1")</f>
        <v>XP_053830138.1</v>
      </c>
      <c r="D1964">
        <v>48332</v>
      </c>
      <c r="E1964" t="str">
        <f>HYPERLINK("http://www.ncbi.nlm.nih.gov/Taxonomy/Browser/wwwtax.cgi?mode=Info&amp;id=187451&amp;lvl=3&amp;lin=f&amp;keep=1&amp;srchmode=1&amp;unlock","187451")</f>
        <v>187451</v>
      </c>
      <c r="F1964" t="s">
        <v>241</v>
      </c>
      <c r="G1964" t="str">
        <f>HYPERLINK("http://www.ncbi.nlm.nih.gov/Taxonomy/Browser/wwwtax.cgi?mode=Info&amp;id=187451&amp;lvl=3&amp;lin=f&amp;keep=1&amp;srchmode=1&amp;unlock","Vidua macroura")</f>
        <v>Vidua macroura</v>
      </c>
      <c r="H1964" t="s">
        <v>512</v>
      </c>
      <c r="I1964" t="str">
        <f>HYPERLINK("http://www.ncbi.nlm.nih.gov/protein/XP_053830138.1","ryanodine receptor 2")</f>
        <v>ryanodine receptor 2</v>
      </c>
      <c r="J1964">
        <v>8507.89</v>
      </c>
      <c r="K1964" t="s">
        <v>19</v>
      </c>
      <c r="L1964">
        <v>1210</v>
      </c>
      <c r="M1964">
        <v>7.13</v>
      </c>
      <c r="N1964">
        <v>82.9</v>
      </c>
      <c r="O1964" t="s">
        <v>19</v>
      </c>
      <c r="P1964" t="s">
        <v>1267</v>
      </c>
      <c r="Q1964" t="s">
        <v>19</v>
      </c>
      <c r="R1964" t="str">
        <f>HYPERLINK("https://cfpub.epa.gov/ecotox/explore.cfm?ncbi=187451","Explore in ECOTOX")</f>
        <v>Explore in ECOTOX</v>
      </c>
    </row>
    <row r="1965" spans="1:18" x14ac:dyDescent="0.45">
      <c r="A1965" t="s">
        <v>1266</v>
      </c>
      <c r="B1965">
        <v>8</v>
      </c>
      <c r="C1965" t="str">
        <f>HYPERLINK("http://www.ncbi.nlm.nih.gov/protein/XP_058690686.1","XP_058690686.1")</f>
        <v>XP_058690686.1</v>
      </c>
      <c r="D1965">
        <v>53397</v>
      </c>
      <c r="E1965" t="str">
        <f>HYPERLINK("http://www.ncbi.nlm.nih.gov/Taxonomy/Browser/wwwtax.cgi?mode=Info&amp;id=48891&amp;lvl=3&amp;lin=f&amp;keep=1&amp;srchmode=1&amp;unlock","48891")</f>
        <v>48891</v>
      </c>
      <c r="F1965" t="s">
        <v>241</v>
      </c>
      <c r="G1965" t="str">
        <f>HYPERLINK("http://www.ncbi.nlm.nih.gov/Taxonomy/Browser/wwwtax.cgi?mode=Info&amp;id=48891&amp;lvl=3&amp;lin=f&amp;keep=1&amp;srchmode=1&amp;unlock","Poecile atricapillus")</f>
        <v>Poecile atricapillus</v>
      </c>
      <c r="H1965" t="s">
        <v>470</v>
      </c>
      <c r="I1965" t="str">
        <f>HYPERLINK("http://www.ncbi.nlm.nih.gov/protein/XP_058690686.1","ryanodine receptor 2 isoform X2")</f>
        <v>ryanodine receptor 2 isoform X2</v>
      </c>
      <c r="J1965">
        <v>8506.73</v>
      </c>
      <c r="K1965" t="s">
        <v>19</v>
      </c>
      <c r="L1965">
        <v>1210</v>
      </c>
      <c r="M1965">
        <v>7.13</v>
      </c>
      <c r="N1965">
        <v>82.89</v>
      </c>
      <c r="O1965" t="s">
        <v>19</v>
      </c>
      <c r="P1965" t="s">
        <v>1267</v>
      </c>
      <c r="Q1965" t="s">
        <v>19</v>
      </c>
      <c r="R1965" t="str">
        <f>HYPERLINK("https://cfpub.epa.gov/ecotox/explore.cfm?ncbi=48891","Explore in ECOTOX")</f>
        <v>Explore in ECOTOX</v>
      </c>
    </row>
    <row r="1966" spans="1:18" x14ac:dyDescent="0.45">
      <c r="A1966" t="s">
        <v>1266</v>
      </c>
      <c r="B1966">
        <v>8</v>
      </c>
      <c r="C1966" t="str">
        <f>HYPERLINK("http://www.ncbi.nlm.nih.gov/protein/XP_057592961.1","XP_057592961.1")</f>
        <v>XP_057592961.1</v>
      </c>
      <c r="D1966">
        <v>55980</v>
      </c>
      <c r="E1966" t="str">
        <f>HYPERLINK("http://www.ncbi.nlm.nih.gov/Taxonomy/Browser/wwwtax.cgi?mode=Info&amp;id=575201&amp;lvl=3&amp;lin=f&amp;keep=1&amp;srchmode=1&amp;unlock","575201")</f>
        <v>575201</v>
      </c>
      <c r="F1966" t="s">
        <v>96</v>
      </c>
      <c r="G1966" t="str">
        <f>HYPERLINK("http://www.ncbi.nlm.nih.gov/Taxonomy/Browser/wwwtax.cgi?mode=Info&amp;id=575201&amp;lvl=3&amp;lin=f&amp;keep=1&amp;srchmode=1&amp;unlock","Hippopotamus amphibius kiboko")</f>
        <v>Hippopotamus amphibius kiboko</v>
      </c>
      <c r="H1966" t="s">
        <v>390</v>
      </c>
      <c r="I1966" t="str">
        <f>HYPERLINK("http://www.ncbi.nlm.nih.gov/protein/XP_057592961.1","ryanodine receptor 2")</f>
        <v>ryanodine receptor 2</v>
      </c>
      <c r="J1966">
        <v>8506.73</v>
      </c>
      <c r="K1966" t="s">
        <v>19</v>
      </c>
      <c r="L1966">
        <v>1210</v>
      </c>
      <c r="M1966">
        <v>7.13</v>
      </c>
      <c r="N1966">
        <v>82.89</v>
      </c>
      <c r="O1966" t="s">
        <v>19</v>
      </c>
      <c r="P1966" t="s">
        <v>1267</v>
      </c>
      <c r="Q1966" t="s">
        <v>19</v>
      </c>
      <c r="R1966" t="str">
        <f>HYPERLINK("https://cfpub.epa.gov/ecotox/explore.cfm?ncbi=575201","Explore in ECOTOX")</f>
        <v>Explore in ECOTOX</v>
      </c>
    </row>
    <row r="1967" spans="1:18" x14ac:dyDescent="0.45">
      <c r="A1967" t="s">
        <v>1266</v>
      </c>
      <c r="B1967">
        <v>8</v>
      </c>
      <c r="C1967" t="str">
        <f>HYPERLINK("http://www.ncbi.nlm.nih.gov/protein/XP_054136055.1","XP_054136055.1")</f>
        <v>XP_054136055.1</v>
      </c>
      <c r="D1967">
        <v>27149</v>
      </c>
      <c r="E1967" t="str">
        <f>HYPERLINK("http://www.ncbi.nlm.nih.gov/Taxonomy/Browser/wwwtax.cgi?mode=Info&amp;id=40204&amp;lvl=3&amp;lin=f&amp;keep=1&amp;srchmode=1&amp;unlock","40204")</f>
        <v>40204</v>
      </c>
      <c r="F1967" t="s">
        <v>241</v>
      </c>
      <c r="G1967" t="str">
        <f>HYPERLINK("http://www.ncbi.nlm.nih.gov/Taxonomy/Browser/wwwtax.cgi?mode=Info&amp;id=40204&amp;lvl=3&amp;lin=f&amp;keep=1&amp;srchmode=1&amp;unlock","Melozone crissalis")</f>
        <v>Melozone crissalis</v>
      </c>
      <c r="H1967" t="s">
        <v>516</v>
      </c>
      <c r="I1967" t="str">
        <f>HYPERLINK("http://www.ncbi.nlm.nih.gov/protein/XP_054136055.1","ryanodine receptor 2 isoform X2")</f>
        <v>ryanodine receptor 2 isoform X2</v>
      </c>
      <c r="J1967">
        <v>8505.9599999999991</v>
      </c>
      <c r="K1967" t="s">
        <v>19</v>
      </c>
      <c r="L1967">
        <v>1210</v>
      </c>
      <c r="M1967">
        <v>7.13</v>
      </c>
      <c r="N1967">
        <v>82.88</v>
      </c>
      <c r="O1967" t="s">
        <v>19</v>
      </c>
      <c r="P1967" t="s">
        <v>1267</v>
      </c>
      <c r="Q1967" t="s">
        <v>19</v>
      </c>
      <c r="R1967" t="str">
        <f>HYPERLINK("https://cfpub.epa.gov/ecotox/explore.cfm?ncbi=40204","Explore in ECOTOX")</f>
        <v>Explore in ECOTOX</v>
      </c>
    </row>
    <row r="1968" spans="1:18" x14ac:dyDescent="0.45">
      <c r="A1968" t="s">
        <v>1266</v>
      </c>
      <c r="B1968">
        <v>8</v>
      </c>
      <c r="C1968" t="str">
        <f>HYPERLINK("http://www.ncbi.nlm.nih.gov/protein/XP_014730064.1","XP_014730064.1")</f>
        <v>XP_014730064.1</v>
      </c>
      <c r="D1968">
        <v>26794</v>
      </c>
      <c r="E1968" t="str">
        <f>HYPERLINK("http://www.ncbi.nlm.nih.gov/Taxonomy/Browser/wwwtax.cgi?mode=Info&amp;id=9172&amp;lvl=3&amp;lin=f&amp;keep=1&amp;srchmode=1&amp;unlock","9172")</f>
        <v>9172</v>
      </c>
      <c r="F1968" t="s">
        <v>241</v>
      </c>
      <c r="G1968" t="str">
        <f>HYPERLINK("http://www.ncbi.nlm.nih.gov/Taxonomy/Browser/wwwtax.cgi?mode=Info&amp;id=9172&amp;lvl=3&amp;lin=f&amp;keep=1&amp;srchmode=1&amp;unlock","Sturnus vulgaris")</f>
        <v>Sturnus vulgaris</v>
      </c>
      <c r="H1968" t="s">
        <v>588</v>
      </c>
      <c r="I1968" t="str">
        <f>HYPERLINK("http://www.ncbi.nlm.nih.gov/protein/XP_014730064.1","PREDICTED: ryanodine receptor 2")</f>
        <v>PREDICTED: ryanodine receptor 2</v>
      </c>
      <c r="J1968">
        <v>8504.81</v>
      </c>
      <c r="K1968" t="s">
        <v>19</v>
      </c>
      <c r="L1968">
        <v>1210</v>
      </c>
      <c r="M1968">
        <v>7.13</v>
      </c>
      <c r="N1968">
        <v>82.87</v>
      </c>
      <c r="O1968" t="s">
        <v>19</v>
      </c>
      <c r="P1968" t="s">
        <v>1267</v>
      </c>
      <c r="Q1968" t="s">
        <v>19</v>
      </c>
      <c r="R1968" t="str">
        <f>HYPERLINK("https://cfpub.epa.gov/ecotox/explore.cfm?ncbi=9172","Explore in ECOTOX")</f>
        <v>Explore in ECOTOX</v>
      </c>
    </row>
    <row r="1969" spans="1:18" x14ac:dyDescent="0.45">
      <c r="A1969" t="s">
        <v>1266</v>
      </c>
      <c r="B1969">
        <v>8</v>
      </c>
      <c r="C1969" t="str">
        <f>HYPERLINK("http://www.ncbi.nlm.nih.gov/protein/XP_030124092.3","XP_030124092.3")</f>
        <v>XP_030124092.3</v>
      </c>
      <c r="D1969">
        <v>43980</v>
      </c>
      <c r="E1969" t="str">
        <f>HYPERLINK("http://www.ncbi.nlm.nih.gov/Taxonomy/Browser/wwwtax.cgi?mode=Info&amp;id=59729&amp;lvl=3&amp;lin=f&amp;keep=1&amp;srchmode=1&amp;unlock","59729")</f>
        <v>59729</v>
      </c>
      <c r="F1969" t="s">
        <v>241</v>
      </c>
      <c r="G1969" t="str">
        <f>HYPERLINK("http://www.ncbi.nlm.nih.gov/Taxonomy/Browser/wwwtax.cgi?mode=Info&amp;id=59729&amp;lvl=3&amp;lin=f&amp;keep=1&amp;srchmode=1&amp;unlock","Taeniopygia guttata")</f>
        <v>Taeniopygia guttata</v>
      </c>
      <c r="H1969" t="s">
        <v>563</v>
      </c>
      <c r="I1969" t="str">
        <f>HYPERLINK("http://www.ncbi.nlm.nih.gov/protein/XP_030124092.3","ryanodine receptor 2 isoform X6")</f>
        <v>ryanodine receptor 2 isoform X6</v>
      </c>
      <c r="J1969">
        <v>8504.0400000000009</v>
      </c>
      <c r="K1969" t="s">
        <v>19</v>
      </c>
      <c r="L1969">
        <v>1210</v>
      </c>
      <c r="M1969">
        <v>7.13</v>
      </c>
      <c r="N1969">
        <v>82.86</v>
      </c>
      <c r="O1969" t="s">
        <v>19</v>
      </c>
      <c r="P1969" t="s">
        <v>1267</v>
      </c>
      <c r="Q1969" t="s">
        <v>19</v>
      </c>
      <c r="R1969" t="str">
        <f>HYPERLINK("https://cfpub.epa.gov/ecotox/explore.cfm?ncbi=59729","Explore in ECOTOX")</f>
        <v>Explore in ECOTOX</v>
      </c>
    </row>
    <row r="1970" spans="1:18" x14ac:dyDescent="0.45">
      <c r="A1970" t="s">
        <v>1266</v>
      </c>
      <c r="B1970">
        <v>8</v>
      </c>
      <c r="C1970" t="str">
        <f>HYPERLINK("http://www.ncbi.nlm.nih.gov/protein/XP_010217958.1","XP_010217958.1")</f>
        <v>XP_010217958.1</v>
      </c>
      <c r="D1970">
        <v>31350</v>
      </c>
      <c r="E1970" t="str">
        <f>HYPERLINK("http://www.ncbi.nlm.nih.gov/Taxonomy/Browser/wwwtax.cgi?mode=Info&amp;id=94827&amp;lvl=3&amp;lin=f&amp;keep=1&amp;srchmode=1&amp;unlock","94827")</f>
        <v>94827</v>
      </c>
      <c r="F1970" t="s">
        <v>241</v>
      </c>
      <c r="G1970" t="str">
        <f>HYPERLINK("http://www.ncbi.nlm.nih.gov/Taxonomy/Browser/wwwtax.cgi?mode=Info&amp;id=94827&amp;lvl=3&amp;lin=f&amp;keep=1&amp;srchmode=1&amp;unlock","Tinamus guttatus")</f>
        <v>Tinamus guttatus</v>
      </c>
      <c r="H1970" t="s">
        <v>365</v>
      </c>
      <c r="I1970" t="str">
        <f>HYPERLINK("http://www.ncbi.nlm.nih.gov/protein/XP_010217958.1","PREDICTED: ryanodine receptor 2, partial")</f>
        <v>PREDICTED: ryanodine receptor 2, partial</v>
      </c>
      <c r="J1970">
        <v>8504.0400000000009</v>
      </c>
      <c r="K1970" t="s">
        <v>19</v>
      </c>
      <c r="L1970">
        <v>1210</v>
      </c>
      <c r="M1970">
        <v>7.13</v>
      </c>
      <c r="N1970">
        <v>82.86</v>
      </c>
      <c r="O1970" t="s">
        <v>19</v>
      </c>
      <c r="P1970" t="s">
        <v>1267</v>
      </c>
      <c r="Q1970" t="s">
        <v>19</v>
      </c>
      <c r="R1970" t="str">
        <f>HYPERLINK("https://cfpub.epa.gov/ecotox/explore.cfm?ncbi=94827","Explore in ECOTOX")</f>
        <v>Explore in ECOTOX</v>
      </c>
    </row>
    <row r="1971" spans="1:18" x14ac:dyDescent="0.45">
      <c r="A1971" t="s">
        <v>1266</v>
      </c>
      <c r="B1971">
        <v>8</v>
      </c>
      <c r="C1971" t="str">
        <f>HYPERLINK("http://www.ncbi.nlm.nih.gov/protein/XP_054615455.1","XP_054615455.1")</f>
        <v>XP_054615455.1</v>
      </c>
      <c r="D1971">
        <v>48595</v>
      </c>
      <c r="E1971" t="str">
        <f>HYPERLINK("http://www.ncbi.nlm.nih.gov/Taxonomy/Browser/wwwtax.cgi?mode=Info&amp;id=161453&amp;lvl=3&amp;lin=f&amp;keep=1&amp;srchmode=1&amp;unlock","161453")</f>
        <v>161453</v>
      </c>
      <c r="F1971" t="s">
        <v>17</v>
      </c>
      <c r="G1971" t="str">
        <f>HYPERLINK("http://www.ncbi.nlm.nih.gov/Taxonomy/Browser/wwwtax.cgi?mode=Info&amp;id=161453&amp;lvl=3&amp;lin=f&amp;keep=1&amp;srchmode=1&amp;unlock","Dunckerocampus dactyliophorus")</f>
        <v>Dunckerocampus dactyliophorus</v>
      </c>
      <c r="H1971" t="s">
        <v>107</v>
      </c>
      <c r="I1971" t="str">
        <f>HYPERLINK("http://www.ncbi.nlm.nih.gov/protein/XP_054615455.1","ryanodine receptor 2 isoform X8")</f>
        <v>ryanodine receptor 2 isoform X8</v>
      </c>
      <c r="J1971">
        <v>8503.27</v>
      </c>
      <c r="K1971" t="s">
        <v>19</v>
      </c>
      <c r="L1971">
        <v>1210</v>
      </c>
      <c r="M1971">
        <v>7.13</v>
      </c>
      <c r="N1971">
        <v>82.85</v>
      </c>
      <c r="O1971" t="s">
        <v>19</v>
      </c>
      <c r="P1971" t="s">
        <v>1267</v>
      </c>
      <c r="Q1971" t="s">
        <v>19</v>
      </c>
      <c r="R1971" t="str">
        <f>HYPERLINK("https://cfpub.epa.gov/ecotox/explore.cfm?ncbi=161453","Explore in ECOTOX")</f>
        <v>Explore in ECOTOX</v>
      </c>
    </row>
    <row r="1972" spans="1:18" x14ac:dyDescent="0.45">
      <c r="A1972" t="s">
        <v>1266</v>
      </c>
      <c r="B1972">
        <v>8</v>
      </c>
      <c r="C1972" t="str">
        <f>HYPERLINK("http://www.ncbi.nlm.nih.gov/protein/XP_054370395.1","XP_054370395.1")</f>
        <v>XP_054370395.1</v>
      </c>
      <c r="D1972">
        <v>44512</v>
      </c>
      <c r="E1972" t="str">
        <f>HYPERLINK("http://www.ncbi.nlm.nih.gov/Taxonomy/Browser/wwwtax.cgi?mode=Info&amp;id=84834&amp;lvl=3&amp;lin=f&amp;keep=1&amp;srchmode=1&amp;unlock","84834")</f>
        <v>84834</v>
      </c>
      <c r="F1972" t="s">
        <v>241</v>
      </c>
      <c r="G1972" t="str">
        <f>HYPERLINK("http://www.ncbi.nlm.nih.gov/Taxonomy/Browser/wwwtax.cgi?mode=Info&amp;id=84834&amp;lvl=3&amp;lin=f&amp;keep=1&amp;srchmode=1&amp;unlock","Molothrus ater")</f>
        <v>Molothrus ater</v>
      </c>
      <c r="H1972" t="s">
        <v>570</v>
      </c>
      <c r="I1972" t="str">
        <f>HYPERLINK("http://www.ncbi.nlm.nih.gov/protein/XP_054370395.1","LOW QUALITY PROTEIN: ryanodine receptor 2")</f>
        <v>LOW QUALITY PROTEIN: ryanodine receptor 2</v>
      </c>
      <c r="J1972">
        <v>8502.8799999999992</v>
      </c>
      <c r="K1972" t="s">
        <v>19</v>
      </c>
      <c r="L1972">
        <v>1210</v>
      </c>
      <c r="M1972">
        <v>7.13</v>
      </c>
      <c r="N1972">
        <v>82.85</v>
      </c>
      <c r="O1972" t="s">
        <v>19</v>
      </c>
      <c r="P1972" t="s">
        <v>1267</v>
      </c>
      <c r="Q1972" t="s">
        <v>19</v>
      </c>
      <c r="R1972" t="str">
        <f>HYPERLINK("https://cfpub.epa.gov/ecotox/explore.cfm?ncbi=84834","Explore in ECOTOX")</f>
        <v>Explore in ECOTOX</v>
      </c>
    </row>
    <row r="1973" spans="1:18" x14ac:dyDescent="0.45">
      <c r="A1973" t="s">
        <v>1266</v>
      </c>
      <c r="B1973">
        <v>8</v>
      </c>
      <c r="C1973" t="str">
        <f>HYPERLINK("http://www.ncbi.nlm.nih.gov/protein/XP_021382746.1","XP_021382746.1")</f>
        <v>XP_021382746.1</v>
      </c>
      <c r="D1973">
        <v>43823</v>
      </c>
      <c r="E1973" t="str">
        <f>HYPERLINK("http://www.ncbi.nlm.nih.gov/Taxonomy/Browser/wwwtax.cgi?mode=Info&amp;id=299123&amp;lvl=3&amp;lin=f&amp;keep=1&amp;srchmode=1&amp;unlock","299123")</f>
        <v>299123</v>
      </c>
      <c r="F1973" t="s">
        <v>241</v>
      </c>
      <c r="G1973" t="str">
        <f>HYPERLINK("http://www.ncbi.nlm.nih.gov/Taxonomy/Browser/wwwtax.cgi?mode=Info&amp;id=299123&amp;lvl=3&amp;lin=f&amp;keep=1&amp;srchmode=1&amp;unlock","Lonchura striata domestica")</f>
        <v>Lonchura striata domestica</v>
      </c>
      <c r="H1973" t="s">
        <v>566</v>
      </c>
      <c r="I1973" t="str">
        <f>HYPERLINK("http://www.ncbi.nlm.nih.gov/protein/XP_021382746.1","ryanodine receptor 2 isoform X5")</f>
        <v>ryanodine receptor 2 isoform X5</v>
      </c>
      <c r="J1973">
        <v>8502.5</v>
      </c>
      <c r="K1973" t="s">
        <v>19</v>
      </c>
      <c r="L1973">
        <v>1210</v>
      </c>
      <c r="M1973">
        <v>7.13</v>
      </c>
      <c r="N1973">
        <v>82.85</v>
      </c>
      <c r="O1973" t="s">
        <v>19</v>
      </c>
      <c r="P1973" t="s">
        <v>1267</v>
      </c>
      <c r="Q1973" t="s">
        <v>19</v>
      </c>
      <c r="R1973" t="str">
        <f>HYPERLINK("https://cfpub.epa.gov/ecotox/explore.cfm?ncbi=299123","Explore in ECOTOX")</f>
        <v>Explore in ECOTOX</v>
      </c>
    </row>
    <row r="1974" spans="1:18" x14ac:dyDescent="0.45">
      <c r="A1974" t="s">
        <v>1266</v>
      </c>
      <c r="B1974">
        <v>8</v>
      </c>
      <c r="C1974" t="str">
        <f>HYPERLINK("http://www.ncbi.nlm.nih.gov/protein/XP_041269700.1","XP_041269700.1")</f>
        <v>XP_041269700.1</v>
      </c>
      <c r="D1974">
        <v>32404</v>
      </c>
      <c r="E1974" t="str">
        <f>HYPERLINK("http://www.ncbi.nlm.nih.gov/Taxonomy/Browser/wwwtax.cgi?mode=Info&amp;id=356909&amp;lvl=3&amp;lin=f&amp;keep=1&amp;srchmode=1&amp;unlock","356909")</f>
        <v>356909</v>
      </c>
      <c r="F1974" t="s">
        <v>241</v>
      </c>
      <c r="G1974" t="str">
        <f>HYPERLINK("http://www.ncbi.nlm.nih.gov/Taxonomy/Browser/wwwtax.cgi?mode=Info&amp;id=356909&amp;lvl=3&amp;lin=f&amp;keep=1&amp;srchmode=1&amp;unlock","Onychostruthus taczanowskii")</f>
        <v>Onychostruthus taczanowskii</v>
      </c>
      <c r="H1974" t="s">
        <v>582</v>
      </c>
      <c r="I1974" t="str">
        <f>HYPERLINK("http://www.ncbi.nlm.nih.gov/protein/XP_041269700.1","ryanodine receptor 2")</f>
        <v>ryanodine receptor 2</v>
      </c>
      <c r="J1974">
        <v>8498.64</v>
      </c>
      <c r="K1974" t="s">
        <v>19</v>
      </c>
      <c r="L1974">
        <v>1210</v>
      </c>
      <c r="M1974">
        <v>7.13</v>
      </c>
      <c r="N1974">
        <v>82.81</v>
      </c>
      <c r="O1974" t="s">
        <v>19</v>
      </c>
      <c r="P1974" t="s">
        <v>1267</v>
      </c>
      <c r="Q1974" t="s">
        <v>19</v>
      </c>
      <c r="R1974" t="str">
        <f>HYPERLINK("https://cfpub.epa.gov/ecotox/explore.cfm?ncbi=356909","Explore in ECOTOX")</f>
        <v>Explore in ECOTOX</v>
      </c>
    </row>
    <row r="1975" spans="1:18" x14ac:dyDescent="0.45">
      <c r="A1975" t="s">
        <v>1266</v>
      </c>
      <c r="B1975">
        <v>8</v>
      </c>
      <c r="C1975" t="str">
        <f>HYPERLINK("http://www.ncbi.nlm.nih.gov/protein/XP_008523335.1","XP_008523335.1")</f>
        <v>XP_008523335.1</v>
      </c>
      <c r="D1975">
        <v>38594</v>
      </c>
      <c r="E1975" t="str">
        <f>HYPERLINK("http://www.ncbi.nlm.nih.gov/Taxonomy/Browser/wwwtax.cgi?mode=Info&amp;id=9798&amp;lvl=3&amp;lin=f&amp;keep=1&amp;srchmode=1&amp;unlock","9798")</f>
        <v>9798</v>
      </c>
      <c r="F1975" t="s">
        <v>96</v>
      </c>
      <c r="G1975" t="str">
        <f>HYPERLINK("http://www.ncbi.nlm.nih.gov/Taxonomy/Browser/wwwtax.cgi?mode=Info&amp;id=9798&amp;lvl=3&amp;lin=f&amp;keep=1&amp;srchmode=1&amp;unlock","Equus przewalskii")</f>
        <v>Equus przewalskii</v>
      </c>
      <c r="H1975" t="s">
        <v>631</v>
      </c>
      <c r="I1975" t="str">
        <f>HYPERLINK("http://www.ncbi.nlm.nih.gov/protein/XP_008523335.1","PREDICTED: ryanodine receptor 2")</f>
        <v>PREDICTED: ryanodine receptor 2</v>
      </c>
      <c r="J1975">
        <v>8498.26</v>
      </c>
      <c r="K1975" t="s">
        <v>19</v>
      </c>
      <c r="L1975">
        <v>1210</v>
      </c>
      <c r="M1975">
        <v>7.13</v>
      </c>
      <c r="N1975">
        <v>82.81</v>
      </c>
      <c r="O1975" t="s">
        <v>19</v>
      </c>
      <c r="P1975" t="s">
        <v>1267</v>
      </c>
      <c r="Q1975" t="s">
        <v>19</v>
      </c>
      <c r="R1975" t="str">
        <f>HYPERLINK("https://cfpub.epa.gov/ecotox/explore.cfm?ncbi=9798","Explore in ECOTOX")</f>
        <v>Explore in ECOTOX</v>
      </c>
    </row>
    <row r="1976" spans="1:18" x14ac:dyDescent="0.45">
      <c r="A1976" t="s">
        <v>1266</v>
      </c>
      <c r="B1976">
        <v>8</v>
      </c>
      <c r="C1976" t="str">
        <f>HYPERLINK("http://www.ncbi.nlm.nih.gov/protein/XP_012864681.1","XP_012864681.1")</f>
        <v>XP_012864681.1</v>
      </c>
      <c r="D1976">
        <v>29420</v>
      </c>
      <c r="E1976" t="str">
        <f>HYPERLINK("http://www.ncbi.nlm.nih.gov/Taxonomy/Browser/wwwtax.cgi?mode=Info&amp;id=10020&amp;lvl=3&amp;lin=f&amp;keep=1&amp;srchmode=1&amp;unlock","10020")</f>
        <v>10020</v>
      </c>
      <c r="F1976" t="s">
        <v>96</v>
      </c>
      <c r="G1976" t="str">
        <f>HYPERLINK("http://www.ncbi.nlm.nih.gov/Taxonomy/Browser/wwwtax.cgi?mode=Info&amp;id=10020&amp;lvl=3&amp;lin=f&amp;keep=1&amp;srchmode=1&amp;unlock","Dipodomys ordii")</f>
        <v>Dipodomys ordii</v>
      </c>
      <c r="H1976" t="s">
        <v>413</v>
      </c>
      <c r="I1976" t="str">
        <f>HYPERLINK("http://www.ncbi.nlm.nih.gov/protein/XP_012864681.1","PREDICTED: ryanodine receptor 2")</f>
        <v>PREDICTED: ryanodine receptor 2</v>
      </c>
      <c r="J1976">
        <v>8497.1</v>
      </c>
      <c r="K1976" t="s">
        <v>19</v>
      </c>
      <c r="L1976">
        <v>1210</v>
      </c>
      <c r="M1976">
        <v>7.13</v>
      </c>
      <c r="N1976">
        <v>82.79</v>
      </c>
      <c r="O1976" t="s">
        <v>19</v>
      </c>
      <c r="P1976" t="s">
        <v>1267</v>
      </c>
      <c r="Q1976" t="s">
        <v>19</v>
      </c>
      <c r="R1976" t="str">
        <f>HYPERLINK("https://cfpub.epa.gov/ecotox/explore.cfm?ncbi=10020","Explore in ECOTOX")</f>
        <v>Explore in ECOTOX</v>
      </c>
    </row>
    <row r="1977" spans="1:18" x14ac:dyDescent="0.45">
      <c r="A1977" t="s">
        <v>1266</v>
      </c>
      <c r="B1977">
        <v>8</v>
      </c>
      <c r="C1977" t="str">
        <f>HYPERLINK("http://www.ncbi.nlm.nih.gov/protein/XP_007940911.1","XP_007940911.1")</f>
        <v>XP_007940911.1</v>
      </c>
      <c r="D1977">
        <v>19002</v>
      </c>
      <c r="E1977" t="str">
        <f>HYPERLINK("http://www.ncbi.nlm.nih.gov/Taxonomy/Browser/wwwtax.cgi?mode=Info&amp;id=1230840&amp;lvl=3&amp;lin=f&amp;keep=1&amp;srchmode=1&amp;unlock","1230840")</f>
        <v>1230840</v>
      </c>
      <c r="F1977" t="s">
        <v>96</v>
      </c>
      <c r="G1977" t="str">
        <f>HYPERLINK("http://www.ncbi.nlm.nih.gov/Taxonomy/Browser/wwwtax.cgi?mode=Info&amp;id=1230840&amp;lvl=3&amp;lin=f&amp;keep=1&amp;srchmode=1&amp;unlock","Orycteropus afer afer")</f>
        <v>Orycteropus afer afer</v>
      </c>
      <c r="H1977" t="s">
        <v>469</v>
      </c>
      <c r="I1977" t="str">
        <f>HYPERLINK("http://www.ncbi.nlm.nih.gov/protein/XP_007940911.1","ryanodine receptor 2")</f>
        <v>ryanodine receptor 2</v>
      </c>
      <c r="J1977">
        <v>8492.1</v>
      </c>
      <c r="K1977" t="s">
        <v>19</v>
      </c>
      <c r="L1977">
        <v>1210</v>
      </c>
      <c r="M1977">
        <v>7.13</v>
      </c>
      <c r="N1977">
        <v>82.75</v>
      </c>
      <c r="O1977" t="s">
        <v>19</v>
      </c>
      <c r="P1977" t="s">
        <v>1267</v>
      </c>
      <c r="Q1977" t="s">
        <v>19</v>
      </c>
      <c r="R1977" t="str">
        <f>HYPERLINK("https://cfpub.epa.gov/ecotox/explore.cfm?ncbi=1230840","Explore in ECOTOX")</f>
        <v>Explore in ECOTOX</v>
      </c>
    </row>
    <row r="1978" spans="1:18" x14ac:dyDescent="0.45">
      <c r="A1978" t="s">
        <v>1266</v>
      </c>
      <c r="B1978">
        <v>8</v>
      </c>
      <c r="C1978" t="str">
        <f>HYPERLINK("http://www.ncbi.nlm.nih.gov/protein/XP_057235464.1","XP_057235464.1")</f>
        <v>XP_057235464.1</v>
      </c>
      <c r="D1978">
        <v>27245</v>
      </c>
      <c r="E1978" t="str">
        <f>HYPERLINK("http://www.ncbi.nlm.nih.gov/Taxonomy/Browser/wwwtax.cgi?mode=Info&amp;id=175006&amp;lvl=3&amp;lin=f&amp;keep=1&amp;srchmode=1&amp;unlock","175006")</f>
        <v>175006</v>
      </c>
      <c r="F1978" t="s">
        <v>241</v>
      </c>
      <c r="G1978" t="str">
        <f>HYPERLINK("http://www.ncbi.nlm.nih.gov/Taxonomy/Browser/wwwtax.cgi?mode=Info&amp;id=175006&amp;lvl=3&amp;lin=f&amp;keep=1&amp;srchmode=1&amp;unlock","Malurus melanocephalus")</f>
        <v>Malurus melanocephalus</v>
      </c>
      <c r="H1978" t="s">
        <v>593</v>
      </c>
      <c r="I1978" t="str">
        <f>HYPERLINK("http://www.ncbi.nlm.nih.gov/protein/XP_057235464.1","ryanodine receptor 2")</f>
        <v>ryanodine receptor 2</v>
      </c>
      <c r="J1978">
        <v>8490.94</v>
      </c>
      <c r="K1978" t="s">
        <v>19</v>
      </c>
      <c r="L1978">
        <v>1210</v>
      </c>
      <c r="M1978">
        <v>7.13</v>
      </c>
      <c r="N1978">
        <v>82.73</v>
      </c>
      <c r="O1978" t="s">
        <v>19</v>
      </c>
      <c r="P1978" t="s">
        <v>1267</v>
      </c>
      <c r="Q1978" t="s">
        <v>19</v>
      </c>
      <c r="R1978" t="str">
        <f>HYPERLINK("https://cfpub.epa.gov/ecotox/explore.cfm?ncbi=175006","Explore in ECOTOX")</f>
        <v>Explore in ECOTOX</v>
      </c>
    </row>
    <row r="1979" spans="1:18" x14ac:dyDescent="0.45">
      <c r="A1979" t="s">
        <v>1266</v>
      </c>
      <c r="B1979">
        <v>8</v>
      </c>
      <c r="C1979" t="str">
        <f>HYPERLINK("http://www.ncbi.nlm.nih.gov/protein/XP_057917876.1","XP_057917876.1")</f>
        <v>XP_057917876.1</v>
      </c>
      <c r="D1979">
        <v>45989</v>
      </c>
      <c r="E1979" t="str">
        <f>HYPERLINK("http://www.ncbi.nlm.nih.gov/Taxonomy/Browser/wwwtax.cgi?mode=Info&amp;id=161450&amp;lvl=3&amp;lin=f&amp;keep=1&amp;srchmode=1&amp;unlock","161450")</f>
        <v>161450</v>
      </c>
      <c r="F1979" t="s">
        <v>17</v>
      </c>
      <c r="G1979" t="str">
        <f>HYPERLINK("http://www.ncbi.nlm.nih.gov/Taxonomy/Browser/wwwtax.cgi?mode=Info&amp;id=161450&amp;lvl=3&amp;lin=f&amp;keep=1&amp;srchmode=1&amp;unlock","Doryrhamphus excisus")</f>
        <v>Doryrhamphus excisus</v>
      </c>
      <c r="H1979" t="s">
        <v>81</v>
      </c>
      <c r="I1979" t="str">
        <f>HYPERLINK("http://www.ncbi.nlm.nih.gov/protein/XP_057917876.1","ryanodine receptor 2 isoform X2")</f>
        <v>ryanodine receptor 2 isoform X2</v>
      </c>
      <c r="J1979">
        <v>8489.4</v>
      </c>
      <c r="K1979" t="s">
        <v>19</v>
      </c>
      <c r="L1979">
        <v>1210</v>
      </c>
      <c r="M1979">
        <v>7.13</v>
      </c>
      <c r="N1979">
        <v>82.72</v>
      </c>
      <c r="O1979" t="s">
        <v>19</v>
      </c>
      <c r="P1979" t="s">
        <v>1267</v>
      </c>
      <c r="Q1979" t="s">
        <v>19</v>
      </c>
      <c r="R1979" t="str">
        <f>HYPERLINK("https://cfpub.epa.gov/ecotox/explore.cfm?ncbi=161450","Explore in ECOTOX")</f>
        <v>Explore in ECOTOX</v>
      </c>
    </row>
    <row r="1980" spans="1:18" x14ac:dyDescent="0.45">
      <c r="A1980" t="s">
        <v>1266</v>
      </c>
      <c r="B1980">
        <v>8</v>
      </c>
      <c r="C1980" t="str">
        <f>HYPERLINK("http://www.ncbi.nlm.nih.gov/protein/XP_017166270.1","XP_017166270.1")</f>
        <v>XP_017166270.1</v>
      </c>
      <c r="D1980">
        <v>45432</v>
      </c>
      <c r="E1980" t="str">
        <f>HYPERLINK("http://www.ncbi.nlm.nih.gov/Taxonomy/Browser/wwwtax.cgi?mode=Info&amp;id=8081&amp;lvl=3&amp;lin=f&amp;keep=1&amp;srchmode=1&amp;unlock","8081")</f>
        <v>8081</v>
      </c>
      <c r="F1980" t="s">
        <v>17</v>
      </c>
      <c r="G1980" t="str">
        <f>HYPERLINK("http://www.ncbi.nlm.nih.gov/Taxonomy/Browser/wwwtax.cgi?mode=Info&amp;id=8081&amp;lvl=3&amp;lin=f&amp;keep=1&amp;srchmode=1&amp;unlock","Poecilia reticulata")</f>
        <v>Poecilia reticulata</v>
      </c>
      <c r="H1980" t="s">
        <v>504</v>
      </c>
      <c r="I1980" t="str">
        <f>HYPERLINK("http://www.ncbi.nlm.nih.gov/protein/XP_017166270.1","PREDICTED: ryanodine receptor 2 isoform X1")</f>
        <v>PREDICTED: ryanodine receptor 2 isoform X1</v>
      </c>
      <c r="J1980">
        <v>8487.86</v>
      </c>
      <c r="K1980" t="s">
        <v>19</v>
      </c>
      <c r="L1980">
        <v>1210</v>
      </c>
      <c r="M1980">
        <v>7.13</v>
      </c>
      <c r="N1980">
        <v>82.7</v>
      </c>
      <c r="O1980" t="s">
        <v>19</v>
      </c>
      <c r="P1980" t="s">
        <v>1267</v>
      </c>
      <c r="Q1980" t="s">
        <v>19</v>
      </c>
      <c r="R1980" t="str">
        <f>HYPERLINK("https://cfpub.epa.gov/ecotox/explore.cfm?ncbi=8081","Explore in ECOTOX")</f>
        <v>Explore in ECOTOX</v>
      </c>
    </row>
    <row r="1981" spans="1:18" x14ac:dyDescent="0.45">
      <c r="A1981" t="s">
        <v>1266</v>
      </c>
      <c r="B1981">
        <v>8</v>
      </c>
      <c r="C1981" t="str">
        <f>HYPERLINK("http://www.ncbi.nlm.nih.gov/protein/XP_048223442.1","XP_048223442.1")</f>
        <v>XP_048223442.1</v>
      </c>
      <c r="D1981">
        <v>40272</v>
      </c>
      <c r="E1981" t="str">
        <f>HYPERLINK("http://www.ncbi.nlm.nih.gov/Taxonomy/Browser/wwwtax.cgi?mode=Info&amp;id=214514&amp;lvl=3&amp;lin=f&amp;keep=1&amp;srchmode=1&amp;unlock","214514")</f>
        <v>214514</v>
      </c>
      <c r="F1981" t="s">
        <v>96</v>
      </c>
      <c r="G1981" t="str">
        <f>HYPERLINK("http://www.ncbi.nlm.nih.gov/Taxonomy/Browser/wwwtax.cgi?mode=Info&amp;id=214514&amp;lvl=3&amp;lin=f&amp;keep=1&amp;srchmode=1&amp;unlock","Perognathus longimembris pacificus")</f>
        <v>Perognathus longimembris pacificus</v>
      </c>
      <c r="H1981" t="s">
        <v>400</v>
      </c>
      <c r="I1981" t="str">
        <f>HYPERLINK("http://www.ncbi.nlm.nih.gov/protein/XP_048223442.1","LOW QUALITY PROTEIN: ryanodine receptor 2")</f>
        <v>LOW QUALITY PROTEIN: ryanodine receptor 2</v>
      </c>
      <c r="J1981">
        <v>8486.7000000000007</v>
      </c>
      <c r="K1981" t="s">
        <v>19</v>
      </c>
      <c r="L1981">
        <v>1210</v>
      </c>
      <c r="M1981">
        <v>7.13</v>
      </c>
      <c r="N1981">
        <v>82.69</v>
      </c>
      <c r="O1981" t="s">
        <v>19</v>
      </c>
      <c r="P1981" t="s">
        <v>1267</v>
      </c>
      <c r="Q1981" t="s">
        <v>19</v>
      </c>
      <c r="R1981" t="str">
        <f>HYPERLINK("https://cfpub.epa.gov/ecotox/explore.cfm?ncbi=214514","Explore in ECOTOX")</f>
        <v>Explore in ECOTOX</v>
      </c>
    </row>
    <row r="1982" spans="1:18" x14ac:dyDescent="0.45">
      <c r="A1982" t="s">
        <v>1266</v>
      </c>
      <c r="B1982">
        <v>8</v>
      </c>
      <c r="C1982" t="str">
        <f>HYPERLINK("http://www.ncbi.nlm.nih.gov/protein/XP_023375014.1","XP_023375014.1")</f>
        <v>XP_023375014.1</v>
      </c>
      <c r="D1982">
        <v>33148</v>
      </c>
      <c r="E1982" t="str">
        <f>HYPERLINK("http://www.ncbi.nlm.nih.gov/Taxonomy/Browser/wwwtax.cgi?mode=Info&amp;id=30611&amp;lvl=3&amp;lin=f&amp;keep=1&amp;srchmode=1&amp;unlock","30611")</f>
        <v>30611</v>
      </c>
      <c r="F1982" t="s">
        <v>96</v>
      </c>
      <c r="G1982" t="str">
        <f>HYPERLINK("http://www.ncbi.nlm.nih.gov/Taxonomy/Browser/wwwtax.cgi?mode=Info&amp;id=30611&amp;lvl=3&amp;lin=f&amp;keep=1&amp;srchmode=1&amp;unlock","Otolemur garnettii")</f>
        <v>Otolemur garnettii</v>
      </c>
      <c r="H1982" t="s">
        <v>439</v>
      </c>
      <c r="I1982" t="str">
        <f>HYPERLINK("http://www.ncbi.nlm.nih.gov/protein/XP_023375014.1","ryanodine receptor 2, partial")</f>
        <v>ryanodine receptor 2, partial</v>
      </c>
      <c r="J1982">
        <v>8486.32</v>
      </c>
      <c r="K1982" t="s">
        <v>19</v>
      </c>
      <c r="L1982">
        <v>1210</v>
      </c>
      <c r="M1982">
        <v>7.13</v>
      </c>
      <c r="N1982">
        <v>82.69</v>
      </c>
      <c r="O1982" t="s">
        <v>19</v>
      </c>
      <c r="P1982" t="s">
        <v>1267</v>
      </c>
      <c r="Q1982" t="s">
        <v>19</v>
      </c>
      <c r="R1982" t="str">
        <f>HYPERLINK("https://cfpub.epa.gov/ecotox/explore.cfm?ncbi=30611","Explore in ECOTOX")</f>
        <v>Explore in ECOTOX</v>
      </c>
    </row>
    <row r="1983" spans="1:18" x14ac:dyDescent="0.45">
      <c r="A1983" t="s">
        <v>1266</v>
      </c>
      <c r="B1983">
        <v>8</v>
      </c>
      <c r="C1983" t="str">
        <f>HYPERLINK("http://www.ncbi.nlm.nih.gov/protein/XP_032071929.1","XP_032071929.1")</f>
        <v>XP_032071929.1</v>
      </c>
      <c r="D1983">
        <v>30930</v>
      </c>
      <c r="E1983" t="str">
        <f>HYPERLINK("http://www.ncbi.nlm.nih.gov/Taxonomy/Browser/wwwtax.cgi?mode=Info&amp;id=35005&amp;lvl=3&amp;lin=f&amp;keep=1&amp;srchmode=1&amp;unlock","35005")</f>
        <v>35005</v>
      </c>
      <c r="F1983" t="s">
        <v>192</v>
      </c>
      <c r="G1983" t="str">
        <f>HYPERLINK("http://www.ncbi.nlm.nih.gov/Taxonomy/Browser/wwwtax.cgi?mode=Info&amp;id=35005&amp;lvl=3&amp;lin=f&amp;keep=1&amp;srchmode=1&amp;unlock","Thamnophis elegans")</f>
        <v>Thamnophis elegans</v>
      </c>
      <c r="H1983" t="s">
        <v>216</v>
      </c>
      <c r="I1983" t="str">
        <f>HYPERLINK("http://www.ncbi.nlm.nih.gov/protein/XP_032071929.1","ryanodine receptor 2")</f>
        <v>ryanodine receptor 2</v>
      </c>
      <c r="J1983">
        <v>8485.93</v>
      </c>
      <c r="K1983" t="s">
        <v>19</v>
      </c>
      <c r="L1983">
        <v>1210</v>
      </c>
      <c r="M1983">
        <v>7.13</v>
      </c>
      <c r="N1983">
        <v>82.69</v>
      </c>
      <c r="O1983" t="s">
        <v>19</v>
      </c>
      <c r="P1983" t="s">
        <v>1267</v>
      </c>
      <c r="Q1983" t="s">
        <v>19</v>
      </c>
      <c r="R1983" t="str">
        <f>HYPERLINK("https://cfpub.epa.gov/ecotox/explore.cfm?ncbi=35005","Explore in ECOTOX")</f>
        <v>Explore in ECOTOX</v>
      </c>
    </row>
    <row r="1984" spans="1:18" x14ac:dyDescent="0.45">
      <c r="A1984" t="s">
        <v>1266</v>
      </c>
      <c r="B1984">
        <v>8</v>
      </c>
      <c r="C1984" t="str">
        <f>HYPERLINK("http://www.ncbi.nlm.nih.gov/protein/XP_012586309.1","XP_012586309.1")</f>
        <v>XP_012586309.1</v>
      </c>
      <c r="D1984">
        <v>29270</v>
      </c>
      <c r="E1984" t="str">
        <f>HYPERLINK("http://www.ncbi.nlm.nih.gov/Taxonomy/Browser/wwwtax.cgi?mode=Info&amp;id=143302&amp;lvl=3&amp;lin=f&amp;keep=1&amp;srchmode=1&amp;unlock","143302")</f>
        <v>143302</v>
      </c>
      <c r="F1984" t="s">
        <v>96</v>
      </c>
      <c r="G1984" t="str">
        <f>HYPERLINK("http://www.ncbi.nlm.nih.gov/Taxonomy/Browser/wwwtax.cgi?mode=Info&amp;id=143302&amp;lvl=3&amp;lin=f&amp;keep=1&amp;srchmode=1&amp;unlock","Condylura cristata")</f>
        <v>Condylura cristata</v>
      </c>
      <c r="H1984" t="s">
        <v>608</v>
      </c>
      <c r="I1984" t="str">
        <f>HYPERLINK("http://www.ncbi.nlm.nih.gov/protein/XP_012586309.1","PREDICTED: ryanodine receptor 2")</f>
        <v>PREDICTED: ryanodine receptor 2</v>
      </c>
      <c r="J1984">
        <v>8479.77</v>
      </c>
      <c r="K1984" t="s">
        <v>19</v>
      </c>
      <c r="L1984">
        <v>1210</v>
      </c>
      <c r="M1984">
        <v>7.13</v>
      </c>
      <c r="N1984">
        <v>82.63</v>
      </c>
      <c r="O1984" t="s">
        <v>19</v>
      </c>
      <c r="P1984" t="s">
        <v>1267</v>
      </c>
      <c r="Q1984" t="s">
        <v>19</v>
      </c>
      <c r="R1984" t="str">
        <f>HYPERLINK("https://cfpub.epa.gov/ecotox/explore.cfm?ncbi=143302","Explore in ECOTOX")</f>
        <v>Explore in ECOTOX</v>
      </c>
    </row>
    <row r="1985" spans="1:18" x14ac:dyDescent="0.45">
      <c r="A1985" t="s">
        <v>1266</v>
      </c>
      <c r="B1985">
        <v>8</v>
      </c>
      <c r="C1985" t="str">
        <f>HYPERLINK("http://www.ncbi.nlm.nih.gov/protein/XP_056709315.1","XP_056709315.1")</f>
        <v>XP_056709315.1</v>
      </c>
      <c r="D1985">
        <v>23805</v>
      </c>
      <c r="E1985" t="str">
        <f>HYPERLINK("http://www.ncbi.nlm.nih.gov/Taxonomy/Browser/wwwtax.cgi?mode=Info&amp;id=460621&amp;lvl=3&amp;lin=f&amp;keep=1&amp;srchmode=1&amp;unlock","460621")</f>
        <v>460621</v>
      </c>
      <c r="F1985" t="s">
        <v>192</v>
      </c>
      <c r="G1985" t="str">
        <f>HYPERLINK("http://www.ncbi.nlm.nih.gov/Taxonomy/Browser/wwwtax.cgi?mode=Info&amp;id=460621&amp;lvl=3&amp;lin=f&amp;keep=1&amp;srchmode=1&amp;unlock","Euleptes europaea")</f>
        <v>Euleptes europaea</v>
      </c>
      <c r="H1985" t="s">
        <v>217</v>
      </c>
      <c r="I1985" t="str">
        <f>HYPERLINK("http://www.ncbi.nlm.nih.gov/protein/XP_056709315.1","ryanodine receptor 2")</f>
        <v>ryanodine receptor 2</v>
      </c>
      <c r="J1985">
        <v>8478.61</v>
      </c>
      <c r="K1985" t="s">
        <v>19</v>
      </c>
      <c r="L1985">
        <v>1210</v>
      </c>
      <c r="M1985">
        <v>7.13</v>
      </c>
      <c r="N1985">
        <v>82.61</v>
      </c>
      <c r="O1985" t="s">
        <v>19</v>
      </c>
      <c r="P1985" t="s">
        <v>1267</v>
      </c>
      <c r="Q1985" t="s">
        <v>19</v>
      </c>
      <c r="R1985" t="str">
        <f>HYPERLINK("https://cfpub.epa.gov/ecotox/explore.cfm?ncbi=460621","Explore in ECOTOX")</f>
        <v>Explore in ECOTOX</v>
      </c>
    </row>
    <row r="1986" spans="1:18" x14ac:dyDescent="0.45">
      <c r="A1986" t="s">
        <v>1266</v>
      </c>
      <c r="B1986">
        <v>8</v>
      </c>
      <c r="C1986" t="str">
        <f>HYPERLINK("http://www.ncbi.nlm.nih.gov/protein/XP_025770809.1","XP_025770809.1")</f>
        <v>XP_025770809.1</v>
      </c>
      <c r="D1986">
        <v>23641</v>
      </c>
      <c r="E1986" t="str">
        <f>HYPERLINK("http://www.ncbi.nlm.nih.gov/Taxonomy/Browser/wwwtax.cgi?mode=Info&amp;id=9696&amp;lvl=3&amp;lin=f&amp;keep=1&amp;srchmode=1&amp;unlock","9696")</f>
        <v>9696</v>
      </c>
      <c r="F1986" t="s">
        <v>96</v>
      </c>
      <c r="G1986" t="str">
        <f>HYPERLINK("http://www.ncbi.nlm.nih.gov/Taxonomy/Browser/wwwtax.cgi?mode=Info&amp;id=9696&amp;lvl=3&amp;lin=f&amp;keep=1&amp;srchmode=1&amp;unlock","Puma concolor")</f>
        <v>Puma concolor</v>
      </c>
      <c r="H1986" t="s">
        <v>438</v>
      </c>
      <c r="I1986" t="str">
        <f>HYPERLINK("http://www.ncbi.nlm.nih.gov/protein/XP_025770809.1","ryanodine receptor 2")</f>
        <v>ryanodine receptor 2</v>
      </c>
      <c r="J1986">
        <v>8475.5300000000007</v>
      </c>
      <c r="K1986" t="s">
        <v>19</v>
      </c>
      <c r="L1986">
        <v>1210</v>
      </c>
      <c r="M1986">
        <v>7.13</v>
      </c>
      <c r="N1986">
        <v>82.58</v>
      </c>
      <c r="O1986" t="s">
        <v>19</v>
      </c>
      <c r="P1986" t="s">
        <v>1267</v>
      </c>
      <c r="Q1986" t="s">
        <v>19</v>
      </c>
      <c r="R1986" t="str">
        <f>HYPERLINK("https://cfpub.epa.gov/ecotox/explore.cfm?ncbi=9696","Explore in ECOTOX")</f>
        <v>Explore in ECOTOX</v>
      </c>
    </row>
    <row r="1987" spans="1:18" x14ac:dyDescent="0.45">
      <c r="A1987" t="s">
        <v>1266</v>
      </c>
      <c r="B1987">
        <v>8</v>
      </c>
      <c r="C1987" t="str">
        <f>HYPERLINK("http://www.ncbi.nlm.nih.gov/protein/NXD79781.1","NXD79781.1")</f>
        <v>NXD79781.1</v>
      </c>
      <c r="D1987">
        <v>14332</v>
      </c>
      <c r="E1987" t="str">
        <f>HYPERLINK("http://www.ncbi.nlm.nih.gov/Taxonomy/Browser/wwwtax.cgi?mode=Info&amp;id=342381&amp;lvl=3&amp;lin=f&amp;keep=1&amp;srchmode=1&amp;unlock","342381")</f>
        <v>342381</v>
      </c>
      <c r="F1987" t="s">
        <v>241</v>
      </c>
      <c r="G1987" t="str">
        <f>HYPERLINK("http://www.ncbi.nlm.nih.gov/Taxonomy/Browser/wwwtax.cgi?mode=Info&amp;id=342381&amp;lvl=3&amp;lin=f&amp;keep=1&amp;srchmode=1&amp;unlock","Halcyon senegalensis")</f>
        <v>Halcyon senegalensis</v>
      </c>
      <c r="H1987" t="s">
        <v>385</v>
      </c>
      <c r="I1987" t="str">
        <f>HYPERLINK("http://www.ncbi.nlm.nih.gov/protein/NXD79781.1","RYR2 protein")</f>
        <v>RYR2 protein</v>
      </c>
      <c r="J1987">
        <v>8475.5300000000007</v>
      </c>
      <c r="K1987" t="s">
        <v>19</v>
      </c>
      <c r="L1987">
        <v>1210</v>
      </c>
      <c r="M1987">
        <v>7.13</v>
      </c>
      <c r="N1987">
        <v>82.58</v>
      </c>
      <c r="O1987" t="s">
        <v>19</v>
      </c>
      <c r="P1987" t="s">
        <v>1267</v>
      </c>
      <c r="Q1987" t="s">
        <v>19</v>
      </c>
      <c r="R1987" t="str">
        <f>HYPERLINK("https://cfpub.epa.gov/ecotox/explore.cfm?ncbi=342381","Explore in ECOTOX")</f>
        <v>Explore in ECOTOX</v>
      </c>
    </row>
    <row r="1988" spans="1:18" x14ac:dyDescent="0.45">
      <c r="A1988" t="s">
        <v>1266</v>
      </c>
      <c r="B1988">
        <v>8</v>
      </c>
      <c r="C1988" t="str">
        <f>HYPERLINK("http://www.ncbi.nlm.nih.gov/protein/XP_021122105.1","XP_021122105.1")</f>
        <v>XP_021122105.1</v>
      </c>
      <c r="D1988">
        <v>82862</v>
      </c>
      <c r="E1988" t="str">
        <f>HYPERLINK("http://www.ncbi.nlm.nih.gov/Taxonomy/Browser/wwwtax.cgi?mode=Info&amp;id=10181&amp;lvl=3&amp;lin=f&amp;keep=1&amp;srchmode=1&amp;unlock","10181")</f>
        <v>10181</v>
      </c>
      <c r="F1988" t="s">
        <v>96</v>
      </c>
      <c r="G1988" t="str">
        <f>HYPERLINK("http://www.ncbi.nlm.nih.gov/Taxonomy/Browser/wwwtax.cgi?mode=Info&amp;id=10181&amp;lvl=3&amp;lin=f&amp;keep=1&amp;srchmode=1&amp;unlock","Heterocephalus glaber")</f>
        <v>Heterocephalus glaber</v>
      </c>
      <c r="H1988" t="s">
        <v>421</v>
      </c>
      <c r="I1988" t="str">
        <f>HYPERLINK("http://www.ncbi.nlm.nih.gov/protein/XP_021122105.1","ryanodine receptor 2")</f>
        <v>ryanodine receptor 2</v>
      </c>
      <c r="J1988">
        <v>8475.15</v>
      </c>
      <c r="K1988" t="s">
        <v>19</v>
      </c>
      <c r="L1988">
        <v>1210</v>
      </c>
      <c r="M1988">
        <v>7.13</v>
      </c>
      <c r="N1988">
        <v>82.58</v>
      </c>
      <c r="O1988" t="s">
        <v>19</v>
      </c>
      <c r="P1988" t="s">
        <v>1267</v>
      </c>
      <c r="Q1988" t="s">
        <v>19</v>
      </c>
      <c r="R1988" t="str">
        <f>HYPERLINK("https://cfpub.epa.gov/ecotox/explore.cfm?ncbi=10181","Explore in ECOTOX")</f>
        <v>Explore in ECOTOX</v>
      </c>
    </row>
    <row r="1989" spans="1:18" x14ac:dyDescent="0.45">
      <c r="A1989" t="s">
        <v>1266</v>
      </c>
      <c r="B1989">
        <v>8</v>
      </c>
      <c r="C1989" t="str">
        <f>HYPERLINK("http://www.ncbi.nlm.nih.gov/protein/XP_033793537.1","XP_033793537.1")</f>
        <v>XP_033793537.1</v>
      </c>
      <c r="D1989">
        <v>50058</v>
      </c>
      <c r="E1989" t="str">
        <f>HYPERLINK("http://www.ncbi.nlm.nih.gov/Taxonomy/Browser/wwwtax.cgi?mode=Info&amp;id=260995&amp;lvl=3&amp;lin=f&amp;keep=1&amp;srchmode=1&amp;unlock","260995")</f>
        <v>260995</v>
      </c>
      <c r="F1989" t="s">
        <v>177</v>
      </c>
      <c r="G1989" t="str">
        <f>HYPERLINK("http://www.ncbi.nlm.nih.gov/Taxonomy/Browser/wwwtax.cgi?mode=Info&amp;id=260995&amp;lvl=3&amp;lin=f&amp;keep=1&amp;srchmode=1&amp;unlock","Geotrypetes seraphini")</f>
        <v>Geotrypetes seraphini</v>
      </c>
      <c r="H1989" t="s">
        <v>189</v>
      </c>
      <c r="I1989" t="str">
        <f>HYPERLINK("http://www.ncbi.nlm.nih.gov/protein/XP_033793537.1","LOW QUALITY PROTEIN: ryanodine receptor 2")</f>
        <v>LOW QUALITY PROTEIN: ryanodine receptor 2</v>
      </c>
      <c r="J1989">
        <v>8473.61</v>
      </c>
      <c r="K1989" t="s">
        <v>19</v>
      </c>
      <c r="L1989">
        <v>1210</v>
      </c>
      <c r="M1989">
        <v>7.13</v>
      </c>
      <c r="N1989">
        <v>82.57</v>
      </c>
      <c r="O1989" t="s">
        <v>19</v>
      </c>
      <c r="P1989" t="s">
        <v>1267</v>
      </c>
      <c r="Q1989" t="s">
        <v>19</v>
      </c>
      <c r="R1989" t="str">
        <f>HYPERLINK("https://cfpub.epa.gov/ecotox/explore.cfm?ncbi=260995","Explore in ECOTOX")</f>
        <v>Explore in ECOTOX</v>
      </c>
    </row>
    <row r="1990" spans="1:18" x14ac:dyDescent="0.45">
      <c r="A1990" t="s">
        <v>1266</v>
      </c>
      <c r="B1990">
        <v>8</v>
      </c>
      <c r="C1990" t="str">
        <f>HYPERLINK("http://www.ncbi.nlm.nih.gov/protein/XP_016852659.1","XP_016852659.1")</f>
        <v>XP_016852659.1</v>
      </c>
      <c r="D1990">
        <v>35714</v>
      </c>
      <c r="E1990" t="str">
        <f>HYPERLINK("http://www.ncbi.nlm.nih.gov/Taxonomy/Browser/wwwtax.cgi?mode=Info&amp;id=28377&amp;lvl=3&amp;lin=f&amp;keep=1&amp;srchmode=1&amp;unlock","28377")</f>
        <v>28377</v>
      </c>
      <c r="F1990" t="s">
        <v>192</v>
      </c>
      <c r="G1990" t="str">
        <f>HYPERLINK("http://www.ncbi.nlm.nih.gov/Taxonomy/Browser/wwwtax.cgi?mode=Info&amp;id=28377&amp;lvl=3&amp;lin=f&amp;keep=1&amp;srchmode=1&amp;unlock","Anolis carolinensis")</f>
        <v>Anolis carolinensis</v>
      </c>
      <c r="H1990" t="s">
        <v>194</v>
      </c>
      <c r="I1990" t="str">
        <f>HYPERLINK("http://www.ncbi.nlm.nih.gov/protein/XP_016852659.1","PREDICTED: ryanodine receptor 2")</f>
        <v>PREDICTED: ryanodine receptor 2</v>
      </c>
      <c r="J1990">
        <v>8470.52</v>
      </c>
      <c r="K1990" t="s">
        <v>19</v>
      </c>
      <c r="L1990">
        <v>1210</v>
      </c>
      <c r="M1990">
        <v>7.13</v>
      </c>
      <c r="N1990">
        <v>82.54</v>
      </c>
      <c r="O1990" t="s">
        <v>19</v>
      </c>
      <c r="P1990" t="s">
        <v>1267</v>
      </c>
      <c r="Q1990" t="s">
        <v>19</v>
      </c>
      <c r="R1990" t="str">
        <f>HYPERLINK("https://cfpub.epa.gov/ecotox/explore.cfm?ncbi=28377","Explore in ECOTOX")</f>
        <v>Explore in ECOTOX</v>
      </c>
    </row>
    <row r="1991" spans="1:18" x14ac:dyDescent="0.45">
      <c r="A1991" t="s">
        <v>1266</v>
      </c>
      <c r="B1991">
        <v>8</v>
      </c>
      <c r="C1991" t="str">
        <f>HYPERLINK("http://www.ncbi.nlm.nih.gov/protein/XP_061480564.1","XP_061480564.1")</f>
        <v>XP_061480564.1</v>
      </c>
      <c r="D1991">
        <v>58517</v>
      </c>
      <c r="E1991" t="str">
        <f>HYPERLINK("http://www.ncbi.nlm.nih.gov/Taxonomy/Browser/wwwtax.cgi?mode=Info&amp;id=261503&amp;lvl=3&amp;lin=f&amp;keep=1&amp;srchmode=1&amp;unlock","261503")</f>
        <v>261503</v>
      </c>
      <c r="F1991" t="s">
        <v>192</v>
      </c>
      <c r="G1991" t="str">
        <f>HYPERLINK("http://www.ncbi.nlm.nih.gov/Taxonomy/Browser/wwwtax.cgi?mode=Info&amp;id=261503&amp;lvl=3&amp;lin=f&amp;keep=1&amp;srchmode=1&amp;unlock","Rhineura floridana")</f>
        <v>Rhineura floridana</v>
      </c>
      <c r="H1991" t="s">
        <v>233</v>
      </c>
      <c r="I1991" t="str">
        <f>HYPERLINK("http://www.ncbi.nlm.nih.gov/protein/XP_061480564.1","ryanodine receptor 2")</f>
        <v>ryanodine receptor 2</v>
      </c>
      <c r="J1991">
        <v>8470.52</v>
      </c>
      <c r="K1991" t="s">
        <v>19</v>
      </c>
      <c r="L1991">
        <v>1210</v>
      </c>
      <c r="M1991">
        <v>7.13</v>
      </c>
      <c r="N1991">
        <v>82.54</v>
      </c>
      <c r="O1991" t="s">
        <v>19</v>
      </c>
      <c r="P1991" t="s">
        <v>1267</v>
      </c>
      <c r="Q1991" t="s">
        <v>19</v>
      </c>
      <c r="R1991" t="str">
        <f>HYPERLINK("https://cfpub.epa.gov/ecotox/explore.cfm?ncbi=261503","Explore in ECOTOX")</f>
        <v>Explore in ECOTOX</v>
      </c>
    </row>
    <row r="1992" spans="1:18" x14ac:dyDescent="0.45">
      <c r="A1992" t="s">
        <v>1266</v>
      </c>
      <c r="B1992">
        <v>8</v>
      </c>
      <c r="C1992" t="str">
        <f>HYPERLINK("http://www.ncbi.nlm.nih.gov/protein/XP_048457307.1","XP_048457307.1")</f>
        <v>XP_048457307.1</v>
      </c>
      <c r="D1992">
        <v>36927</v>
      </c>
      <c r="E1992" t="str">
        <f>HYPERLINK("http://www.ncbi.nlm.nih.gov/Taxonomy/Browser/wwwtax.cgi?mode=Info&amp;id=259920&amp;lvl=3&amp;lin=f&amp;keep=1&amp;srchmode=1&amp;unlock","259920")</f>
        <v>259920</v>
      </c>
      <c r="F1992" t="s">
        <v>195</v>
      </c>
      <c r="G1992" t="str">
        <f>HYPERLINK("http://www.ncbi.nlm.nih.gov/Taxonomy/Browser/wwwtax.cgi?mode=Info&amp;id=259920&amp;lvl=3&amp;lin=f&amp;keep=1&amp;srchmode=1&amp;unlock","Rhincodon typus")</f>
        <v>Rhincodon typus</v>
      </c>
      <c r="H1992" t="s">
        <v>228</v>
      </c>
      <c r="I1992" t="str">
        <f>HYPERLINK("http://www.ncbi.nlm.nih.gov/protein/XP_048457307.1","ryanodine receptor 2")</f>
        <v>ryanodine receptor 2</v>
      </c>
      <c r="J1992">
        <v>8470.14</v>
      </c>
      <c r="K1992" t="s">
        <v>19</v>
      </c>
      <c r="L1992">
        <v>1210</v>
      </c>
      <c r="M1992">
        <v>7.13</v>
      </c>
      <c r="N1992">
        <v>82.53</v>
      </c>
      <c r="O1992" t="s">
        <v>19</v>
      </c>
      <c r="P1992" t="s">
        <v>1267</v>
      </c>
      <c r="Q1992" t="s">
        <v>19</v>
      </c>
      <c r="R1992" t="str">
        <f>HYPERLINK("https://cfpub.epa.gov/ecotox/explore.cfm?ncbi=259920","Explore in ECOTOX")</f>
        <v>Explore in ECOTOX</v>
      </c>
    </row>
    <row r="1993" spans="1:18" x14ac:dyDescent="0.45">
      <c r="A1993" t="s">
        <v>1266</v>
      </c>
      <c r="B1993">
        <v>8</v>
      </c>
      <c r="C1993" t="str">
        <f>HYPERLINK("http://www.ncbi.nlm.nih.gov/protein/XP_045716754.1","XP_045716754.1")</f>
        <v>XP_045716754.1</v>
      </c>
      <c r="D1993">
        <v>45466</v>
      </c>
      <c r="E1993" t="str">
        <f>HYPERLINK("http://www.ncbi.nlm.nih.gov/Taxonomy/Browser/wwwtax.cgi?mode=Info&amp;id=9423&amp;lvl=3&amp;lin=f&amp;keep=1&amp;srchmode=1&amp;unlock","9423")</f>
        <v>9423</v>
      </c>
      <c r="F1993" t="s">
        <v>96</v>
      </c>
      <c r="G1993" t="str">
        <f>HYPERLINK("http://www.ncbi.nlm.nih.gov/Taxonomy/Browser/wwwtax.cgi?mode=Info&amp;id=9423&amp;lvl=3&amp;lin=f&amp;keep=1&amp;srchmode=1&amp;unlock","Phyllostomus hastatus")</f>
        <v>Phyllostomus hastatus</v>
      </c>
      <c r="H1993" t="s">
        <v>448</v>
      </c>
      <c r="I1993" t="str">
        <f>HYPERLINK("http://www.ncbi.nlm.nih.gov/protein/XP_045716754.1","ryanodine receptor 2 isoform X5")</f>
        <v>ryanodine receptor 2 isoform X5</v>
      </c>
      <c r="J1993">
        <v>8466.67</v>
      </c>
      <c r="K1993" t="s">
        <v>19</v>
      </c>
      <c r="L1993">
        <v>1210</v>
      </c>
      <c r="M1993">
        <v>7.13</v>
      </c>
      <c r="N1993">
        <v>82.5</v>
      </c>
      <c r="O1993" t="s">
        <v>19</v>
      </c>
      <c r="P1993" t="s">
        <v>1267</v>
      </c>
      <c r="Q1993" t="s">
        <v>19</v>
      </c>
      <c r="R1993" t="str">
        <f>HYPERLINK("https://cfpub.epa.gov/ecotox/explore.cfm?ncbi=9423","Explore in ECOTOX")</f>
        <v>Explore in ECOTOX</v>
      </c>
    </row>
    <row r="1994" spans="1:18" x14ac:dyDescent="0.45">
      <c r="A1994" t="s">
        <v>1266</v>
      </c>
      <c r="B1994">
        <v>8</v>
      </c>
      <c r="C1994" t="str">
        <f>HYPERLINK("http://www.ncbi.nlm.nih.gov/protein/NXJ38731.1","NXJ38731.1")</f>
        <v>NXJ38731.1</v>
      </c>
      <c r="D1994">
        <v>13317</v>
      </c>
      <c r="E1994" t="str">
        <f>HYPERLINK("http://www.ncbi.nlm.nih.gov/Taxonomy/Browser/wwwtax.cgi?mode=Info&amp;id=52777&amp;lvl=3&amp;lin=f&amp;keep=1&amp;srchmode=1&amp;unlock","52777")</f>
        <v>52777</v>
      </c>
      <c r="F1994" t="s">
        <v>241</v>
      </c>
      <c r="G1994" t="str">
        <f>HYPERLINK("http://www.ncbi.nlm.nih.gov/Taxonomy/Browser/wwwtax.cgi?mode=Info&amp;id=52777&amp;lvl=3&amp;lin=f&amp;keep=1&amp;srchmode=1&amp;unlock","Ciconia maguari")</f>
        <v>Ciconia maguari</v>
      </c>
      <c r="H1994" t="s">
        <v>427</v>
      </c>
      <c r="I1994" t="str">
        <f>HYPERLINK("http://www.ncbi.nlm.nih.gov/protein/NXJ38731.1","RYR2 protein")</f>
        <v>RYR2 protein</v>
      </c>
      <c r="J1994">
        <v>8465.1299999999992</v>
      </c>
      <c r="K1994" t="s">
        <v>19</v>
      </c>
      <c r="L1994">
        <v>1210</v>
      </c>
      <c r="M1994">
        <v>7.13</v>
      </c>
      <c r="N1994">
        <v>82.48</v>
      </c>
      <c r="O1994" t="s">
        <v>19</v>
      </c>
      <c r="P1994" t="s">
        <v>1267</v>
      </c>
      <c r="Q1994" t="s">
        <v>19</v>
      </c>
      <c r="R1994" t="str">
        <f>HYPERLINK("https://cfpub.epa.gov/ecotox/explore.cfm?ncbi=52777","Explore in ECOTOX")</f>
        <v>Explore in ECOTOX</v>
      </c>
    </row>
    <row r="1995" spans="1:18" x14ac:dyDescent="0.45">
      <c r="A1995" t="s">
        <v>1266</v>
      </c>
      <c r="B1995">
        <v>8</v>
      </c>
      <c r="C1995" t="str">
        <f>HYPERLINK("http://www.ncbi.nlm.nih.gov/protein/XP_053768908.1","XP_053768908.1")</f>
        <v>XP_053768908.1</v>
      </c>
      <c r="D1995">
        <v>52085</v>
      </c>
      <c r="E1995" t="str">
        <f>HYPERLINK("http://www.ncbi.nlm.nih.gov/Taxonomy/Browser/wwwtax.cgi?mode=Info&amp;id=9430&amp;lvl=3&amp;lin=f&amp;keep=1&amp;srchmode=1&amp;unlock","9430")</f>
        <v>9430</v>
      </c>
      <c r="F1995" t="s">
        <v>96</v>
      </c>
      <c r="G1995" t="str">
        <f>HYPERLINK("http://www.ncbi.nlm.nih.gov/Taxonomy/Browser/wwwtax.cgi?mode=Info&amp;id=9430&amp;lvl=3&amp;lin=f&amp;keep=1&amp;srchmode=1&amp;unlock","Desmodus rotundus")</f>
        <v>Desmodus rotundus</v>
      </c>
      <c r="H1995" t="s">
        <v>607</v>
      </c>
      <c r="I1995" t="str">
        <f>HYPERLINK("http://www.ncbi.nlm.nih.gov/protein/XP_053768908.1","ryanodine receptor 2")</f>
        <v>ryanodine receptor 2</v>
      </c>
      <c r="J1995">
        <v>8464.36</v>
      </c>
      <c r="K1995" t="s">
        <v>19</v>
      </c>
      <c r="L1995">
        <v>1210</v>
      </c>
      <c r="M1995">
        <v>7.13</v>
      </c>
      <c r="N1995">
        <v>82.48</v>
      </c>
      <c r="O1995" t="s">
        <v>19</v>
      </c>
      <c r="P1995" t="s">
        <v>1267</v>
      </c>
      <c r="Q1995" t="s">
        <v>19</v>
      </c>
      <c r="R1995" t="str">
        <f>HYPERLINK("https://cfpub.epa.gov/ecotox/explore.cfm?ncbi=9430","Explore in ECOTOX")</f>
        <v>Explore in ECOTOX</v>
      </c>
    </row>
    <row r="1996" spans="1:18" x14ac:dyDescent="0.45">
      <c r="A1996" t="s">
        <v>1266</v>
      </c>
      <c r="B1996">
        <v>8</v>
      </c>
      <c r="C1996" t="str">
        <f>HYPERLINK("http://www.ncbi.nlm.nih.gov/protein/XP_036210689.1","XP_036210689.1")</f>
        <v>XP_036210689.1</v>
      </c>
      <c r="D1996">
        <v>106886</v>
      </c>
      <c r="E1996" t="str">
        <f>HYPERLINK("http://www.ncbi.nlm.nih.gov/Taxonomy/Browser/wwwtax.cgi?mode=Info&amp;id=51298&amp;lvl=3&amp;lin=f&amp;keep=1&amp;srchmode=1&amp;unlock","51298")</f>
        <v>51298</v>
      </c>
      <c r="F1996" t="s">
        <v>96</v>
      </c>
      <c r="G1996" t="str">
        <f>HYPERLINK("http://www.ncbi.nlm.nih.gov/Taxonomy/Browser/wwwtax.cgi?mode=Info&amp;id=51298&amp;lvl=3&amp;lin=f&amp;keep=1&amp;srchmode=1&amp;unlock","Myotis myotis")</f>
        <v>Myotis myotis</v>
      </c>
      <c r="H1996" t="s">
        <v>387</v>
      </c>
      <c r="I1996" t="str">
        <f>HYPERLINK("http://www.ncbi.nlm.nih.gov/protein/XP_036210689.1","ryanodine receptor 2 isoform X5")</f>
        <v>ryanodine receptor 2 isoform X5</v>
      </c>
      <c r="J1996">
        <v>8464.36</v>
      </c>
      <c r="K1996" t="s">
        <v>19</v>
      </c>
      <c r="L1996">
        <v>1210</v>
      </c>
      <c r="M1996">
        <v>7.13</v>
      </c>
      <c r="N1996">
        <v>82.48</v>
      </c>
      <c r="O1996" t="s">
        <v>19</v>
      </c>
      <c r="P1996" t="s">
        <v>1267</v>
      </c>
      <c r="Q1996" t="s">
        <v>19</v>
      </c>
      <c r="R1996" t="str">
        <f>HYPERLINK("https://cfpub.epa.gov/ecotox/explore.cfm?ncbi=51298","Explore in ECOTOX")</f>
        <v>Explore in ECOTOX</v>
      </c>
    </row>
    <row r="1997" spans="1:18" x14ac:dyDescent="0.45">
      <c r="A1997" t="s">
        <v>1266</v>
      </c>
      <c r="B1997">
        <v>8</v>
      </c>
      <c r="C1997" t="str">
        <f>HYPERLINK("http://www.ncbi.nlm.nih.gov/protein/NXV47062.1","NXV47062.1")</f>
        <v>NXV47062.1</v>
      </c>
      <c r="D1997">
        <v>14270</v>
      </c>
      <c r="E1997" t="str">
        <f>HYPERLINK("http://www.ncbi.nlm.nih.gov/Taxonomy/Browser/wwwtax.cgi?mode=Info&amp;id=13746&amp;lvl=3&amp;lin=f&amp;keep=1&amp;srchmode=1&amp;unlock","13746")</f>
        <v>13746</v>
      </c>
      <c r="F1997" t="s">
        <v>241</v>
      </c>
      <c r="G1997" t="str">
        <f>HYPERLINK("http://www.ncbi.nlm.nih.gov/Taxonomy/Browser/wwwtax.cgi?mode=Info&amp;id=13746&amp;lvl=3&amp;lin=f&amp;keep=1&amp;srchmode=1&amp;unlock","Uria aalge")</f>
        <v>Uria aalge</v>
      </c>
      <c r="H1997" t="s">
        <v>429</v>
      </c>
      <c r="I1997" t="str">
        <f>HYPERLINK("http://www.ncbi.nlm.nih.gov/protein/NXV47062.1","RYR2 protein")</f>
        <v>RYR2 protein</v>
      </c>
      <c r="J1997">
        <v>8463.98</v>
      </c>
      <c r="K1997" t="s">
        <v>19</v>
      </c>
      <c r="L1997">
        <v>1210</v>
      </c>
      <c r="M1997">
        <v>7.13</v>
      </c>
      <c r="N1997">
        <v>82.47</v>
      </c>
      <c r="O1997" t="s">
        <v>19</v>
      </c>
      <c r="P1997" t="s">
        <v>1267</v>
      </c>
      <c r="Q1997" t="s">
        <v>19</v>
      </c>
      <c r="R1997" t="str">
        <f>HYPERLINK("https://cfpub.epa.gov/ecotox/explore.cfm?ncbi=13746","Explore in ECOTOX")</f>
        <v>Explore in ECOTOX</v>
      </c>
    </row>
    <row r="1998" spans="1:18" x14ac:dyDescent="0.45">
      <c r="A1998" t="s">
        <v>1266</v>
      </c>
      <c r="B1998">
        <v>8</v>
      </c>
      <c r="C1998" t="str">
        <f>HYPERLINK("http://www.ncbi.nlm.nih.gov/protein/XP_016152469.1","XP_016152469.1")</f>
        <v>XP_016152469.1</v>
      </c>
      <c r="D1998">
        <v>26783</v>
      </c>
      <c r="E1998" t="str">
        <f>HYPERLINK("http://www.ncbi.nlm.nih.gov/Taxonomy/Browser/wwwtax.cgi?mode=Info&amp;id=59894&amp;lvl=3&amp;lin=f&amp;keep=1&amp;srchmode=1&amp;unlock","59894")</f>
        <v>59894</v>
      </c>
      <c r="F1998" t="s">
        <v>241</v>
      </c>
      <c r="G1998" t="str">
        <f>HYPERLINK("http://www.ncbi.nlm.nih.gov/Taxonomy/Browser/wwwtax.cgi?mode=Info&amp;id=59894&amp;lvl=3&amp;lin=f&amp;keep=1&amp;srchmode=1&amp;unlock","Ficedula albicollis")</f>
        <v>Ficedula albicollis</v>
      </c>
      <c r="H1998" t="s">
        <v>602</v>
      </c>
      <c r="I1998" t="str">
        <f>HYPERLINK("http://www.ncbi.nlm.nih.gov/protein/XP_016152469.1","PREDICTED: ryanodine receptor 2")</f>
        <v>PREDICTED: ryanodine receptor 2</v>
      </c>
      <c r="J1998">
        <v>8460.89</v>
      </c>
      <c r="K1998" t="s">
        <v>19</v>
      </c>
      <c r="L1998">
        <v>1210</v>
      </c>
      <c r="M1998">
        <v>7.13</v>
      </c>
      <c r="N1998">
        <v>82.44</v>
      </c>
      <c r="O1998" t="s">
        <v>19</v>
      </c>
      <c r="P1998" t="s">
        <v>1267</v>
      </c>
      <c r="Q1998" t="s">
        <v>19</v>
      </c>
      <c r="R1998" t="str">
        <f>HYPERLINK("https://cfpub.epa.gov/ecotox/explore.cfm?ncbi=59894","Explore in ECOTOX")</f>
        <v>Explore in ECOTOX</v>
      </c>
    </row>
    <row r="1999" spans="1:18" x14ac:dyDescent="0.45">
      <c r="A1999" t="s">
        <v>1266</v>
      </c>
      <c r="B1999">
        <v>8</v>
      </c>
      <c r="C1999" t="str">
        <f>HYPERLINK("http://www.ncbi.nlm.nih.gov/protein/XP_036133645.1","XP_036133645.1")</f>
        <v>XP_036133645.1</v>
      </c>
      <c r="D1999">
        <v>96245</v>
      </c>
      <c r="E1999" t="str">
        <f>HYPERLINK("http://www.ncbi.nlm.nih.gov/Taxonomy/Browser/wwwtax.cgi?mode=Info&amp;id=27622&amp;lvl=3&amp;lin=f&amp;keep=1&amp;srchmode=1&amp;unlock","27622")</f>
        <v>27622</v>
      </c>
      <c r="F1999" t="s">
        <v>96</v>
      </c>
      <c r="G1999" t="str">
        <f>HYPERLINK("http://www.ncbi.nlm.nih.gov/Taxonomy/Browser/wwwtax.cgi?mode=Info&amp;id=27622&amp;lvl=3&amp;lin=f&amp;keep=1&amp;srchmode=1&amp;unlock","Molossus molossus")</f>
        <v>Molossus molossus</v>
      </c>
      <c r="H1999" t="s">
        <v>443</v>
      </c>
      <c r="I1999" t="str">
        <f>HYPERLINK("http://www.ncbi.nlm.nih.gov/protein/XP_036133645.1","ryanodine receptor 2")</f>
        <v>ryanodine receptor 2</v>
      </c>
      <c r="J1999">
        <v>8460.51</v>
      </c>
      <c r="K1999" t="s">
        <v>19</v>
      </c>
      <c r="L1999">
        <v>1210</v>
      </c>
      <c r="M1999">
        <v>7.13</v>
      </c>
      <c r="N1999">
        <v>82.44</v>
      </c>
      <c r="O1999" t="s">
        <v>19</v>
      </c>
      <c r="P1999" t="s">
        <v>1267</v>
      </c>
      <c r="Q1999" t="s">
        <v>19</v>
      </c>
      <c r="R1999" t="str">
        <f>HYPERLINK("https://cfpub.epa.gov/ecotox/explore.cfm?ncbi=27622","Explore in ECOTOX")</f>
        <v>Explore in ECOTOX</v>
      </c>
    </row>
    <row r="2000" spans="1:18" x14ac:dyDescent="0.45">
      <c r="A2000" t="s">
        <v>1266</v>
      </c>
      <c r="B2000">
        <v>8</v>
      </c>
      <c r="C2000" t="str">
        <f>HYPERLINK("http://www.ncbi.nlm.nih.gov/protein/XP_039110283.1","XP_039110283.1")</f>
        <v>XP_039110283.1</v>
      </c>
      <c r="D2000">
        <v>41464</v>
      </c>
      <c r="E2000" t="str">
        <f>HYPERLINK("http://www.ncbi.nlm.nih.gov/Taxonomy/Browser/wwwtax.cgi?mode=Info&amp;id=95912&amp;lvl=3&amp;lin=f&amp;keep=1&amp;srchmode=1&amp;unlock","95912")</f>
        <v>95912</v>
      </c>
      <c r="F2000" t="s">
        <v>96</v>
      </c>
      <c r="G2000" t="str">
        <f>HYPERLINK("http://www.ncbi.nlm.nih.gov/Taxonomy/Browser/wwwtax.cgi?mode=Info&amp;id=95912&amp;lvl=3&amp;lin=f&amp;keep=1&amp;srchmode=1&amp;unlock","Hyaena hyaena")</f>
        <v>Hyaena hyaena</v>
      </c>
      <c r="H2000" t="s">
        <v>452</v>
      </c>
      <c r="I2000" t="str">
        <f>HYPERLINK("http://www.ncbi.nlm.nih.gov/protein/XP_039110283.1","ryanodine receptor 2")</f>
        <v>ryanodine receptor 2</v>
      </c>
      <c r="J2000">
        <v>8460.1200000000008</v>
      </c>
      <c r="K2000" t="s">
        <v>19</v>
      </c>
      <c r="L2000">
        <v>1210</v>
      </c>
      <c r="M2000">
        <v>7.13</v>
      </c>
      <c r="N2000">
        <v>82.43</v>
      </c>
      <c r="O2000" t="s">
        <v>19</v>
      </c>
      <c r="P2000" t="s">
        <v>1267</v>
      </c>
      <c r="Q2000" t="s">
        <v>19</v>
      </c>
      <c r="R2000" t="str">
        <f>HYPERLINK("https://cfpub.epa.gov/ecotox/explore.cfm?ncbi=95912","Explore in ECOTOX")</f>
        <v>Explore in ECOTOX</v>
      </c>
    </row>
    <row r="2001" spans="1:18" x14ac:dyDescent="0.45">
      <c r="A2001" t="s">
        <v>1266</v>
      </c>
      <c r="B2001">
        <v>8</v>
      </c>
      <c r="C2001" t="str">
        <f>HYPERLINK("http://www.ncbi.nlm.nih.gov/protein/NXP15953.1","NXP15953.1")</f>
        <v>NXP15953.1</v>
      </c>
      <c r="D2001">
        <v>14091</v>
      </c>
      <c r="E2001" t="str">
        <f>HYPERLINK("http://www.ncbi.nlm.nih.gov/Taxonomy/Browser/wwwtax.cgi?mode=Info&amp;id=161742&amp;lvl=3&amp;lin=f&amp;keep=1&amp;srchmode=1&amp;unlock","161742")</f>
        <v>161742</v>
      </c>
      <c r="F2001" t="s">
        <v>241</v>
      </c>
      <c r="G2001" t="str">
        <f>HYPERLINK("http://www.ncbi.nlm.nih.gov/Taxonomy/Browser/wwwtax.cgi?mode=Info&amp;id=161742&amp;lvl=3&amp;lin=f&amp;keep=1&amp;srchmode=1&amp;unlock","Thinocorus orbignyianus")</f>
        <v>Thinocorus orbignyianus</v>
      </c>
      <c r="H2001" t="s">
        <v>419</v>
      </c>
      <c r="I2001" t="str">
        <f>HYPERLINK("http://www.ncbi.nlm.nih.gov/protein/NXP15953.1","RYR2 protein")</f>
        <v>RYR2 protein</v>
      </c>
      <c r="J2001">
        <v>8459.35</v>
      </c>
      <c r="K2001" t="s">
        <v>19</v>
      </c>
      <c r="L2001">
        <v>1210</v>
      </c>
      <c r="M2001">
        <v>7.13</v>
      </c>
      <c r="N2001">
        <v>82.43</v>
      </c>
      <c r="O2001" t="s">
        <v>19</v>
      </c>
      <c r="P2001" t="s">
        <v>1267</v>
      </c>
      <c r="Q2001" t="s">
        <v>19</v>
      </c>
      <c r="R2001" t="str">
        <f>HYPERLINK("https://cfpub.epa.gov/ecotox/explore.cfm?ncbi=161742","Explore in ECOTOX")</f>
        <v>Explore in ECOTOX</v>
      </c>
    </row>
    <row r="2002" spans="1:18" x14ac:dyDescent="0.45">
      <c r="A2002" t="s">
        <v>1266</v>
      </c>
      <c r="B2002">
        <v>8</v>
      </c>
      <c r="C2002" t="str">
        <f>HYPERLINK("http://www.ncbi.nlm.nih.gov/protein/XP_036091515.1","XP_036091515.1")</f>
        <v>XP_036091515.1</v>
      </c>
      <c r="D2002">
        <v>117129</v>
      </c>
      <c r="E2002" t="str">
        <f>HYPERLINK("http://www.ncbi.nlm.nih.gov/Taxonomy/Browser/wwwtax.cgi?mode=Info&amp;id=9407&amp;lvl=3&amp;lin=f&amp;keep=1&amp;srchmode=1&amp;unlock","9407")</f>
        <v>9407</v>
      </c>
      <c r="F2002" t="s">
        <v>96</v>
      </c>
      <c r="G2002" t="str">
        <f>HYPERLINK("http://www.ncbi.nlm.nih.gov/Taxonomy/Browser/wwwtax.cgi?mode=Info&amp;id=9407&amp;lvl=3&amp;lin=f&amp;keep=1&amp;srchmode=1&amp;unlock","Rousettus aegyptiacus")</f>
        <v>Rousettus aegyptiacus</v>
      </c>
      <c r="H2002" t="s">
        <v>611</v>
      </c>
      <c r="I2002" t="str">
        <f>HYPERLINK("http://www.ncbi.nlm.nih.gov/protein/XP_036091515.1","ryanodine receptor 2 isoform X3")</f>
        <v>ryanodine receptor 2 isoform X3</v>
      </c>
      <c r="J2002">
        <v>8458.9699999999993</v>
      </c>
      <c r="K2002" t="s">
        <v>19</v>
      </c>
      <c r="L2002">
        <v>1210</v>
      </c>
      <c r="M2002">
        <v>7.13</v>
      </c>
      <c r="N2002">
        <v>82.42</v>
      </c>
      <c r="O2002" t="s">
        <v>19</v>
      </c>
      <c r="P2002" t="s">
        <v>1267</v>
      </c>
      <c r="Q2002" t="s">
        <v>19</v>
      </c>
      <c r="R2002" t="str">
        <f>HYPERLINK("https://cfpub.epa.gov/ecotox/explore.cfm?ncbi=9407","Explore in ECOTOX")</f>
        <v>Explore in ECOTOX</v>
      </c>
    </row>
    <row r="2003" spans="1:18" x14ac:dyDescent="0.45">
      <c r="A2003" t="s">
        <v>1266</v>
      </c>
      <c r="B2003">
        <v>8</v>
      </c>
      <c r="C2003" t="str">
        <f>HYPERLINK("http://www.ncbi.nlm.nih.gov/protein/XP_054440680.1","XP_054440680.1")</f>
        <v>XP_054440680.1</v>
      </c>
      <c r="D2003">
        <v>34155</v>
      </c>
      <c r="E2003" t="str">
        <f>HYPERLINK("http://www.ncbi.nlm.nih.gov/Taxonomy/Browser/wwwtax.cgi?mode=Info&amp;id=1884717&amp;lvl=3&amp;lin=f&amp;keep=1&amp;srchmode=1&amp;unlock","1884717")</f>
        <v>1884717</v>
      </c>
      <c r="F2003" t="s">
        <v>96</v>
      </c>
      <c r="G2003" t="str">
        <f>HYPERLINK("http://www.ncbi.nlm.nih.gov/Taxonomy/Browser/wwwtax.cgi?mode=Info&amp;id=1884717&amp;lvl=3&amp;lin=f&amp;keep=1&amp;srchmode=1&amp;unlock","Pteronotus parnellii mesoamericanus")</f>
        <v>Pteronotus parnellii mesoamericanus</v>
      </c>
      <c r="H2003" t="s">
        <v>395</v>
      </c>
      <c r="I2003" t="str">
        <f>HYPERLINK("http://www.ncbi.nlm.nih.gov/protein/XP_054440680.1","ryanodine receptor 2")</f>
        <v>ryanodine receptor 2</v>
      </c>
      <c r="J2003">
        <v>8458.9699999999993</v>
      </c>
      <c r="K2003" t="s">
        <v>19</v>
      </c>
      <c r="L2003">
        <v>1210</v>
      </c>
      <c r="M2003">
        <v>7.13</v>
      </c>
      <c r="N2003">
        <v>82.42</v>
      </c>
      <c r="O2003" t="s">
        <v>19</v>
      </c>
      <c r="P2003" t="s">
        <v>1267</v>
      </c>
      <c r="Q2003" t="s">
        <v>19</v>
      </c>
      <c r="R2003" t="str">
        <f>HYPERLINK("https://cfpub.epa.gov/ecotox/explore.cfm?ncbi=1884717","Explore in ECOTOX")</f>
        <v>Explore in ECOTOX</v>
      </c>
    </row>
    <row r="2004" spans="1:18" x14ac:dyDescent="0.45">
      <c r="A2004" t="s">
        <v>1266</v>
      </c>
      <c r="B2004">
        <v>8</v>
      </c>
      <c r="C2004" t="str">
        <f>HYPERLINK("http://www.ncbi.nlm.nih.gov/protein/NWR66049.1","NWR66049.1")</f>
        <v>NWR66049.1</v>
      </c>
      <c r="D2004">
        <v>14438</v>
      </c>
      <c r="E2004" t="str">
        <f>HYPERLINK("http://www.ncbi.nlm.nih.gov/Taxonomy/Browser/wwwtax.cgi?mode=Info&amp;id=153643&amp;lvl=3&amp;lin=f&amp;keep=1&amp;srchmode=1&amp;unlock","153643")</f>
        <v>153643</v>
      </c>
      <c r="F2004" t="s">
        <v>241</v>
      </c>
      <c r="G2004" t="str">
        <f>HYPERLINK("http://www.ncbi.nlm.nih.gov/Taxonomy/Browser/wwwtax.cgi?mode=Info&amp;id=153643&amp;lvl=3&amp;lin=f&amp;keep=1&amp;srchmode=1&amp;unlock","Bucorvus abyssinicus")</f>
        <v>Bucorvus abyssinicus</v>
      </c>
      <c r="H2004" t="s">
        <v>663</v>
      </c>
      <c r="I2004" t="str">
        <f>HYPERLINK("http://www.ncbi.nlm.nih.gov/protein/NWR66049.1","RYR2 protein")</f>
        <v>RYR2 protein</v>
      </c>
      <c r="J2004">
        <v>8458.2000000000007</v>
      </c>
      <c r="K2004" t="s">
        <v>19</v>
      </c>
      <c r="L2004">
        <v>1210</v>
      </c>
      <c r="M2004">
        <v>7.13</v>
      </c>
      <c r="N2004">
        <v>82.42</v>
      </c>
      <c r="O2004" t="s">
        <v>19</v>
      </c>
      <c r="P2004" t="s">
        <v>1267</v>
      </c>
      <c r="Q2004" t="s">
        <v>19</v>
      </c>
      <c r="R2004" t="str">
        <f>HYPERLINK("https://cfpub.epa.gov/ecotox/explore.cfm?ncbi=153643","Explore in ECOTOX")</f>
        <v>Explore in ECOTOX</v>
      </c>
    </row>
    <row r="2005" spans="1:18" x14ac:dyDescent="0.45">
      <c r="A2005" t="s">
        <v>1266</v>
      </c>
      <c r="B2005">
        <v>8</v>
      </c>
      <c r="C2005" t="str">
        <f>HYPERLINK("http://www.ncbi.nlm.nih.gov/protein/NXE47648.1","NXE47648.1")</f>
        <v>NXE47648.1</v>
      </c>
      <c r="D2005">
        <v>13811</v>
      </c>
      <c r="E2005" t="str">
        <f>HYPERLINK("http://www.ncbi.nlm.nih.gov/Taxonomy/Browser/wwwtax.cgi?mode=Info&amp;id=8787&amp;lvl=3&amp;lin=f&amp;keep=1&amp;srchmode=1&amp;unlock","8787")</f>
        <v>8787</v>
      </c>
      <c r="F2005" t="s">
        <v>241</v>
      </c>
      <c r="G2005" t="str">
        <f>HYPERLINK("http://www.ncbi.nlm.nih.gov/Taxonomy/Browser/wwwtax.cgi?mode=Info&amp;id=8787&amp;lvl=3&amp;lin=f&amp;keep=1&amp;srchmode=1&amp;unlock","Casuarius casuarius")</f>
        <v>Casuarius casuarius</v>
      </c>
      <c r="H2005" t="s">
        <v>431</v>
      </c>
      <c r="I2005" t="str">
        <f>HYPERLINK("http://www.ncbi.nlm.nih.gov/protein/NXE47648.1","RYR2 protein")</f>
        <v>RYR2 protein</v>
      </c>
      <c r="J2005">
        <v>8456.27</v>
      </c>
      <c r="K2005" t="s">
        <v>19</v>
      </c>
      <c r="L2005">
        <v>1210</v>
      </c>
      <c r="M2005">
        <v>7.13</v>
      </c>
      <c r="N2005">
        <v>82.4</v>
      </c>
      <c r="O2005" t="s">
        <v>19</v>
      </c>
      <c r="P2005" t="s">
        <v>1267</v>
      </c>
      <c r="Q2005" t="s">
        <v>19</v>
      </c>
      <c r="R2005" t="str">
        <f>HYPERLINK("https://cfpub.epa.gov/ecotox/explore.cfm?ncbi=8787","Explore in ECOTOX")</f>
        <v>Explore in ECOTOX</v>
      </c>
    </row>
    <row r="2006" spans="1:18" x14ac:dyDescent="0.45">
      <c r="A2006" t="s">
        <v>1266</v>
      </c>
      <c r="B2006">
        <v>8</v>
      </c>
      <c r="C2006" t="str">
        <f>HYPERLINK("http://www.ncbi.nlm.nih.gov/protein/XP_034049810.1","XP_034049810.1")</f>
        <v>XP_034049810.1</v>
      </c>
      <c r="D2006">
        <v>36365</v>
      </c>
      <c r="E2006" t="str">
        <f>HYPERLINK("http://www.ncbi.nlm.nih.gov/Taxonomy/Browser/wwwtax.cgi?mode=Info&amp;id=390379&amp;lvl=3&amp;lin=f&amp;keep=1&amp;srchmode=1&amp;unlock","390379")</f>
        <v>390379</v>
      </c>
      <c r="F2006" t="s">
        <v>17</v>
      </c>
      <c r="G2006" t="str">
        <f>HYPERLINK("http://www.ncbi.nlm.nih.gov/Taxonomy/Browser/wwwtax.cgi?mode=Info&amp;id=390379&amp;lvl=3&amp;lin=f&amp;keep=1&amp;srchmode=1&amp;unlock","Thalassophryne amazonica")</f>
        <v>Thalassophryne amazonica</v>
      </c>
      <c r="H2006" t="s">
        <v>147</v>
      </c>
      <c r="I2006" t="str">
        <f>HYPERLINK("http://www.ncbi.nlm.nih.gov/protein/XP_034049810.1","ryanodine receptor 2 isoform X3")</f>
        <v>ryanodine receptor 2 isoform X3</v>
      </c>
      <c r="J2006">
        <v>8455.1200000000008</v>
      </c>
      <c r="K2006" t="s">
        <v>19</v>
      </c>
      <c r="L2006">
        <v>1210</v>
      </c>
      <c r="M2006">
        <v>7.13</v>
      </c>
      <c r="N2006">
        <v>82.39</v>
      </c>
      <c r="O2006" t="s">
        <v>19</v>
      </c>
      <c r="P2006" t="s">
        <v>1267</v>
      </c>
      <c r="Q2006" t="s">
        <v>19</v>
      </c>
      <c r="R2006" t="str">
        <f>HYPERLINK("https://cfpub.epa.gov/ecotox/explore.cfm?ncbi=390379","Explore in ECOTOX")</f>
        <v>Explore in ECOTOX</v>
      </c>
    </row>
    <row r="2007" spans="1:18" x14ac:dyDescent="0.45">
      <c r="A2007" t="s">
        <v>1266</v>
      </c>
      <c r="B2007">
        <v>8</v>
      </c>
      <c r="C2007" t="str">
        <f>HYPERLINK("http://www.ncbi.nlm.nih.gov/protein/NXM69186.1","NXM69186.1")</f>
        <v>NXM69186.1</v>
      </c>
      <c r="D2007">
        <v>14138</v>
      </c>
      <c r="E2007" t="str">
        <f>HYPERLINK("http://www.ncbi.nlm.nih.gov/Taxonomy/Browser/wwwtax.cgi?mode=Info&amp;id=239386&amp;lvl=3&amp;lin=f&amp;keep=1&amp;srchmode=1&amp;unlock","239386")</f>
        <v>239386</v>
      </c>
      <c r="F2007" t="s">
        <v>241</v>
      </c>
      <c r="G2007" t="str">
        <f>HYPERLINK("http://www.ncbi.nlm.nih.gov/Taxonomy/Browser/wwwtax.cgi?mode=Info&amp;id=239386&amp;lvl=3&amp;lin=f&amp;keep=1&amp;srchmode=1&amp;unlock","Serilophus lunatus")</f>
        <v>Serilophus lunatus</v>
      </c>
      <c r="H2007" t="s">
        <v>612</v>
      </c>
      <c r="I2007" t="str">
        <f>HYPERLINK("http://www.ncbi.nlm.nih.gov/protein/NXM69186.1","RYR2 protein")</f>
        <v>RYR2 protein</v>
      </c>
      <c r="J2007">
        <v>8454.73</v>
      </c>
      <c r="K2007" t="s">
        <v>19</v>
      </c>
      <c r="L2007">
        <v>1210</v>
      </c>
      <c r="M2007">
        <v>7.13</v>
      </c>
      <c r="N2007">
        <v>82.38</v>
      </c>
      <c r="O2007" t="s">
        <v>19</v>
      </c>
      <c r="P2007" t="s">
        <v>1267</v>
      </c>
      <c r="Q2007" t="s">
        <v>19</v>
      </c>
      <c r="R2007" t="str">
        <f>HYPERLINK("https://cfpub.epa.gov/ecotox/explore.cfm?ncbi=239386","Explore in ECOTOX")</f>
        <v>Explore in ECOTOX</v>
      </c>
    </row>
    <row r="2008" spans="1:18" x14ac:dyDescent="0.45">
      <c r="A2008" t="s">
        <v>1266</v>
      </c>
      <c r="B2008">
        <v>8</v>
      </c>
      <c r="C2008" t="str">
        <f>HYPERLINK("http://www.ncbi.nlm.nih.gov/protein/NWW81506.1","NWW81506.1")</f>
        <v>NWW81506.1</v>
      </c>
      <c r="D2008">
        <v>14135</v>
      </c>
      <c r="E2008" t="str">
        <f>HYPERLINK("http://www.ncbi.nlm.nih.gov/Taxonomy/Browser/wwwtax.cgi?mode=Info&amp;id=47695&amp;lvl=3&amp;lin=f&amp;keep=1&amp;srchmode=1&amp;unlock","47695")</f>
        <v>47695</v>
      </c>
      <c r="F2008" t="s">
        <v>241</v>
      </c>
      <c r="G2008" t="str">
        <f>HYPERLINK("http://www.ncbi.nlm.nih.gov/Taxonomy/Browser/wwwtax.cgi?mode=Info&amp;id=47695&amp;lvl=3&amp;lin=f&amp;keep=1&amp;srchmode=1&amp;unlock","Climacteris rufus")</f>
        <v>Climacteris rufus</v>
      </c>
      <c r="H2008" t="s">
        <v>430</v>
      </c>
      <c r="I2008" t="str">
        <f>HYPERLINK("http://www.ncbi.nlm.nih.gov/protein/NWW81506.1","RYR2 protein")</f>
        <v>RYR2 protein</v>
      </c>
      <c r="J2008">
        <v>8454.73</v>
      </c>
      <c r="K2008" t="s">
        <v>19</v>
      </c>
      <c r="L2008">
        <v>1210</v>
      </c>
      <c r="M2008">
        <v>7.13</v>
      </c>
      <c r="N2008">
        <v>82.38</v>
      </c>
      <c r="O2008" t="s">
        <v>19</v>
      </c>
      <c r="P2008" t="s">
        <v>1267</v>
      </c>
      <c r="Q2008" t="s">
        <v>19</v>
      </c>
      <c r="R2008" t="str">
        <f>HYPERLINK("https://cfpub.epa.gov/ecotox/explore.cfm?ncbi=47695","Explore in ECOTOX")</f>
        <v>Explore in ECOTOX</v>
      </c>
    </row>
    <row r="2009" spans="1:18" x14ac:dyDescent="0.45">
      <c r="A2009" t="s">
        <v>1266</v>
      </c>
      <c r="B2009">
        <v>8</v>
      </c>
      <c r="C2009" t="str">
        <f>HYPERLINK("http://www.ncbi.nlm.nih.gov/protein/NXI83404.1","NXI83404.1")</f>
        <v>NXI83404.1</v>
      </c>
      <c r="D2009">
        <v>14200</v>
      </c>
      <c r="E2009" t="str">
        <f>HYPERLINK("http://www.ncbi.nlm.nih.gov/Taxonomy/Browser/wwwtax.cgi?mode=Info&amp;id=667186&amp;lvl=3&amp;lin=f&amp;keep=1&amp;srchmode=1&amp;unlock","667186")</f>
        <v>667186</v>
      </c>
      <c r="F2009" t="s">
        <v>241</v>
      </c>
      <c r="G2009" t="str">
        <f>HYPERLINK("http://www.ncbi.nlm.nih.gov/Taxonomy/Browser/wwwtax.cgi?mode=Info&amp;id=667186&amp;lvl=3&amp;lin=f&amp;keep=1&amp;srchmode=1&amp;unlock","Rhipidura dahli")</f>
        <v>Rhipidura dahli</v>
      </c>
      <c r="H2009" t="s">
        <v>435</v>
      </c>
      <c r="I2009" t="str">
        <f>HYPERLINK("http://www.ncbi.nlm.nih.gov/protein/NXI83404.1","RYR2 protein")</f>
        <v>RYR2 protein</v>
      </c>
      <c r="J2009">
        <v>8454.35</v>
      </c>
      <c r="K2009" t="s">
        <v>19</v>
      </c>
      <c r="L2009">
        <v>1210</v>
      </c>
      <c r="M2009">
        <v>7.13</v>
      </c>
      <c r="N2009">
        <v>82.38</v>
      </c>
      <c r="O2009" t="s">
        <v>19</v>
      </c>
      <c r="P2009" t="s">
        <v>1267</v>
      </c>
      <c r="Q2009" t="s">
        <v>19</v>
      </c>
      <c r="R2009" t="str">
        <f>HYPERLINK("https://cfpub.epa.gov/ecotox/explore.cfm?ncbi=667186","Explore in ECOTOX")</f>
        <v>Explore in ECOTOX</v>
      </c>
    </row>
    <row r="2010" spans="1:18" x14ac:dyDescent="0.45">
      <c r="A2010" t="s">
        <v>1266</v>
      </c>
      <c r="B2010">
        <v>8</v>
      </c>
      <c r="C2010" t="str">
        <f>HYPERLINK("http://www.ncbi.nlm.nih.gov/protein/XP_056343727.1","XP_056343727.1")</f>
        <v>XP_056343727.1</v>
      </c>
      <c r="D2010">
        <v>34711</v>
      </c>
      <c r="E2010" t="str">
        <f>HYPERLINK("http://www.ncbi.nlm.nih.gov/Taxonomy/Browser/wwwtax.cgi?mode=Info&amp;id=2939378&amp;lvl=3&amp;lin=f&amp;keep=1&amp;srchmode=1&amp;unlock","2939378")</f>
        <v>2939378</v>
      </c>
      <c r="F2010" t="s">
        <v>241</v>
      </c>
      <c r="G2010" t="str">
        <f>HYPERLINK("http://www.ncbi.nlm.nih.gov/Taxonomy/Browser/wwwtax.cgi?mode=Info&amp;id=2939378&amp;lvl=3&amp;lin=f&amp;keep=1&amp;srchmode=1&amp;unlock","Oenanthe melanoleuca")</f>
        <v>Oenanthe melanoleuca</v>
      </c>
      <c r="H2010" t="s">
        <v>598</v>
      </c>
      <c r="I2010" t="str">
        <f>HYPERLINK("http://www.ncbi.nlm.nih.gov/protein/XP_056343727.1","LOW QUALITY PROTEIN: ryanodine receptor 2")</f>
        <v>LOW QUALITY PROTEIN: ryanodine receptor 2</v>
      </c>
      <c r="J2010">
        <v>8453.9599999999991</v>
      </c>
      <c r="K2010" t="s">
        <v>19</v>
      </c>
      <c r="L2010">
        <v>1210</v>
      </c>
      <c r="M2010">
        <v>7.13</v>
      </c>
      <c r="N2010">
        <v>82.37</v>
      </c>
      <c r="O2010" t="s">
        <v>19</v>
      </c>
      <c r="P2010" t="s">
        <v>1267</v>
      </c>
      <c r="Q2010" t="s">
        <v>19</v>
      </c>
      <c r="R2010" t="str">
        <f>HYPERLINK("https://cfpub.epa.gov/ecotox/explore.cfm?ncbi=2939378","Explore in ECOTOX")</f>
        <v>Explore in ECOTOX</v>
      </c>
    </row>
    <row r="2011" spans="1:18" x14ac:dyDescent="0.45">
      <c r="A2011" t="s">
        <v>1266</v>
      </c>
      <c r="B2011">
        <v>8</v>
      </c>
      <c r="C2011" t="str">
        <f>HYPERLINK("http://www.ncbi.nlm.nih.gov/protein/NXE82849.1","NXE82849.1")</f>
        <v>NXE82849.1</v>
      </c>
      <c r="D2011">
        <v>14121</v>
      </c>
      <c r="E2011" t="str">
        <f>HYPERLINK("http://www.ncbi.nlm.nih.gov/Taxonomy/Browser/wwwtax.cgi?mode=Info&amp;id=110676&amp;lvl=3&amp;lin=f&amp;keep=1&amp;srchmode=1&amp;unlock","110676")</f>
        <v>110676</v>
      </c>
      <c r="F2011" t="s">
        <v>241</v>
      </c>
      <c r="G2011" t="str">
        <f>HYPERLINK("http://www.ncbi.nlm.nih.gov/Taxonomy/Browser/wwwtax.cgi?mode=Info&amp;id=110676&amp;lvl=3&amp;lin=f&amp;keep=1&amp;srchmode=1&amp;unlock","Cochlearius cochlearius")</f>
        <v>Cochlearius cochlearius</v>
      </c>
      <c r="H2011" t="s">
        <v>453</v>
      </c>
      <c r="I2011" t="str">
        <f>HYPERLINK("http://www.ncbi.nlm.nih.gov/protein/NXE82849.1","RYR2 protein")</f>
        <v>RYR2 protein</v>
      </c>
      <c r="J2011">
        <v>8453.19</v>
      </c>
      <c r="K2011" t="s">
        <v>19</v>
      </c>
      <c r="L2011">
        <v>1210</v>
      </c>
      <c r="M2011">
        <v>7.13</v>
      </c>
      <c r="N2011">
        <v>82.37</v>
      </c>
      <c r="O2011" t="s">
        <v>19</v>
      </c>
      <c r="P2011" t="s">
        <v>1267</v>
      </c>
      <c r="Q2011" t="s">
        <v>19</v>
      </c>
      <c r="R2011" t="str">
        <f>HYPERLINK("https://cfpub.epa.gov/ecotox/explore.cfm?ncbi=110676","Explore in ECOTOX")</f>
        <v>Explore in ECOTOX</v>
      </c>
    </row>
    <row r="2012" spans="1:18" x14ac:dyDescent="0.45">
      <c r="A2012" t="s">
        <v>1266</v>
      </c>
      <c r="B2012">
        <v>8</v>
      </c>
      <c r="C2012" t="str">
        <f>HYPERLINK("http://www.ncbi.nlm.nih.gov/protein/NWZ19209.1","NWZ19209.1")</f>
        <v>NWZ19209.1</v>
      </c>
      <c r="D2012">
        <v>14752</v>
      </c>
      <c r="E2012" t="str">
        <f>HYPERLINK("http://www.ncbi.nlm.nih.gov/Taxonomy/Browser/wwwtax.cgi?mode=Info&amp;id=75869&amp;lvl=3&amp;lin=f&amp;keep=1&amp;srchmode=1&amp;unlock","75869")</f>
        <v>75869</v>
      </c>
      <c r="F2012" t="s">
        <v>241</v>
      </c>
      <c r="G2012" t="str">
        <f>HYPERLINK("http://www.ncbi.nlm.nih.gov/Taxonomy/Browser/wwwtax.cgi?mode=Info&amp;id=75869&amp;lvl=3&amp;lin=f&amp;keep=1&amp;srchmode=1&amp;unlock","Asarcornis scutulata")</f>
        <v>Asarcornis scutulata</v>
      </c>
      <c r="H2012" t="s">
        <v>627</v>
      </c>
      <c r="I2012" t="str">
        <f>HYPERLINK("http://www.ncbi.nlm.nih.gov/protein/NWZ19209.1","RYR2 protein")</f>
        <v>RYR2 protein</v>
      </c>
      <c r="J2012">
        <v>8451.65</v>
      </c>
      <c r="K2012" t="s">
        <v>19</v>
      </c>
      <c r="L2012">
        <v>1210</v>
      </c>
      <c r="M2012">
        <v>7.13</v>
      </c>
      <c r="N2012">
        <v>82.35</v>
      </c>
      <c r="O2012" t="s">
        <v>19</v>
      </c>
      <c r="P2012" t="s">
        <v>1267</v>
      </c>
      <c r="Q2012" t="s">
        <v>19</v>
      </c>
      <c r="R2012" t="str">
        <f>HYPERLINK("https://cfpub.epa.gov/ecotox/explore.cfm?ncbi=75869","Explore in ECOTOX")</f>
        <v>Explore in ECOTOX</v>
      </c>
    </row>
    <row r="2013" spans="1:18" x14ac:dyDescent="0.45">
      <c r="A2013" t="s">
        <v>1266</v>
      </c>
      <c r="B2013">
        <v>8</v>
      </c>
      <c r="C2013" t="str">
        <f>HYPERLINK("http://www.ncbi.nlm.nih.gov/protein/NXO59645.1","NXO59645.1")</f>
        <v>NXO59645.1</v>
      </c>
      <c r="D2013">
        <v>14352</v>
      </c>
      <c r="E2013" t="str">
        <f>HYPERLINK("http://www.ncbi.nlm.nih.gov/Taxonomy/Browser/wwwtax.cgi?mode=Info&amp;id=54356&amp;lvl=3&amp;lin=f&amp;keep=1&amp;srchmode=1&amp;unlock","54356")</f>
        <v>54356</v>
      </c>
      <c r="F2013" t="s">
        <v>241</v>
      </c>
      <c r="G2013" t="str">
        <f>HYPERLINK("http://www.ncbi.nlm.nih.gov/Taxonomy/Browser/wwwtax.cgi?mode=Info&amp;id=54356&amp;lvl=3&amp;lin=f&amp;keep=1&amp;srchmode=1&amp;unlock","Aramus guarauna")</f>
        <v>Aramus guarauna</v>
      </c>
      <c r="H2013" t="s">
        <v>622</v>
      </c>
      <c r="I2013" t="str">
        <f>HYPERLINK("http://www.ncbi.nlm.nih.gov/protein/NXO59645.1","RYR2 protein")</f>
        <v>RYR2 protein</v>
      </c>
      <c r="J2013">
        <v>8451.26</v>
      </c>
      <c r="K2013" t="s">
        <v>19</v>
      </c>
      <c r="L2013">
        <v>1210</v>
      </c>
      <c r="M2013">
        <v>7.13</v>
      </c>
      <c r="N2013">
        <v>82.35</v>
      </c>
      <c r="O2013" t="s">
        <v>19</v>
      </c>
      <c r="P2013" t="s">
        <v>1267</v>
      </c>
      <c r="Q2013" t="s">
        <v>19</v>
      </c>
      <c r="R2013" t="str">
        <f>HYPERLINK("https://cfpub.epa.gov/ecotox/explore.cfm?ncbi=54356","Explore in ECOTOX")</f>
        <v>Explore in ECOTOX</v>
      </c>
    </row>
    <row r="2014" spans="1:18" x14ac:dyDescent="0.45">
      <c r="A2014" t="s">
        <v>1266</v>
      </c>
      <c r="B2014">
        <v>8</v>
      </c>
      <c r="C2014" t="str">
        <f>HYPERLINK("http://www.ncbi.nlm.nih.gov/protein/XP_017717734.1","XP_017717734.1")</f>
        <v>XP_017717734.1</v>
      </c>
      <c r="D2014">
        <v>49680</v>
      </c>
      <c r="E2014" t="str">
        <f>HYPERLINK("http://www.ncbi.nlm.nih.gov/Taxonomy/Browser/wwwtax.cgi?mode=Info&amp;id=61621&amp;lvl=3&amp;lin=f&amp;keep=1&amp;srchmode=1&amp;unlock","61621")</f>
        <v>61621</v>
      </c>
      <c r="F2014" t="s">
        <v>96</v>
      </c>
      <c r="G2014" t="str">
        <f>HYPERLINK("http://www.ncbi.nlm.nih.gov/Taxonomy/Browser/wwwtax.cgi?mode=Info&amp;id=61621&amp;lvl=3&amp;lin=f&amp;keep=1&amp;srchmode=1&amp;unlock","Rhinopithecus bieti")</f>
        <v>Rhinopithecus bieti</v>
      </c>
      <c r="H2014" t="s">
        <v>471</v>
      </c>
      <c r="I2014" t="str">
        <f>HYPERLINK("http://www.ncbi.nlm.nih.gov/protein/XP_017717734.1","PREDICTED: LOW QUALITY PROTEIN: ryanodine receptor 2")</f>
        <v>PREDICTED: LOW QUALITY PROTEIN: ryanodine receptor 2</v>
      </c>
      <c r="J2014">
        <v>8450.11</v>
      </c>
      <c r="K2014" t="s">
        <v>19</v>
      </c>
      <c r="L2014">
        <v>1210</v>
      </c>
      <c r="M2014">
        <v>7.13</v>
      </c>
      <c r="N2014">
        <v>82.34</v>
      </c>
      <c r="O2014" t="s">
        <v>19</v>
      </c>
      <c r="P2014" t="s">
        <v>1267</v>
      </c>
      <c r="Q2014" t="s">
        <v>19</v>
      </c>
      <c r="R2014" t="str">
        <f>HYPERLINK("https://cfpub.epa.gov/ecotox/explore.cfm?ncbi=61621","Explore in ECOTOX")</f>
        <v>Explore in ECOTOX</v>
      </c>
    </row>
    <row r="2015" spans="1:18" x14ac:dyDescent="0.45">
      <c r="A2015" t="s">
        <v>1266</v>
      </c>
      <c r="B2015">
        <v>8</v>
      </c>
      <c r="C2015" t="str">
        <f>HYPERLINK("http://www.ncbi.nlm.nih.gov/protein/TEA41933.1","TEA41933.1")</f>
        <v>TEA41933.1</v>
      </c>
      <c r="D2015">
        <v>19929</v>
      </c>
      <c r="E2015" t="str">
        <f>HYPERLINK("http://www.ncbi.nlm.nih.gov/Taxonomy/Browser/wwwtax.cgi?mode=Info&amp;id=103600&amp;lvl=3&amp;lin=f&amp;keep=1&amp;srchmode=1&amp;unlock","103600")</f>
        <v>103600</v>
      </c>
      <c r="F2015" t="s">
        <v>96</v>
      </c>
      <c r="G2015" t="str">
        <f>HYPERLINK("http://www.ncbi.nlm.nih.gov/Taxonomy/Browser/wwwtax.cgi?mode=Info&amp;id=103600&amp;lvl=3&amp;lin=f&amp;keep=1&amp;srchmode=1&amp;unlock","Sousa chinensis")</f>
        <v>Sousa chinensis</v>
      </c>
      <c r="H2015" t="s">
        <v>417</v>
      </c>
      <c r="I2015" t="str">
        <f>HYPERLINK("http://www.ncbi.nlm.nih.gov/protein/TEA41933.1","hypothetical protein DBR06_SOUSAS26810026, partial")</f>
        <v>hypothetical protein DBR06_SOUSAS26810026, partial</v>
      </c>
      <c r="J2015">
        <v>8450.11</v>
      </c>
      <c r="K2015" t="s">
        <v>19</v>
      </c>
      <c r="L2015">
        <v>1210</v>
      </c>
      <c r="M2015">
        <v>7.13</v>
      </c>
      <c r="N2015">
        <v>82.34</v>
      </c>
      <c r="O2015" t="s">
        <v>19</v>
      </c>
      <c r="P2015" t="s">
        <v>1267</v>
      </c>
      <c r="Q2015" t="s">
        <v>19</v>
      </c>
      <c r="R2015" t="str">
        <f>HYPERLINK("https://cfpub.epa.gov/ecotox/explore.cfm?ncbi=103600","Explore in ECOTOX")</f>
        <v>Explore in ECOTOX</v>
      </c>
    </row>
    <row r="2016" spans="1:18" x14ac:dyDescent="0.45">
      <c r="A2016" t="s">
        <v>1266</v>
      </c>
      <c r="B2016">
        <v>8</v>
      </c>
      <c r="C2016" t="str">
        <f>HYPERLINK("http://www.ncbi.nlm.nih.gov/protein/XP_030914617.1","XP_030914617.1")</f>
        <v>XP_030914617.1</v>
      </c>
      <c r="D2016">
        <v>20686</v>
      </c>
      <c r="E2016" t="str">
        <f>HYPERLINK("http://www.ncbi.nlm.nih.gov/Taxonomy/Browser/wwwtax.cgi?mode=Info&amp;id=48883&amp;lvl=3&amp;lin=f&amp;keep=1&amp;srchmode=1&amp;unlock","48883")</f>
        <v>48883</v>
      </c>
      <c r="F2016" t="s">
        <v>241</v>
      </c>
      <c r="G2016" t="str">
        <f>HYPERLINK("http://www.ncbi.nlm.nih.gov/Taxonomy/Browser/wwwtax.cgi?mode=Info&amp;id=48883&amp;lvl=3&amp;lin=f&amp;keep=1&amp;srchmode=1&amp;unlock","Geospiza fortis")</f>
        <v>Geospiza fortis</v>
      </c>
      <c r="H2016" t="s">
        <v>613</v>
      </c>
      <c r="I2016" t="str">
        <f>HYPERLINK("http://www.ncbi.nlm.nih.gov/protein/XP_030914617.1","ryanodine receptor 2")</f>
        <v>ryanodine receptor 2</v>
      </c>
      <c r="J2016">
        <v>8448.57</v>
      </c>
      <c r="K2016" t="s">
        <v>19</v>
      </c>
      <c r="L2016">
        <v>1210</v>
      </c>
      <c r="M2016">
        <v>7.13</v>
      </c>
      <c r="N2016">
        <v>82.32</v>
      </c>
      <c r="O2016" t="s">
        <v>19</v>
      </c>
      <c r="P2016" t="s">
        <v>1267</v>
      </c>
      <c r="Q2016" t="s">
        <v>19</v>
      </c>
      <c r="R2016" t="str">
        <f>HYPERLINK("https://cfpub.epa.gov/ecotox/explore.cfm?ncbi=48883","Explore in ECOTOX")</f>
        <v>Explore in ECOTOX</v>
      </c>
    </row>
    <row r="2017" spans="1:18" x14ac:dyDescent="0.45">
      <c r="A2017" t="s">
        <v>1266</v>
      </c>
      <c r="B2017">
        <v>8</v>
      </c>
      <c r="C2017" t="str">
        <f>HYPERLINK("http://www.ncbi.nlm.nih.gov/protein/NXM50014.1","NXM50014.1")</f>
        <v>NXM50014.1</v>
      </c>
      <c r="D2017">
        <v>14416</v>
      </c>
      <c r="E2017" t="str">
        <f>HYPERLINK("http://www.ncbi.nlm.nih.gov/Taxonomy/Browser/wwwtax.cgi?mode=Info&amp;id=9132&amp;lvl=3&amp;lin=f&amp;keep=1&amp;srchmode=1&amp;unlock","9132")</f>
        <v>9132</v>
      </c>
      <c r="F2017" t="s">
        <v>241</v>
      </c>
      <c r="G2017" t="str">
        <f>HYPERLINK("http://www.ncbi.nlm.nih.gov/Taxonomy/Browser/wwwtax.cgi?mode=Info&amp;id=9132&amp;lvl=3&amp;lin=f&amp;keep=1&amp;srchmode=1&amp;unlock","Gymnorhina tibicen")</f>
        <v>Gymnorhina tibicen</v>
      </c>
      <c r="H2017" t="s">
        <v>632</v>
      </c>
      <c r="I2017" t="str">
        <f>HYPERLINK("http://www.ncbi.nlm.nih.gov/protein/NXM50014.1","RYR2 protein")</f>
        <v>RYR2 protein</v>
      </c>
      <c r="J2017">
        <v>8447.0300000000007</v>
      </c>
      <c r="K2017" t="s">
        <v>19</v>
      </c>
      <c r="L2017">
        <v>1210</v>
      </c>
      <c r="M2017">
        <v>7.13</v>
      </c>
      <c r="N2017">
        <v>82.31</v>
      </c>
      <c r="O2017" t="s">
        <v>19</v>
      </c>
      <c r="P2017" t="s">
        <v>1267</v>
      </c>
      <c r="Q2017" t="s">
        <v>19</v>
      </c>
      <c r="R2017" t="str">
        <f>HYPERLINK("https://cfpub.epa.gov/ecotox/explore.cfm?ncbi=9132","Explore in ECOTOX")</f>
        <v>Explore in ECOTOX</v>
      </c>
    </row>
    <row r="2018" spans="1:18" x14ac:dyDescent="0.45">
      <c r="A2018" t="s">
        <v>1266</v>
      </c>
      <c r="B2018">
        <v>8</v>
      </c>
      <c r="C2018" t="str">
        <f>HYPERLINK("http://www.ncbi.nlm.nih.gov/protein/NXJ47614.1","NXJ47614.1")</f>
        <v>NXJ47614.1</v>
      </c>
      <c r="D2018">
        <v>14391</v>
      </c>
      <c r="E2018" t="str">
        <f>HYPERLINK("http://www.ncbi.nlm.nih.gov/Taxonomy/Browser/wwwtax.cgi?mode=Info&amp;id=252798&amp;lvl=3&amp;lin=f&amp;keep=1&amp;srchmode=1&amp;unlock","252798")</f>
        <v>252798</v>
      </c>
      <c r="F2018" t="s">
        <v>241</v>
      </c>
      <c r="G2018" t="str">
        <f>HYPERLINK("http://www.ncbi.nlm.nih.gov/Taxonomy/Browser/wwwtax.cgi?mode=Info&amp;id=252798&amp;lvl=3&amp;lin=f&amp;keep=1&amp;srchmode=1&amp;unlock","Spizaetus tyrannus")</f>
        <v>Spizaetus tyrannus</v>
      </c>
      <c r="H2018" t="s">
        <v>651</v>
      </c>
      <c r="I2018" t="str">
        <f>HYPERLINK("http://www.ncbi.nlm.nih.gov/protein/NXJ47614.1","RYR2 protein")</f>
        <v>RYR2 protein</v>
      </c>
      <c r="J2018">
        <v>8447.0300000000007</v>
      </c>
      <c r="K2018" t="s">
        <v>19</v>
      </c>
      <c r="L2018">
        <v>1210</v>
      </c>
      <c r="M2018">
        <v>7.13</v>
      </c>
      <c r="N2018">
        <v>82.31</v>
      </c>
      <c r="O2018" t="s">
        <v>19</v>
      </c>
      <c r="P2018" t="s">
        <v>1267</v>
      </c>
      <c r="Q2018" t="s">
        <v>19</v>
      </c>
      <c r="R2018" t="str">
        <f>HYPERLINK("https://cfpub.epa.gov/ecotox/explore.cfm?ncbi=252798","Explore in ECOTOX")</f>
        <v>Explore in ECOTOX</v>
      </c>
    </row>
    <row r="2019" spans="1:18" x14ac:dyDescent="0.45">
      <c r="A2019" t="s">
        <v>1266</v>
      </c>
      <c r="B2019">
        <v>8</v>
      </c>
      <c r="C2019" t="str">
        <f>HYPERLINK("http://www.ncbi.nlm.nih.gov/protein/NWR08262.1","NWR08262.1")</f>
        <v>NWR08262.1</v>
      </c>
      <c r="D2019">
        <v>14785</v>
      </c>
      <c r="E2019" t="str">
        <f>HYPERLINK("http://www.ncbi.nlm.nih.gov/Taxonomy/Browser/wwwtax.cgi?mode=Info&amp;id=337173&amp;lvl=3&amp;lin=f&amp;keep=1&amp;srchmode=1&amp;unlock","337173")</f>
        <v>337173</v>
      </c>
      <c r="F2019" t="s">
        <v>241</v>
      </c>
      <c r="G2019" t="str">
        <f>HYPERLINK("http://www.ncbi.nlm.nih.gov/Taxonomy/Browser/wwwtax.cgi?mode=Info&amp;id=337173&amp;lvl=3&amp;lin=f&amp;keep=1&amp;srchmode=1&amp;unlock","Sinosuthora webbiana")</f>
        <v>Sinosuthora webbiana</v>
      </c>
      <c r="H2019" t="s">
        <v>645</v>
      </c>
      <c r="I2019" t="str">
        <f>HYPERLINK("http://www.ncbi.nlm.nih.gov/protein/NWR08262.1","RYR2 protein")</f>
        <v>RYR2 protein</v>
      </c>
      <c r="J2019">
        <v>8446.26</v>
      </c>
      <c r="K2019" t="s">
        <v>19</v>
      </c>
      <c r="L2019">
        <v>1210</v>
      </c>
      <c r="M2019">
        <v>7.13</v>
      </c>
      <c r="N2019">
        <v>82.3</v>
      </c>
      <c r="O2019" t="s">
        <v>19</v>
      </c>
      <c r="P2019" t="s">
        <v>1267</v>
      </c>
      <c r="Q2019" t="s">
        <v>19</v>
      </c>
      <c r="R2019" t="str">
        <f>HYPERLINK("https://cfpub.epa.gov/ecotox/explore.cfm?ncbi=337173","Explore in ECOTOX")</f>
        <v>Explore in ECOTOX</v>
      </c>
    </row>
    <row r="2020" spans="1:18" x14ac:dyDescent="0.45">
      <c r="A2020" t="s">
        <v>1266</v>
      </c>
      <c r="B2020">
        <v>8</v>
      </c>
      <c r="C2020" t="str">
        <f>HYPERLINK("http://www.ncbi.nlm.nih.gov/protein/KAF1615957.1","KAF1615957.1")</f>
        <v>KAF1615957.1</v>
      </c>
      <c r="D2020">
        <v>14670</v>
      </c>
      <c r="E2020" t="str">
        <f>HYPERLINK("http://www.ncbi.nlm.nih.gov/Taxonomy/Browser/wwwtax.cgi?mode=Info&amp;id=79627&amp;lvl=3&amp;lin=f&amp;keep=1&amp;srchmode=1&amp;unlock","79627")</f>
        <v>79627</v>
      </c>
      <c r="F2020" t="s">
        <v>241</v>
      </c>
      <c r="G2020" t="str">
        <f>HYPERLINK("http://www.ncbi.nlm.nih.gov/Taxonomy/Browser/wwwtax.cgi?mode=Info&amp;id=79627&amp;lvl=3&amp;lin=f&amp;keep=1&amp;srchmode=1&amp;unlock","Eudyptes chrysolophus")</f>
        <v>Eudyptes chrysolophus</v>
      </c>
      <c r="H2020" t="s">
        <v>636</v>
      </c>
      <c r="I2020" t="str">
        <f>HYPERLINK("http://www.ncbi.nlm.nih.gov/protein/KAF1615957.1","Ryanodine receptor 2, partial")</f>
        <v>Ryanodine receptor 2, partial</v>
      </c>
      <c r="J2020">
        <v>8446.26</v>
      </c>
      <c r="K2020" t="s">
        <v>19</v>
      </c>
      <c r="L2020">
        <v>1210</v>
      </c>
      <c r="M2020">
        <v>7.13</v>
      </c>
      <c r="N2020">
        <v>82.3</v>
      </c>
      <c r="O2020" t="s">
        <v>19</v>
      </c>
      <c r="P2020" t="s">
        <v>1267</v>
      </c>
      <c r="Q2020" t="s">
        <v>19</v>
      </c>
      <c r="R2020" t="str">
        <f>HYPERLINK("https://cfpub.epa.gov/ecotox/explore.cfm?ncbi=79627","Explore in ECOTOX")</f>
        <v>Explore in ECOTOX</v>
      </c>
    </row>
    <row r="2021" spans="1:18" x14ac:dyDescent="0.45">
      <c r="A2021" t="s">
        <v>1266</v>
      </c>
      <c r="B2021">
        <v>8</v>
      </c>
      <c r="C2021" t="str">
        <f>HYPERLINK("http://www.ncbi.nlm.nih.gov/protein/NXG82010.1","NXG82010.1")</f>
        <v>NXG82010.1</v>
      </c>
      <c r="D2021">
        <v>13962</v>
      </c>
      <c r="E2021" t="str">
        <f>HYPERLINK("http://www.ncbi.nlm.nih.gov/Taxonomy/Browser/wwwtax.cgi?mode=Info&amp;id=54059&amp;lvl=3&amp;lin=f&amp;keep=1&amp;srchmode=1&amp;unlock","54059")</f>
        <v>54059</v>
      </c>
      <c r="F2021" t="s">
        <v>241</v>
      </c>
      <c r="G2021" t="str">
        <f>HYPERLINK("http://www.ncbi.nlm.nih.gov/Taxonomy/Browser/wwwtax.cgi?mode=Info&amp;id=54059&amp;lvl=3&amp;lin=f&amp;keep=1&amp;srchmode=1&amp;unlock","Stercorarius parasiticus")</f>
        <v>Stercorarius parasiticus</v>
      </c>
      <c r="H2021" t="s">
        <v>434</v>
      </c>
      <c r="I2021" t="str">
        <f>HYPERLINK("http://www.ncbi.nlm.nih.gov/protein/NXG82010.1","RYR2 protein")</f>
        <v>RYR2 protein</v>
      </c>
      <c r="J2021">
        <v>8445.8700000000008</v>
      </c>
      <c r="K2021" t="s">
        <v>19</v>
      </c>
      <c r="L2021">
        <v>1210</v>
      </c>
      <c r="M2021">
        <v>7.13</v>
      </c>
      <c r="N2021">
        <v>82.3</v>
      </c>
      <c r="O2021" t="s">
        <v>19</v>
      </c>
      <c r="P2021" t="s">
        <v>1267</v>
      </c>
      <c r="Q2021" t="s">
        <v>19</v>
      </c>
      <c r="R2021" t="str">
        <f>HYPERLINK("https://cfpub.epa.gov/ecotox/explore.cfm?ncbi=54059","Explore in ECOTOX")</f>
        <v>Explore in ECOTOX</v>
      </c>
    </row>
    <row r="2022" spans="1:18" x14ac:dyDescent="0.45">
      <c r="A2022" t="s">
        <v>1266</v>
      </c>
      <c r="B2022">
        <v>8</v>
      </c>
      <c r="C2022" t="str">
        <f>HYPERLINK("http://www.ncbi.nlm.nih.gov/protein/NXA21195.1","NXA21195.1")</f>
        <v>NXA21195.1</v>
      </c>
      <c r="D2022">
        <v>13860</v>
      </c>
      <c r="E2022" t="str">
        <f>HYPERLINK("http://www.ncbi.nlm.nih.gov/Taxonomy/Browser/wwwtax.cgi?mode=Info&amp;id=425643&amp;lvl=3&amp;lin=f&amp;keep=1&amp;srchmode=1&amp;unlock","425643")</f>
        <v>425643</v>
      </c>
      <c r="F2022" t="s">
        <v>241</v>
      </c>
      <c r="G2022" t="str">
        <f>HYPERLINK("http://www.ncbi.nlm.nih.gov/Taxonomy/Browser/wwwtax.cgi?mode=Info&amp;id=425643&amp;lvl=3&amp;lin=f&amp;keep=1&amp;srchmode=1&amp;unlock","Ibidorhyncha struthersii")</f>
        <v>Ibidorhyncha struthersii</v>
      </c>
      <c r="H2022" t="s">
        <v>434</v>
      </c>
      <c r="I2022" t="str">
        <f>HYPERLINK("http://www.ncbi.nlm.nih.gov/protein/NXA21195.1","RYR2 protein")</f>
        <v>RYR2 protein</v>
      </c>
      <c r="J2022">
        <v>8445.8700000000008</v>
      </c>
      <c r="K2022" t="s">
        <v>19</v>
      </c>
      <c r="L2022">
        <v>1210</v>
      </c>
      <c r="M2022">
        <v>7.13</v>
      </c>
      <c r="N2022">
        <v>82.3</v>
      </c>
      <c r="O2022" t="s">
        <v>19</v>
      </c>
      <c r="P2022" t="s">
        <v>1267</v>
      </c>
      <c r="Q2022" t="s">
        <v>19</v>
      </c>
      <c r="R2022" t="str">
        <f>HYPERLINK("https://cfpub.epa.gov/ecotox/explore.cfm?ncbi=425643","Explore in ECOTOX")</f>
        <v>Explore in ECOTOX</v>
      </c>
    </row>
    <row r="2023" spans="1:18" x14ac:dyDescent="0.45">
      <c r="A2023" t="s">
        <v>1266</v>
      </c>
      <c r="B2023">
        <v>8</v>
      </c>
      <c r="C2023" t="str">
        <f>HYPERLINK("http://www.ncbi.nlm.nih.gov/protein/NWX08413.1","NWX08413.1")</f>
        <v>NWX08413.1</v>
      </c>
      <c r="D2023">
        <v>14125</v>
      </c>
      <c r="E2023" t="str">
        <f>HYPERLINK("http://www.ncbi.nlm.nih.gov/Taxonomy/Browser/wwwtax.cgi?mode=Info&amp;id=187106&amp;lvl=3&amp;lin=f&amp;keep=1&amp;srchmode=1&amp;unlock","187106")</f>
        <v>187106</v>
      </c>
      <c r="F2023" t="s">
        <v>241</v>
      </c>
      <c r="G2023" t="str">
        <f>HYPERLINK("http://www.ncbi.nlm.nih.gov/Taxonomy/Browser/wwwtax.cgi?mode=Info&amp;id=187106&amp;lvl=3&amp;lin=f&amp;keep=1&amp;srchmode=1&amp;unlock","Caloenas nicobarica")</f>
        <v>Caloenas nicobarica</v>
      </c>
      <c r="H2023" t="s">
        <v>444</v>
      </c>
      <c r="I2023" t="str">
        <f>HYPERLINK("http://www.ncbi.nlm.nih.gov/protein/NWX08413.1","RYR2 protein")</f>
        <v>RYR2 protein</v>
      </c>
      <c r="J2023">
        <v>8445.1</v>
      </c>
      <c r="K2023" t="s">
        <v>19</v>
      </c>
      <c r="L2023">
        <v>1210</v>
      </c>
      <c r="M2023">
        <v>7.13</v>
      </c>
      <c r="N2023">
        <v>82.29</v>
      </c>
      <c r="O2023" t="s">
        <v>19</v>
      </c>
      <c r="P2023" t="s">
        <v>1267</v>
      </c>
      <c r="Q2023" t="s">
        <v>19</v>
      </c>
      <c r="R2023" t="str">
        <f>HYPERLINK("https://cfpub.epa.gov/ecotox/explore.cfm?ncbi=187106","Explore in ECOTOX")</f>
        <v>Explore in ECOTOX</v>
      </c>
    </row>
    <row r="2024" spans="1:18" x14ac:dyDescent="0.45">
      <c r="A2024" t="s">
        <v>1266</v>
      </c>
      <c r="B2024">
        <v>8</v>
      </c>
      <c r="C2024" t="str">
        <f>HYPERLINK("http://www.ncbi.nlm.nih.gov/protein/NXN72326.1","NXN72326.1")</f>
        <v>NXN72326.1</v>
      </c>
      <c r="D2024">
        <v>14349</v>
      </c>
      <c r="E2024" t="str">
        <f>HYPERLINK("http://www.ncbi.nlm.nih.gov/Taxonomy/Browser/wwwtax.cgi?mode=Info&amp;id=225398&amp;lvl=3&amp;lin=f&amp;keep=1&amp;srchmode=1&amp;unlock","225398")</f>
        <v>225398</v>
      </c>
      <c r="F2024" t="s">
        <v>241</v>
      </c>
      <c r="G2024" t="str">
        <f>HYPERLINK("http://www.ncbi.nlm.nih.gov/Taxonomy/Browser/wwwtax.cgi?mode=Info&amp;id=225398&amp;lvl=3&amp;lin=f&amp;keep=1&amp;srchmode=1&amp;unlock","Himantopus himantopus")</f>
        <v>Himantopus himantopus</v>
      </c>
      <c r="H2024" t="s">
        <v>449</v>
      </c>
      <c r="I2024" t="str">
        <f>HYPERLINK("http://www.ncbi.nlm.nih.gov/protein/NXN72326.1","RYR2 protein")</f>
        <v>RYR2 protein</v>
      </c>
      <c r="J2024">
        <v>8444.7199999999993</v>
      </c>
      <c r="K2024" t="s">
        <v>19</v>
      </c>
      <c r="L2024">
        <v>1210</v>
      </c>
      <c r="M2024">
        <v>7.13</v>
      </c>
      <c r="N2024">
        <v>82.28</v>
      </c>
      <c r="O2024" t="s">
        <v>19</v>
      </c>
      <c r="P2024" t="s">
        <v>1267</v>
      </c>
      <c r="Q2024" t="s">
        <v>19</v>
      </c>
      <c r="R2024" t="str">
        <f>HYPERLINK("https://cfpub.epa.gov/ecotox/explore.cfm?ncbi=225398","Explore in ECOTOX")</f>
        <v>Explore in ECOTOX</v>
      </c>
    </row>
    <row r="2025" spans="1:18" x14ac:dyDescent="0.45">
      <c r="A2025" t="s">
        <v>1266</v>
      </c>
      <c r="B2025">
        <v>8</v>
      </c>
      <c r="C2025" t="str">
        <f>HYPERLINK("http://www.ncbi.nlm.nih.gov/protein/NWV06983.1","NWV06983.1")</f>
        <v>NWV06983.1</v>
      </c>
      <c r="D2025">
        <v>14013</v>
      </c>
      <c r="E2025" t="str">
        <f>HYPERLINK("http://www.ncbi.nlm.nih.gov/Taxonomy/Browser/wwwtax.cgi?mode=Info&amp;id=28724&amp;lvl=3&amp;lin=f&amp;keep=1&amp;srchmode=1&amp;unlock","28724")</f>
        <v>28724</v>
      </c>
      <c r="F2025" t="s">
        <v>241</v>
      </c>
      <c r="G2025" t="str">
        <f>HYPERLINK("http://www.ncbi.nlm.nih.gov/Taxonomy/Browser/wwwtax.cgi?mode=Info&amp;id=28724&amp;lvl=3&amp;lin=f&amp;keep=1&amp;srchmode=1&amp;unlock","Ptilonorhynchus violaceus")</f>
        <v>Ptilonorhynchus violaceus</v>
      </c>
      <c r="H2025" t="s">
        <v>415</v>
      </c>
      <c r="I2025" t="str">
        <f>HYPERLINK("http://www.ncbi.nlm.nih.gov/protein/NWV06983.1","RYR2 protein")</f>
        <v>RYR2 protein</v>
      </c>
      <c r="J2025">
        <v>8444.33</v>
      </c>
      <c r="K2025" t="s">
        <v>19</v>
      </c>
      <c r="L2025">
        <v>1210</v>
      </c>
      <c r="M2025">
        <v>7.13</v>
      </c>
      <c r="N2025">
        <v>82.28</v>
      </c>
      <c r="O2025" t="s">
        <v>19</v>
      </c>
      <c r="P2025" t="s">
        <v>1267</v>
      </c>
      <c r="Q2025" t="s">
        <v>19</v>
      </c>
      <c r="R2025" t="str">
        <f>HYPERLINK("https://cfpub.epa.gov/ecotox/explore.cfm?ncbi=28724","Explore in ECOTOX")</f>
        <v>Explore in ECOTOX</v>
      </c>
    </row>
    <row r="2026" spans="1:18" x14ac:dyDescent="0.45">
      <c r="A2026" t="s">
        <v>1266</v>
      </c>
      <c r="B2026">
        <v>8</v>
      </c>
      <c r="C2026" t="str">
        <f>HYPERLINK("http://www.ncbi.nlm.nih.gov/protein/XP_028903046.1","XP_028903046.1")</f>
        <v>XP_028903046.1</v>
      </c>
      <c r="D2026">
        <v>39382</v>
      </c>
      <c r="E2026" t="str">
        <f>HYPERLINK("http://www.ncbi.nlm.nih.gov/Taxonomy/Browser/wwwtax.cgi?mode=Info&amp;id=9258&amp;lvl=3&amp;lin=f&amp;keep=1&amp;srchmode=1&amp;unlock","9258")</f>
        <v>9258</v>
      </c>
      <c r="F2026" t="s">
        <v>96</v>
      </c>
      <c r="G2026" t="str">
        <f>HYPERLINK("http://www.ncbi.nlm.nih.gov/Taxonomy/Browser/wwwtax.cgi?mode=Info&amp;id=9258&amp;lvl=3&amp;lin=f&amp;keep=1&amp;srchmode=1&amp;unlock","Ornithorhynchus anatinus")</f>
        <v>Ornithorhynchus anatinus</v>
      </c>
      <c r="H2026" t="s">
        <v>436</v>
      </c>
      <c r="I2026" t="str">
        <f>HYPERLINK("http://www.ncbi.nlm.nih.gov/protein/XP_028903046.1","LOW QUALITY PROTEIN: ryanodine receptor 2")</f>
        <v>LOW QUALITY PROTEIN: ryanodine receptor 2</v>
      </c>
      <c r="J2026">
        <v>8443.56</v>
      </c>
      <c r="K2026" t="s">
        <v>19</v>
      </c>
      <c r="L2026">
        <v>1210</v>
      </c>
      <c r="M2026">
        <v>7.13</v>
      </c>
      <c r="N2026">
        <v>82.27</v>
      </c>
      <c r="O2026" t="s">
        <v>19</v>
      </c>
      <c r="P2026" t="s">
        <v>1267</v>
      </c>
      <c r="Q2026" t="s">
        <v>19</v>
      </c>
      <c r="R2026" t="str">
        <f>HYPERLINK("https://cfpub.epa.gov/ecotox/explore.cfm?ncbi=9258","Explore in ECOTOX")</f>
        <v>Explore in ECOTOX</v>
      </c>
    </row>
    <row r="2027" spans="1:18" x14ac:dyDescent="0.45">
      <c r="A2027" t="s">
        <v>1266</v>
      </c>
      <c r="B2027">
        <v>8</v>
      </c>
      <c r="C2027" t="str">
        <f>HYPERLINK("http://www.ncbi.nlm.nih.gov/protein/NXC32298.1","NXC32298.1")</f>
        <v>NXC32298.1</v>
      </c>
      <c r="D2027">
        <v>14152</v>
      </c>
      <c r="E2027" t="str">
        <f>HYPERLINK("http://www.ncbi.nlm.nih.gov/Taxonomy/Browser/wwwtax.cgi?mode=Info&amp;id=190295&amp;lvl=3&amp;lin=f&amp;keep=1&amp;srchmode=1&amp;unlock","190295")</f>
        <v>190295</v>
      </c>
      <c r="F2027" t="s">
        <v>241</v>
      </c>
      <c r="G2027" t="str">
        <f>HYPERLINK("http://www.ncbi.nlm.nih.gov/Taxonomy/Browser/wwwtax.cgi?mode=Info&amp;id=190295&amp;lvl=3&amp;lin=f&amp;keep=1&amp;srchmode=1&amp;unlock","Campylorhamphus procurvoides")</f>
        <v>Campylorhamphus procurvoides</v>
      </c>
      <c r="H2027" t="s">
        <v>435</v>
      </c>
      <c r="I2027" t="str">
        <f>HYPERLINK("http://www.ncbi.nlm.nih.gov/protein/NXC32298.1","RYR2 protein")</f>
        <v>RYR2 protein</v>
      </c>
      <c r="J2027">
        <v>8443.56</v>
      </c>
      <c r="K2027" t="s">
        <v>19</v>
      </c>
      <c r="L2027">
        <v>1210</v>
      </c>
      <c r="M2027">
        <v>7.13</v>
      </c>
      <c r="N2027">
        <v>82.27</v>
      </c>
      <c r="O2027" t="s">
        <v>19</v>
      </c>
      <c r="P2027" t="s">
        <v>1267</v>
      </c>
      <c r="Q2027" t="s">
        <v>19</v>
      </c>
      <c r="R2027" t="str">
        <f>HYPERLINK("https://cfpub.epa.gov/ecotox/explore.cfm?ncbi=190295","Explore in ECOTOX")</f>
        <v>Explore in ECOTOX</v>
      </c>
    </row>
    <row r="2028" spans="1:18" x14ac:dyDescent="0.45">
      <c r="A2028" t="s">
        <v>1266</v>
      </c>
      <c r="B2028">
        <v>8</v>
      </c>
      <c r="C2028" t="str">
        <f>HYPERLINK("http://www.ncbi.nlm.nih.gov/protein/NXN30996.1","NXN30996.1")</f>
        <v>NXN30996.1</v>
      </c>
      <c r="D2028">
        <v>14331</v>
      </c>
      <c r="E2028" t="str">
        <f>HYPERLINK("http://www.ncbi.nlm.nih.gov/Taxonomy/Browser/wwwtax.cgi?mode=Info&amp;id=227226&amp;lvl=3&amp;lin=f&amp;keep=1&amp;srchmode=1&amp;unlock","227226")</f>
        <v>227226</v>
      </c>
      <c r="F2028" t="s">
        <v>241</v>
      </c>
      <c r="G2028" t="str">
        <f>HYPERLINK("http://www.ncbi.nlm.nih.gov/Taxonomy/Browser/wwwtax.cgi?mode=Info&amp;id=227226&amp;lvl=3&amp;lin=f&amp;keep=1&amp;srchmode=1&amp;unlock","Nycticryphes semicollaris")</f>
        <v>Nycticryphes semicollaris</v>
      </c>
      <c r="H2028" t="s">
        <v>434</v>
      </c>
      <c r="I2028" t="str">
        <f>HYPERLINK("http://www.ncbi.nlm.nih.gov/protein/NXN30996.1","RYR2 protein")</f>
        <v>RYR2 protein</v>
      </c>
      <c r="J2028">
        <v>8443.18</v>
      </c>
      <c r="K2028" t="s">
        <v>19</v>
      </c>
      <c r="L2028">
        <v>1210</v>
      </c>
      <c r="M2028">
        <v>7.13</v>
      </c>
      <c r="N2028">
        <v>82.27</v>
      </c>
      <c r="O2028" t="s">
        <v>19</v>
      </c>
      <c r="P2028" t="s">
        <v>1267</v>
      </c>
      <c r="Q2028" t="s">
        <v>19</v>
      </c>
      <c r="R2028" t="str">
        <f>HYPERLINK("https://cfpub.epa.gov/ecotox/explore.cfm?ncbi=227226","Explore in ECOTOX")</f>
        <v>Explore in ECOTOX</v>
      </c>
    </row>
    <row r="2029" spans="1:18" x14ac:dyDescent="0.45">
      <c r="A2029" t="s">
        <v>1266</v>
      </c>
      <c r="B2029">
        <v>8</v>
      </c>
      <c r="C2029" t="str">
        <f>HYPERLINK("http://www.ncbi.nlm.nih.gov/protein/NXF77373.1","NXF77373.1")</f>
        <v>NXF77373.1</v>
      </c>
      <c r="D2029">
        <v>14133</v>
      </c>
      <c r="E2029" t="str">
        <f>HYPERLINK("http://www.ncbi.nlm.nih.gov/Taxonomy/Browser/wwwtax.cgi?mode=Info&amp;id=265632&amp;lvl=3&amp;lin=f&amp;keep=1&amp;srchmode=1&amp;unlock","265632")</f>
        <v>265632</v>
      </c>
      <c r="F2029" t="s">
        <v>241</v>
      </c>
      <c r="G2029" t="str">
        <f>HYPERLINK("http://www.ncbi.nlm.nih.gov/Taxonomy/Browser/wwwtax.cgi?mode=Info&amp;id=265632&amp;lvl=3&amp;lin=f&amp;keep=1&amp;srchmode=1&amp;unlock","Sclerurus mexicanus")</f>
        <v>Sclerurus mexicanus</v>
      </c>
      <c r="H2029" t="s">
        <v>412</v>
      </c>
      <c r="I2029" t="str">
        <f>HYPERLINK("http://www.ncbi.nlm.nih.gov/protein/NXF77373.1","RYR2 protein")</f>
        <v>RYR2 protein</v>
      </c>
      <c r="J2029">
        <v>8443.18</v>
      </c>
      <c r="K2029" t="s">
        <v>19</v>
      </c>
      <c r="L2029">
        <v>1210</v>
      </c>
      <c r="M2029">
        <v>7.13</v>
      </c>
      <c r="N2029">
        <v>82.27</v>
      </c>
      <c r="O2029" t="s">
        <v>19</v>
      </c>
      <c r="P2029" t="s">
        <v>1267</v>
      </c>
      <c r="Q2029" t="s">
        <v>19</v>
      </c>
      <c r="R2029" t="str">
        <f>HYPERLINK("https://cfpub.epa.gov/ecotox/explore.cfm?ncbi=265632","Explore in ECOTOX")</f>
        <v>Explore in ECOTOX</v>
      </c>
    </row>
    <row r="2030" spans="1:18" x14ac:dyDescent="0.45">
      <c r="A2030" t="s">
        <v>1266</v>
      </c>
      <c r="B2030">
        <v>8</v>
      </c>
      <c r="C2030" t="str">
        <f>HYPERLINK("http://www.ncbi.nlm.nih.gov/protein/NXG27325.1","NXG27325.1")</f>
        <v>NXG27325.1</v>
      </c>
      <c r="D2030">
        <v>45135</v>
      </c>
      <c r="E2030" t="str">
        <f>HYPERLINK("http://www.ncbi.nlm.nih.gov/Taxonomy/Browser/wwwtax.cgi?mode=Info&amp;id=8790&amp;lvl=3&amp;lin=f&amp;keep=1&amp;srchmode=1&amp;unlock","8790")</f>
        <v>8790</v>
      </c>
      <c r="F2030" t="s">
        <v>241</v>
      </c>
      <c r="G2030" t="str">
        <f>HYPERLINK("http://www.ncbi.nlm.nih.gov/Taxonomy/Browser/wwwtax.cgi?mode=Info&amp;id=8790&amp;lvl=3&amp;lin=f&amp;keep=1&amp;srchmode=1&amp;unlock","Dromaius novaehollandiae")</f>
        <v>Dromaius novaehollandiae</v>
      </c>
      <c r="H2030" t="s">
        <v>432</v>
      </c>
      <c r="I2030" t="str">
        <f>HYPERLINK("http://www.ncbi.nlm.nih.gov/protein/NXG27325.1","RYR2 protein")</f>
        <v>RYR2 protein</v>
      </c>
      <c r="J2030">
        <v>8442.7900000000009</v>
      </c>
      <c r="K2030" t="s">
        <v>19</v>
      </c>
      <c r="L2030">
        <v>1210</v>
      </c>
      <c r="M2030">
        <v>7.13</v>
      </c>
      <c r="N2030">
        <v>82.27</v>
      </c>
      <c r="O2030" t="s">
        <v>19</v>
      </c>
      <c r="P2030" t="s">
        <v>1267</v>
      </c>
      <c r="Q2030" t="s">
        <v>19</v>
      </c>
      <c r="R2030" t="str">
        <f>HYPERLINK("https://cfpub.epa.gov/ecotox/explore.cfm?ncbi=8790","Explore in ECOTOX")</f>
        <v>Explore in ECOTOX</v>
      </c>
    </row>
    <row r="2031" spans="1:18" x14ac:dyDescent="0.45">
      <c r="A2031" t="s">
        <v>1266</v>
      </c>
      <c r="B2031">
        <v>8</v>
      </c>
      <c r="C2031" t="str">
        <f>HYPERLINK("http://www.ncbi.nlm.nih.gov/protein/NXC37611.1","NXC37611.1")</f>
        <v>NXC37611.1</v>
      </c>
      <c r="D2031">
        <v>13978</v>
      </c>
      <c r="E2031" t="str">
        <f>HYPERLINK("http://www.ncbi.nlm.nih.gov/Taxonomy/Browser/wwwtax.cgi?mode=Info&amp;id=1118817&amp;lvl=3&amp;lin=f&amp;keep=1&amp;srchmode=1&amp;unlock","1118817")</f>
        <v>1118817</v>
      </c>
      <c r="F2031" t="s">
        <v>241</v>
      </c>
      <c r="G2031" t="str">
        <f>HYPERLINK("http://www.ncbi.nlm.nih.gov/Taxonomy/Browser/wwwtax.cgi?mode=Info&amp;id=1118817&amp;lvl=3&amp;lin=f&amp;keep=1&amp;srchmode=1&amp;unlock","Penelope pileata")</f>
        <v>Penelope pileata</v>
      </c>
      <c r="H2031" t="s">
        <v>406</v>
      </c>
      <c r="I2031" t="str">
        <f>HYPERLINK("http://www.ncbi.nlm.nih.gov/protein/NXC37611.1","RYR2 protein")</f>
        <v>RYR2 protein</v>
      </c>
      <c r="J2031">
        <v>8442.7900000000009</v>
      </c>
      <c r="K2031" t="s">
        <v>19</v>
      </c>
      <c r="L2031">
        <v>1210</v>
      </c>
      <c r="M2031">
        <v>7.13</v>
      </c>
      <c r="N2031">
        <v>82.27</v>
      </c>
      <c r="O2031" t="s">
        <v>19</v>
      </c>
      <c r="P2031" t="s">
        <v>1267</v>
      </c>
      <c r="Q2031" t="s">
        <v>19</v>
      </c>
      <c r="R2031" t="str">
        <f>HYPERLINK("https://cfpub.epa.gov/ecotox/explore.cfm?ncbi=1118817","Explore in ECOTOX")</f>
        <v>Explore in ECOTOX</v>
      </c>
    </row>
    <row r="2032" spans="1:18" x14ac:dyDescent="0.45">
      <c r="A2032" t="s">
        <v>1266</v>
      </c>
      <c r="B2032">
        <v>8</v>
      </c>
      <c r="C2032" t="str">
        <f>HYPERLINK("http://www.ncbi.nlm.nih.gov/protein/NXE11652.1","NXE11652.1")</f>
        <v>NXE11652.1</v>
      </c>
      <c r="D2032">
        <v>13942</v>
      </c>
      <c r="E2032" t="str">
        <f>HYPERLINK("http://www.ncbi.nlm.nih.gov/Taxonomy/Browser/wwwtax.cgi?mode=Info&amp;id=172689&amp;lvl=3&amp;lin=f&amp;keep=1&amp;srchmode=1&amp;unlock","172689")</f>
        <v>172689</v>
      </c>
      <c r="F2032" t="s">
        <v>241</v>
      </c>
      <c r="G2032" t="str">
        <f>HYPERLINK("http://www.ncbi.nlm.nih.gov/Taxonomy/Browser/wwwtax.cgi?mode=Info&amp;id=172689&amp;lvl=3&amp;lin=f&amp;keep=1&amp;srchmode=1&amp;unlock","Lophotis ruficrista")</f>
        <v>Lophotis ruficrista</v>
      </c>
      <c r="H2032" t="s">
        <v>638</v>
      </c>
      <c r="I2032" t="str">
        <f>HYPERLINK("http://www.ncbi.nlm.nih.gov/protein/NXE11652.1","RYR2 protein")</f>
        <v>RYR2 protein</v>
      </c>
      <c r="J2032">
        <v>8442.7900000000009</v>
      </c>
      <c r="K2032" t="s">
        <v>19</v>
      </c>
      <c r="L2032">
        <v>1210</v>
      </c>
      <c r="M2032">
        <v>7.13</v>
      </c>
      <c r="N2032">
        <v>82.27</v>
      </c>
      <c r="O2032" t="s">
        <v>19</v>
      </c>
      <c r="P2032" t="s">
        <v>1267</v>
      </c>
      <c r="Q2032" t="s">
        <v>19</v>
      </c>
      <c r="R2032" t="str">
        <f>HYPERLINK("https://cfpub.epa.gov/ecotox/explore.cfm?ncbi=172689","Explore in ECOTOX")</f>
        <v>Explore in ECOTOX</v>
      </c>
    </row>
    <row r="2033" spans="1:18" x14ac:dyDescent="0.45">
      <c r="A2033" t="s">
        <v>1266</v>
      </c>
      <c r="B2033">
        <v>8</v>
      </c>
      <c r="C2033" t="str">
        <f>HYPERLINK("http://www.ncbi.nlm.nih.gov/protein/NWI16936.1","NWI16936.1")</f>
        <v>NWI16936.1</v>
      </c>
      <c r="D2033">
        <v>14221</v>
      </c>
      <c r="E2033" t="str">
        <f>HYPERLINK("http://www.ncbi.nlm.nih.gov/Taxonomy/Browser/wwwtax.cgi?mode=Info&amp;id=458187&amp;lvl=3&amp;lin=f&amp;keep=1&amp;srchmode=1&amp;unlock","458187")</f>
        <v>458187</v>
      </c>
      <c r="F2033" t="s">
        <v>241</v>
      </c>
      <c r="G2033" t="str">
        <f>HYPERLINK("http://www.ncbi.nlm.nih.gov/Taxonomy/Browser/wwwtax.cgi?mode=Info&amp;id=458187&amp;lvl=3&amp;lin=f&amp;keep=1&amp;srchmode=1&amp;unlock","Crypturellus soui")</f>
        <v>Crypturellus soui</v>
      </c>
      <c r="H2033" t="s">
        <v>367</v>
      </c>
      <c r="I2033" t="str">
        <f>HYPERLINK("http://www.ncbi.nlm.nih.gov/protein/NWI16936.1","RYR2 protein")</f>
        <v>RYR2 protein</v>
      </c>
      <c r="J2033">
        <v>8441.25</v>
      </c>
      <c r="K2033" t="s">
        <v>19</v>
      </c>
      <c r="L2033">
        <v>1210</v>
      </c>
      <c r="M2033">
        <v>7.13</v>
      </c>
      <c r="N2033">
        <v>82.25</v>
      </c>
      <c r="O2033" t="s">
        <v>19</v>
      </c>
      <c r="P2033" t="s">
        <v>1267</v>
      </c>
      <c r="Q2033" t="s">
        <v>19</v>
      </c>
      <c r="R2033" t="str">
        <f>HYPERLINK("https://cfpub.epa.gov/ecotox/explore.cfm?ncbi=458187","Explore in ECOTOX")</f>
        <v>Explore in ECOTOX</v>
      </c>
    </row>
    <row r="2034" spans="1:18" x14ac:dyDescent="0.45">
      <c r="A2034" t="s">
        <v>1266</v>
      </c>
      <c r="B2034">
        <v>8</v>
      </c>
      <c r="C2034" t="str">
        <f>HYPERLINK("http://www.ncbi.nlm.nih.gov/protein/KAF1658226.1","KAF1658226.1")</f>
        <v>KAF1658226.1</v>
      </c>
      <c r="D2034">
        <v>14000</v>
      </c>
      <c r="E2034" t="str">
        <f>HYPERLINK("http://www.ncbi.nlm.nih.gov/Taxonomy/Browser/wwwtax.cgi?mode=Info&amp;id=9234&amp;lvl=3&amp;lin=f&amp;keep=1&amp;srchmode=1&amp;unlock","9234")</f>
        <v>9234</v>
      </c>
      <c r="F2034" t="s">
        <v>241</v>
      </c>
      <c r="G2034" t="str">
        <f>HYPERLINK("http://www.ncbi.nlm.nih.gov/Taxonomy/Browser/wwwtax.cgi?mode=Info&amp;id=9234&amp;lvl=3&amp;lin=f&amp;keep=1&amp;srchmode=1&amp;unlock","Aptenodytes patagonicus")</f>
        <v>Aptenodytes patagonicus</v>
      </c>
      <c r="H2034" t="s">
        <v>642</v>
      </c>
      <c r="I2034" t="str">
        <f>HYPERLINK("http://www.ncbi.nlm.nih.gov/protein/KAF1658226.1","Ryanodine receptor 2, partial")</f>
        <v>Ryanodine receptor 2, partial</v>
      </c>
      <c r="J2034">
        <v>8441.25</v>
      </c>
      <c r="K2034" t="s">
        <v>19</v>
      </c>
      <c r="L2034">
        <v>1210</v>
      </c>
      <c r="M2034">
        <v>7.13</v>
      </c>
      <c r="N2034">
        <v>82.25</v>
      </c>
      <c r="O2034" t="s">
        <v>19</v>
      </c>
      <c r="P2034" t="s">
        <v>1267</v>
      </c>
      <c r="Q2034" t="s">
        <v>19</v>
      </c>
      <c r="R2034" t="str">
        <f>HYPERLINK("https://cfpub.epa.gov/ecotox/explore.cfm?ncbi=9234","Explore in ECOTOX")</f>
        <v>Explore in ECOTOX</v>
      </c>
    </row>
    <row r="2035" spans="1:18" x14ac:dyDescent="0.45">
      <c r="A2035" t="s">
        <v>1266</v>
      </c>
      <c r="B2035">
        <v>8</v>
      </c>
      <c r="C2035" t="str">
        <f>HYPERLINK("http://www.ncbi.nlm.nih.gov/protein/XP_059533736.1","XP_059533736.1")</f>
        <v>XP_059533736.1</v>
      </c>
      <c r="D2035">
        <v>57320</v>
      </c>
      <c r="E2035" t="str">
        <f>HYPERLINK("http://www.ncbi.nlm.nih.gov/Taxonomy/Browser/wwwtax.cgi?mode=Info&amp;id=98922&amp;lvl=3&amp;lin=f&amp;keep=1&amp;srchmode=1&amp;unlock","98922")</f>
        <v>98922</v>
      </c>
      <c r="F2035" t="s">
        <v>96</v>
      </c>
      <c r="G2035" t="str">
        <f>HYPERLINK("http://www.ncbi.nlm.nih.gov/Taxonomy/Browser/wwwtax.cgi?mode=Info&amp;id=98922&amp;lvl=3&amp;lin=f&amp;keep=1&amp;srchmode=1&amp;unlock","Myotis daubentonii")</f>
        <v>Myotis daubentonii</v>
      </c>
      <c r="H2035" t="s">
        <v>381</v>
      </c>
      <c r="I2035" t="str">
        <f>HYPERLINK("http://www.ncbi.nlm.nih.gov/protein/XP_059533736.1","ryanodine receptor 2 isoform X2")</f>
        <v>ryanodine receptor 2 isoform X2</v>
      </c>
      <c r="J2035">
        <v>8440.48</v>
      </c>
      <c r="K2035" t="s">
        <v>19</v>
      </c>
      <c r="L2035">
        <v>1210</v>
      </c>
      <c r="M2035">
        <v>7.13</v>
      </c>
      <c r="N2035">
        <v>82.24</v>
      </c>
      <c r="O2035" t="s">
        <v>19</v>
      </c>
      <c r="P2035" t="s">
        <v>1267</v>
      </c>
      <c r="Q2035" t="s">
        <v>19</v>
      </c>
      <c r="R2035" t="str">
        <f>HYPERLINK("https://cfpub.epa.gov/ecotox/explore.cfm?ncbi=98922","Explore in ECOTOX")</f>
        <v>Explore in ECOTOX</v>
      </c>
    </row>
    <row r="2036" spans="1:18" x14ac:dyDescent="0.45">
      <c r="A2036" t="s">
        <v>1266</v>
      </c>
      <c r="B2036">
        <v>8</v>
      </c>
      <c r="C2036" t="str">
        <f>HYPERLINK("http://www.ncbi.nlm.nih.gov/protein/NWW48238.1","NWW48238.1")</f>
        <v>NWW48238.1</v>
      </c>
      <c r="D2036">
        <v>13358</v>
      </c>
      <c r="E2036" t="str">
        <f>HYPERLINK("http://www.ncbi.nlm.nih.gov/Taxonomy/Browser/wwwtax.cgi?mode=Info&amp;id=227192&amp;lvl=3&amp;lin=f&amp;keep=1&amp;srchmode=1&amp;unlock","227192")</f>
        <v>227192</v>
      </c>
      <c r="F2036" t="s">
        <v>241</v>
      </c>
      <c r="G2036" t="str">
        <f>HYPERLINK("http://www.ncbi.nlm.nih.gov/Taxonomy/Browser/wwwtax.cgi?mode=Info&amp;id=227192&amp;lvl=3&amp;lin=f&amp;keep=1&amp;srchmode=1&amp;unlock","Pedionomus torquatus")</f>
        <v>Pedionomus torquatus</v>
      </c>
      <c r="H2036" t="s">
        <v>441</v>
      </c>
      <c r="I2036" t="str">
        <f>HYPERLINK("http://www.ncbi.nlm.nih.gov/protein/NWW48238.1","RYR2 protein")</f>
        <v>RYR2 protein</v>
      </c>
      <c r="J2036">
        <v>8440.09</v>
      </c>
      <c r="K2036" t="s">
        <v>19</v>
      </c>
      <c r="L2036">
        <v>1210</v>
      </c>
      <c r="M2036">
        <v>7.13</v>
      </c>
      <c r="N2036">
        <v>82.24</v>
      </c>
      <c r="O2036" t="s">
        <v>19</v>
      </c>
      <c r="P2036" t="s">
        <v>1267</v>
      </c>
      <c r="Q2036" t="s">
        <v>19</v>
      </c>
      <c r="R2036" t="str">
        <f>HYPERLINK("https://cfpub.epa.gov/ecotox/explore.cfm?ncbi=227192","Explore in ECOTOX")</f>
        <v>Explore in ECOTOX</v>
      </c>
    </row>
    <row r="2037" spans="1:18" x14ac:dyDescent="0.45">
      <c r="A2037" t="s">
        <v>1266</v>
      </c>
      <c r="B2037">
        <v>8</v>
      </c>
      <c r="C2037" t="str">
        <f>HYPERLINK("http://www.ncbi.nlm.nih.gov/protein/XP_038616986.1","XP_038616986.1")</f>
        <v>XP_038616986.1</v>
      </c>
      <c r="D2037">
        <v>33534</v>
      </c>
      <c r="E2037" t="str">
        <f>HYPERLINK("http://www.ncbi.nlm.nih.gov/Taxonomy/Browser/wwwtax.cgi?mode=Info&amp;id=9261&amp;lvl=3&amp;lin=f&amp;keep=1&amp;srchmode=1&amp;unlock","9261")</f>
        <v>9261</v>
      </c>
      <c r="F2037" t="s">
        <v>96</v>
      </c>
      <c r="G2037" t="str">
        <f>HYPERLINK("http://www.ncbi.nlm.nih.gov/Taxonomy/Browser/wwwtax.cgi?mode=Info&amp;id=9261&amp;lvl=3&amp;lin=f&amp;keep=1&amp;srchmode=1&amp;unlock","Tachyglossus aculeatus")</f>
        <v>Tachyglossus aculeatus</v>
      </c>
      <c r="H2037" t="s">
        <v>446</v>
      </c>
      <c r="I2037" t="str">
        <f>HYPERLINK("http://www.ncbi.nlm.nih.gov/protein/XP_038616986.1","ryanodine receptor 2")</f>
        <v>ryanodine receptor 2</v>
      </c>
      <c r="J2037">
        <v>8439.32</v>
      </c>
      <c r="K2037" t="s">
        <v>19</v>
      </c>
      <c r="L2037">
        <v>1210</v>
      </c>
      <c r="M2037">
        <v>7.13</v>
      </c>
      <c r="N2037">
        <v>82.23</v>
      </c>
      <c r="O2037" t="s">
        <v>19</v>
      </c>
      <c r="P2037" t="s">
        <v>1267</v>
      </c>
      <c r="Q2037" t="s">
        <v>19</v>
      </c>
      <c r="R2037" t="str">
        <f>HYPERLINK("https://cfpub.epa.gov/ecotox/explore.cfm?ncbi=9261","Explore in ECOTOX")</f>
        <v>Explore in ECOTOX</v>
      </c>
    </row>
    <row r="2038" spans="1:18" x14ac:dyDescent="0.45">
      <c r="A2038" t="s">
        <v>1266</v>
      </c>
      <c r="B2038">
        <v>8</v>
      </c>
      <c r="C2038" t="str">
        <f>HYPERLINK("http://www.ncbi.nlm.nih.gov/protein/XP_026525091.1","XP_026525091.1")</f>
        <v>XP_026525091.1</v>
      </c>
      <c r="D2038">
        <v>31326</v>
      </c>
      <c r="E2038" t="str">
        <f>HYPERLINK("http://www.ncbi.nlm.nih.gov/Taxonomy/Browser/wwwtax.cgi?mode=Info&amp;id=8663&amp;lvl=3&amp;lin=f&amp;keep=1&amp;srchmode=1&amp;unlock","8663")</f>
        <v>8663</v>
      </c>
      <c r="F2038" t="s">
        <v>192</v>
      </c>
      <c r="G2038" t="str">
        <f>HYPERLINK("http://www.ncbi.nlm.nih.gov/Taxonomy/Browser/wwwtax.cgi?mode=Info&amp;id=8663&amp;lvl=3&amp;lin=f&amp;keep=1&amp;srchmode=1&amp;unlock","Notechis scutatus")</f>
        <v>Notechis scutatus</v>
      </c>
      <c r="H2038" t="s">
        <v>411</v>
      </c>
      <c r="I2038" t="str">
        <f>HYPERLINK("http://www.ncbi.nlm.nih.gov/protein/XP_026525091.1","LOW QUALITY PROTEIN: ryanodine receptor 2")</f>
        <v>LOW QUALITY PROTEIN: ryanodine receptor 2</v>
      </c>
      <c r="J2038">
        <v>8438.5499999999993</v>
      </c>
      <c r="K2038" t="s">
        <v>19</v>
      </c>
      <c r="L2038">
        <v>1210</v>
      </c>
      <c r="M2038">
        <v>7.13</v>
      </c>
      <c r="N2038">
        <v>82.22</v>
      </c>
      <c r="O2038" t="s">
        <v>19</v>
      </c>
      <c r="P2038" t="s">
        <v>1267</v>
      </c>
      <c r="Q2038" t="s">
        <v>19</v>
      </c>
      <c r="R2038" t="str">
        <f>HYPERLINK("https://cfpub.epa.gov/ecotox/explore.cfm?ncbi=8663","Explore in ECOTOX")</f>
        <v>Explore in ECOTOX</v>
      </c>
    </row>
    <row r="2039" spans="1:18" x14ac:dyDescent="0.45">
      <c r="A2039" t="s">
        <v>1266</v>
      </c>
      <c r="B2039">
        <v>8</v>
      </c>
      <c r="C2039" t="str">
        <f>HYPERLINK("http://www.ncbi.nlm.nih.gov/protein/NXW95716.1","NXW95716.1")</f>
        <v>NXW95716.1</v>
      </c>
      <c r="D2039">
        <v>14612</v>
      </c>
      <c r="E2039" t="str">
        <f>HYPERLINK("http://www.ncbi.nlm.nih.gov/Taxonomy/Browser/wwwtax.cgi?mode=Info&amp;id=262131&amp;lvl=3&amp;lin=f&amp;keep=1&amp;srchmode=1&amp;unlock","262131")</f>
        <v>262131</v>
      </c>
      <c r="F2039" t="s">
        <v>241</v>
      </c>
      <c r="G2039" t="str">
        <f>HYPERLINK("http://www.ncbi.nlm.nih.gov/Taxonomy/Browser/wwwtax.cgi?mode=Info&amp;id=262131&amp;lvl=3&amp;lin=f&amp;keep=1&amp;srchmode=1&amp;unlock","Alopecoenas beccarii")</f>
        <v>Alopecoenas beccarii</v>
      </c>
      <c r="H2039" t="s">
        <v>445</v>
      </c>
      <c r="I2039" t="str">
        <f>HYPERLINK("http://www.ncbi.nlm.nih.gov/protein/NXW95716.1","RYR2 protein")</f>
        <v>RYR2 protein</v>
      </c>
      <c r="J2039">
        <v>8438.5499999999993</v>
      </c>
      <c r="K2039" t="s">
        <v>19</v>
      </c>
      <c r="L2039">
        <v>1210</v>
      </c>
      <c r="M2039">
        <v>7.13</v>
      </c>
      <c r="N2039">
        <v>82.22</v>
      </c>
      <c r="O2039" t="s">
        <v>19</v>
      </c>
      <c r="P2039" t="s">
        <v>1267</v>
      </c>
      <c r="Q2039" t="s">
        <v>19</v>
      </c>
      <c r="R2039" t="str">
        <f>HYPERLINK("https://cfpub.epa.gov/ecotox/explore.cfm?ncbi=262131","Explore in ECOTOX")</f>
        <v>Explore in ECOTOX</v>
      </c>
    </row>
    <row r="2040" spans="1:18" x14ac:dyDescent="0.45">
      <c r="A2040" t="s">
        <v>1266</v>
      </c>
      <c r="B2040">
        <v>8</v>
      </c>
      <c r="C2040" t="str">
        <f>HYPERLINK("http://www.ncbi.nlm.nih.gov/protein/NWW07896.1","NWW07896.1")</f>
        <v>NWW07896.1</v>
      </c>
      <c r="D2040">
        <v>14031</v>
      </c>
      <c r="E2040" t="str">
        <f>HYPERLINK("http://www.ncbi.nlm.nih.gov/Taxonomy/Browser/wwwtax.cgi?mode=Info&amp;id=979223&amp;lvl=3&amp;lin=f&amp;keep=1&amp;srchmode=1&amp;unlock","979223")</f>
        <v>979223</v>
      </c>
      <c r="F2040" t="s">
        <v>241</v>
      </c>
      <c r="G2040" t="str">
        <f>HYPERLINK("http://www.ncbi.nlm.nih.gov/Taxonomy/Browser/wwwtax.cgi?mode=Info&amp;id=979223&amp;lvl=3&amp;lin=f&amp;keep=1&amp;srchmode=1&amp;unlock","Oreocharis arfaki")</f>
        <v>Oreocharis arfaki</v>
      </c>
      <c r="H2040" t="s">
        <v>620</v>
      </c>
      <c r="I2040" t="str">
        <f>HYPERLINK("http://www.ncbi.nlm.nih.gov/protein/NWW07896.1","RYR2 protein")</f>
        <v>RYR2 protein</v>
      </c>
      <c r="J2040">
        <v>8438.17</v>
      </c>
      <c r="K2040" t="s">
        <v>19</v>
      </c>
      <c r="L2040">
        <v>1210</v>
      </c>
      <c r="M2040">
        <v>7.13</v>
      </c>
      <c r="N2040">
        <v>82.22</v>
      </c>
      <c r="O2040" t="s">
        <v>19</v>
      </c>
      <c r="P2040" t="s">
        <v>1267</v>
      </c>
      <c r="Q2040" t="s">
        <v>19</v>
      </c>
      <c r="R2040" t="str">
        <f>HYPERLINK("https://cfpub.epa.gov/ecotox/explore.cfm?ncbi=979223","Explore in ECOTOX")</f>
        <v>Explore in ECOTOX</v>
      </c>
    </row>
    <row r="2041" spans="1:18" x14ac:dyDescent="0.45">
      <c r="A2041" t="s">
        <v>1266</v>
      </c>
      <c r="B2041">
        <v>8</v>
      </c>
      <c r="C2041" t="str">
        <f>HYPERLINK("http://www.ncbi.nlm.nih.gov/protein/NXB59105.1","NXB59105.1")</f>
        <v>NXB59105.1</v>
      </c>
      <c r="D2041">
        <v>14168</v>
      </c>
      <c r="E2041" t="str">
        <f>HYPERLINK("http://www.ncbi.nlm.nih.gov/Taxonomy/Browser/wwwtax.cgi?mode=Info&amp;id=181839&amp;lvl=3&amp;lin=f&amp;keep=1&amp;srchmode=1&amp;unlock","181839")</f>
        <v>181839</v>
      </c>
      <c r="F2041" t="s">
        <v>241</v>
      </c>
      <c r="G2041" t="str">
        <f>HYPERLINK("http://www.ncbi.nlm.nih.gov/Taxonomy/Browser/wwwtax.cgi?mode=Info&amp;id=181839&amp;lvl=3&amp;lin=f&amp;keep=1&amp;srchmode=1&amp;unlock","Struthidea cinerea")</f>
        <v>Struthidea cinerea</v>
      </c>
      <c r="H2041" t="s">
        <v>621</v>
      </c>
      <c r="I2041" t="str">
        <f>HYPERLINK("http://www.ncbi.nlm.nih.gov/protein/NXB59105.1","RYR2 protein")</f>
        <v>RYR2 protein</v>
      </c>
      <c r="J2041">
        <v>8437.7800000000007</v>
      </c>
      <c r="K2041" t="s">
        <v>19</v>
      </c>
      <c r="L2041">
        <v>1210</v>
      </c>
      <c r="M2041">
        <v>7.13</v>
      </c>
      <c r="N2041">
        <v>82.22</v>
      </c>
      <c r="O2041" t="s">
        <v>19</v>
      </c>
      <c r="P2041" t="s">
        <v>1267</v>
      </c>
      <c r="Q2041" t="s">
        <v>19</v>
      </c>
      <c r="R2041" t="str">
        <f>HYPERLINK("https://cfpub.epa.gov/ecotox/explore.cfm?ncbi=181839","Explore in ECOTOX")</f>
        <v>Explore in ECOTOX</v>
      </c>
    </row>
    <row r="2042" spans="1:18" x14ac:dyDescent="0.45">
      <c r="A2042" t="s">
        <v>1266</v>
      </c>
      <c r="B2042">
        <v>8</v>
      </c>
      <c r="C2042" t="str">
        <f>HYPERLINK("http://www.ncbi.nlm.nih.gov/protein/NWT87627.1","NWT87627.1")</f>
        <v>NWT87627.1</v>
      </c>
      <c r="D2042">
        <v>13733</v>
      </c>
      <c r="E2042" t="str">
        <f>HYPERLINK("http://www.ncbi.nlm.nih.gov/Taxonomy/Browser/wwwtax.cgi?mode=Info&amp;id=28713&amp;lvl=3&amp;lin=f&amp;keep=1&amp;srchmode=1&amp;unlock","28713")</f>
        <v>28713</v>
      </c>
      <c r="F2042" t="s">
        <v>241</v>
      </c>
      <c r="G2042" t="str">
        <f>HYPERLINK("http://www.ncbi.nlm.nih.gov/Taxonomy/Browser/wwwtax.cgi?mode=Info&amp;id=28713&amp;lvl=3&amp;lin=f&amp;keep=1&amp;srchmode=1&amp;unlock","Lanius ludovicianus")</f>
        <v>Lanius ludovicianus</v>
      </c>
      <c r="H2042" t="s">
        <v>624</v>
      </c>
      <c r="I2042" t="str">
        <f>HYPERLINK("http://www.ncbi.nlm.nih.gov/protein/NWT87627.1","RYR2 protein")</f>
        <v>RYR2 protein</v>
      </c>
      <c r="J2042">
        <v>8437.4</v>
      </c>
      <c r="K2042" t="s">
        <v>19</v>
      </c>
      <c r="L2042">
        <v>1210</v>
      </c>
      <c r="M2042">
        <v>7.13</v>
      </c>
      <c r="N2042">
        <v>82.21</v>
      </c>
      <c r="O2042" t="s">
        <v>19</v>
      </c>
      <c r="P2042" t="s">
        <v>1267</v>
      </c>
      <c r="Q2042" t="s">
        <v>19</v>
      </c>
      <c r="R2042" t="str">
        <f>HYPERLINK("https://cfpub.epa.gov/ecotox/explore.cfm?ncbi=28713","Explore in ECOTOX")</f>
        <v>Explore in ECOTOX</v>
      </c>
    </row>
    <row r="2043" spans="1:18" x14ac:dyDescent="0.45">
      <c r="A2043" t="s">
        <v>1266</v>
      </c>
      <c r="B2043">
        <v>8</v>
      </c>
      <c r="C2043" t="str">
        <f>HYPERLINK("http://www.ncbi.nlm.nih.gov/protein/NXB35105.1","NXB35105.1")</f>
        <v>NXB35105.1</v>
      </c>
      <c r="D2043">
        <v>14343</v>
      </c>
      <c r="E2043" t="str">
        <f>HYPERLINK("http://www.ncbi.nlm.nih.gov/Taxonomy/Browser/wwwtax.cgi?mode=Info&amp;id=461239&amp;lvl=3&amp;lin=f&amp;keep=1&amp;srchmode=1&amp;unlock","461239")</f>
        <v>461239</v>
      </c>
      <c r="F2043" t="s">
        <v>241</v>
      </c>
      <c r="G2043" t="str">
        <f>HYPERLINK("http://www.ncbi.nlm.nih.gov/Taxonomy/Browser/wwwtax.cgi?mode=Info&amp;id=461239&amp;lvl=3&amp;lin=f&amp;keep=1&amp;srchmode=1&amp;unlock","Eulacestoma nigropectus")</f>
        <v>Eulacestoma nigropectus</v>
      </c>
      <c r="H2043" t="s">
        <v>626</v>
      </c>
      <c r="I2043" t="str">
        <f>HYPERLINK("http://www.ncbi.nlm.nih.gov/protein/NXB35105.1","RYR2 protein")</f>
        <v>RYR2 protein</v>
      </c>
      <c r="J2043">
        <v>8437.01</v>
      </c>
      <c r="K2043" t="s">
        <v>19</v>
      </c>
      <c r="L2043">
        <v>1210</v>
      </c>
      <c r="M2043">
        <v>7.13</v>
      </c>
      <c r="N2043">
        <v>82.21</v>
      </c>
      <c r="O2043" t="s">
        <v>19</v>
      </c>
      <c r="P2043" t="s">
        <v>1267</v>
      </c>
      <c r="Q2043" t="s">
        <v>19</v>
      </c>
      <c r="R2043" t="str">
        <f>HYPERLINK("https://cfpub.epa.gov/ecotox/explore.cfm?ncbi=461239","Explore in ECOTOX")</f>
        <v>Explore in ECOTOX</v>
      </c>
    </row>
    <row r="2044" spans="1:18" x14ac:dyDescent="0.45">
      <c r="A2044" t="s">
        <v>1266</v>
      </c>
      <c r="B2044">
        <v>8</v>
      </c>
      <c r="C2044" t="str">
        <f>HYPERLINK("http://www.ncbi.nlm.nih.gov/protein/NXE21072.1","NXE21072.1")</f>
        <v>NXE21072.1</v>
      </c>
      <c r="D2044">
        <v>13746</v>
      </c>
      <c r="E2044" t="str">
        <f>HYPERLINK("http://www.ncbi.nlm.nih.gov/Taxonomy/Browser/wwwtax.cgi?mode=Info&amp;id=89386&amp;lvl=3&amp;lin=f&amp;keep=1&amp;srchmode=1&amp;unlock","89386")</f>
        <v>89386</v>
      </c>
      <c r="F2044" t="s">
        <v>241</v>
      </c>
      <c r="G2044" t="str">
        <f>HYPERLINK("http://www.ncbi.nlm.nih.gov/Taxonomy/Browser/wwwtax.cgi?mode=Info&amp;id=89386&amp;lvl=3&amp;lin=f&amp;keep=1&amp;srchmode=1&amp;unlock","Ardeotis kori")</f>
        <v>Ardeotis kori</v>
      </c>
      <c r="H2044" t="s">
        <v>638</v>
      </c>
      <c r="I2044" t="str">
        <f>HYPERLINK("http://www.ncbi.nlm.nih.gov/protein/NXE21072.1","RYR2 protein")</f>
        <v>RYR2 protein</v>
      </c>
      <c r="J2044">
        <v>8436.24</v>
      </c>
      <c r="K2044" t="s">
        <v>19</v>
      </c>
      <c r="L2044">
        <v>1210</v>
      </c>
      <c r="M2044">
        <v>7.13</v>
      </c>
      <c r="N2044">
        <v>82.2</v>
      </c>
      <c r="O2044" t="s">
        <v>19</v>
      </c>
      <c r="P2044" t="s">
        <v>1267</v>
      </c>
      <c r="Q2044" t="s">
        <v>19</v>
      </c>
      <c r="R2044" t="str">
        <f>HYPERLINK("https://cfpub.epa.gov/ecotox/explore.cfm?ncbi=89386","Explore in ECOTOX")</f>
        <v>Explore in ECOTOX</v>
      </c>
    </row>
    <row r="2045" spans="1:18" x14ac:dyDescent="0.45">
      <c r="A2045" t="s">
        <v>1266</v>
      </c>
      <c r="B2045">
        <v>8</v>
      </c>
      <c r="C2045" t="str">
        <f>HYPERLINK("http://www.ncbi.nlm.nih.gov/protein/NXK31771.1","NXK31771.1")</f>
        <v>NXK31771.1</v>
      </c>
      <c r="D2045">
        <v>14174</v>
      </c>
      <c r="E2045" t="str">
        <f>HYPERLINK("http://www.ncbi.nlm.nih.gov/Taxonomy/Browser/wwwtax.cgi?mode=Info&amp;id=114369&amp;lvl=3&amp;lin=f&amp;keep=1&amp;srchmode=1&amp;unlock","114369")</f>
        <v>114369</v>
      </c>
      <c r="F2045" t="s">
        <v>241</v>
      </c>
      <c r="G2045" t="str">
        <f>HYPERLINK("http://www.ncbi.nlm.nih.gov/Taxonomy/Browser/wwwtax.cgi?mode=Info&amp;id=114369&amp;lvl=3&amp;lin=f&amp;keep=1&amp;srchmode=1&amp;unlock","Piprites chloris")</f>
        <v>Piprites chloris</v>
      </c>
      <c r="H2045" t="s">
        <v>423</v>
      </c>
      <c r="I2045" t="str">
        <f>HYPERLINK("http://www.ncbi.nlm.nih.gov/protein/NXK31771.1","RYR2 protein")</f>
        <v>RYR2 protein</v>
      </c>
      <c r="J2045">
        <v>8432.77</v>
      </c>
      <c r="K2045" t="s">
        <v>19</v>
      </c>
      <c r="L2045">
        <v>1210</v>
      </c>
      <c r="M2045">
        <v>7.13</v>
      </c>
      <c r="N2045">
        <v>82.17</v>
      </c>
      <c r="O2045" t="s">
        <v>19</v>
      </c>
      <c r="P2045" t="s">
        <v>1267</v>
      </c>
      <c r="Q2045" t="s">
        <v>19</v>
      </c>
      <c r="R2045" t="str">
        <f>HYPERLINK("https://cfpub.epa.gov/ecotox/explore.cfm?ncbi=114369","Explore in ECOTOX")</f>
        <v>Explore in ECOTOX</v>
      </c>
    </row>
    <row r="2046" spans="1:18" x14ac:dyDescent="0.45">
      <c r="A2046" t="s">
        <v>1266</v>
      </c>
      <c r="B2046">
        <v>8</v>
      </c>
      <c r="C2046" t="str">
        <f>HYPERLINK("http://www.ncbi.nlm.nih.gov/protein/NXH25316.1","NXH25316.1")</f>
        <v>NXH25316.1</v>
      </c>
      <c r="D2046">
        <v>13940</v>
      </c>
      <c r="E2046" t="str">
        <f>HYPERLINK("http://www.ncbi.nlm.nih.gov/Taxonomy/Browser/wwwtax.cgi?mode=Info&amp;id=381031&amp;lvl=3&amp;lin=f&amp;keep=1&amp;srchmode=1&amp;unlock","381031")</f>
        <v>381031</v>
      </c>
      <c r="F2046" t="s">
        <v>241</v>
      </c>
      <c r="G2046" t="str">
        <f>HYPERLINK("http://www.ncbi.nlm.nih.gov/Taxonomy/Browser/wwwtax.cgi?mode=Info&amp;id=381031&amp;lvl=3&amp;lin=f&amp;keep=1&amp;srchmode=1&amp;unlock","Myiagra hebetior")</f>
        <v>Myiagra hebetior</v>
      </c>
      <c r="H2046" t="s">
        <v>435</v>
      </c>
      <c r="I2046" t="str">
        <f>HYPERLINK("http://www.ncbi.nlm.nih.gov/protein/NXH25316.1","RYR2 protein")</f>
        <v>RYR2 protein</v>
      </c>
      <c r="J2046">
        <v>8432</v>
      </c>
      <c r="K2046" t="s">
        <v>19</v>
      </c>
      <c r="L2046">
        <v>1210</v>
      </c>
      <c r="M2046">
        <v>7.13</v>
      </c>
      <c r="N2046">
        <v>82.16</v>
      </c>
      <c r="O2046" t="s">
        <v>19</v>
      </c>
      <c r="P2046" t="s">
        <v>1267</v>
      </c>
      <c r="Q2046" t="s">
        <v>19</v>
      </c>
      <c r="R2046" t="str">
        <f>HYPERLINK("https://cfpub.epa.gov/ecotox/explore.cfm?ncbi=381031","Explore in ECOTOX")</f>
        <v>Explore in ECOTOX</v>
      </c>
    </row>
    <row r="2047" spans="1:18" x14ac:dyDescent="0.45">
      <c r="A2047" t="s">
        <v>1266</v>
      </c>
      <c r="B2047">
        <v>8</v>
      </c>
      <c r="C2047" t="str">
        <f>HYPERLINK("http://www.ncbi.nlm.nih.gov/protein/NXK07670.1","NXK07670.1")</f>
        <v>NXK07670.1</v>
      </c>
      <c r="D2047">
        <v>14398</v>
      </c>
      <c r="E2047" t="str">
        <f>HYPERLINK("http://www.ncbi.nlm.nih.gov/Taxonomy/Browser/wwwtax.cgi?mode=Info&amp;id=56343&amp;lvl=3&amp;lin=f&amp;keep=1&amp;srchmode=1&amp;unlock","56343")</f>
        <v>56343</v>
      </c>
      <c r="F2047" t="s">
        <v>241</v>
      </c>
      <c r="G2047" t="str">
        <f>HYPERLINK("http://www.ncbi.nlm.nih.gov/Taxonomy/Browser/wwwtax.cgi?mode=Info&amp;id=56343&amp;lvl=3&amp;lin=f&amp;keep=1&amp;srchmode=1&amp;unlock","Herpetotheres cachinnans")</f>
        <v>Herpetotheres cachinnans</v>
      </c>
      <c r="H2047" t="s">
        <v>457</v>
      </c>
      <c r="I2047" t="str">
        <f>HYPERLINK("http://www.ncbi.nlm.nih.gov/protein/NXK07670.1","RYR2 protein")</f>
        <v>RYR2 protein</v>
      </c>
      <c r="J2047">
        <v>8431.23</v>
      </c>
      <c r="K2047" t="s">
        <v>19</v>
      </c>
      <c r="L2047">
        <v>1210</v>
      </c>
      <c r="M2047">
        <v>7.13</v>
      </c>
      <c r="N2047">
        <v>82.15</v>
      </c>
      <c r="O2047" t="s">
        <v>19</v>
      </c>
      <c r="P2047" t="s">
        <v>1267</v>
      </c>
      <c r="Q2047" t="s">
        <v>19</v>
      </c>
      <c r="R2047" t="str">
        <f>HYPERLINK("https://cfpub.epa.gov/ecotox/explore.cfm?ncbi=56343","Explore in ECOTOX")</f>
        <v>Explore in ECOTOX</v>
      </c>
    </row>
    <row r="2048" spans="1:18" x14ac:dyDescent="0.45">
      <c r="A2048" t="s">
        <v>1266</v>
      </c>
      <c r="B2048">
        <v>8</v>
      </c>
      <c r="C2048" t="str">
        <f>HYPERLINK("http://www.ncbi.nlm.nih.gov/protein/NXA38190.1","NXA38190.1")</f>
        <v>NXA38190.1</v>
      </c>
      <c r="D2048">
        <v>13777</v>
      </c>
      <c r="E2048" t="str">
        <f>HYPERLINK("http://www.ncbi.nlm.nih.gov/Taxonomy/Browser/wwwtax.cgi?mode=Info&amp;id=8805&amp;lvl=3&amp;lin=f&amp;keep=1&amp;srchmode=1&amp;unlock","8805")</f>
        <v>8805</v>
      </c>
      <c r="F2048" t="s">
        <v>241</v>
      </c>
      <c r="G2048" t="str">
        <f>HYPERLINK("http://www.ncbi.nlm.nih.gov/Taxonomy/Browser/wwwtax.cgi?mode=Info&amp;id=8805&amp;lvl=3&amp;lin=f&amp;keep=1&amp;srchmode=1&amp;unlock","Eudromia elegans")</f>
        <v>Eudromia elegans</v>
      </c>
      <c r="H2048" t="s">
        <v>462</v>
      </c>
      <c r="I2048" t="str">
        <f>HYPERLINK("http://www.ncbi.nlm.nih.gov/protein/NXA38190.1","RYR2 protein")</f>
        <v>RYR2 protein</v>
      </c>
      <c r="J2048">
        <v>8430.85</v>
      </c>
      <c r="K2048" t="s">
        <v>19</v>
      </c>
      <c r="L2048">
        <v>1210</v>
      </c>
      <c r="M2048">
        <v>7.13</v>
      </c>
      <c r="N2048">
        <v>82.15</v>
      </c>
      <c r="O2048" t="s">
        <v>19</v>
      </c>
      <c r="P2048" t="s">
        <v>1267</v>
      </c>
      <c r="Q2048" t="s">
        <v>19</v>
      </c>
      <c r="R2048" t="str">
        <f>HYPERLINK("https://cfpub.epa.gov/ecotox/explore.cfm?ncbi=8805","Explore in ECOTOX")</f>
        <v>Explore in ECOTOX</v>
      </c>
    </row>
    <row r="2049" spans="1:18" x14ac:dyDescent="0.45">
      <c r="A2049" t="s">
        <v>1266</v>
      </c>
      <c r="B2049">
        <v>8</v>
      </c>
      <c r="C2049" t="str">
        <f>HYPERLINK("http://www.ncbi.nlm.nih.gov/protein/NXE89586.1","NXE89586.1")</f>
        <v>NXE89586.1</v>
      </c>
      <c r="D2049">
        <v>14588</v>
      </c>
      <c r="E2049" t="str">
        <f>HYPERLINK("http://www.ncbi.nlm.nih.gov/Taxonomy/Browser/wwwtax.cgi?mode=Info&amp;id=47692&amp;lvl=3&amp;lin=f&amp;keep=1&amp;srchmode=1&amp;unlock","47692")</f>
        <v>47692</v>
      </c>
      <c r="F2049" t="s">
        <v>241</v>
      </c>
      <c r="G2049" t="str">
        <f>HYPERLINK("http://www.ncbi.nlm.nih.gov/Taxonomy/Browser/wwwtax.cgi?mode=Info&amp;id=47692&amp;lvl=3&amp;lin=f&amp;keep=1&amp;srchmode=1&amp;unlock","Menura novaehollandiae")</f>
        <v>Menura novaehollandiae</v>
      </c>
      <c r="H2049" t="s">
        <v>628</v>
      </c>
      <c r="I2049" t="str">
        <f>HYPERLINK("http://www.ncbi.nlm.nih.gov/protein/NXE89586.1","RYR2 protein")</f>
        <v>RYR2 protein</v>
      </c>
      <c r="J2049">
        <v>8430.4599999999991</v>
      </c>
      <c r="K2049" t="s">
        <v>19</v>
      </c>
      <c r="L2049">
        <v>1210</v>
      </c>
      <c r="M2049">
        <v>7.13</v>
      </c>
      <c r="N2049">
        <v>82.15</v>
      </c>
      <c r="O2049" t="s">
        <v>19</v>
      </c>
      <c r="P2049" t="s">
        <v>1267</v>
      </c>
      <c r="Q2049" t="s">
        <v>19</v>
      </c>
      <c r="R2049" t="str">
        <f>HYPERLINK("https://cfpub.epa.gov/ecotox/explore.cfm?ncbi=47692","Explore in ECOTOX")</f>
        <v>Explore in ECOTOX</v>
      </c>
    </row>
    <row r="2050" spans="1:18" x14ac:dyDescent="0.45">
      <c r="A2050" t="s">
        <v>1266</v>
      </c>
      <c r="B2050">
        <v>8</v>
      </c>
      <c r="C2050" t="str">
        <f>HYPERLINK("http://www.ncbi.nlm.nih.gov/protein/EFB13393.1","EFB13393.1")</f>
        <v>EFB13393.1</v>
      </c>
      <c r="D2050">
        <v>71767</v>
      </c>
      <c r="E2050" t="str">
        <f>HYPERLINK("http://www.ncbi.nlm.nih.gov/Taxonomy/Browser/wwwtax.cgi?mode=Info&amp;id=9646&amp;lvl=3&amp;lin=f&amp;keep=1&amp;srchmode=1&amp;unlock","9646")</f>
        <v>9646</v>
      </c>
      <c r="F2050" t="s">
        <v>96</v>
      </c>
      <c r="G2050" t="str">
        <f>HYPERLINK("http://www.ncbi.nlm.nih.gov/Taxonomy/Browser/wwwtax.cgi?mode=Info&amp;id=9646&amp;lvl=3&amp;lin=f&amp;keep=1&amp;srchmode=1&amp;unlock","Ailuropoda melanoleuca")</f>
        <v>Ailuropoda melanoleuca</v>
      </c>
      <c r="H2050" t="s">
        <v>476</v>
      </c>
      <c r="I2050" t="str">
        <f>HYPERLINK("http://www.ncbi.nlm.nih.gov/protein/EFB13393.1","hypothetical protein PANDA_012888, partial")</f>
        <v>hypothetical protein PANDA_012888, partial</v>
      </c>
      <c r="J2050">
        <v>8429.69</v>
      </c>
      <c r="K2050" t="s">
        <v>19</v>
      </c>
      <c r="L2050">
        <v>1210</v>
      </c>
      <c r="M2050">
        <v>7.13</v>
      </c>
      <c r="N2050">
        <v>82.14</v>
      </c>
      <c r="O2050" t="s">
        <v>19</v>
      </c>
      <c r="P2050" t="s">
        <v>1267</v>
      </c>
      <c r="Q2050" t="s">
        <v>19</v>
      </c>
      <c r="R2050" t="str">
        <f>HYPERLINK("https://cfpub.epa.gov/ecotox/explore.cfm?ncbi=9646","Explore in ECOTOX")</f>
        <v>Explore in ECOTOX</v>
      </c>
    </row>
    <row r="2051" spans="1:18" x14ac:dyDescent="0.45">
      <c r="A2051" t="s">
        <v>1266</v>
      </c>
      <c r="B2051">
        <v>8</v>
      </c>
      <c r="C2051" t="str">
        <f>HYPERLINK("http://www.ncbi.nlm.nih.gov/protein/NXO15799.1","NXO15799.1")</f>
        <v>NXO15799.1</v>
      </c>
      <c r="D2051">
        <v>13996</v>
      </c>
      <c r="E2051" t="str">
        <f>HYPERLINK("http://www.ncbi.nlm.nih.gov/Taxonomy/Browser/wwwtax.cgi?mode=Info&amp;id=181099&amp;lvl=3&amp;lin=f&amp;keep=1&amp;srchmode=1&amp;unlock","181099")</f>
        <v>181099</v>
      </c>
      <c r="F2051" t="s">
        <v>241</v>
      </c>
      <c r="G2051" t="str">
        <f>HYPERLINK("http://www.ncbi.nlm.nih.gov/Taxonomy/Browser/wwwtax.cgi?mode=Info&amp;id=181099&amp;lvl=3&amp;lin=f&amp;keep=1&amp;srchmode=1&amp;unlock","Oriolus oriolus")</f>
        <v>Oriolus oriolus</v>
      </c>
      <c r="H2051" t="s">
        <v>440</v>
      </c>
      <c r="I2051" t="str">
        <f>HYPERLINK("http://www.ncbi.nlm.nih.gov/protein/NXO15799.1","RYR2 protein")</f>
        <v>RYR2 protein</v>
      </c>
      <c r="J2051">
        <v>8429.69</v>
      </c>
      <c r="K2051" t="s">
        <v>19</v>
      </c>
      <c r="L2051">
        <v>1210</v>
      </c>
      <c r="M2051">
        <v>7.13</v>
      </c>
      <c r="N2051">
        <v>82.14</v>
      </c>
      <c r="O2051" t="s">
        <v>19</v>
      </c>
      <c r="P2051" t="s">
        <v>1267</v>
      </c>
      <c r="Q2051" t="s">
        <v>19</v>
      </c>
      <c r="R2051" t="str">
        <f>HYPERLINK("https://cfpub.epa.gov/ecotox/explore.cfm?ncbi=181099","Explore in ECOTOX")</f>
        <v>Explore in ECOTOX</v>
      </c>
    </row>
    <row r="2052" spans="1:18" x14ac:dyDescent="0.45">
      <c r="A2052" t="s">
        <v>1266</v>
      </c>
      <c r="B2052">
        <v>8</v>
      </c>
      <c r="C2052" t="str">
        <f>HYPERLINK("http://www.ncbi.nlm.nih.gov/protein/XP_054569136.1","XP_054569136.1")</f>
        <v>XP_054569136.1</v>
      </c>
      <c r="D2052">
        <v>39080</v>
      </c>
      <c r="E2052" t="str">
        <f>HYPERLINK("http://www.ncbi.nlm.nih.gov/Taxonomy/Browser/wwwtax.cgi?mode=Info&amp;id=29078&amp;lvl=3&amp;lin=f&amp;keep=1&amp;srchmode=1&amp;unlock","29078")</f>
        <v>29078</v>
      </c>
      <c r="F2052" t="s">
        <v>96</v>
      </c>
      <c r="G2052" t="str">
        <f>HYPERLINK("http://www.ncbi.nlm.nih.gov/Taxonomy/Browser/wwwtax.cgi?mode=Info&amp;id=29078&amp;lvl=3&amp;lin=f&amp;keep=1&amp;srchmode=1&amp;unlock","Eptesicus fuscus")</f>
        <v>Eptesicus fuscus</v>
      </c>
      <c r="H2052" t="s">
        <v>617</v>
      </c>
      <c r="I2052" t="str">
        <f>HYPERLINK("http://www.ncbi.nlm.nih.gov/protein/XP_054569136.1","ryanodine receptor 2")</f>
        <v>ryanodine receptor 2</v>
      </c>
      <c r="J2052">
        <v>8429.31</v>
      </c>
      <c r="K2052" t="s">
        <v>19</v>
      </c>
      <c r="L2052">
        <v>1210</v>
      </c>
      <c r="M2052">
        <v>7.13</v>
      </c>
      <c r="N2052">
        <v>82.13</v>
      </c>
      <c r="O2052" t="s">
        <v>19</v>
      </c>
      <c r="P2052" t="s">
        <v>1267</v>
      </c>
      <c r="Q2052" t="s">
        <v>19</v>
      </c>
      <c r="R2052" t="str">
        <f>HYPERLINK("https://cfpub.epa.gov/ecotox/explore.cfm?ncbi=29078","Explore in ECOTOX")</f>
        <v>Explore in ECOTOX</v>
      </c>
    </row>
    <row r="2053" spans="1:18" x14ac:dyDescent="0.45">
      <c r="A2053" t="s">
        <v>1266</v>
      </c>
      <c r="B2053">
        <v>8</v>
      </c>
      <c r="C2053" t="str">
        <f>HYPERLINK("http://www.ncbi.nlm.nih.gov/protein/NWS58542.1","NWS58542.1")</f>
        <v>NWS58542.1</v>
      </c>
      <c r="D2053">
        <v>14433</v>
      </c>
      <c r="E2053" t="str">
        <f>HYPERLINK("http://www.ncbi.nlm.nih.gov/Taxonomy/Browser/wwwtax.cgi?mode=Info&amp;id=1352770&amp;lvl=3&amp;lin=f&amp;keep=1&amp;srchmode=1&amp;unlock","1352770")</f>
        <v>1352770</v>
      </c>
      <c r="F2053" t="s">
        <v>241</v>
      </c>
      <c r="G2053" t="str">
        <f>HYPERLINK("http://www.ncbi.nlm.nih.gov/Taxonomy/Browser/wwwtax.cgi?mode=Info&amp;id=1352770&amp;lvl=3&amp;lin=f&amp;keep=1&amp;srchmode=1&amp;unlock","Chunga burmeisteri")</f>
        <v>Chunga burmeisteri</v>
      </c>
      <c r="H2053" t="s">
        <v>451</v>
      </c>
      <c r="I2053" t="str">
        <f>HYPERLINK("http://www.ncbi.nlm.nih.gov/protein/NWS58542.1","RYR2 protein")</f>
        <v>RYR2 protein</v>
      </c>
      <c r="J2053">
        <v>8428.92</v>
      </c>
      <c r="K2053" t="s">
        <v>19</v>
      </c>
      <c r="L2053">
        <v>1210</v>
      </c>
      <c r="M2053">
        <v>7.13</v>
      </c>
      <c r="N2053">
        <v>82.13</v>
      </c>
      <c r="O2053" t="s">
        <v>19</v>
      </c>
      <c r="P2053" t="s">
        <v>1267</v>
      </c>
      <c r="Q2053" t="s">
        <v>19</v>
      </c>
      <c r="R2053" t="str">
        <f>HYPERLINK("https://cfpub.epa.gov/ecotox/explore.cfm?ncbi=1352770","Explore in ECOTOX")</f>
        <v>Explore in ECOTOX</v>
      </c>
    </row>
    <row r="2054" spans="1:18" x14ac:dyDescent="0.45">
      <c r="A2054" t="s">
        <v>1266</v>
      </c>
      <c r="B2054">
        <v>8</v>
      </c>
      <c r="C2054" t="str">
        <f>HYPERLINK("http://www.ncbi.nlm.nih.gov/protein/NXN19720.1","NXN19720.1")</f>
        <v>NXN19720.1</v>
      </c>
      <c r="D2054">
        <v>14028</v>
      </c>
      <c r="E2054" t="str">
        <f>HYPERLINK("http://www.ncbi.nlm.nih.gov/Taxonomy/Browser/wwwtax.cgi?mode=Info&amp;id=545262&amp;lvl=3&amp;lin=f&amp;keep=1&amp;srchmode=1&amp;unlock","545262")</f>
        <v>545262</v>
      </c>
      <c r="F2054" t="s">
        <v>241</v>
      </c>
      <c r="G2054" t="str">
        <f>HYPERLINK("http://www.ncbi.nlm.nih.gov/Taxonomy/Browser/wwwtax.cgi?mode=Info&amp;id=545262&amp;lvl=3&amp;lin=f&amp;keep=1&amp;srchmode=1&amp;unlock","Indicator maculatus")</f>
        <v>Indicator maculatus</v>
      </c>
      <c r="H2054" t="s">
        <v>414</v>
      </c>
      <c r="I2054" t="str">
        <f>HYPERLINK("http://www.ncbi.nlm.nih.gov/protein/NXN19720.1","RYR2 protein")</f>
        <v>RYR2 protein</v>
      </c>
      <c r="J2054">
        <v>8428.15</v>
      </c>
      <c r="K2054" t="s">
        <v>19</v>
      </c>
      <c r="L2054">
        <v>1210</v>
      </c>
      <c r="M2054">
        <v>7.13</v>
      </c>
      <c r="N2054">
        <v>82.12</v>
      </c>
      <c r="O2054" t="s">
        <v>19</v>
      </c>
      <c r="P2054" t="s">
        <v>1267</v>
      </c>
      <c r="Q2054" t="s">
        <v>19</v>
      </c>
      <c r="R2054" t="str">
        <f>HYPERLINK("https://cfpub.epa.gov/ecotox/explore.cfm?ncbi=545262","Explore in ECOTOX")</f>
        <v>Explore in ECOTOX</v>
      </c>
    </row>
    <row r="2055" spans="1:18" x14ac:dyDescent="0.45">
      <c r="A2055" t="s">
        <v>1266</v>
      </c>
      <c r="B2055">
        <v>8</v>
      </c>
      <c r="C2055" t="str">
        <f>HYPERLINK("http://www.ncbi.nlm.nih.gov/protein/NXV14781.1","NXV14781.1")</f>
        <v>NXV14781.1</v>
      </c>
      <c r="D2055">
        <v>14788</v>
      </c>
      <c r="E2055" t="str">
        <f>HYPERLINK("http://www.ncbi.nlm.nih.gov/Taxonomy/Browser/wwwtax.cgi?mode=Info&amp;id=28697&amp;lvl=3&amp;lin=f&amp;keep=1&amp;srchmode=1&amp;unlock","28697")</f>
        <v>28697</v>
      </c>
      <c r="F2055" t="s">
        <v>241</v>
      </c>
      <c r="G2055" t="str">
        <f>HYPERLINK("http://www.ncbi.nlm.nih.gov/Taxonomy/Browser/wwwtax.cgi?mode=Info&amp;id=28697&amp;lvl=3&amp;lin=f&amp;keep=1&amp;srchmode=1&amp;unlock","Cepphus grylle")</f>
        <v>Cepphus grylle</v>
      </c>
      <c r="H2055" t="s">
        <v>434</v>
      </c>
      <c r="I2055" t="str">
        <f>HYPERLINK("http://www.ncbi.nlm.nih.gov/protein/NXV14781.1","RYR2 protein")</f>
        <v>RYR2 protein</v>
      </c>
      <c r="J2055">
        <v>8427.77</v>
      </c>
      <c r="K2055" t="s">
        <v>19</v>
      </c>
      <c r="L2055">
        <v>1210</v>
      </c>
      <c r="M2055">
        <v>7.13</v>
      </c>
      <c r="N2055">
        <v>82.12</v>
      </c>
      <c r="O2055" t="s">
        <v>19</v>
      </c>
      <c r="P2055" t="s">
        <v>1267</v>
      </c>
      <c r="Q2055" t="s">
        <v>19</v>
      </c>
      <c r="R2055" t="str">
        <f>HYPERLINK("https://cfpub.epa.gov/ecotox/explore.cfm?ncbi=28697","Explore in ECOTOX")</f>
        <v>Explore in ECOTOX</v>
      </c>
    </row>
    <row r="2056" spans="1:18" x14ac:dyDescent="0.45">
      <c r="A2056" t="s">
        <v>1266</v>
      </c>
      <c r="B2056">
        <v>8</v>
      </c>
      <c r="C2056" t="str">
        <f>HYPERLINK("http://www.ncbi.nlm.nih.gov/protein/XP_060497089.1","XP_060497089.1")</f>
        <v>XP_060497089.1</v>
      </c>
      <c r="D2056">
        <v>55633</v>
      </c>
      <c r="E2056" t="str">
        <f>HYPERLINK("http://www.ncbi.nlm.nih.gov/Taxonomy/Browser/wwwtax.cgi?mode=Info&amp;id=9690&amp;lvl=3&amp;lin=f&amp;keep=1&amp;srchmode=1&amp;unlock","9690")</f>
        <v>9690</v>
      </c>
      <c r="F2056" t="s">
        <v>96</v>
      </c>
      <c r="G2056" t="str">
        <f>HYPERLINK("http://www.ncbi.nlm.nih.gov/Taxonomy/Browser/wwwtax.cgi?mode=Info&amp;id=9690&amp;lvl=3&amp;lin=f&amp;keep=1&amp;srchmode=1&amp;unlock","Panthera onca")</f>
        <v>Panthera onca</v>
      </c>
      <c r="H2056" t="s">
        <v>461</v>
      </c>
      <c r="I2056" t="str">
        <f>HYPERLINK("http://www.ncbi.nlm.nih.gov/protein/XP_060497089.1","ryanodine receptor 2")</f>
        <v>ryanodine receptor 2</v>
      </c>
      <c r="J2056">
        <v>8427</v>
      </c>
      <c r="K2056" t="s">
        <v>19</v>
      </c>
      <c r="L2056">
        <v>1210</v>
      </c>
      <c r="M2056">
        <v>7.13</v>
      </c>
      <c r="N2056">
        <v>82.11</v>
      </c>
      <c r="O2056" t="s">
        <v>19</v>
      </c>
      <c r="P2056" t="s">
        <v>1267</v>
      </c>
      <c r="Q2056" t="s">
        <v>19</v>
      </c>
      <c r="R2056" t="str">
        <f>HYPERLINK("https://cfpub.epa.gov/ecotox/explore.cfm?ncbi=9690","Explore in ECOTOX")</f>
        <v>Explore in ECOTOX</v>
      </c>
    </row>
    <row r="2057" spans="1:18" x14ac:dyDescent="0.45">
      <c r="A2057" t="s">
        <v>1266</v>
      </c>
      <c r="B2057">
        <v>8</v>
      </c>
      <c r="C2057" t="str">
        <f>HYPERLINK("http://www.ncbi.nlm.nih.gov/protein/KAF1405008.1","KAF1405008.1")</f>
        <v>KAF1405008.1</v>
      </c>
      <c r="D2057">
        <v>14633</v>
      </c>
      <c r="E2057" t="str">
        <f>HYPERLINK("http://www.ncbi.nlm.nih.gov/Taxonomy/Browser/wwwtax.cgi?mode=Info&amp;id=156760&amp;lvl=3&amp;lin=f&amp;keep=1&amp;srchmode=1&amp;unlock","156760")</f>
        <v>156760</v>
      </c>
      <c r="F2057" t="s">
        <v>241</v>
      </c>
      <c r="G2057" t="str">
        <f>HYPERLINK("http://www.ncbi.nlm.nih.gov/Taxonomy/Browser/wwwtax.cgi?mode=Info&amp;id=156760&amp;lvl=3&amp;lin=f&amp;keep=1&amp;srchmode=1&amp;unlock","Spheniscus mendiculus")</f>
        <v>Spheniscus mendiculus</v>
      </c>
      <c r="H2057" t="s">
        <v>644</v>
      </c>
      <c r="I2057" t="str">
        <f>HYPERLINK("http://www.ncbi.nlm.nih.gov/protein/KAF1405008.1","Ryanodine receptor 2, partial")</f>
        <v>Ryanodine receptor 2, partial</v>
      </c>
      <c r="J2057">
        <v>8426.61</v>
      </c>
      <c r="K2057" t="s">
        <v>19</v>
      </c>
      <c r="L2057">
        <v>1210</v>
      </c>
      <c r="M2057">
        <v>7.13</v>
      </c>
      <c r="N2057">
        <v>82.11</v>
      </c>
      <c r="O2057" t="s">
        <v>19</v>
      </c>
      <c r="P2057" t="s">
        <v>1267</v>
      </c>
      <c r="Q2057" t="s">
        <v>19</v>
      </c>
      <c r="R2057" t="str">
        <f>HYPERLINK("https://cfpub.epa.gov/ecotox/explore.cfm?ncbi=156760","Explore in ECOTOX")</f>
        <v>Explore in ECOTOX</v>
      </c>
    </row>
    <row r="2058" spans="1:18" x14ac:dyDescent="0.45">
      <c r="A2058" t="s">
        <v>1266</v>
      </c>
      <c r="B2058">
        <v>8</v>
      </c>
      <c r="C2058" t="str">
        <f>HYPERLINK("http://www.ncbi.nlm.nih.gov/protein/NWU29828.1","NWU29828.1")</f>
        <v>NWU29828.1</v>
      </c>
      <c r="D2058">
        <v>14053</v>
      </c>
      <c r="E2058" t="str">
        <f>HYPERLINK("http://www.ncbi.nlm.nih.gov/Taxonomy/Browser/wwwtax.cgi?mode=Info&amp;id=1160851&amp;lvl=3&amp;lin=f&amp;keep=1&amp;srchmode=1&amp;unlock","1160851")</f>
        <v>1160851</v>
      </c>
      <c r="F2058" t="s">
        <v>241</v>
      </c>
      <c r="G2058" t="str">
        <f>HYPERLINK("http://www.ncbi.nlm.nih.gov/Taxonomy/Browser/wwwtax.cgi?mode=Info&amp;id=1160851&amp;lvl=3&amp;lin=f&amp;keep=1&amp;srchmode=1&amp;unlock","Platysteira castanea")</f>
        <v>Platysteira castanea</v>
      </c>
      <c r="H2058" t="s">
        <v>435</v>
      </c>
      <c r="I2058" t="str">
        <f>HYPERLINK("http://www.ncbi.nlm.nih.gov/protein/NWU29828.1","RYR2 protein")</f>
        <v>RYR2 protein</v>
      </c>
      <c r="J2058">
        <v>8426.23</v>
      </c>
      <c r="K2058" t="s">
        <v>19</v>
      </c>
      <c r="L2058">
        <v>1210</v>
      </c>
      <c r="M2058">
        <v>7.13</v>
      </c>
      <c r="N2058">
        <v>82.1</v>
      </c>
      <c r="O2058" t="s">
        <v>19</v>
      </c>
      <c r="P2058" t="s">
        <v>1267</v>
      </c>
      <c r="Q2058" t="s">
        <v>19</v>
      </c>
      <c r="R2058" t="str">
        <f>HYPERLINK("https://cfpub.epa.gov/ecotox/explore.cfm?ncbi=1160851","Explore in ECOTOX")</f>
        <v>Explore in ECOTOX</v>
      </c>
    </row>
    <row r="2059" spans="1:18" x14ac:dyDescent="0.45">
      <c r="A2059" t="s">
        <v>1266</v>
      </c>
      <c r="B2059">
        <v>8</v>
      </c>
      <c r="C2059" t="str">
        <f>HYPERLINK("http://www.ncbi.nlm.nih.gov/protein/XP_036893238.1","XP_036893238.1")</f>
        <v>XP_036893238.1</v>
      </c>
      <c r="D2059">
        <v>42744</v>
      </c>
      <c r="E2059" t="str">
        <f>HYPERLINK("http://www.ncbi.nlm.nih.gov/Taxonomy/Browser/wwwtax.cgi?mode=Info&amp;id=192404&amp;lvl=3&amp;lin=f&amp;keep=1&amp;srchmode=1&amp;unlock","192404")</f>
        <v>192404</v>
      </c>
      <c r="F2059" t="s">
        <v>96</v>
      </c>
      <c r="G2059" t="str">
        <f>HYPERLINK("http://www.ncbi.nlm.nih.gov/Taxonomy/Browser/wwwtax.cgi?mode=Info&amp;id=192404&amp;lvl=3&amp;lin=f&amp;keep=1&amp;srchmode=1&amp;unlock","Sturnira hondurensis")</f>
        <v>Sturnira hondurensis</v>
      </c>
      <c r="H2059" t="s">
        <v>672</v>
      </c>
      <c r="I2059" t="str">
        <f>HYPERLINK("http://www.ncbi.nlm.nih.gov/protein/XP_036893238.1","ryanodine receptor 2")</f>
        <v>ryanodine receptor 2</v>
      </c>
      <c r="J2059">
        <v>8425.84</v>
      </c>
      <c r="K2059" t="s">
        <v>19</v>
      </c>
      <c r="L2059">
        <v>1210</v>
      </c>
      <c r="M2059">
        <v>7.13</v>
      </c>
      <c r="N2059">
        <v>82.1</v>
      </c>
      <c r="O2059" t="s">
        <v>19</v>
      </c>
      <c r="P2059" t="s">
        <v>1267</v>
      </c>
      <c r="Q2059" t="s">
        <v>19</v>
      </c>
      <c r="R2059" t="str">
        <f>HYPERLINK("https://cfpub.epa.gov/ecotox/explore.cfm?ncbi=192404","Explore in ECOTOX")</f>
        <v>Explore in ECOTOX</v>
      </c>
    </row>
    <row r="2060" spans="1:18" x14ac:dyDescent="0.45">
      <c r="A2060" t="s">
        <v>1266</v>
      </c>
      <c r="B2060">
        <v>8</v>
      </c>
      <c r="C2060" t="str">
        <f>HYPERLINK("http://www.ncbi.nlm.nih.gov/protein/KAF1467559.1","KAF1467559.1")</f>
        <v>KAF1467559.1</v>
      </c>
      <c r="D2060">
        <v>14562</v>
      </c>
      <c r="E2060" t="str">
        <f>HYPERLINK("http://www.ncbi.nlm.nih.gov/Taxonomy/Browser/wwwtax.cgi?mode=Info&amp;id=2517240&amp;lvl=3&amp;lin=f&amp;keep=1&amp;srchmode=1&amp;unlock","2517240")</f>
        <v>2517240</v>
      </c>
      <c r="F2060" t="s">
        <v>241</v>
      </c>
      <c r="G2060" t="str">
        <f>HYPERLINK("http://www.ncbi.nlm.nih.gov/Taxonomy/Browser/wwwtax.cgi?mode=Info&amp;id=2517240&amp;lvl=3&amp;lin=f&amp;keep=1&amp;srchmode=1&amp;unlock","Megadyptes antipodes antipodes")</f>
        <v>Megadyptes antipodes antipodes</v>
      </c>
      <c r="H2060" t="s">
        <v>648</v>
      </c>
      <c r="I2060" t="str">
        <f>HYPERLINK("http://www.ncbi.nlm.nih.gov/protein/KAF1467559.1","Ryanodine receptor 2, partial")</f>
        <v>Ryanodine receptor 2, partial</v>
      </c>
      <c r="J2060">
        <v>8425.07</v>
      </c>
      <c r="K2060" t="s">
        <v>19</v>
      </c>
      <c r="L2060">
        <v>1210</v>
      </c>
      <c r="M2060">
        <v>7.13</v>
      </c>
      <c r="N2060">
        <v>82.09</v>
      </c>
      <c r="O2060" t="s">
        <v>19</v>
      </c>
      <c r="P2060" t="s">
        <v>1267</v>
      </c>
      <c r="Q2060" t="s">
        <v>19</v>
      </c>
      <c r="R2060" t="str">
        <f>HYPERLINK("https://cfpub.epa.gov/ecotox/explore.cfm?ncbi=2517240","Explore in ECOTOX")</f>
        <v>Explore in ECOTOX</v>
      </c>
    </row>
    <row r="2061" spans="1:18" x14ac:dyDescent="0.45">
      <c r="A2061" t="s">
        <v>1266</v>
      </c>
      <c r="B2061">
        <v>8</v>
      </c>
      <c r="C2061" t="str">
        <f>HYPERLINK("http://www.ncbi.nlm.nih.gov/protein/KAF1541536.1","KAF1541536.1")</f>
        <v>KAF1541536.1</v>
      </c>
      <c r="D2061">
        <v>15500</v>
      </c>
      <c r="E2061" t="str">
        <f>HYPERLINK("http://www.ncbi.nlm.nih.gov/Taxonomy/Browser/wwwtax.cgi?mode=Info&amp;id=37083&amp;lvl=3&amp;lin=f&amp;keep=1&amp;srchmode=1&amp;unlock","37083")</f>
        <v>37083</v>
      </c>
      <c r="F2061" t="s">
        <v>241</v>
      </c>
      <c r="G2061" t="str">
        <f>HYPERLINK("http://www.ncbi.nlm.nih.gov/Taxonomy/Browser/wwwtax.cgi?mode=Info&amp;id=37083&amp;lvl=3&amp;lin=f&amp;keep=1&amp;srchmode=1&amp;unlock","Eudyptula minor")</f>
        <v>Eudyptula minor</v>
      </c>
      <c r="H2061" t="s">
        <v>661</v>
      </c>
      <c r="I2061" t="str">
        <f>HYPERLINK("http://www.ncbi.nlm.nih.gov/protein/KAF1541536.1","Ryanodine receptor 2, partial")</f>
        <v>Ryanodine receptor 2, partial</v>
      </c>
      <c r="J2061">
        <v>8425.07</v>
      </c>
      <c r="K2061" t="s">
        <v>19</v>
      </c>
      <c r="L2061">
        <v>1210</v>
      </c>
      <c r="M2061">
        <v>7.13</v>
      </c>
      <c r="N2061">
        <v>82.09</v>
      </c>
      <c r="O2061" t="s">
        <v>19</v>
      </c>
      <c r="P2061" t="s">
        <v>1267</v>
      </c>
      <c r="Q2061" t="s">
        <v>19</v>
      </c>
      <c r="R2061" t="str">
        <f>HYPERLINK("https://cfpub.epa.gov/ecotox/explore.cfm?ncbi=37083","Explore in ECOTOX")</f>
        <v>Explore in ECOTOX</v>
      </c>
    </row>
    <row r="2062" spans="1:18" x14ac:dyDescent="0.45">
      <c r="A2062" t="s">
        <v>1266</v>
      </c>
      <c r="B2062">
        <v>8</v>
      </c>
      <c r="C2062" t="str">
        <f>HYPERLINK("http://www.ncbi.nlm.nih.gov/protein/KAF1463728.1","KAF1463728.1")</f>
        <v>KAF1463728.1</v>
      </c>
      <c r="D2062">
        <v>14293</v>
      </c>
      <c r="E2062" t="str">
        <f>HYPERLINK("http://www.ncbi.nlm.nih.gov/Taxonomy/Browser/wwwtax.cgi?mode=Info&amp;id=92683&amp;lvl=3&amp;lin=f&amp;keep=1&amp;srchmode=1&amp;unlock","92683")</f>
        <v>92683</v>
      </c>
      <c r="F2062" t="s">
        <v>241</v>
      </c>
      <c r="G2062" t="str">
        <f>HYPERLINK("http://www.ncbi.nlm.nih.gov/Taxonomy/Browser/wwwtax.cgi?mode=Info&amp;id=92683&amp;lvl=3&amp;lin=f&amp;keep=1&amp;srchmode=1&amp;unlock","Spheniscus demersus")</f>
        <v>Spheniscus demersus</v>
      </c>
      <c r="H2062" t="s">
        <v>640</v>
      </c>
      <c r="I2062" t="str">
        <f>HYPERLINK("http://www.ncbi.nlm.nih.gov/protein/KAF1463728.1","Ryanodine receptor 2, partial")</f>
        <v>Ryanodine receptor 2, partial</v>
      </c>
      <c r="J2062">
        <v>8425.07</v>
      </c>
      <c r="K2062" t="s">
        <v>19</v>
      </c>
      <c r="L2062">
        <v>1210</v>
      </c>
      <c r="M2062">
        <v>7.13</v>
      </c>
      <c r="N2062">
        <v>82.09</v>
      </c>
      <c r="O2062" t="s">
        <v>19</v>
      </c>
      <c r="P2062" t="s">
        <v>1267</v>
      </c>
      <c r="Q2062" t="s">
        <v>19</v>
      </c>
      <c r="R2062" t="str">
        <f>HYPERLINK("https://cfpub.epa.gov/ecotox/explore.cfm?ncbi=92683","Explore in ECOTOX")</f>
        <v>Explore in ECOTOX</v>
      </c>
    </row>
    <row r="2063" spans="1:18" x14ac:dyDescent="0.45">
      <c r="A2063" t="s">
        <v>1266</v>
      </c>
      <c r="B2063">
        <v>8</v>
      </c>
      <c r="C2063" t="str">
        <f>HYPERLINK("http://www.ncbi.nlm.nih.gov/protein/KAF1647569.1","KAF1647569.1")</f>
        <v>KAF1647569.1</v>
      </c>
      <c r="D2063">
        <v>12911</v>
      </c>
      <c r="E2063" t="str">
        <f>HYPERLINK("http://www.ncbi.nlm.nih.gov/Taxonomy/Browser/wwwtax.cgi?mode=Info&amp;id=79626&amp;lvl=3&amp;lin=f&amp;keep=1&amp;srchmode=1&amp;unlock","79626")</f>
        <v>79626</v>
      </c>
      <c r="F2063" t="s">
        <v>241</v>
      </c>
      <c r="G2063" t="str">
        <f>HYPERLINK("http://www.ncbi.nlm.nih.gov/Taxonomy/Browser/wwwtax.cgi?mode=Info&amp;id=79626&amp;lvl=3&amp;lin=f&amp;keep=1&amp;srchmode=1&amp;unlock","Eudyptes chrysocome")</f>
        <v>Eudyptes chrysocome</v>
      </c>
      <c r="H2063" t="s">
        <v>657</v>
      </c>
      <c r="I2063" t="str">
        <f>HYPERLINK("http://www.ncbi.nlm.nih.gov/protein/KAF1647569.1","Ryanodine receptor 2, partial")</f>
        <v>Ryanodine receptor 2, partial</v>
      </c>
      <c r="J2063">
        <v>8425.07</v>
      </c>
      <c r="K2063" t="s">
        <v>19</v>
      </c>
      <c r="L2063">
        <v>1210</v>
      </c>
      <c r="M2063">
        <v>7.13</v>
      </c>
      <c r="N2063">
        <v>82.09</v>
      </c>
      <c r="O2063" t="s">
        <v>19</v>
      </c>
      <c r="P2063" t="s">
        <v>1267</v>
      </c>
      <c r="Q2063" t="s">
        <v>19</v>
      </c>
      <c r="R2063" t="str">
        <f>HYPERLINK("https://cfpub.epa.gov/ecotox/explore.cfm?ncbi=79626","Explore in ECOTOX")</f>
        <v>Explore in ECOTOX</v>
      </c>
    </row>
    <row r="2064" spans="1:18" x14ac:dyDescent="0.45">
      <c r="A2064" t="s">
        <v>1266</v>
      </c>
      <c r="B2064">
        <v>8</v>
      </c>
      <c r="C2064" t="str">
        <f>HYPERLINK("http://www.ncbi.nlm.nih.gov/protein/KAF1519688.1","KAF1519688.1")</f>
        <v>KAF1519688.1</v>
      </c>
      <c r="D2064">
        <v>15146</v>
      </c>
      <c r="E2064" t="str">
        <f>HYPERLINK("http://www.ncbi.nlm.nih.gov/Taxonomy/Browser/wwwtax.cgi?mode=Info&amp;id=345258&amp;lvl=3&amp;lin=f&amp;keep=1&amp;srchmode=1&amp;unlock","345258")</f>
        <v>345258</v>
      </c>
      <c r="F2064" t="s">
        <v>241</v>
      </c>
      <c r="G2064" t="str">
        <f>HYPERLINK("http://www.ncbi.nlm.nih.gov/Taxonomy/Browser/wwwtax.cgi?mode=Info&amp;id=345258&amp;lvl=3&amp;lin=f&amp;keep=1&amp;srchmode=1&amp;unlock","Eudyptula albosignata")</f>
        <v>Eudyptula albosignata</v>
      </c>
      <c r="H2064" t="s">
        <v>659</v>
      </c>
      <c r="I2064" t="str">
        <f>HYPERLINK("http://www.ncbi.nlm.nih.gov/protein/KAF1519688.1","Ryanodine receptor 2, partial")</f>
        <v>Ryanodine receptor 2, partial</v>
      </c>
      <c r="J2064">
        <v>8425.07</v>
      </c>
      <c r="K2064" t="s">
        <v>19</v>
      </c>
      <c r="L2064">
        <v>1210</v>
      </c>
      <c r="M2064">
        <v>7.13</v>
      </c>
      <c r="N2064">
        <v>82.09</v>
      </c>
      <c r="O2064" t="s">
        <v>19</v>
      </c>
      <c r="P2064" t="s">
        <v>1267</v>
      </c>
      <c r="Q2064" t="s">
        <v>19</v>
      </c>
      <c r="R2064" t="str">
        <f>HYPERLINK("https://cfpub.epa.gov/ecotox/explore.cfm?ncbi=345258","Explore in ECOTOX")</f>
        <v>Explore in ECOTOX</v>
      </c>
    </row>
    <row r="2065" spans="1:18" x14ac:dyDescent="0.45">
      <c r="A2065" t="s">
        <v>1266</v>
      </c>
      <c r="B2065">
        <v>8</v>
      </c>
      <c r="C2065" t="str">
        <f>HYPERLINK("http://www.ncbi.nlm.nih.gov/protein/NXL01842.1","NXL01842.1")</f>
        <v>NXL01842.1</v>
      </c>
      <c r="D2065">
        <v>13893</v>
      </c>
      <c r="E2065" t="str">
        <f>HYPERLINK("http://www.ncbi.nlm.nih.gov/Taxonomy/Browser/wwwtax.cgi?mode=Info&amp;id=1118748&amp;lvl=3&amp;lin=f&amp;keep=1&amp;srchmode=1&amp;unlock","1118748")</f>
        <v>1118748</v>
      </c>
      <c r="F2065" t="s">
        <v>241</v>
      </c>
      <c r="G2065" t="str">
        <f>HYPERLINK("http://www.ncbi.nlm.nih.gov/Taxonomy/Browser/wwwtax.cgi?mode=Info&amp;id=1118748&amp;lvl=3&amp;lin=f&amp;keep=1&amp;srchmode=1&amp;unlock","Mesembrinibis cayennensis")</f>
        <v>Mesembrinibis cayennensis</v>
      </c>
      <c r="H2065" t="s">
        <v>437</v>
      </c>
      <c r="I2065" t="str">
        <f>HYPERLINK("http://www.ncbi.nlm.nih.gov/protein/NXL01842.1","RYR2 protein")</f>
        <v>RYR2 protein</v>
      </c>
      <c r="J2065">
        <v>8424.69</v>
      </c>
      <c r="K2065" t="s">
        <v>19</v>
      </c>
      <c r="L2065">
        <v>1210</v>
      </c>
      <c r="M2065">
        <v>7.13</v>
      </c>
      <c r="N2065">
        <v>82.09</v>
      </c>
      <c r="O2065" t="s">
        <v>19</v>
      </c>
      <c r="P2065" t="s">
        <v>1267</v>
      </c>
      <c r="Q2065" t="s">
        <v>19</v>
      </c>
      <c r="R2065" t="str">
        <f>HYPERLINK("https://cfpub.epa.gov/ecotox/explore.cfm?ncbi=1118748","Explore in ECOTOX")</f>
        <v>Explore in ECOTOX</v>
      </c>
    </row>
    <row r="2066" spans="1:18" x14ac:dyDescent="0.45">
      <c r="A2066" t="s">
        <v>1266</v>
      </c>
      <c r="B2066">
        <v>8</v>
      </c>
      <c r="C2066" t="str">
        <f>HYPERLINK("http://www.ncbi.nlm.nih.gov/protein/KAF1563538.1","KAF1563538.1")</f>
        <v>KAF1563538.1</v>
      </c>
      <c r="D2066">
        <v>17593</v>
      </c>
      <c r="E2066" t="str">
        <f>HYPERLINK("http://www.ncbi.nlm.nih.gov/Taxonomy/Browser/wwwtax.cgi?mode=Info&amp;id=37080&amp;lvl=3&amp;lin=f&amp;keep=1&amp;srchmode=1&amp;unlock","37080")</f>
        <v>37080</v>
      </c>
      <c r="F2066" t="s">
        <v>241</v>
      </c>
      <c r="G2066" t="str">
        <f>HYPERLINK("http://www.ncbi.nlm.nih.gov/Taxonomy/Browser/wwwtax.cgi?mode=Info&amp;id=37080&amp;lvl=3&amp;lin=f&amp;keep=1&amp;srchmode=1&amp;unlock","Eudyptes pachyrhynchus")</f>
        <v>Eudyptes pachyrhynchus</v>
      </c>
      <c r="H2066" t="s">
        <v>654</v>
      </c>
      <c r="I2066" t="str">
        <f>HYPERLINK("http://www.ncbi.nlm.nih.gov/protein/KAF1563538.1","Ryanodine receptor 2, partial")</f>
        <v>Ryanodine receptor 2, partial</v>
      </c>
      <c r="J2066">
        <v>8424.69</v>
      </c>
      <c r="K2066" t="s">
        <v>19</v>
      </c>
      <c r="L2066">
        <v>1210</v>
      </c>
      <c r="M2066">
        <v>7.13</v>
      </c>
      <c r="N2066">
        <v>82.09</v>
      </c>
      <c r="O2066" t="s">
        <v>19</v>
      </c>
      <c r="P2066" t="s">
        <v>1267</v>
      </c>
      <c r="Q2066" t="s">
        <v>19</v>
      </c>
      <c r="R2066" t="str">
        <f>HYPERLINK("https://cfpub.epa.gov/ecotox/explore.cfm?ncbi=37080","Explore in ECOTOX")</f>
        <v>Explore in ECOTOX</v>
      </c>
    </row>
    <row r="2067" spans="1:18" x14ac:dyDescent="0.45">
      <c r="A2067" t="s">
        <v>1266</v>
      </c>
      <c r="B2067">
        <v>8</v>
      </c>
      <c r="C2067" t="str">
        <f>HYPERLINK("http://www.ncbi.nlm.nih.gov/protein/KAF1588986.1","KAF1588986.1")</f>
        <v>KAF1588986.1</v>
      </c>
      <c r="D2067">
        <v>15484</v>
      </c>
      <c r="E2067" t="str">
        <f>HYPERLINK("http://www.ncbi.nlm.nih.gov/Taxonomy/Browser/wwwtax.cgi?mode=Info&amp;id=2495534&amp;lvl=3&amp;lin=f&amp;keep=1&amp;srchmode=1&amp;unlock","2495534")</f>
        <v>2495534</v>
      </c>
      <c r="F2067" t="s">
        <v>241</v>
      </c>
      <c r="G2067" t="str">
        <f>HYPERLINK("http://www.ncbi.nlm.nih.gov/Taxonomy/Browser/wwwtax.cgi?mode=Info&amp;id=2495534&amp;lvl=3&amp;lin=f&amp;keep=1&amp;srchmode=1&amp;unlock","Eudyptes moseleyi")</f>
        <v>Eudyptes moseleyi</v>
      </c>
      <c r="H2067" t="s">
        <v>652</v>
      </c>
      <c r="I2067" t="str">
        <f>HYPERLINK("http://www.ncbi.nlm.nih.gov/protein/KAF1588986.1","Ryanodine receptor 2, partial")</f>
        <v>Ryanodine receptor 2, partial</v>
      </c>
      <c r="J2067">
        <v>8424.69</v>
      </c>
      <c r="K2067" t="s">
        <v>19</v>
      </c>
      <c r="L2067">
        <v>1210</v>
      </c>
      <c r="M2067">
        <v>7.13</v>
      </c>
      <c r="N2067">
        <v>82.09</v>
      </c>
      <c r="O2067" t="s">
        <v>19</v>
      </c>
      <c r="P2067" t="s">
        <v>1267</v>
      </c>
      <c r="Q2067" t="s">
        <v>19</v>
      </c>
      <c r="R2067" t="str">
        <f>HYPERLINK("https://cfpub.epa.gov/ecotox/explore.cfm?ncbi=2495534","Explore in ECOTOX")</f>
        <v>Explore in ECOTOX</v>
      </c>
    </row>
    <row r="2068" spans="1:18" x14ac:dyDescent="0.45">
      <c r="A2068" t="s">
        <v>1266</v>
      </c>
      <c r="B2068">
        <v>8</v>
      </c>
      <c r="C2068" t="str">
        <f>HYPERLINK("http://www.ncbi.nlm.nih.gov/protein/XP_030050543.1","XP_030050543.1")</f>
        <v>XP_030050543.1</v>
      </c>
      <c r="D2068">
        <v>37123</v>
      </c>
      <c r="E2068" t="str">
        <f>HYPERLINK("http://www.ncbi.nlm.nih.gov/Taxonomy/Browser/wwwtax.cgi?mode=Info&amp;id=1415580&amp;lvl=3&amp;lin=f&amp;keep=1&amp;srchmode=1&amp;unlock","1415580")</f>
        <v>1415580</v>
      </c>
      <c r="F2068" t="s">
        <v>177</v>
      </c>
      <c r="G2068" t="str">
        <f>HYPERLINK("http://www.ncbi.nlm.nih.gov/Taxonomy/Browser/wwwtax.cgi?mode=Info&amp;id=1415580&amp;lvl=3&amp;lin=f&amp;keep=1&amp;srchmode=1&amp;unlock","Microcaecilia unicolor")</f>
        <v>Microcaecilia unicolor</v>
      </c>
      <c r="H2068" t="s">
        <v>408</v>
      </c>
      <c r="I2068" t="str">
        <f>HYPERLINK("http://www.ncbi.nlm.nih.gov/protein/XP_030050543.1","LOW QUALITY PROTEIN: ryanodine receptor 2")</f>
        <v>LOW QUALITY PROTEIN: ryanodine receptor 2</v>
      </c>
      <c r="J2068">
        <v>8423.92</v>
      </c>
      <c r="K2068" t="s">
        <v>19</v>
      </c>
      <c r="L2068">
        <v>1210</v>
      </c>
      <c r="M2068">
        <v>7.13</v>
      </c>
      <c r="N2068">
        <v>82.08</v>
      </c>
      <c r="O2068" t="s">
        <v>19</v>
      </c>
      <c r="P2068" t="s">
        <v>1267</v>
      </c>
      <c r="Q2068" t="s">
        <v>19</v>
      </c>
      <c r="R2068" t="str">
        <f>HYPERLINK("https://cfpub.epa.gov/ecotox/explore.cfm?ncbi=1415580","Explore in ECOTOX")</f>
        <v>Explore in ECOTOX</v>
      </c>
    </row>
    <row r="2069" spans="1:18" x14ac:dyDescent="0.45">
      <c r="A2069" t="s">
        <v>1266</v>
      </c>
      <c r="B2069">
        <v>8</v>
      </c>
      <c r="C2069" t="str">
        <f>HYPERLINK("http://www.ncbi.nlm.nih.gov/protein/NXK89543.1","NXK89543.1")</f>
        <v>NXK89543.1</v>
      </c>
      <c r="D2069">
        <v>13620</v>
      </c>
      <c r="E2069" t="str">
        <f>HYPERLINK("http://www.ncbi.nlm.nih.gov/Taxonomy/Browser/wwwtax.cgi?mode=Info&amp;id=1118560&amp;lvl=3&amp;lin=f&amp;keep=1&amp;srchmode=1&amp;unlock","1118560")</f>
        <v>1118560</v>
      </c>
      <c r="F2069" t="s">
        <v>241</v>
      </c>
      <c r="G2069" t="str">
        <f>HYPERLINK("http://www.ncbi.nlm.nih.gov/Taxonomy/Browser/wwwtax.cgi?mode=Info&amp;id=1118560&amp;lvl=3&amp;lin=f&amp;keep=1&amp;srchmode=1&amp;unlock","Formicarius rufipectus")</f>
        <v>Formicarius rufipectus</v>
      </c>
      <c r="H2069" t="s">
        <v>435</v>
      </c>
      <c r="I2069" t="str">
        <f>HYPERLINK("http://www.ncbi.nlm.nih.gov/protein/NXK89543.1","RYR2 protein")</f>
        <v>RYR2 protein</v>
      </c>
      <c r="J2069">
        <v>8422.3700000000008</v>
      </c>
      <c r="K2069" t="s">
        <v>19</v>
      </c>
      <c r="L2069">
        <v>1210</v>
      </c>
      <c r="M2069">
        <v>7.13</v>
      </c>
      <c r="N2069">
        <v>82.07</v>
      </c>
      <c r="O2069" t="s">
        <v>19</v>
      </c>
      <c r="P2069" t="s">
        <v>1267</v>
      </c>
      <c r="Q2069" t="s">
        <v>19</v>
      </c>
      <c r="R2069" t="str">
        <f>HYPERLINK("https://cfpub.epa.gov/ecotox/explore.cfm?ncbi=1118560","Explore in ECOTOX")</f>
        <v>Explore in ECOTOX</v>
      </c>
    </row>
    <row r="2070" spans="1:18" x14ac:dyDescent="0.45">
      <c r="A2070" t="s">
        <v>1266</v>
      </c>
      <c r="B2070">
        <v>8</v>
      </c>
      <c r="C2070" t="str">
        <f>HYPERLINK("http://www.ncbi.nlm.nih.gov/protein/KAF1633370.1","KAF1633370.1")</f>
        <v>KAF1633370.1</v>
      </c>
      <c r="D2070">
        <v>12997</v>
      </c>
      <c r="E2070" t="str">
        <f>HYPERLINK("http://www.ncbi.nlm.nih.gov/Taxonomy/Browser/wwwtax.cgi?mode=Info&amp;id=1419345&amp;lvl=3&amp;lin=f&amp;keep=1&amp;srchmode=1&amp;unlock","1419345")</f>
        <v>1419345</v>
      </c>
      <c r="F2070" t="s">
        <v>241</v>
      </c>
      <c r="G2070" t="str">
        <f>HYPERLINK("http://www.ncbi.nlm.nih.gov/Taxonomy/Browser/wwwtax.cgi?mode=Info&amp;id=1419345&amp;lvl=3&amp;lin=f&amp;keep=1&amp;srchmode=1&amp;unlock","Eudyptes filholi")</f>
        <v>Eudyptes filholi</v>
      </c>
      <c r="H2070" t="s">
        <v>660</v>
      </c>
      <c r="I2070" t="str">
        <f>HYPERLINK("http://www.ncbi.nlm.nih.gov/protein/KAF1633370.1","Ryanodine receptor 2, partial")</f>
        <v>Ryanodine receptor 2, partial</v>
      </c>
      <c r="J2070">
        <v>8421.99</v>
      </c>
      <c r="K2070" t="s">
        <v>19</v>
      </c>
      <c r="L2070">
        <v>1210</v>
      </c>
      <c r="M2070">
        <v>7.13</v>
      </c>
      <c r="N2070">
        <v>82.06</v>
      </c>
      <c r="O2070" t="s">
        <v>19</v>
      </c>
      <c r="P2070" t="s">
        <v>1267</v>
      </c>
      <c r="Q2070" t="s">
        <v>19</v>
      </c>
      <c r="R2070" t="str">
        <f>HYPERLINK("https://cfpub.epa.gov/ecotox/explore.cfm?ncbi=1419345","Explore in ECOTOX")</f>
        <v>Explore in ECOTOX</v>
      </c>
    </row>
    <row r="2071" spans="1:18" x14ac:dyDescent="0.45">
      <c r="A2071" t="s">
        <v>1266</v>
      </c>
      <c r="B2071">
        <v>8</v>
      </c>
      <c r="C2071" t="str">
        <f>HYPERLINK("http://www.ncbi.nlm.nih.gov/protein/KAF1401898.1","KAF1401898.1")</f>
        <v>KAF1401898.1</v>
      </c>
      <c r="D2071">
        <v>15617</v>
      </c>
      <c r="E2071" t="str">
        <f>HYPERLINK("http://www.ncbi.nlm.nih.gov/Taxonomy/Browser/wwwtax.cgi?mode=Info&amp;id=37081&amp;lvl=3&amp;lin=f&amp;keep=1&amp;srchmode=1&amp;unlock","37081")</f>
        <v>37081</v>
      </c>
      <c r="F2071" t="s">
        <v>241</v>
      </c>
      <c r="G2071" t="str">
        <f>HYPERLINK("http://www.ncbi.nlm.nih.gov/Taxonomy/Browser/wwwtax.cgi?mode=Info&amp;id=37081&amp;lvl=3&amp;lin=f&amp;keep=1&amp;srchmode=1&amp;unlock","Spheniscus magellanicus")</f>
        <v>Spheniscus magellanicus</v>
      </c>
      <c r="H2071" t="s">
        <v>637</v>
      </c>
      <c r="I2071" t="str">
        <f>HYPERLINK("http://www.ncbi.nlm.nih.gov/protein/KAF1401898.1","Ryanodine receptor 2, partial")</f>
        <v>Ryanodine receptor 2, partial</v>
      </c>
      <c r="J2071">
        <v>8421.6</v>
      </c>
      <c r="K2071" t="s">
        <v>19</v>
      </c>
      <c r="L2071">
        <v>1210</v>
      </c>
      <c r="M2071">
        <v>7.13</v>
      </c>
      <c r="N2071">
        <v>82.06</v>
      </c>
      <c r="O2071" t="s">
        <v>19</v>
      </c>
      <c r="P2071" t="s">
        <v>1267</v>
      </c>
      <c r="Q2071" t="s">
        <v>19</v>
      </c>
      <c r="R2071" t="str">
        <f>HYPERLINK("https://cfpub.epa.gov/ecotox/explore.cfm?ncbi=37081","Explore in ECOTOX")</f>
        <v>Explore in ECOTOX</v>
      </c>
    </row>
    <row r="2072" spans="1:18" x14ac:dyDescent="0.45">
      <c r="A2072" t="s">
        <v>1266</v>
      </c>
      <c r="B2072">
        <v>8</v>
      </c>
      <c r="C2072" t="str">
        <f>HYPERLINK("http://www.ncbi.nlm.nih.gov/protein/KAF1505299.1","KAF1505299.1")</f>
        <v>KAF1505299.1</v>
      </c>
      <c r="D2072">
        <v>15009</v>
      </c>
      <c r="E2072" t="str">
        <f>HYPERLINK("http://www.ncbi.nlm.nih.gov/Taxonomy/Browser/wwwtax.cgi?mode=Info&amp;id=2052820&amp;lvl=3&amp;lin=f&amp;keep=1&amp;srchmode=1&amp;unlock","2052820")</f>
        <v>2052820</v>
      </c>
      <c r="F2072" t="s">
        <v>241</v>
      </c>
      <c r="G2072" t="str">
        <f>HYPERLINK("http://www.ncbi.nlm.nih.gov/Taxonomy/Browser/wwwtax.cgi?mode=Info&amp;id=2052820&amp;lvl=3&amp;lin=f&amp;keep=1&amp;srchmode=1&amp;unlock","Eudyptula novaehollandiae")</f>
        <v>Eudyptula novaehollandiae</v>
      </c>
      <c r="H2072" t="s">
        <v>664</v>
      </c>
      <c r="I2072" t="str">
        <f>HYPERLINK("http://www.ncbi.nlm.nih.gov/protein/KAF1505299.1","Ryanodine receptor 2, partial")</f>
        <v>Ryanodine receptor 2, partial</v>
      </c>
      <c r="J2072">
        <v>8421.2199999999993</v>
      </c>
      <c r="K2072" t="s">
        <v>19</v>
      </c>
      <c r="L2072">
        <v>1210</v>
      </c>
      <c r="M2072">
        <v>7.13</v>
      </c>
      <c r="N2072">
        <v>82.05</v>
      </c>
      <c r="O2072" t="s">
        <v>19</v>
      </c>
      <c r="P2072" t="s">
        <v>1267</v>
      </c>
      <c r="Q2072" t="s">
        <v>19</v>
      </c>
      <c r="R2072" t="str">
        <f>HYPERLINK("https://cfpub.epa.gov/ecotox/explore.cfm?ncbi=2052820","Explore in ECOTOX")</f>
        <v>Explore in ECOTOX</v>
      </c>
    </row>
    <row r="2073" spans="1:18" x14ac:dyDescent="0.45">
      <c r="A2073" t="s">
        <v>1266</v>
      </c>
      <c r="B2073">
        <v>8</v>
      </c>
      <c r="C2073" t="str">
        <f>HYPERLINK("http://www.ncbi.nlm.nih.gov/protein/XP_053523852.1","XP_053523852.1")</f>
        <v>XP_053523852.1</v>
      </c>
      <c r="D2073">
        <v>48847</v>
      </c>
      <c r="E2073" t="str">
        <f>HYPERLINK("http://www.ncbi.nlm.nih.gov/Taxonomy/Browser/wwwtax.cgi?mode=Info&amp;id=9417&amp;lvl=3&amp;lin=f&amp;keep=1&amp;srchmode=1&amp;unlock","9417")</f>
        <v>9417</v>
      </c>
      <c r="F2073" t="s">
        <v>96</v>
      </c>
      <c r="G2073" t="str">
        <f>HYPERLINK("http://www.ncbi.nlm.nih.gov/Taxonomy/Browser/wwwtax.cgi?mode=Info&amp;id=9417&amp;lvl=3&amp;lin=f&amp;keep=1&amp;srchmode=1&amp;unlock","Artibeus jamaicensis")</f>
        <v>Artibeus jamaicensis</v>
      </c>
      <c r="H2073" t="s">
        <v>658</v>
      </c>
      <c r="I2073" t="str">
        <f>HYPERLINK("http://www.ncbi.nlm.nih.gov/protein/XP_053523852.1","ryanodine receptor 2 isoform X1")</f>
        <v>ryanodine receptor 2 isoform X1</v>
      </c>
      <c r="J2073">
        <v>8420.83</v>
      </c>
      <c r="K2073" t="s">
        <v>19</v>
      </c>
      <c r="L2073">
        <v>1210</v>
      </c>
      <c r="M2073">
        <v>7.13</v>
      </c>
      <c r="N2073">
        <v>82.05</v>
      </c>
      <c r="O2073" t="s">
        <v>19</v>
      </c>
      <c r="P2073" t="s">
        <v>1267</v>
      </c>
      <c r="Q2073" t="s">
        <v>19</v>
      </c>
      <c r="R2073" t="str">
        <f>HYPERLINK("https://cfpub.epa.gov/ecotox/explore.cfm?ncbi=9417","Explore in ECOTOX")</f>
        <v>Explore in ECOTOX</v>
      </c>
    </row>
    <row r="2074" spans="1:18" x14ac:dyDescent="0.45">
      <c r="A2074" t="s">
        <v>1266</v>
      </c>
      <c r="B2074">
        <v>8</v>
      </c>
      <c r="C2074" t="str">
        <f>HYPERLINK("http://www.ncbi.nlm.nih.gov/protein/XP_036309300.1","XP_036309300.1")</f>
        <v>XP_036309300.1</v>
      </c>
      <c r="D2074">
        <v>98397</v>
      </c>
      <c r="E2074" t="str">
        <f>HYPERLINK("http://www.ncbi.nlm.nih.gov/Taxonomy/Browser/wwwtax.cgi?mode=Info&amp;id=59472&amp;lvl=3&amp;lin=f&amp;keep=1&amp;srchmode=1&amp;unlock","59472")</f>
        <v>59472</v>
      </c>
      <c r="F2074" t="s">
        <v>96</v>
      </c>
      <c r="G2074" t="str">
        <f>HYPERLINK("http://www.ncbi.nlm.nih.gov/Taxonomy/Browser/wwwtax.cgi?mode=Info&amp;id=59472&amp;lvl=3&amp;lin=f&amp;keep=1&amp;srchmode=1&amp;unlock","Pipistrellus kuhlii")</f>
        <v>Pipistrellus kuhlii</v>
      </c>
      <c r="H2074" t="s">
        <v>639</v>
      </c>
      <c r="I2074" t="str">
        <f>HYPERLINK("http://www.ncbi.nlm.nih.gov/protein/XP_036309300.1","ryanodine receptor 2 isoform X4")</f>
        <v>ryanodine receptor 2 isoform X4</v>
      </c>
      <c r="J2074">
        <v>8420.83</v>
      </c>
      <c r="K2074" t="s">
        <v>19</v>
      </c>
      <c r="L2074">
        <v>1210</v>
      </c>
      <c r="M2074">
        <v>7.13</v>
      </c>
      <c r="N2074">
        <v>82.05</v>
      </c>
      <c r="O2074" t="s">
        <v>19</v>
      </c>
      <c r="P2074" t="s">
        <v>1267</v>
      </c>
      <c r="Q2074" t="s">
        <v>19</v>
      </c>
      <c r="R2074" t="str">
        <f>HYPERLINK("https://cfpub.epa.gov/ecotox/explore.cfm?ncbi=59472","Explore in ECOTOX")</f>
        <v>Explore in ECOTOX</v>
      </c>
    </row>
    <row r="2075" spans="1:18" x14ac:dyDescent="0.45">
      <c r="A2075" t="s">
        <v>1266</v>
      </c>
      <c r="B2075">
        <v>8</v>
      </c>
      <c r="C2075" t="str">
        <f>HYPERLINK("http://www.ncbi.nlm.nih.gov/protein/NXL43224.1","NXL43224.1")</f>
        <v>NXL43224.1</v>
      </c>
      <c r="D2075">
        <v>14232</v>
      </c>
      <c r="E2075" t="str">
        <f>HYPERLINK("http://www.ncbi.nlm.nih.gov/Taxonomy/Browser/wwwtax.cgi?mode=Info&amp;id=9252&amp;lvl=3&amp;lin=f&amp;keep=1&amp;srchmode=1&amp;unlock","9252")</f>
        <v>9252</v>
      </c>
      <c r="F2075" t="s">
        <v>241</v>
      </c>
      <c r="G2075" t="str">
        <f>HYPERLINK("http://www.ncbi.nlm.nih.gov/Taxonomy/Browser/wwwtax.cgi?mode=Info&amp;id=9252&amp;lvl=3&amp;lin=f&amp;keep=1&amp;srchmode=1&amp;unlock","Podilymbus podiceps")</f>
        <v>Podilymbus podiceps</v>
      </c>
      <c r="H2075" t="s">
        <v>474</v>
      </c>
      <c r="I2075" t="str">
        <f>HYPERLINK("http://www.ncbi.nlm.nih.gov/protein/NXL43224.1","RYR2 protein")</f>
        <v>RYR2 protein</v>
      </c>
      <c r="J2075">
        <v>8420.06</v>
      </c>
      <c r="K2075" t="s">
        <v>19</v>
      </c>
      <c r="L2075">
        <v>1210</v>
      </c>
      <c r="M2075">
        <v>7.13</v>
      </c>
      <c r="N2075">
        <v>82.04</v>
      </c>
      <c r="O2075" t="s">
        <v>19</v>
      </c>
      <c r="P2075" t="s">
        <v>1267</v>
      </c>
      <c r="Q2075" t="s">
        <v>19</v>
      </c>
      <c r="R2075" t="str">
        <f>HYPERLINK("https://cfpub.epa.gov/ecotox/explore.cfm?ncbi=9252","Explore in ECOTOX")</f>
        <v>Explore in ECOTOX</v>
      </c>
    </row>
    <row r="2076" spans="1:18" x14ac:dyDescent="0.45">
      <c r="A2076" t="s">
        <v>1266</v>
      </c>
      <c r="B2076">
        <v>8</v>
      </c>
      <c r="C2076" t="str">
        <f>HYPERLINK("http://www.ncbi.nlm.nih.gov/protein/NXE34760.1","NXE34760.1")</f>
        <v>NXE34760.1</v>
      </c>
      <c r="D2076">
        <v>13537</v>
      </c>
      <c r="E2076" t="str">
        <f>HYPERLINK("http://www.ncbi.nlm.nih.gov/Taxonomy/Browser/wwwtax.cgi?mode=Info&amp;id=449384&amp;lvl=3&amp;lin=f&amp;keep=1&amp;srchmode=1&amp;unlock","449384")</f>
        <v>449384</v>
      </c>
      <c r="F2076" t="s">
        <v>241</v>
      </c>
      <c r="G2076" t="str">
        <f>HYPERLINK("http://www.ncbi.nlm.nih.gov/Taxonomy/Browser/wwwtax.cgi?mode=Info&amp;id=449384&amp;lvl=3&amp;lin=f&amp;keep=1&amp;srchmode=1&amp;unlock","Ptilorrhoa leucosticta")</f>
        <v>Ptilorrhoa leucosticta</v>
      </c>
      <c r="H2076" t="s">
        <v>435</v>
      </c>
      <c r="I2076" t="str">
        <f>HYPERLINK("http://www.ncbi.nlm.nih.gov/protein/NXE34760.1","RYR2 protein")</f>
        <v>RYR2 protein</v>
      </c>
      <c r="J2076">
        <v>8420.06</v>
      </c>
      <c r="K2076" t="s">
        <v>19</v>
      </c>
      <c r="L2076">
        <v>1210</v>
      </c>
      <c r="M2076">
        <v>7.13</v>
      </c>
      <c r="N2076">
        <v>82.04</v>
      </c>
      <c r="O2076" t="s">
        <v>19</v>
      </c>
      <c r="P2076" t="s">
        <v>1267</v>
      </c>
      <c r="Q2076" t="s">
        <v>19</v>
      </c>
      <c r="R2076" t="str">
        <f>HYPERLINK("https://cfpub.epa.gov/ecotox/explore.cfm?ncbi=449384","Explore in ECOTOX")</f>
        <v>Explore in ECOTOX</v>
      </c>
    </row>
    <row r="2077" spans="1:18" x14ac:dyDescent="0.45">
      <c r="A2077" t="s">
        <v>1266</v>
      </c>
      <c r="B2077">
        <v>8</v>
      </c>
      <c r="C2077" t="str">
        <f>HYPERLINK("http://www.ncbi.nlm.nih.gov/protein/NWU79098.1","NWU79098.1")</f>
        <v>NWU79098.1</v>
      </c>
      <c r="D2077">
        <v>14404</v>
      </c>
      <c r="E2077" t="str">
        <f>HYPERLINK("http://www.ncbi.nlm.nih.gov/Taxonomy/Browser/wwwtax.cgi?mode=Info&amp;id=360224&amp;lvl=3&amp;lin=f&amp;keep=1&amp;srchmode=1&amp;unlock","360224")</f>
        <v>360224</v>
      </c>
      <c r="F2077" t="s">
        <v>241</v>
      </c>
      <c r="G2077" t="str">
        <f>HYPERLINK("http://www.ncbi.nlm.nih.gov/Taxonomy/Browser/wwwtax.cgi?mode=Info&amp;id=360224&amp;lvl=3&amp;lin=f&amp;keep=1&amp;srchmode=1&amp;unlock","Onychorhynchus coronatus")</f>
        <v>Onychorhynchus coronatus</v>
      </c>
      <c r="H2077" t="s">
        <v>435</v>
      </c>
      <c r="I2077" t="str">
        <f>HYPERLINK("http://www.ncbi.nlm.nih.gov/protein/NWU79098.1","RYR2 protein")</f>
        <v>RYR2 protein</v>
      </c>
      <c r="J2077">
        <v>8420.06</v>
      </c>
      <c r="K2077" t="s">
        <v>19</v>
      </c>
      <c r="L2077">
        <v>1210</v>
      </c>
      <c r="M2077">
        <v>7.13</v>
      </c>
      <c r="N2077">
        <v>82.04</v>
      </c>
      <c r="O2077" t="s">
        <v>19</v>
      </c>
      <c r="P2077" t="s">
        <v>1267</v>
      </c>
      <c r="Q2077" t="s">
        <v>19</v>
      </c>
      <c r="R2077" t="str">
        <f>HYPERLINK("https://cfpub.epa.gov/ecotox/explore.cfm?ncbi=360224","Explore in ECOTOX")</f>
        <v>Explore in ECOTOX</v>
      </c>
    </row>
    <row r="2078" spans="1:18" x14ac:dyDescent="0.45">
      <c r="A2078" t="s">
        <v>1266</v>
      </c>
      <c r="B2078">
        <v>8</v>
      </c>
      <c r="C2078" t="str">
        <f>HYPERLINK("http://www.ncbi.nlm.nih.gov/protein/NXN05688.1","NXN05688.1")</f>
        <v>NXN05688.1</v>
      </c>
      <c r="D2078">
        <v>13619</v>
      </c>
      <c r="E2078" t="str">
        <f>HYPERLINK("http://www.ncbi.nlm.nih.gov/Taxonomy/Browser/wwwtax.cgi?mode=Info&amp;id=73324&amp;lvl=3&amp;lin=f&amp;keep=1&amp;srchmode=1&amp;unlock","73324")</f>
        <v>73324</v>
      </c>
      <c r="F2078" t="s">
        <v>241</v>
      </c>
      <c r="G2078" t="str">
        <f>HYPERLINK("http://www.ncbi.nlm.nih.gov/Taxonomy/Browser/wwwtax.cgi?mode=Info&amp;id=73324&amp;lvl=3&amp;lin=f&amp;keep=1&amp;srchmode=1&amp;unlock","Sylvia borin")</f>
        <v>Sylvia borin</v>
      </c>
      <c r="H2078" t="s">
        <v>447</v>
      </c>
      <c r="I2078" t="str">
        <f>HYPERLINK("http://www.ncbi.nlm.nih.gov/protein/NXN05688.1","RYR2 protein")</f>
        <v>RYR2 protein</v>
      </c>
      <c r="J2078">
        <v>8419.68</v>
      </c>
      <c r="K2078" t="s">
        <v>19</v>
      </c>
      <c r="L2078">
        <v>1210</v>
      </c>
      <c r="M2078">
        <v>7.13</v>
      </c>
      <c r="N2078">
        <v>82.04</v>
      </c>
      <c r="O2078" t="s">
        <v>19</v>
      </c>
      <c r="P2078" t="s">
        <v>1267</v>
      </c>
      <c r="Q2078" t="s">
        <v>19</v>
      </c>
      <c r="R2078" t="str">
        <f>HYPERLINK("https://cfpub.epa.gov/ecotox/explore.cfm?ncbi=73324","Explore in ECOTOX")</f>
        <v>Explore in ECOTOX</v>
      </c>
    </row>
    <row r="2079" spans="1:18" x14ac:dyDescent="0.45">
      <c r="A2079" t="s">
        <v>1266</v>
      </c>
      <c r="B2079">
        <v>8</v>
      </c>
      <c r="C2079" t="str">
        <f>HYPERLINK("http://www.ncbi.nlm.nih.gov/protein/KAF1427970.1","KAF1427970.1")</f>
        <v>KAF1427970.1</v>
      </c>
      <c r="D2079">
        <v>15400</v>
      </c>
      <c r="E2079" t="str">
        <f>HYPERLINK("http://www.ncbi.nlm.nih.gov/Taxonomy/Browser/wwwtax.cgi?mode=Info&amp;id=9240&amp;lvl=3&amp;lin=f&amp;keep=1&amp;srchmode=1&amp;unlock","9240")</f>
        <v>9240</v>
      </c>
      <c r="F2079" t="s">
        <v>241</v>
      </c>
      <c r="G2079" t="str">
        <f>HYPERLINK("http://www.ncbi.nlm.nih.gov/Taxonomy/Browser/wwwtax.cgi?mode=Info&amp;id=9240&amp;lvl=3&amp;lin=f&amp;keep=1&amp;srchmode=1&amp;unlock","Spheniscus humboldti")</f>
        <v>Spheniscus humboldti</v>
      </c>
      <c r="H2079" t="s">
        <v>655</v>
      </c>
      <c r="I2079" t="str">
        <f>HYPERLINK("http://www.ncbi.nlm.nih.gov/protein/KAF1427970.1","Ryanodine receptor 2, partial")</f>
        <v>Ryanodine receptor 2, partial</v>
      </c>
      <c r="J2079">
        <v>8418.91</v>
      </c>
      <c r="K2079" t="s">
        <v>19</v>
      </c>
      <c r="L2079">
        <v>1210</v>
      </c>
      <c r="M2079">
        <v>7.13</v>
      </c>
      <c r="N2079">
        <v>82.03</v>
      </c>
      <c r="O2079" t="s">
        <v>19</v>
      </c>
      <c r="P2079" t="s">
        <v>1267</v>
      </c>
      <c r="Q2079" t="s">
        <v>19</v>
      </c>
      <c r="R2079" t="str">
        <f>HYPERLINK("https://cfpub.epa.gov/ecotox/explore.cfm?ncbi=9240","Explore in ECOTOX")</f>
        <v>Explore in ECOTOX</v>
      </c>
    </row>
    <row r="2080" spans="1:18" x14ac:dyDescent="0.45">
      <c r="A2080" t="s">
        <v>1266</v>
      </c>
      <c r="B2080">
        <v>8</v>
      </c>
      <c r="C2080" t="str">
        <f>HYPERLINK("http://www.ncbi.nlm.nih.gov/protein/KAF1673942.1","KAF1673942.1")</f>
        <v>KAF1673942.1</v>
      </c>
      <c r="D2080">
        <v>46886</v>
      </c>
      <c r="E2080" t="str">
        <f>HYPERLINK("http://www.ncbi.nlm.nih.gov/Taxonomy/Browser/wwwtax.cgi?mode=Info&amp;id=30457&amp;lvl=3&amp;lin=f&amp;keep=1&amp;srchmode=1&amp;unlock","30457")</f>
        <v>30457</v>
      </c>
      <c r="F2080" t="s">
        <v>241</v>
      </c>
      <c r="G2080" t="str">
        <f>HYPERLINK("http://www.ncbi.nlm.nih.gov/Taxonomy/Browser/wwwtax.cgi?mode=Info&amp;id=30457&amp;lvl=3&amp;lin=f&amp;keep=1&amp;srchmode=1&amp;unlock","Pygoscelis papua")</f>
        <v>Pygoscelis papua</v>
      </c>
      <c r="H2080" t="s">
        <v>673</v>
      </c>
      <c r="I2080" t="str">
        <f>HYPERLINK("http://www.ncbi.nlm.nih.gov/protein/KAF1673942.1","Ryanodine receptor 2, partial")</f>
        <v>Ryanodine receptor 2, partial</v>
      </c>
      <c r="J2080">
        <v>8417.75</v>
      </c>
      <c r="K2080" t="s">
        <v>19</v>
      </c>
      <c r="L2080">
        <v>1210</v>
      </c>
      <c r="M2080">
        <v>7.13</v>
      </c>
      <c r="N2080">
        <v>82.02</v>
      </c>
      <c r="O2080" t="s">
        <v>19</v>
      </c>
      <c r="P2080" t="s">
        <v>1267</v>
      </c>
      <c r="Q2080" t="s">
        <v>19</v>
      </c>
      <c r="R2080" t="str">
        <f>HYPERLINK("https://cfpub.epa.gov/ecotox/explore.cfm?ncbi=30457","Explore in ECOTOX")</f>
        <v>Explore in ECOTOX</v>
      </c>
    </row>
    <row r="2081" spans="1:18" x14ac:dyDescent="0.45">
      <c r="A2081" t="s">
        <v>1266</v>
      </c>
      <c r="B2081">
        <v>8</v>
      </c>
      <c r="C2081" t="str">
        <f>HYPERLINK("http://www.ncbi.nlm.nih.gov/protein/NWS95887.1","NWS95887.1")</f>
        <v>NWS95887.1</v>
      </c>
      <c r="D2081">
        <v>14226</v>
      </c>
      <c r="E2081" t="str">
        <f>HYPERLINK("http://www.ncbi.nlm.nih.gov/Taxonomy/Browser/wwwtax.cgi?mode=Info&amp;id=254557&amp;lvl=3&amp;lin=f&amp;keep=1&amp;srchmode=1&amp;unlock","254557")</f>
        <v>254557</v>
      </c>
      <c r="F2081" t="s">
        <v>241</v>
      </c>
      <c r="G2081" t="str">
        <f>HYPERLINK("http://www.ncbi.nlm.nih.gov/Taxonomy/Browser/wwwtax.cgi?mode=Info&amp;id=254557&amp;lvl=3&amp;lin=f&amp;keep=1&amp;srchmode=1&amp;unlock","Mionectes macconnelli")</f>
        <v>Mionectes macconnelli</v>
      </c>
      <c r="H2081" t="s">
        <v>629</v>
      </c>
      <c r="I2081" t="str">
        <f>HYPERLINK("http://www.ncbi.nlm.nih.gov/protein/NWS95887.1","RYR2 protein")</f>
        <v>RYR2 protein</v>
      </c>
      <c r="J2081">
        <v>8417.75</v>
      </c>
      <c r="K2081" t="s">
        <v>19</v>
      </c>
      <c r="L2081">
        <v>1210</v>
      </c>
      <c r="M2081">
        <v>7.13</v>
      </c>
      <c r="N2081">
        <v>82.02</v>
      </c>
      <c r="O2081" t="s">
        <v>19</v>
      </c>
      <c r="P2081" t="s">
        <v>1267</v>
      </c>
      <c r="Q2081" t="s">
        <v>19</v>
      </c>
      <c r="R2081" t="str">
        <f>HYPERLINK("https://cfpub.epa.gov/ecotox/explore.cfm?ncbi=254557","Explore in ECOTOX")</f>
        <v>Explore in ECOTOX</v>
      </c>
    </row>
    <row r="2082" spans="1:18" x14ac:dyDescent="0.45">
      <c r="A2082" t="s">
        <v>1266</v>
      </c>
      <c r="B2082">
        <v>8</v>
      </c>
      <c r="C2082" t="str">
        <f>HYPERLINK("http://www.ncbi.nlm.nih.gov/protein/NXU18458.1","NXU18458.1")</f>
        <v>NXU18458.1</v>
      </c>
      <c r="D2082">
        <v>13722</v>
      </c>
      <c r="E2082" t="str">
        <f>HYPERLINK("http://www.ncbi.nlm.nih.gov/Taxonomy/Browser/wwwtax.cgi?mode=Info&amp;id=254575&amp;lvl=3&amp;lin=f&amp;keep=1&amp;srchmode=1&amp;unlock","254575")</f>
        <v>254575</v>
      </c>
      <c r="F2082" t="s">
        <v>241</v>
      </c>
      <c r="G2082" t="str">
        <f>HYPERLINK("http://www.ncbi.nlm.nih.gov/Taxonomy/Browser/wwwtax.cgi?mode=Info&amp;id=254575&amp;lvl=3&amp;lin=f&amp;keep=1&amp;srchmode=1&amp;unlock","Pardalotus punctatus")</f>
        <v>Pardalotus punctatus</v>
      </c>
      <c r="H2082" t="s">
        <v>656</v>
      </c>
      <c r="I2082" t="str">
        <f>HYPERLINK("http://www.ncbi.nlm.nih.gov/protein/NXU18458.1","RYR2 protein")</f>
        <v>RYR2 protein</v>
      </c>
      <c r="J2082">
        <v>8416.98</v>
      </c>
      <c r="K2082" t="s">
        <v>19</v>
      </c>
      <c r="L2082">
        <v>1210</v>
      </c>
      <c r="M2082">
        <v>7.13</v>
      </c>
      <c r="N2082">
        <v>82.01</v>
      </c>
      <c r="O2082" t="s">
        <v>19</v>
      </c>
      <c r="P2082" t="s">
        <v>1267</v>
      </c>
      <c r="Q2082" t="s">
        <v>19</v>
      </c>
      <c r="R2082" t="str">
        <f>HYPERLINK("https://cfpub.epa.gov/ecotox/explore.cfm?ncbi=254575","Explore in ECOTOX")</f>
        <v>Explore in ECOTOX</v>
      </c>
    </row>
    <row r="2083" spans="1:18" x14ac:dyDescent="0.45">
      <c r="A2083" t="s">
        <v>1266</v>
      </c>
      <c r="B2083">
        <v>8</v>
      </c>
      <c r="C2083" t="str">
        <f>HYPERLINK("http://www.ncbi.nlm.nih.gov/protein/NXH65175.1","NXH65175.1")</f>
        <v>NXH65175.1</v>
      </c>
      <c r="D2083">
        <v>14389</v>
      </c>
      <c r="E2083" t="str">
        <f>HYPERLINK("http://www.ncbi.nlm.nih.gov/Taxonomy/Browser/wwwtax.cgi?mode=Info&amp;id=237438&amp;lvl=3&amp;lin=f&amp;keep=1&amp;srchmode=1&amp;unlock","237438")</f>
        <v>237438</v>
      </c>
      <c r="F2083" t="s">
        <v>241</v>
      </c>
      <c r="G2083" t="str">
        <f>HYPERLINK("http://www.ncbi.nlm.nih.gov/Taxonomy/Browser/wwwtax.cgi?mode=Info&amp;id=237438&amp;lvl=3&amp;lin=f&amp;keep=1&amp;srchmode=1&amp;unlock","Rhabdornis inornatus")</f>
        <v>Rhabdornis inornatus</v>
      </c>
      <c r="H2083" t="s">
        <v>435</v>
      </c>
      <c r="I2083" t="str">
        <f>HYPERLINK("http://www.ncbi.nlm.nih.gov/protein/NXH65175.1","RYR2 protein")</f>
        <v>RYR2 protein</v>
      </c>
      <c r="J2083">
        <v>8416.98</v>
      </c>
      <c r="K2083" t="s">
        <v>19</v>
      </c>
      <c r="L2083">
        <v>1210</v>
      </c>
      <c r="M2083">
        <v>7.13</v>
      </c>
      <c r="N2083">
        <v>82.01</v>
      </c>
      <c r="O2083" t="s">
        <v>19</v>
      </c>
      <c r="P2083" t="s">
        <v>1267</v>
      </c>
      <c r="Q2083" t="s">
        <v>19</v>
      </c>
      <c r="R2083" t="str">
        <f>HYPERLINK("https://cfpub.epa.gov/ecotox/explore.cfm?ncbi=237438","Explore in ECOTOX")</f>
        <v>Explore in ECOTOX</v>
      </c>
    </row>
    <row r="2084" spans="1:18" x14ac:dyDescent="0.45">
      <c r="A2084" t="s">
        <v>1266</v>
      </c>
      <c r="B2084">
        <v>8</v>
      </c>
      <c r="C2084" t="str">
        <f>HYPERLINK("http://www.ncbi.nlm.nih.gov/protein/KAF1477241.1","KAF1477241.1")</f>
        <v>KAF1477241.1</v>
      </c>
      <c r="D2084">
        <v>14372</v>
      </c>
      <c r="E2084" t="str">
        <f>HYPERLINK("http://www.ncbi.nlm.nih.gov/Taxonomy/Browser/wwwtax.cgi?mode=Info&amp;id=79643&amp;lvl=3&amp;lin=f&amp;keep=1&amp;srchmode=1&amp;unlock","79643")</f>
        <v>79643</v>
      </c>
      <c r="F2084" t="s">
        <v>241</v>
      </c>
      <c r="G2084" t="str">
        <f>HYPERLINK("http://www.ncbi.nlm.nih.gov/Taxonomy/Browser/wwwtax.cgi?mode=Info&amp;id=79643&amp;lvl=3&amp;lin=f&amp;keep=1&amp;srchmode=1&amp;unlock","Pygoscelis antarcticus")</f>
        <v>Pygoscelis antarcticus</v>
      </c>
      <c r="H2084" t="s">
        <v>665</v>
      </c>
      <c r="I2084" t="str">
        <f>HYPERLINK("http://www.ncbi.nlm.nih.gov/protein/KAF1477241.1","Ryanodine receptor 2, partial")</f>
        <v>Ryanodine receptor 2, partial</v>
      </c>
      <c r="J2084">
        <v>8416.6</v>
      </c>
      <c r="K2084" t="s">
        <v>19</v>
      </c>
      <c r="L2084">
        <v>1210</v>
      </c>
      <c r="M2084">
        <v>7.13</v>
      </c>
      <c r="N2084">
        <v>82.01</v>
      </c>
      <c r="O2084" t="s">
        <v>19</v>
      </c>
      <c r="P2084" t="s">
        <v>1267</v>
      </c>
      <c r="Q2084" t="s">
        <v>19</v>
      </c>
      <c r="R2084" t="str">
        <f>HYPERLINK("https://cfpub.epa.gov/ecotox/explore.cfm?ncbi=79643","Explore in ECOTOX")</f>
        <v>Explore in ECOTOX</v>
      </c>
    </row>
    <row r="2085" spans="1:18" x14ac:dyDescent="0.45">
      <c r="A2085" t="s">
        <v>1266</v>
      </c>
      <c r="B2085">
        <v>8</v>
      </c>
      <c r="C2085" t="str">
        <f>HYPERLINK("http://www.ncbi.nlm.nih.gov/protein/NWR29859.1","NWR29859.1")</f>
        <v>NWR29859.1</v>
      </c>
      <c r="D2085">
        <v>14362</v>
      </c>
      <c r="E2085" t="str">
        <f>HYPERLINK("http://www.ncbi.nlm.nih.gov/Taxonomy/Browser/wwwtax.cgi?mode=Info&amp;id=495162&amp;lvl=3&amp;lin=f&amp;keep=1&amp;srchmode=1&amp;unlock","495162")</f>
        <v>495162</v>
      </c>
      <c r="F2085" t="s">
        <v>241</v>
      </c>
      <c r="G2085" t="str">
        <f>HYPERLINK("http://www.ncbi.nlm.nih.gov/Taxonomy/Browser/wwwtax.cgi?mode=Info&amp;id=495162&amp;lvl=3&amp;lin=f&amp;keep=1&amp;srchmode=1&amp;unlock","Tachuris rubrigastra")</f>
        <v>Tachuris rubrigastra</v>
      </c>
      <c r="H2085" t="s">
        <v>435</v>
      </c>
      <c r="I2085" t="str">
        <f>HYPERLINK("http://www.ncbi.nlm.nih.gov/protein/NWR29859.1","RYR2 protein")</f>
        <v>RYR2 protein</v>
      </c>
      <c r="J2085">
        <v>8415.83</v>
      </c>
      <c r="K2085" t="s">
        <v>19</v>
      </c>
      <c r="L2085">
        <v>1210</v>
      </c>
      <c r="M2085">
        <v>7.13</v>
      </c>
      <c r="N2085">
        <v>82</v>
      </c>
      <c r="O2085" t="s">
        <v>19</v>
      </c>
      <c r="P2085" t="s">
        <v>1267</v>
      </c>
      <c r="Q2085" t="s">
        <v>19</v>
      </c>
      <c r="R2085" t="str">
        <f>HYPERLINK("https://cfpub.epa.gov/ecotox/explore.cfm?ncbi=495162","Explore in ECOTOX")</f>
        <v>Explore in ECOTOX</v>
      </c>
    </row>
    <row r="2086" spans="1:18" x14ac:dyDescent="0.45">
      <c r="A2086" t="s">
        <v>1266</v>
      </c>
      <c r="B2086">
        <v>8</v>
      </c>
      <c r="C2086" t="str">
        <f>HYPERLINK("http://www.ncbi.nlm.nih.gov/protein/NWV34324.1","NWV34324.1")</f>
        <v>NWV34324.1</v>
      </c>
      <c r="D2086">
        <v>14091</v>
      </c>
      <c r="E2086" t="str">
        <f>HYPERLINK("http://www.ncbi.nlm.nih.gov/Taxonomy/Browser/wwwtax.cgi?mode=Info&amp;id=266360&amp;lvl=3&amp;lin=f&amp;keep=1&amp;srchmode=1&amp;unlock","266360")</f>
        <v>266360</v>
      </c>
      <c r="F2086" t="s">
        <v>241</v>
      </c>
      <c r="G2086" t="str">
        <f>HYPERLINK("http://www.ncbi.nlm.nih.gov/Taxonomy/Browser/wwwtax.cgi?mode=Info&amp;id=266360&amp;lvl=3&amp;lin=f&amp;keep=1&amp;srchmode=1&amp;unlock","Grantiella picta")</f>
        <v>Grantiella picta</v>
      </c>
      <c r="H2086" t="s">
        <v>633</v>
      </c>
      <c r="I2086" t="str">
        <f>HYPERLINK("http://www.ncbi.nlm.nih.gov/protein/NWV34324.1","RYR2 protein")</f>
        <v>RYR2 protein</v>
      </c>
      <c r="J2086">
        <v>8415.44</v>
      </c>
      <c r="K2086" t="s">
        <v>19</v>
      </c>
      <c r="L2086">
        <v>1210</v>
      </c>
      <c r="M2086">
        <v>7.13</v>
      </c>
      <c r="N2086">
        <v>82</v>
      </c>
      <c r="O2086" t="s">
        <v>19</v>
      </c>
      <c r="P2086" t="s">
        <v>1267</v>
      </c>
      <c r="Q2086" t="s">
        <v>19</v>
      </c>
      <c r="R2086" t="str">
        <f>HYPERLINK("https://cfpub.epa.gov/ecotox/explore.cfm?ncbi=266360","Explore in ECOTOX")</f>
        <v>Explore in ECOTOX</v>
      </c>
    </row>
    <row r="2087" spans="1:18" x14ac:dyDescent="0.45">
      <c r="A2087" t="s">
        <v>1266</v>
      </c>
      <c r="B2087">
        <v>8</v>
      </c>
      <c r="C2087" t="str">
        <f>HYPERLINK("http://www.ncbi.nlm.nih.gov/protein/NWW56487.1","NWW56487.1")</f>
        <v>NWW56487.1</v>
      </c>
      <c r="D2087">
        <v>14068</v>
      </c>
      <c r="E2087" t="str">
        <f>HYPERLINK("http://www.ncbi.nlm.nih.gov/Taxonomy/Browser/wwwtax.cgi?mode=Info&amp;id=461245&amp;lvl=3&amp;lin=f&amp;keep=1&amp;srchmode=1&amp;unlock","461245")</f>
        <v>461245</v>
      </c>
      <c r="F2087" t="s">
        <v>241</v>
      </c>
      <c r="G2087" t="str">
        <f>HYPERLINK("http://www.ncbi.nlm.nih.gov/Taxonomy/Browser/wwwtax.cgi?mode=Info&amp;id=461245&amp;lvl=3&amp;lin=f&amp;keep=1&amp;srchmode=1&amp;unlock","Ifrita kowaldi")</f>
        <v>Ifrita kowaldi</v>
      </c>
      <c r="H2087" t="s">
        <v>646</v>
      </c>
      <c r="I2087" t="str">
        <f>HYPERLINK("http://www.ncbi.nlm.nih.gov/protein/NWW56487.1","RYR2 protein")</f>
        <v>RYR2 protein</v>
      </c>
      <c r="J2087">
        <v>8414.67</v>
      </c>
      <c r="K2087" t="s">
        <v>19</v>
      </c>
      <c r="L2087">
        <v>1210</v>
      </c>
      <c r="M2087">
        <v>7.13</v>
      </c>
      <c r="N2087">
        <v>81.99</v>
      </c>
      <c r="O2087" t="s">
        <v>19</v>
      </c>
      <c r="P2087" t="s">
        <v>1267</v>
      </c>
      <c r="Q2087" t="s">
        <v>19</v>
      </c>
      <c r="R2087" t="str">
        <f>HYPERLINK("https://cfpub.epa.gov/ecotox/explore.cfm?ncbi=461245","Explore in ECOTOX")</f>
        <v>Explore in ECOTOX</v>
      </c>
    </row>
    <row r="2088" spans="1:18" x14ac:dyDescent="0.45">
      <c r="A2088" t="s">
        <v>1266</v>
      </c>
      <c r="B2088">
        <v>8</v>
      </c>
      <c r="C2088" t="str">
        <f>HYPERLINK("http://www.ncbi.nlm.nih.gov/protein/NXH91733.1","NXH91733.1")</f>
        <v>NXH91733.1</v>
      </c>
      <c r="D2088">
        <v>13686</v>
      </c>
      <c r="E2088" t="str">
        <f>HYPERLINK("http://www.ncbi.nlm.nih.gov/Taxonomy/Browser/wwwtax.cgi?mode=Info&amp;id=2585810&amp;lvl=3&amp;lin=f&amp;keep=1&amp;srchmode=1&amp;unlock","2585810")</f>
        <v>2585810</v>
      </c>
      <c r="F2088" t="s">
        <v>241</v>
      </c>
      <c r="G2088" t="str">
        <f>HYPERLINK("http://www.ncbi.nlm.nih.gov/Taxonomy/Browser/wwwtax.cgi?mode=Info&amp;id=2585810&amp;lvl=3&amp;lin=f&amp;keep=1&amp;srchmode=1&amp;unlock","Edolisoma coerulescens")</f>
        <v>Edolisoma coerulescens</v>
      </c>
      <c r="H2088" t="s">
        <v>643</v>
      </c>
      <c r="I2088" t="str">
        <f>HYPERLINK("http://www.ncbi.nlm.nih.gov/protein/NXH91733.1","RYR2 protein")</f>
        <v>RYR2 protein</v>
      </c>
      <c r="J2088">
        <v>8414.2900000000009</v>
      </c>
      <c r="K2088" t="s">
        <v>19</v>
      </c>
      <c r="L2088">
        <v>1210</v>
      </c>
      <c r="M2088">
        <v>7.13</v>
      </c>
      <c r="N2088">
        <v>81.99</v>
      </c>
      <c r="O2088" t="s">
        <v>19</v>
      </c>
      <c r="P2088" t="s">
        <v>1267</v>
      </c>
      <c r="Q2088" t="s">
        <v>19</v>
      </c>
      <c r="R2088" t="str">
        <f>HYPERLINK("https://cfpub.epa.gov/ecotox/explore.cfm?ncbi=2585810","Explore in ECOTOX")</f>
        <v>Explore in ECOTOX</v>
      </c>
    </row>
    <row r="2089" spans="1:18" x14ac:dyDescent="0.45">
      <c r="A2089" t="s">
        <v>1266</v>
      </c>
      <c r="B2089">
        <v>8</v>
      </c>
      <c r="C2089" t="str">
        <f>HYPERLINK("http://www.ncbi.nlm.nih.gov/protein/NXF05243.1","NXF05243.1")</f>
        <v>NXF05243.1</v>
      </c>
      <c r="D2089">
        <v>13858</v>
      </c>
      <c r="E2089" t="str">
        <f>HYPERLINK("http://www.ncbi.nlm.nih.gov/Taxonomy/Browser/wwwtax.cgi?mode=Info&amp;id=363769&amp;lvl=3&amp;lin=f&amp;keep=1&amp;srchmode=1&amp;unlock","363769")</f>
        <v>363769</v>
      </c>
      <c r="F2089" t="s">
        <v>241</v>
      </c>
      <c r="G2089" t="str">
        <f>HYPERLINK("http://www.ncbi.nlm.nih.gov/Taxonomy/Browser/wwwtax.cgi?mode=Info&amp;id=363769&amp;lvl=3&amp;lin=f&amp;keep=1&amp;srchmode=1&amp;unlock","Smithornis capensis")</f>
        <v>Smithornis capensis</v>
      </c>
      <c r="H2089" t="s">
        <v>435</v>
      </c>
      <c r="I2089" t="str">
        <f>HYPERLINK("http://www.ncbi.nlm.nih.gov/protein/NXF05243.1","RYR2 protein")</f>
        <v>RYR2 protein</v>
      </c>
      <c r="J2089">
        <v>8413.9</v>
      </c>
      <c r="K2089" t="s">
        <v>19</v>
      </c>
      <c r="L2089">
        <v>1210</v>
      </c>
      <c r="M2089">
        <v>7.13</v>
      </c>
      <c r="N2089">
        <v>81.98</v>
      </c>
      <c r="O2089" t="s">
        <v>19</v>
      </c>
      <c r="P2089" t="s">
        <v>1267</v>
      </c>
      <c r="Q2089" t="s">
        <v>19</v>
      </c>
      <c r="R2089" t="str">
        <f>HYPERLINK("https://cfpub.epa.gov/ecotox/explore.cfm?ncbi=363769","Explore in ECOTOX")</f>
        <v>Explore in ECOTOX</v>
      </c>
    </row>
    <row r="2090" spans="1:18" x14ac:dyDescent="0.45">
      <c r="A2090" t="s">
        <v>1266</v>
      </c>
      <c r="B2090">
        <v>8</v>
      </c>
      <c r="C2090" t="str">
        <f>HYPERLINK("http://www.ncbi.nlm.nih.gov/protein/NWV24355.1","NWV24355.1")</f>
        <v>NWV24355.1</v>
      </c>
      <c r="D2090">
        <v>14487</v>
      </c>
      <c r="E2090" t="str">
        <f>HYPERLINK("http://www.ncbi.nlm.nih.gov/Taxonomy/Browser/wwwtax.cgi?mode=Info&amp;id=720586&amp;lvl=3&amp;lin=f&amp;keep=1&amp;srchmode=1&amp;unlock","720586")</f>
        <v>720586</v>
      </c>
      <c r="F2090" t="s">
        <v>241</v>
      </c>
      <c r="G2090" t="str">
        <f>HYPERLINK("http://www.ncbi.nlm.nih.gov/Taxonomy/Browser/wwwtax.cgi?mode=Info&amp;id=720586&amp;lvl=3&amp;lin=f&amp;keep=1&amp;srchmode=1&amp;unlock","Origma solitaria")</f>
        <v>Origma solitaria</v>
      </c>
      <c r="H2090" t="s">
        <v>435</v>
      </c>
      <c r="I2090" t="str">
        <f>HYPERLINK("http://www.ncbi.nlm.nih.gov/protein/NWV24355.1","RYR2 protein")</f>
        <v>RYR2 protein</v>
      </c>
      <c r="J2090">
        <v>8413.51</v>
      </c>
      <c r="K2090" t="s">
        <v>19</v>
      </c>
      <c r="L2090">
        <v>1210</v>
      </c>
      <c r="M2090">
        <v>7.13</v>
      </c>
      <c r="N2090">
        <v>81.98</v>
      </c>
      <c r="O2090" t="s">
        <v>19</v>
      </c>
      <c r="P2090" t="s">
        <v>1267</v>
      </c>
      <c r="Q2090" t="s">
        <v>19</v>
      </c>
      <c r="R2090" t="str">
        <f>HYPERLINK("https://cfpub.epa.gov/ecotox/explore.cfm?ncbi=720586","Explore in ECOTOX")</f>
        <v>Explore in ECOTOX</v>
      </c>
    </row>
    <row r="2091" spans="1:18" x14ac:dyDescent="0.45">
      <c r="A2091" t="s">
        <v>1266</v>
      </c>
      <c r="B2091">
        <v>8</v>
      </c>
      <c r="C2091" t="str">
        <f>HYPERLINK("http://www.ncbi.nlm.nih.gov/protein/NWY16294.1","NWY16294.1")</f>
        <v>NWY16294.1</v>
      </c>
      <c r="D2091">
        <v>14632</v>
      </c>
      <c r="E2091" t="str">
        <f>HYPERLINK("http://www.ncbi.nlm.nih.gov/Taxonomy/Browser/wwwtax.cgi?mode=Info&amp;id=39617&amp;lvl=3&amp;lin=f&amp;keep=1&amp;srchmode=1&amp;unlock","39617")</f>
        <v>39617</v>
      </c>
      <c r="F2091" t="s">
        <v>241</v>
      </c>
      <c r="G2091" t="str">
        <f>HYPERLINK("http://www.ncbi.nlm.nih.gov/Taxonomy/Browser/wwwtax.cgi?mode=Info&amp;id=39617&amp;lvl=3&amp;lin=f&amp;keep=1&amp;srchmode=1&amp;unlock","Aphelocoma coerulescens")</f>
        <v>Aphelocoma coerulescens</v>
      </c>
      <c r="H2091" t="s">
        <v>625</v>
      </c>
      <c r="I2091" t="str">
        <f>HYPERLINK("http://www.ncbi.nlm.nih.gov/protein/NWY16294.1","RYR2 protein")</f>
        <v>RYR2 protein</v>
      </c>
      <c r="J2091">
        <v>8413.51</v>
      </c>
      <c r="K2091" t="s">
        <v>19</v>
      </c>
      <c r="L2091">
        <v>1210</v>
      </c>
      <c r="M2091">
        <v>7.13</v>
      </c>
      <c r="N2091">
        <v>81.98</v>
      </c>
      <c r="O2091" t="s">
        <v>19</v>
      </c>
      <c r="P2091" t="s">
        <v>1267</v>
      </c>
      <c r="Q2091" t="s">
        <v>19</v>
      </c>
      <c r="R2091" t="str">
        <f>HYPERLINK("https://cfpub.epa.gov/ecotox/explore.cfm?ncbi=39617","Explore in ECOTOX")</f>
        <v>Explore in ECOTOX</v>
      </c>
    </row>
    <row r="2092" spans="1:18" x14ac:dyDescent="0.45">
      <c r="A2092" t="s">
        <v>1266</v>
      </c>
      <c r="B2092">
        <v>8</v>
      </c>
      <c r="C2092" t="str">
        <f>HYPERLINK("http://www.ncbi.nlm.nih.gov/protein/NXD93569.1","NXD93569.1")</f>
        <v>NXD93569.1</v>
      </c>
      <c r="D2092">
        <v>14358</v>
      </c>
      <c r="E2092" t="str">
        <f>HYPERLINK("http://www.ncbi.nlm.nih.gov/Taxonomy/Browser/wwwtax.cgi?mode=Info&amp;id=254446&amp;lvl=3&amp;lin=f&amp;keep=1&amp;srchmode=1&amp;unlock","254446")</f>
        <v>254446</v>
      </c>
      <c r="F2092" t="s">
        <v>241</v>
      </c>
      <c r="G2092" t="str">
        <f>HYPERLINK("http://www.ncbi.nlm.nih.gov/Taxonomy/Browser/wwwtax.cgi?mode=Info&amp;id=254446&amp;lvl=3&amp;lin=f&amp;keep=1&amp;srchmode=1&amp;unlock","Chaetorhynchus papuensis")</f>
        <v>Chaetorhynchus papuensis</v>
      </c>
      <c r="H2092" t="s">
        <v>662</v>
      </c>
      <c r="I2092" t="str">
        <f>HYPERLINK("http://www.ncbi.nlm.nih.gov/protein/NXD93569.1","RYR2 protein")</f>
        <v>RYR2 protein</v>
      </c>
      <c r="J2092">
        <v>8413.1299999999992</v>
      </c>
      <c r="K2092" t="s">
        <v>19</v>
      </c>
      <c r="L2092">
        <v>1210</v>
      </c>
      <c r="M2092">
        <v>7.13</v>
      </c>
      <c r="N2092">
        <v>81.98</v>
      </c>
      <c r="O2092" t="s">
        <v>19</v>
      </c>
      <c r="P2092" t="s">
        <v>1267</v>
      </c>
      <c r="Q2092" t="s">
        <v>19</v>
      </c>
      <c r="R2092" t="str">
        <f>HYPERLINK("https://cfpub.epa.gov/ecotox/explore.cfm?ncbi=254446","Explore in ECOTOX")</f>
        <v>Explore in ECOTOX</v>
      </c>
    </row>
    <row r="2093" spans="1:18" x14ac:dyDescent="0.45">
      <c r="A2093" t="s">
        <v>1266</v>
      </c>
      <c r="B2093">
        <v>8</v>
      </c>
      <c r="C2093" t="str">
        <f>HYPERLINK("http://www.ncbi.nlm.nih.gov/protein/NWW24151.1","NWW24151.1")</f>
        <v>NWW24151.1</v>
      </c>
      <c r="D2093">
        <v>14502</v>
      </c>
      <c r="E2093" t="str">
        <f>HYPERLINK("http://www.ncbi.nlm.nih.gov/Taxonomy/Browser/wwwtax.cgi?mode=Info&amp;id=254539&amp;lvl=3&amp;lin=f&amp;keep=1&amp;srchmode=1&amp;unlock","254539")</f>
        <v>254539</v>
      </c>
      <c r="F2093" t="s">
        <v>241</v>
      </c>
      <c r="G2093" t="str">
        <f>HYPERLINK("http://www.ncbi.nlm.nih.gov/Taxonomy/Browser/wwwtax.cgi?mode=Info&amp;id=254539&amp;lvl=3&amp;lin=f&amp;keep=1&amp;srchmode=1&amp;unlock","Falcunculus frontatus")</f>
        <v>Falcunculus frontatus</v>
      </c>
      <c r="H2093" t="s">
        <v>653</v>
      </c>
      <c r="I2093" t="str">
        <f>HYPERLINK("http://www.ncbi.nlm.nih.gov/protein/NWW24151.1","RYR2 protein")</f>
        <v>RYR2 protein</v>
      </c>
      <c r="J2093">
        <v>8412.74</v>
      </c>
      <c r="K2093" t="s">
        <v>19</v>
      </c>
      <c r="L2093">
        <v>1210</v>
      </c>
      <c r="M2093">
        <v>7.13</v>
      </c>
      <c r="N2093">
        <v>81.97</v>
      </c>
      <c r="O2093" t="s">
        <v>19</v>
      </c>
      <c r="P2093" t="s">
        <v>1267</v>
      </c>
      <c r="Q2093" t="s">
        <v>19</v>
      </c>
      <c r="R2093" t="str">
        <f>HYPERLINK("https://cfpub.epa.gov/ecotox/explore.cfm?ncbi=254539","Explore in ECOTOX")</f>
        <v>Explore in ECOTOX</v>
      </c>
    </row>
    <row r="2094" spans="1:18" x14ac:dyDescent="0.45">
      <c r="A2094" t="s">
        <v>1266</v>
      </c>
      <c r="B2094">
        <v>8</v>
      </c>
      <c r="C2094" t="str">
        <f>HYPERLINK("http://www.ncbi.nlm.nih.gov/protein/NXC05808.1","NXC05808.1")</f>
        <v>NXC05808.1</v>
      </c>
      <c r="D2094">
        <v>14308</v>
      </c>
      <c r="E2094" t="str">
        <f>HYPERLINK("http://www.ncbi.nlm.nih.gov/Taxonomy/Browser/wwwtax.cgi?mode=Info&amp;id=38397&amp;lvl=3&amp;lin=f&amp;keep=1&amp;srchmode=1&amp;unlock","38397")</f>
        <v>38397</v>
      </c>
      <c r="F2094" t="s">
        <v>241</v>
      </c>
      <c r="G2094" t="str">
        <f>HYPERLINK("http://www.ncbi.nlm.nih.gov/Taxonomy/Browser/wwwtax.cgi?mode=Info&amp;id=38397&amp;lvl=3&amp;lin=f&amp;keep=1&amp;srchmode=1&amp;unlock","Orthonyx spaldingii")</f>
        <v>Orthonyx spaldingii</v>
      </c>
      <c r="H2094" t="s">
        <v>623</v>
      </c>
      <c r="I2094" t="str">
        <f>HYPERLINK("http://www.ncbi.nlm.nih.gov/protein/NXC05808.1","RYR2 protein")</f>
        <v>RYR2 protein</v>
      </c>
      <c r="J2094">
        <v>8412.36</v>
      </c>
      <c r="K2094" t="s">
        <v>19</v>
      </c>
      <c r="L2094">
        <v>1210</v>
      </c>
      <c r="M2094">
        <v>7.13</v>
      </c>
      <c r="N2094">
        <v>81.97</v>
      </c>
      <c r="O2094" t="s">
        <v>19</v>
      </c>
      <c r="P2094" t="s">
        <v>1267</v>
      </c>
      <c r="Q2094" t="s">
        <v>19</v>
      </c>
      <c r="R2094" t="str">
        <f>HYPERLINK("https://cfpub.epa.gov/ecotox/explore.cfm?ncbi=38397","Explore in ECOTOX")</f>
        <v>Explore in ECOTOX</v>
      </c>
    </row>
    <row r="2095" spans="1:18" x14ac:dyDescent="0.45">
      <c r="A2095" t="s">
        <v>1266</v>
      </c>
      <c r="B2095">
        <v>8</v>
      </c>
      <c r="C2095" t="str">
        <f>HYPERLINK("http://www.ncbi.nlm.nih.gov/protein/NWV93301.1","NWV93301.1")</f>
        <v>NWV93301.1</v>
      </c>
      <c r="D2095">
        <v>13983</v>
      </c>
      <c r="E2095" t="str">
        <f>HYPERLINK("http://www.ncbi.nlm.nih.gov/Taxonomy/Browser/wwwtax.cgi?mode=Info&amp;id=1160894&amp;lvl=3&amp;lin=f&amp;keep=1&amp;srchmode=1&amp;unlock","1160894")</f>
        <v>1160894</v>
      </c>
      <c r="F2095" t="s">
        <v>241</v>
      </c>
      <c r="G2095" t="str">
        <f>HYPERLINK("http://www.ncbi.nlm.nih.gov/Taxonomy/Browser/wwwtax.cgi?mode=Info&amp;id=1160894&amp;lvl=3&amp;lin=f&amp;keep=1&amp;srchmode=1&amp;unlock","Machaerirhynchus nigripectus")</f>
        <v>Machaerirhynchus nigripectus</v>
      </c>
      <c r="H2095" t="s">
        <v>435</v>
      </c>
      <c r="I2095" t="str">
        <f>HYPERLINK("http://www.ncbi.nlm.nih.gov/protein/NWV93301.1","RYR2 protein")</f>
        <v>RYR2 protein</v>
      </c>
      <c r="J2095">
        <v>8412.36</v>
      </c>
      <c r="K2095" t="s">
        <v>19</v>
      </c>
      <c r="L2095">
        <v>1210</v>
      </c>
      <c r="M2095">
        <v>7.13</v>
      </c>
      <c r="N2095">
        <v>81.97</v>
      </c>
      <c r="O2095" t="s">
        <v>19</v>
      </c>
      <c r="P2095" t="s">
        <v>1267</v>
      </c>
      <c r="Q2095" t="s">
        <v>19</v>
      </c>
      <c r="R2095" t="str">
        <f>HYPERLINK("https://cfpub.epa.gov/ecotox/explore.cfm?ncbi=1160894","Explore in ECOTOX")</f>
        <v>Explore in ECOTOX</v>
      </c>
    </row>
    <row r="2096" spans="1:18" x14ac:dyDescent="0.45">
      <c r="A2096" t="s">
        <v>1266</v>
      </c>
      <c r="B2096">
        <v>8</v>
      </c>
      <c r="C2096" t="str">
        <f>HYPERLINK("http://www.ncbi.nlm.nih.gov/protein/NXY40369.1","NXY40369.1")</f>
        <v>NXY40369.1</v>
      </c>
      <c r="D2096">
        <v>12236</v>
      </c>
      <c r="E2096" t="str">
        <f>HYPERLINK("http://www.ncbi.nlm.nih.gov/Taxonomy/Browser/wwwtax.cgi?mode=Info&amp;id=1961834&amp;lvl=3&amp;lin=f&amp;keep=1&amp;srchmode=1&amp;unlock","1961834")</f>
        <v>1961834</v>
      </c>
      <c r="F2096" t="s">
        <v>241</v>
      </c>
      <c r="G2096" t="str">
        <f>HYPERLINK("http://www.ncbi.nlm.nih.gov/Taxonomy/Browser/wwwtax.cgi?mode=Info&amp;id=1961834&amp;lvl=3&amp;lin=f&amp;keep=1&amp;srchmode=1&amp;unlock","Ceuthmochares aereus")</f>
        <v>Ceuthmochares aereus</v>
      </c>
      <c r="H2096" t="s">
        <v>668</v>
      </c>
      <c r="I2096" t="str">
        <f>HYPERLINK("http://www.ncbi.nlm.nih.gov/protein/NXY40369.1","RYR2 protein")</f>
        <v>RYR2 protein</v>
      </c>
      <c r="J2096">
        <v>8411.9699999999993</v>
      </c>
      <c r="K2096" t="s">
        <v>19</v>
      </c>
      <c r="L2096">
        <v>1210</v>
      </c>
      <c r="M2096">
        <v>7.13</v>
      </c>
      <c r="N2096">
        <v>81.96</v>
      </c>
      <c r="O2096" t="s">
        <v>19</v>
      </c>
      <c r="P2096" t="s">
        <v>1267</v>
      </c>
      <c r="Q2096" t="s">
        <v>19</v>
      </c>
      <c r="R2096" t="str">
        <f>HYPERLINK("https://cfpub.epa.gov/ecotox/explore.cfm?ncbi=1961834","Explore in ECOTOX")</f>
        <v>Explore in ECOTOX</v>
      </c>
    </row>
    <row r="2097" spans="1:18" x14ac:dyDescent="0.45">
      <c r="A2097" t="s">
        <v>1266</v>
      </c>
      <c r="B2097">
        <v>8</v>
      </c>
      <c r="C2097" t="str">
        <f>HYPERLINK("http://www.ncbi.nlm.nih.gov/protein/XP_045378478.1","XP_045378478.1")</f>
        <v>XP_045378478.1</v>
      </c>
      <c r="D2097">
        <v>45071</v>
      </c>
      <c r="E2097" t="str">
        <f>HYPERLINK("http://www.ncbi.nlm.nih.gov/Taxonomy/Browser/wwwtax.cgi?mode=Info&amp;id=9837&amp;lvl=3&amp;lin=f&amp;keep=1&amp;srchmode=1&amp;unlock","9837")</f>
        <v>9837</v>
      </c>
      <c r="F2097" t="s">
        <v>96</v>
      </c>
      <c r="G2097" t="str">
        <f>HYPERLINK("http://www.ncbi.nlm.nih.gov/Taxonomy/Browser/wwwtax.cgi?mode=Info&amp;id=9837&amp;lvl=3&amp;lin=f&amp;keep=1&amp;srchmode=1&amp;unlock","Camelus bactrianus")</f>
        <v>Camelus bactrianus</v>
      </c>
      <c r="H2097" t="s">
        <v>486</v>
      </c>
      <c r="I2097" t="str">
        <f>HYPERLINK("http://www.ncbi.nlm.nih.gov/protein/XP_045378478.1","ryanodine receptor 2")</f>
        <v>ryanodine receptor 2</v>
      </c>
      <c r="J2097">
        <v>8411.2000000000007</v>
      </c>
      <c r="K2097" t="s">
        <v>19</v>
      </c>
      <c r="L2097">
        <v>1210</v>
      </c>
      <c r="M2097">
        <v>7.13</v>
      </c>
      <c r="N2097">
        <v>81.96</v>
      </c>
      <c r="O2097" t="s">
        <v>19</v>
      </c>
      <c r="P2097" t="s">
        <v>1267</v>
      </c>
      <c r="Q2097" t="s">
        <v>19</v>
      </c>
      <c r="R2097" t="str">
        <f>HYPERLINK("https://cfpub.epa.gov/ecotox/explore.cfm?ncbi=9837","Explore in ECOTOX")</f>
        <v>Explore in ECOTOX</v>
      </c>
    </row>
    <row r="2098" spans="1:18" x14ac:dyDescent="0.45">
      <c r="A2098" t="s">
        <v>1266</v>
      </c>
      <c r="B2098">
        <v>8</v>
      </c>
      <c r="C2098" t="str">
        <f>HYPERLINK("http://www.ncbi.nlm.nih.gov/protein/NWU44989.1","NWU44989.1")</f>
        <v>NWU44989.1</v>
      </c>
      <c r="D2098">
        <v>13565</v>
      </c>
      <c r="E2098" t="str">
        <f>HYPERLINK("http://www.ncbi.nlm.nih.gov/Taxonomy/Browser/wwwtax.cgi?mode=Info&amp;id=208073&amp;lvl=3&amp;lin=f&amp;keep=1&amp;srchmode=1&amp;unlock","208073")</f>
        <v>208073</v>
      </c>
      <c r="F2098" t="s">
        <v>241</v>
      </c>
      <c r="G2098" t="str">
        <f>HYPERLINK("http://www.ncbi.nlm.nih.gov/Taxonomy/Browser/wwwtax.cgi?mode=Info&amp;id=208073&amp;lvl=3&amp;lin=f&amp;keep=1&amp;srchmode=1&amp;unlock","Hylia prasina")</f>
        <v>Hylia prasina</v>
      </c>
      <c r="H2098" t="s">
        <v>669</v>
      </c>
      <c r="I2098" t="str">
        <f>HYPERLINK("http://www.ncbi.nlm.nih.gov/protein/NWU44989.1","RYR2 protein")</f>
        <v>RYR2 protein</v>
      </c>
      <c r="J2098">
        <v>8410.82</v>
      </c>
      <c r="K2098" t="s">
        <v>19</v>
      </c>
      <c r="L2098">
        <v>1210</v>
      </c>
      <c r="M2098">
        <v>7.13</v>
      </c>
      <c r="N2098">
        <v>81.95</v>
      </c>
      <c r="O2098" t="s">
        <v>19</v>
      </c>
      <c r="P2098" t="s">
        <v>1267</v>
      </c>
      <c r="Q2098" t="s">
        <v>19</v>
      </c>
      <c r="R2098" t="str">
        <f>HYPERLINK("https://cfpub.epa.gov/ecotox/explore.cfm?ncbi=208073","Explore in ECOTOX")</f>
        <v>Explore in ECOTOX</v>
      </c>
    </row>
    <row r="2099" spans="1:18" x14ac:dyDescent="0.45">
      <c r="A2099" t="s">
        <v>1266</v>
      </c>
      <c r="B2099">
        <v>8</v>
      </c>
      <c r="C2099" t="str">
        <f>HYPERLINK("http://www.ncbi.nlm.nih.gov/protein/NXI45354.1","NXI45354.1")</f>
        <v>NXI45354.1</v>
      </c>
      <c r="D2099">
        <v>14683</v>
      </c>
      <c r="E2099" t="str">
        <f>HYPERLINK("http://www.ncbi.nlm.nih.gov/Taxonomy/Browser/wwwtax.cgi?mode=Info&amp;id=1109041&amp;lvl=3&amp;lin=f&amp;keep=1&amp;srchmode=1&amp;unlock","1109041")</f>
        <v>1109041</v>
      </c>
      <c r="F2099" t="s">
        <v>241</v>
      </c>
      <c r="G2099" t="str">
        <f>HYPERLINK("http://www.ncbi.nlm.nih.gov/Taxonomy/Browser/wwwtax.cgi?mode=Info&amp;id=1109041&amp;lvl=3&amp;lin=f&amp;keep=1&amp;srchmode=1&amp;unlock","Galbula dea")</f>
        <v>Galbula dea</v>
      </c>
      <c r="H2099" t="s">
        <v>456</v>
      </c>
      <c r="I2099" t="str">
        <f>HYPERLINK("http://www.ncbi.nlm.nih.gov/protein/NXI45354.1","RYR2 protein")</f>
        <v>RYR2 protein</v>
      </c>
      <c r="J2099">
        <v>8410.43</v>
      </c>
      <c r="K2099" t="s">
        <v>19</v>
      </c>
      <c r="L2099">
        <v>1210</v>
      </c>
      <c r="M2099">
        <v>7.13</v>
      </c>
      <c r="N2099">
        <v>81.95</v>
      </c>
      <c r="O2099" t="s">
        <v>19</v>
      </c>
      <c r="P2099" t="s">
        <v>1267</v>
      </c>
      <c r="Q2099" t="s">
        <v>19</v>
      </c>
      <c r="R2099" t="str">
        <f>HYPERLINK("https://cfpub.epa.gov/ecotox/explore.cfm?ncbi=1109041","Explore in ECOTOX")</f>
        <v>Explore in ECOTOX</v>
      </c>
    </row>
    <row r="2100" spans="1:18" x14ac:dyDescent="0.45">
      <c r="A2100" t="s">
        <v>1266</v>
      </c>
      <c r="B2100">
        <v>8</v>
      </c>
      <c r="C2100" t="str">
        <f>HYPERLINK("http://www.ncbi.nlm.nih.gov/protein/NXO29348.1","NXO29348.1")</f>
        <v>NXO29348.1</v>
      </c>
      <c r="D2100">
        <v>13484</v>
      </c>
      <c r="E2100" t="str">
        <f>HYPERLINK("http://www.ncbi.nlm.nih.gov/Taxonomy/Browser/wwwtax.cgi?mode=Info&amp;id=52622&amp;lvl=3&amp;lin=f&amp;keep=1&amp;srchmode=1&amp;unlock","52622")</f>
        <v>52622</v>
      </c>
      <c r="F2100" t="s">
        <v>241</v>
      </c>
      <c r="G2100" t="str">
        <f>HYPERLINK("http://www.ncbi.nlm.nih.gov/Taxonomy/Browser/wwwtax.cgi?mode=Info&amp;id=52622&amp;lvl=3&amp;lin=f&amp;keep=1&amp;srchmode=1&amp;unlock","Cisticola juncidis")</f>
        <v>Cisticola juncidis</v>
      </c>
      <c r="H2100" t="s">
        <v>435</v>
      </c>
      <c r="I2100" t="str">
        <f>HYPERLINK("http://www.ncbi.nlm.nih.gov/protein/NXO29348.1","RYR2 protein")</f>
        <v>RYR2 protein</v>
      </c>
      <c r="J2100">
        <v>8410.0499999999993</v>
      </c>
      <c r="K2100" t="s">
        <v>19</v>
      </c>
      <c r="L2100">
        <v>1210</v>
      </c>
      <c r="M2100">
        <v>7.13</v>
      </c>
      <c r="N2100">
        <v>81.95</v>
      </c>
      <c r="O2100" t="s">
        <v>19</v>
      </c>
      <c r="P2100" t="s">
        <v>1267</v>
      </c>
      <c r="Q2100" t="s">
        <v>19</v>
      </c>
      <c r="R2100" t="str">
        <f>HYPERLINK("https://cfpub.epa.gov/ecotox/explore.cfm?ncbi=52622","Explore in ECOTOX")</f>
        <v>Explore in ECOTOX</v>
      </c>
    </row>
    <row r="2101" spans="1:18" x14ac:dyDescent="0.45">
      <c r="A2101" t="s">
        <v>1266</v>
      </c>
      <c r="B2101">
        <v>8</v>
      </c>
      <c r="C2101" t="str">
        <f>HYPERLINK("http://www.ncbi.nlm.nih.gov/protein/NWX29868.1","NWX29868.1")</f>
        <v>NWX29868.1</v>
      </c>
      <c r="D2101">
        <v>13735</v>
      </c>
      <c r="E2101" t="str">
        <f>HYPERLINK("http://www.ncbi.nlm.nih.gov/Taxonomy/Browser/wwwtax.cgi?mode=Info&amp;id=366454&amp;lvl=3&amp;lin=f&amp;keep=1&amp;srchmode=1&amp;unlock","366454")</f>
        <v>366454</v>
      </c>
      <c r="F2101" t="s">
        <v>241</v>
      </c>
      <c r="G2101" t="str">
        <f>HYPERLINK("http://www.ncbi.nlm.nih.gov/Taxonomy/Browser/wwwtax.cgi?mode=Info&amp;id=366454&amp;lvl=3&amp;lin=f&amp;keep=1&amp;srchmode=1&amp;unlock","Notiomystis cincta")</f>
        <v>Notiomystis cincta</v>
      </c>
      <c r="H2101" t="s">
        <v>435</v>
      </c>
      <c r="I2101" t="str">
        <f>HYPERLINK("http://www.ncbi.nlm.nih.gov/protein/NWX29868.1","RYR2 protein")</f>
        <v>RYR2 protein</v>
      </c>
      <c r="J2101">
        <v>8409.2800000000007</v>
      </c>
      <c r="K2101" t="s">
        <v>19</v>
      </c>
      <c r="L2101">
        <v>1210</v>
      </c>
      <c r="M2101">
        <v>7.13</v>
      </c>
      <c r="N2101">
        <v>81.94</v>
      </c>
      <c r="O2101" t="s">
        <v>19</v>
      </c>
      <c r="P2101" t="s">
        <v>1267</v>
      </c>
      <c r="Q2101" t="s">
        <v>19</v>
      </c>
      <c r="R2101" t="str">
        <f>HYPERLINK("https://cfpub.epa.gov/ecotox/explore.cfm?ncbi=366454","Explore in ECOTOX")</f>
        <v>Explore in ECOTOX</v>
      </c>
    </row>
    <row r="2102" spans="1:18" x14ac:dyDescent="0.45">
      <c r="A2102" t="s">
        <v>1266</v>
      </c>
      <c r="B2102">
        <v>8</v>
      </c>
      <c r="C2102" t="str">
        <f>HYPERLINK("http://www.ncbi.nlm.nih.gov/protein/NWT08499.1","NWT08499.1")</f>
        <v>NWT08499.1</v>
      </c>
      <c r="D2102">
        <v>14153</v>
      </c>
      <c r="E2102" t="str">
        <f>HYPERLINK("http://www.ncbi.nlm.nih.gov/Taxonomy/Browser/wwwtax.cgi?mode=Info&amp;id=34956&amp;lvl=3&amp;lin=f&amp;keep=1&amp;srchmode=1&amp;unlock","34956")</f>
        <v>34956</v>
      </c>
      <c r="F2102" t="s">
        <v>241</v>
      </c>
      <c r="G2102" t="str">
        <f>HYPERLINK("http://www.ncbi.nlm.nih.gov/Taxonomy/Browser/wwwtax.cgi?mode=Info&amp;id=34956&amp;lvl=3&amp;lin=f&amp;keep=1&amp;srchmode=1&amp;unlock","Vireo altiloquus")</f>
        <v>Vireo altiloquus</v>
      </c>
      <c r="H2102" t="s">
        <v>641</v>
      </c>
      <c r="I2102" t="str">
        <f>HYPERLINK("http://www.ncbi.nlm.nih.gov/protein/NWT08499.1","RYR2 protein")</f>
        <v>RYR2 protein</v>
      </c>
      <c r="J2102">
        <v>8408.1200000000008</v>
      </c>
      <c r="K2102" t="s">
        <v>19</v>
      </c>
      <c r="L2102">
        <v>1210</v>
      </c>
      <c r="M2102">
        <v>7.13</v>
      </c>
      <c r="N2102">
        <v>81.93</v>
      </c>
      <c r="O2102" t="s">
        <v>19</v>
      </c>
      <c r="P2102" t="s">
        <v>1267</v>
      </c>
      <c r="Q2102" t="s">
        <v>19</v>
      </c>
      <c r="R2102" t="str">
        <f>HYPERLINK("https://cfpub.epa.gov/ecotox/explore.cfm?ncbi=34956","Explore in ECOTOX")</f>
        <v>Explore in ECOTOX</v>
      </c>
    </row>
    <row r="2103" spans="1:18" x14ac:dyDescent="0.45">
      <c r="A2103" t="s">
        <v>1266</v>
      </c>
      <c r="B2103">
        <v>8</v>
      </c>
      <c r="C2103" t="str">
        <f>HYPERLINK("http://www.ncbi.nlm.nih.gov/protein/NXM21844.1","NXM21844.1")</f>
        <v>NXM21844.1</v>
      </c>
      <c r="D2103">
        <v>13548</v>
      </c>
      <c r="E2103" t="str">
        <f>HYPERLINK("http://www.ncbi.nlm.nih.gov/Taxonomy/Browser/wwwtax.cgi?mode=Info&amp;id=441696&amp;lvl=3&amp;lin=f&amp;keep=1&amp;srchmode=1&amp;unlock","441696")</f>
        <v>441696</v>
      </c>
      <c r="F2103" t="s">
        <v>241</v>
      </c>
      <c r="G2103" t="str">
        <f>HYPERLINK("http://www.ncbi.nlm.nih.gov/Taxonomy/Browser/wwwtax.cgi?mode=Info&amp;id=441696&amp;lvl=3&amp;lin=f&amp;keep=1&amp;srchmode=1&amp;unlock","Ploceus nigricollis")</f>
        <v>Ploceus nigricollis</v>
      </c>
      <c r="H2103" t="s">
        <v>435</v>
      </c>
      <c r="I2103" t="str">
        <f>HYPERLINK("http://www.ncbi.nlm.nih.gov/protein/NXM21844.1","RYR2 protein")</f>
        <v>RYR2 protein</v>
      </c>
      <c r="J2103">
        <v>8402.34</v>
      </c>
      <c r="K2103" t="s">
        <v>19</v>
      </c>
      <c r="L2103">
        <v>1210</v>
      </c>
      <c r="M2103">
        <v>7.13</v>
      </c>
      <c r="N2103">
        <v>81.87</v>
      </c>
      <c r="O2103" t="s">
        <v>19</v>
      </c>
      <c r="P2103" t="s">
        <v>1267</v>
      </c>
      <c r="Q2103" t="s">
        <v>19</v>
      </c>
      <c r="R2103" t="str">
        <f>HYPERLINK("https://cfpub.epa.gov/ecotox/explore.cfm?ncbi=441696","Explore in ECOTOX")</f>
        <v>Explore in ECOTOX</v>
      </c>
    </row>
    <row r="2104" spans="1:18" x14ac:dyDescent="0.45">
      <c r="A2104" t="s">
        <v>1266</v>
      </c>
      <c r="B2104">
        <v>8</v>
      </c>
      <c r="C2104" t="str">
        <f>HYPERLINK("http://www.ncbi.nlm.nih.gov/protein/NXI29750.1","NXI29750.1")</f>
        <v>NXI29750.1</v>
      </c>
      <c r="D2104">
        <v>13252</v>
      </c>
      <c r="E2104" t="str">
        <f>HYPERLINK("http://www.ncbi.nlm.nih.gov/Taxonomy/Browser/wwwtax.cgi?mode=Info&amp;id=2585820&amp;lvl=3&amp;lin=f&amp;keep=1&amp;srchmode=1&amp;unlock","2585820")</f>
        <v>2585820</v>
      </c>
      <c r="F2104" t="s">
        <v>241</v>
      </c>
      <c r="G2104" t="str">
        <f>HYPERLINK("http://www.ncbi.nlm.nih.gov/Taxonomy/Browser/wwwtax.cgi?mode=Info&amp;id=2585820&amp;lvl=3&amp;lin=f&amp;keep=1&amp;srchmode=1&amp;unlock","Sterrhoptilus dennistouni")</f>
        <v>Sterrhoptilus dennistouni</v>
      </c>
      <c r="H2104" t="s">
        <v>670</v>
      </c>
      <c r="I2104" t="str">
        <f>HYPERLINK("http://www.ncbi.nlm.nih.gov/protein/NXI29750.1","RYR2 protein")</f>
        <v>RYR2 protein</v>
      </c>
      <c r="J2104">
        <v>8401.9599999999991</v>
      </c>
      <c r="K2104" t="s">
        <v>19</v>
      </c>
      <c r="L2104">
        <v>1210</v>
      </c>
      <c r="M2104">
        <v>7.13</v>
      </c>
      <c r="N2104">
        <v>81.87</v>
      </c>
      <c r="O2104" t="s">
        <v>19</v>
      </c>
      <c r="P2104" t="s">
        <v>1267</v>
      </c>
      <c r="Q2104" t="s">
        <v>19</v>
      </c>
      <c r="R2104" t="str">
        <f>HYPERLINK("https://cfpub.epa.gov/ecotox/explore.cfm?ncbi=2585820","Explore in ECOTOX")</f>
        <v>Explore in ECOTOX</v>
      </c>
    </row>
    <row r="2105" spans="1:18" x14ac:dyDescent="0.45">
      <c r="A2105" t="s">
        <v>1266</v>
      </c>
      <c r="B2105">
        <v>8</v>
      </c>
      <c r="C2105" t="str">
        <f>HYPERLINK("http://www.ncbi.nlm.nih.gov/protein/NWZ45024.1","NWZ45024.1")</f>
        <v>NWZ45024.1</v>
      </c>
      <c r="D2105">
        <v>12885</v>
      </c>
      <c r="E2105" t="str">
        <f>HYPERLINK("http://www.ncbi.nlm.nih.gov/Taxonomy/Browser/wwwtax.cgi?mode=Info&amp;id=182895&amp;lvl=3&amp;lin=f&amp;keep=1&amp;srchmode=1&amp;unlock","182895")</f>
        <v>182895</v>
      </c>
      <c r="F2105" t="s">
        <v>241</v>
      </c>
      <c r="G2105" t="str">
        <f>HYPERLINK("http://www.ncbi.nlm.nih.gov/Taxonomy/Browser/wwwtax.cgi?mode=Info&amp;id=182895&amp;lvl=3&amp;lin=f&amp;keep=1&amp;srchmode=1&amp;unlock","Brachypodius atriceps")</f>
        <v>Brachypodius atriceps</v>
      </c>
      <c r="H2105" t="s">
        <v>677</v>
      </c>
      <c r="I2105" t="str">
        <f>HYPERLINK("http://www.ncbi.nlm.nih.gov/protein/NWZ45024.1","RYR2 protein")</f>
        <v>RYR2 protein</v>
      </c>
      <c r="J2105">
        <v>8401.57</v>
      </c>
      <c r="K2105" t="s">
        <v>19</v>
      </c>
      <c r="L2105">
        <v>1210</v>
      </c>
      <c r="M2105">
        <v>7.13</v>
      </c>
      <c r="N2105">
        <v>81.86</v>
      </c>
      <c r="O2105" t="s">
        <v>19</v>
      </c>
      <c r="P2105" t="s">
        <v>1267</v>
      </c>
      <c r="Q2105" t="s">
        <v>19</v>
      </c>
      <c r="R2105" t="str">
        <f>HYPERLINK("https://cfpub.epa.gov/ecotox/explore.cfm?ncbi=182895","Explore in ECOTOX")</f>
        <v>Explore in ECOTOX</v>
      </c>
    </row>
    <row r="2106" spans="1:18" x14ac:dyDescent="0.45">
      <c r="A2106" t="s">
        <v>1266</v>
      </c>
      <c r="B2106">
        <v>8</v>
      </c>
      <c r="C2106" t="str">
        <f>HYPERLINK("http://www.ncbi.nlm.nih.gov/protein/NXX75670.1","NXX75670.1")</f>
        <v>NXX75670.1</v>
      </c>
      <c r="D2106">
        <v>14124</v>
      </c>
      <c r="E2106" t="str">
        <f>HYPERLINK("http://www.ncbi.nlm.nih.gov/Taxonomy/Browser/wwwtax.cgi?mode=Info&amp;id=458196&amp;lvl=3&amp;lin=f&amp;keep=1&amp;srchmode=1&amp;unlock","458196")</f>
        <v>458196</v>
      </c>
      <c r="F2106" t="s">
        <v>241</v>
      </c>
      <c r="G2106" t="str">
        <f>HYPERLINK("http://www.ncbi.nlm.nih.gov/Taxonomy/Browser/wwwtax.cgi?mode=Info&amp;id=458196&amp;lvl=3&amp;lin=f&amp;keep=1&amp;srchmode=1&amp;unlock","Urocolius indicus")</f>
        <v>Urocolius indicus</v>
      </c>
      <c r="H2106" t="s">
        <v>480</v>
      </c>
      <c r="I2106" t="str">
        <f>HYPERLINK("http://www.ncbi.nlm.nih.gov/protein/NXX75670.1","RYR2 protein")</f>
        <v>RYR2 protein</v>
      </c>
      <c r="J2106">
        <v>8401.19</v>
      </c>
      <c r="K2106" t="s">
        <v>19</v>
      </c>
      <c r="L2106">
        <v>1210</v>
      </c>
      <c r="M2106">
        <v>7.13</v>
      </c>
      <c r="N2106">
        <v>81.86</v>
      </c>
      <c r="O2106" t="s">
        <v>19</v>
      </c>
      <c r="P2106" t="s">
        <v>1267</v>
      </c>
      <c r="Q2106" t="s">
        <v>19</v>
      </c>
      <c r="R2106" t="str">
        <f>HYPERLINK("https://cfpub.epa.gov/ecotox/explore.cfm?ncbi=458196","Explore in ECOTOX")</f>
        <v>Explore in ECOTOX</v>
      </c>
    </row>
    <row r="2107" spans="1:18" x14ac:dyDescent="0.45">
      <c r="A2107" t="s">
        <v>1266</v>
      </c>
      <c r="B2107">
        <v>8</v>
      </c>
      <c r="C2107" t="str">
        <f>HYPERLINK("http://www.ncbi.nlm.nih.gov/protein/NWT49560.1","NWT49560.1")</f>
        <v>NWT49560.1</v>
      </c>
      <c r="D2107">
        <v>14073</v>
      </c>
      <c r="E2107" t="str">
        <f>HYPERLINK("http://www.ncbi.nlm.nih.gov/Taxonomy/Browser/wwwtax.cgi?mode=Info&amp;id=107208&amp;lvl=3&amp;lin=f&amp;keep=1&amp;srchmode=1&amp;unlock","107208")</f>
        <v>107208</v>
      </c>
      <c r="F2107" t="s">
        <v>241</v>
      </c>
      <c r="G2107" t="str">
        <f>HYPERLINK("http://www.ncbi.nlm.nih.gov/Taxonomy/Browser/wwwtax.cgi?mode=Info&amp;id=107208&amp;lvl=3&amp;lin=f&amp;keep=1&amp;srchmode=1&amp;unlock","Erythrocercus mccallii")</f>
        <v>Erythrocercus mccallii</v>
      </c>
      <c r="H2107" t="s">
        <v>435</v>
      </c>
      <c r="I2107" t="str">
        <f>HYPERLINK("http://www.ncbi.nlm.nih.gov/protein/NWT49560.1","RYR2 protein")</f>
        <v>RYR2 protein</v>
      </c>
      <c r="J2107">
        <v>8400.42</v>
      </c>
      <c r="K2107" t="s">
        <v>19</v>
      </c>
      <c r="L2107">
        <v>1210</v>
      </c>
      <c r="M2107">
        <v>7.13</v>
      </c>
      <c r="N2107">
        <v>81.849999999999994</v>
      </c>
      <c r="O2107" t="s">
        <v>19</v>
      </c>
      <c r="P2107" t="s">
        <v>1267</v>
      </c>
      <c r="Q2107" t="s">
        <v>19</v>
      </c>
      <c r="R2107" t="str">
        <f>HYPERLINK("https://cfpub.epa.gov/ecotox/explore.cfm?ncbi=107208","Explore in ECOTOX")</f>
        <v>Explore in ECOTOX</v>
      </c>
    </row>
    <row r="2108" spans="1:18" x14ac:dyDescent="0.45">
      <c r="A2108" t="s">
        <v>1266</v>
      </c>
      <c r="B2108">
        <v>8</v>
      </c>
      <c r="C2108" t="str">
        <f>HYPERLINK("http://www.ncbi.nlm.nih.gov/protein/NXA91172.1","NXA91172.1")</f>
        <v>NXA91172.1</v>
      </c>
      <c r="D2108">
        <v>14035</v>
      </c>
      <c r="E2108" t="str">
        <f>HYPERLINK("http://www.ncbi.nlm.nih.gov/Taxonomy/Browser/wwwtax.cgi?mode=Info&amp;id=254552&amp;lvl=3&amp;lin=f&amp;keep=1&amp;srchmode=1&amp;unlock","254552")</f>
        <v>254552</v>
      </c>
      <c r="F2108" t="s">
        <v>241</v>
      </c>
      <c r="G2108" t="str">
        <f>HYPERLINK("http://www.ncbi.nlm.nih.gov/Taxonomy/Browser/wwwtax.cgi?mode=Info&amp;id=254552&amp;lvl=3&amp;lin=f&amp;keep=1&amp;srchmode=1&amp;unlock","Melanocharis versteri")</f>
        <v>Melanocharis versteri</v>
      </c>
      <c r="H2108" t="s">
        <v>676</v>
      </c>
      <c r="I2108" t="str">
        <f>HYPERLINK("http://www.ncbi.nlm.nih.gov/protein/NXA91172.1","RYR2 protein")</f>
        <v>RYR2 protein</v>
      </c>
      <c r="J2108">
        <v>8399.26</v>
      </c>
      <c r="K2108" t="s">
        <v>19</v>
      </c>
      <c r="L2108">
        <v>1210</v>
      </c>
      <c r="M2108">
        <v>7.13</v>
      </c>
      <c r="N2108">
        <v>81.84</v>
      </c>
      <c r="O2108" t="s">
        <v>19</v>
      </c>
      <c r="P2108" t="s">
        <v>1267</v>
      </c>
      <c r="Q2108" t="s">
        <v>19</v>
      </c>
      <c r="R2108" t="str">
        <f>HYPERLINK("https://cfpub.epa.gov/ecotox/explore.cfm?ncbi=254552","Explore in ECOTOX")</f>
        <v>Explore in ECOTOX</v>
      </c>
    </row>
    <row r="2109" spans="1:18" x14ac:dyDescent="0.45">
      <c r="A2109" t="s">
        <v>1266</v>
      </c>
      <c r="B2109">
        <v>8</v>
      </c>
      <c r="C2109" t="str">
        <f>HYPERLINK("http://www.ncbi.nlm.nih.gov/protein/XP_015674514.1","XP_015674514.1")</f>
        <v>XP_015674514.1</v>
      </c>
      <c r="D2109">
        <v>23997</v>
      </c>
      <c r="E2109" t="str">
        <f>HYPERLINK("http://www.ncbi.nlm.nih.gov/Taxonomy/Browser/wwwtax.cgi?mode=Info&amp;id=103944&amp;lvl=3&amp;lin=f&amp;keep=1&amp;srchmode=1&amp;unlock","103944")</f>
        <v>103944</v>
      </c>
      <c r="F2109" t="s">
        <v>192</v>
      </c>
      <c r="G2109" t="str">
        <f>HYPERLINK("http://www.ncbi.nlm.nih.gov/Taxonomy/Browser/wwwtax.cgi?mode=Info&amp;id=103944&amp;lvl=3&amp;lin=f&amp;keep=1&amp;srchmode=1&amp;unlock","Protobothrops mucrosquamatus")</f>
        <v>Protobothrops mucrosquamatus</v>
      </c>
      <c r="H2109" t="s">
        <v>463</v>
      </c>
      <c r="I2109" t="str">
        <f>HYPERLINK("http://www.ncbi.nlm.nih.gov/protein/XP_015674514.1","ryanodine receptor 2")</f>
        <v>ryanodine receptor 2</v>
      </c>
      <c r="J2109">
        <v>8398.49</v>
      </c>
      <c r="K2109" t="s">
        <v>19</v>
      </c>
      <c r="L2109">
        <v>1210</v>
      </c>
      <c r="M2109">
        <v>7.13</v>
      </c>
      <c r="N2109">
        <v>81.83</v>
      </c>
      <c r="O2109" t="s">
        <v>19</v>
      </c>
      <c r="P2109" t="s">
        <v>1267</v>
      </c>
      <c r="Q2109" t="s">
        <v>19</v>
      </c>
      <c r="R2109" t="str">
        <f>HYPERLINK("https://cfpub.epa.gov/ecotox/explore.cfm?ncbi=103944","Explore in ECOTOX")</f>
        <v>Explore in ECOTOX</v>
      </c>
    </row>
    <row r="2110" spans="1:18" x14ac:dyDescent="0.45">
      <c r="A2110" t="s">
        <v>1266</v>
      </c>
      <c r="B2110">
        <v>8</v>
      </c>
      <c r="C2110" t="str">
        <f>HYPERLINK("http://www.ncbi.nlm.nih.gov/protein/XP_035871944.1","XP_035871944.1")</f>
        <v>XP_035871944.1</v>
      </c>
      <c r="D2110">
        <v>107581</v>
      </c>
      <c r="E2110" t="str">
        <f>HYPERLINK("http://www.ncbi.nlm.nih.gov/Taxonomy/Browser/wwwtax.cgi?mode=Info&amp;id=89673&amp;lvl=3&amp;lin=f&amp;keep=1&amp;srchmode=1&amp;unlock","89673")</f>
        <v>89673</v>
      </c>
      <c r="F2110" t="s">
        <v>96</v>
      </c>
      <c r="G2110" t="str">
        <f>HYPERLINK("http://www.ncbi.nlm.nih.gov/Taxonomy/Browser/wwwtax.cgi?mode=Info&amp;id=89673&amp;lvl=3&amp;lin=f&amp;keep=1&amp;srchmode=1&amp;unlock","Phyllostomus discolor")</f>
        <v>Phyllostomus discolor</v>
      </c>
      <c r="H2110" t="s">
        <v>475</v>
      </c>
      <c r="I2110" t="str">
        <f>HYPERLINK("http://www.ncbi.nlm.nih.gov/protein/XP_035871944.1","LOW QUALITY PROTEIN: ryanodine receptor 2")</f>
        <v>LOW QUALITY PROTEIN: ryanodine receptor 2</v>
      </c>
      <c r="J2110">
        <v>8398.49</v>
      </c>
      <c r="K2110" t="s">
        <v>19</v>
      </c>
      <c r="L2110">
        <v>1210</v>
      </c>
      <c r="M2110">
        <v>7.13</v>
      </c>
      <c r="N2110">
        <v>81.83</v>
      </c>
      <c r="O2110" t="s">
        <v>19</v>
      </c>
      <c r="P2110" t="s">
        <v>1267</v>
      </c>
      <c r="Q2110" t="s">
        <v>19</v>
      </c>
      <c r="R2110" t="str">
        <f>HYPERLINK("https://cfpub.epa.gov/ecotox/explore.cfm?ncbi=89673","Explore in ECOTOX")</f>
        <v>Explore in ECOTOX</v>
      </c>
    </row>
    <row r="2111" spans="1:18" x14ac:dyDescent="0.45">
      <c r="A2111" t="s">
        <v>1266</v>
      </c>
      <c r="B2111">
        <v>8</v>
      </c>
      <c r="C2111" t="str">
        <f>HYPERLINK("http://www.ncbi.nlm.nih.gov/protein/NWS70028.1","NWS70028.1")</f>
        <v>NWS70028.1</v>
      </c>
      <c r="D2111">
        <v>13920</v>
      </c>
      <c r="E2111" t="str">
        <f>HYPERLINK("http://www.ncbi.nlm.nih.gov/Taxonomy/Browser/wwwtax.cgi?mode=Info&amp;id=33598&amp;lvl=3&amp;lin=f&amp;keep=1&amp;srchmode=1&amp;unlock","33598")</f>
        <v>33598</v>
      </c>
      <c r="F2111" t="s">
        <v>241</v>
      </c>
      <c r="G2111" t="str">
        <f>HYPERLINK("http://www.ncbi.nlm.nih.gov/Taxonomy/Browser/wwwtax.cgi?mode=Info&amp;id=33598&amp;lvl=3&amp;lin=f&amp;keep=1&amp;srchmode=1&amp;unlock","Crotophaga sulcirostris")</f>
        <v>Crotophaga sulcirostris</v>
      </c>
      <c r="H2111" t="s">
        <v>458</v>
      </c>
      <c r="I2111" t="str">
        <f>HYPERLINK("http://www.ncbi.nlm.nih.gov/protein/NWS70028.1","RYR2 protein")</f>
        <v>RYR2 protein</v>
      </c>
      <c r="J2111">
        <v>8398.11</v>
      </c>
      <c r="K2111" t="s">
        <v>19</v>
      </c>
      <c r="L2111">
        <v>1210</v>
      </c>
      <c r="M2111">
        <v>7.13</v>
      </c>
      <c r="N2111">
        <v>81.83</v>
      </c>
      <c r="O2111" t="s">
        <v>19</v>
      </c>
      <c r="P2111" t="s">
        <v>1267</v>
      </c>
      <c r="Q2111" t="s">
        <v>19</v>
      </c>
      <c r="R2111" t="str">
        <f>HYPERLINK("https://cfpub.epa.gov/ecotox/explore.cfm?ncbi=33598","Explore in ECOTOX")</f>
        <v>Explore in ECOTOX</v>
      </c>
    </row>
    <row r="2112" spans="1:18" x14ac:dyDescent="0.45">
      <c r="A2112" t="s">
        <v>1266</v>
      </c>
      <c r="B2112">
        <v>8</v>
      </c>
      <c r="C2112" t="str">
        <f>HYPERLINK("http://www.ncbi.nlm.nih.gov/protein/NXL77397.1","NXL77397.1")</f>
        <v>NXL77397.1</v>
      </c>
      <c r="D2112">
        <v>13741</v>
      </c>
      <c r="E2112" t="str">
        <f>HYPERLINK("http://www.ncbi.nlm.nih.gov/Taxonomy/Browser/wwwtax.cgi?mode=Info&amp;id=2585812&amp;lvl=3&amp;lin=f&amp;keep=1&amp;srchmode=1&amp;unlock","2585812")</f>
        <v>2585812</v>
      </c>
      <c r="F2112" t="s">
        <v>241</v>
      </c>
      <c r="G2112" t="str">
        <f>HYPERLINK("http://www.ncbi.nlm.nih.gov/Taxonomy/Browser/wwwtax.cgi?mode=Info&amp;id=2585812&amp;lvl=3&amp;lin=f&amp;keep=1&amp;srchmode=1&amp;unlock","Leptocoma aspasia")</f>
        <v>Leptocoma aspasia</v>
      </c>
      <c r="H2112" t="s">
        <v>435</v>
      </c>
      <c r="I2112" t="str">
        <f>HYPERLINK("http://www.ncbi.nlm.nih.gov/protein/NXL77397.1","RYR2 protein")</f>
        <v>RYR2 protein</v>
      </c>
      <c r="J2112">
        <v>8396.9500000000007</v>
      </c>
      <c r="K2112" t="s">
        <v>19</v>
      </c>
      <c r="L2112">
        <v>1210</v>
      </c>
      <c r="M2112">
        <v>7.13</v>
      </c>
      <c r="N2112">
        <v>81.819999999999993</v>
      </c>
      <c r="O2112" t="s">
        <v>19</v>
      </c>
      <c r="P2112" t="s">
        <v>1267</v>
      </c>
      <c r="Q2112" t="s">
        <v>19</v>
      </c>
      <c r="R2112" t="str">
        <f>HYPERLINK("https://cfpub.epa.gov/ecotox/explore.cfm?ncbi=2585812","Explore in ECOTOX")</f>
        <v>Explore in ECOTOX</v>
      </c>
    </row>
    <row r="2113" spans="1:18" x14ac:dyDescent="0.45">
      <c r="A2113" t="s">
        <v>1266</v>
      </c>
      <c r="B2113">
        <v>8</v>
      </c>
      <c r="C2113" t="str">
        <f>HYPERLINK("http://www.ncbi.nlm.nih.gov/protein/NWT64449.1","NWT64449.1")</f>
        <v>NWT64449.1</v>
      </c>
      <c r="D2113">
        <v>13939</v>
      </c>
      <c r="E2113" t="str">
        <f>HYPERLINK("http://www.ncbi.nlm.nih.gov/Taxonomy/Browser/wwwtax.cgi?mode=Info&amp;id=670356&amp;lvl=3&amp;lin=f&amp;keep=1&amp;srchmode=1&amp;unlock","670356")</f>
        <v>670356</v>
      </c>
      <c r="F2113" t="s">
        <v>241</v>
      </c>
      <c r="G2113" t="str">
        <f>HYPERLINK("http://www.ncbi.nlm.nih.gov/Taxonomy/Browser/wwwtax.cgi?mode=Info&amp;id=670356&amp;lvl=3&amp;lin=f&amp;keep=1&amp;srchmode=1&amp;unlock","Prunella himalayana")</f>
        <v>Prunella himalayana</v>
      </c>
      <c r="H2113" t="s">
        <v>435</v>
      </c>
      <c r="I2113" t="str">
        <f>HYPERLINK("http://www.ncbi.nlm.nih.gov/protein/NWT64449.1","RYR2 protein")</f>
        <v>RYR2 protein</v>
      </c>
      <c r="J2113">
        <v>8396.18</v>
      </c>
      <c r="K2113" t="s">
        <v>19</v>
      </c>
      <c r="L2113">
        <v>1210</v>
      </c>
      <c r="M2113">
        <v>7.13</v>
      </c>
      <c r="N2113">
        <v>81.81</v>
      </c>
      <c r="O2113" t="s">
        <v>19</v>
      </c>
      <c r="P2113" t="s">
        <v>1267</v>
      </c>
      <c r="Q2113" t="s">
        <v>19</v>
      </c>
      <c r="R2113" t="str">
        <f>HYPERLINK("https://cfpub.epa.gov/ecotox/explore.cfm?ncbi=670356","Explore in ECOTOX")</f>
        <v>Explore in ECOTOX</v>
      </c>
    </row>
    <row r="2114" spans="1:18" x14ac:dyDescent="0.45">
      <c r="A2114" t="s">
        <v>1266</v>
      </c>
      <c r="B2114">
        <v>8</v>
      </c>
      <c r="C2114" t="str">
        <f>HYPERLINK("http://www.ncbi.nlm.nih.gov/protein/NXA99462.1","NXA99462.1")</f>
        <v>NXA99462.1</v>
      </c>
      <c r="D2114">
        <v>14160</v>
      </c>
      <c r="E2114" t="str">
        <f>HYPERLINK("http://www.ncbi.nlm.nih.gov/Taxonomy/Browser/wwwtax.cgi?mode=Info&amp;id=254448&amp;lvl=3&amp;lin=f&amp;keep=1&amp;srchmode=1&amp;unlock","254448")</f>
        <v>254448</v>
      </c>
      <c r="F2114" t="s">
        <v>241</v>
      </c>
      <c r="G2114" t="str">
        <f>HYPERLINK("http://www.ncbi.nlm.nih.gov/Taxonomy/Browser/wwwtax.cgi?mode=Info&amp;id=254448&amp;lvl=3&amp;lin=f&amp;keep=1&amp;srchmode=1&amp;unlock","Cnemophilus loriae")</f>
        <v>Cnemophilus loriae</v>
      </c>
      <c r="H2114" t="s">
        <v>666</v>
      </c>
      <c r="I2114" t="str">
        <f>HYPERLINK("http://www.ncbi.nlm.nih.gov/protein/NXA99462.1","RYR2 protein")</f>
        <v>RYR2 protein</v>
      </c>
      <c r="J2114">
        <v>8396.18</v>
      </c>
      <c r="K2114" t="s">
        <v>19</v>
      </c>
      <c r="L2114">
        <v>1210</v>
      </c>
      <c r="M2114">
        <v>7.13</v>
      </c>
      <c r="N2114">
        <v>81.81</v>
      </c>
      <c r="O2114" t="s">
        <v>19</v>
      </c>
      <c r="P2114" t="s">
        <v>1267</v>
      </c>
      <c r="Q2114" t="s">
        <v>19</v>
      </c>
      <c r="R2114" t="str">
        <f>HYPERLINK("https://cfpub.epa.gov/ecotox/explore.cfm?ncbi=254448","Explore in ECOTOX")</f>
        <v>Explore in ECOTOX</v>
      </c>
    </row>
    <row r="2115" spans="1:18" x14ac:dyDescent="0.45">
      <c r="A2115" t="s">
        <v>1266</v>
      </c>
      <c r="B2115">
        <v>8</v>
      </c>
      <c r="C2115" t="str">
        <f>HYPERLINK("http://www.ncbi.nlm.nih.gov/protein/NWR99510.1","NWR99510.1")</f>
        <v>NWR99510.1</v>
      </c>
      <c r="D2115">
        <v>13667</v>
      </c>
      <c r="E2115" t="str">
        <f>HYPERLINK("http://www.ncbi.nlm.nih.gov/Taxonomy/Browser/wwwtax.cgi?mode=Info&amp;id=45807&amp;lvl=3&amp;lin=f&amp;keep=1&amp;srchmode=1&amp;unlock","45807")</f>
        <v>45807</v>
      </c>
      <c r="F2115" t="s">
        <v>241</v>
      </c>
      <c r="G2115" t="str">
        <f>HYPERLINK("http://www.ncbi.nlm.nih.gov/Taxonomy/Browser/wwwtax.cgi?mode=Info&amp;id=45807&amp;lvl=3&amp;lin=f&amp;keep=1&amp;srchmode=1&amp;unlock","Motacilla alba")</f>
        <v>Motacilla alba</v>
      </c>
      <c r="H2115" t="s">
        <v>558</v>
      </c>
      <c r="I2115" t="str">
        <f>HYPERLINK("http://www.ncbi.nlm.nih.gov/protein/NWR99510.1","RYR2 protein")</f>
        <v>RYR2 protein</v>
      </c>
      <c r="J2115">
        <v>8395.7999999999993</v>
      </c>
      <c r="K2115" t="s">
        <v>19</v>
      </c>
      <c r="L2115">
        <v>1210</v>
      </c>
      <c r="M2115">
        <v>7.13</v>
      </c>
      <c r="N2115">
        <v>81.81</v>
      </c>
      <c r="O2115" t="s">
        <v>19</v>
      </c>
      <c r="P2115" t="s">
        <v>1267</v>
      </c>
      <c r="Q2115" t="s">
        <v>19</v>
      </c>
      <c r="R2115" t="str">
        <f>HYPERLINK("https://cfpub.epa.gov/ecotox/explore.cfm?ncbi=45807","Explore in ECOTOX")</f>
        <v>Explore in ECOTOX</v>
      </c>
    </row>
    <row r="2116" spans="1:18" x14ac:dyDescent="0.45">
      <c r="A2116" t="s">
        <v>1266</v>
      </c>
      <c r="B2116">
        <v>8</v>
      </c>
      <c r="C2116" t="str">
        <f>HYPERLINK("http://www.ncbi.nlm.nih.gov/protein/NXY29416.1","NXY29416.1")</f>
        <v>NXY29416.1</v>
      </c>
      <c r="D2116">
        <v>13354</v>
      </c>
      <c r="E2116" t="str">
        <f>HYPERLINK("http://www.ncbi.nlm.nih.gov/Taxonomy/Browser/wwwtax.cgi?mode=Info&amp;id=932028&amp;lvl=3&amp;lin=f&amp;keep=1&amp;srchmode=1&amp;unlock","932028")</f>
        <v>932028</v>
      </c>
      <c r="F2116" t="s">
        <v>241</v>
      </c>
      <c r="G2116" t="str">
        <f>HYPERLINK("http://www.ncbi.nlm.nih.gov/Taxonomy/Browser/wwwtax.cgi?mode=Info&amp;id=932028&amp;lvl=3&amp;lin=f&amp;keep=1&amp;srchmode=1&amp;unlock","Pomatorhinus ruficollis")</f>
        <v>Pomatorhinus ruficollis</v>
      </c>
      <c r="H2116" t="s">
        <v>681</v>
      </c>
      <c r="I2116" t="str">
        <f>HYPERLINK("http://www.ncbi.nlm.nih.gov/protein/NXY29416.1","RYR2 protein")</f>
        <v>RYR2 protein</v>
      </c>
      <c r="J2116">
        <v>8395.41</v>
      </c>
      <c r="K2116" t="s">
        <v>19</v>
      </c>
      <c r="L2116">
        <v>1210</v>
      </c>
      <c r="M2116">
        <v>7.13</v>
      </c>
      <c r="N2116">
        <v>81.8</v>
      </c>
      <c r="O2116" t="s">
        <v>19</v>
      </c>
      <c r="P2116" t="s">
        <v>1267</v>
      </c>
      <c r="Q2116" t="s">
        <v>19</v>
      </c>
      <c r="R2116" t="str">
        <f>HYPERLINK("https://cfpub.epa.gov/ecotox/explore.cfm?ncbi=932028","Explore in ECOTOX")</f>
        <v>Explore in ECOTOX</v>
      </c>
    </row>
    <row r="2117" spans="1:18" x14ac:dyDescent="0.45">
      <c r="A2117" t="s">
        <v>1266</v>
      </c>
      <c r="B2117">
        <v>8</v>
      </c>
      <c r="C2117" t="str">
        <f>HYPERLINK("http://www.ncbi.nlm.nih.gov/protein/XP_057386888.1","XP_057386888.1")</f>
        <v>XP_057386888.1</v>
      </c>
      <c r="D2117">
        <v>54190</v>
      </c>
      <c r="E2117" t="str">
        <f>HYPERLINK("http://www.ncbi.nlm.nih.gov/Taxonomy/Browser/wwwtax.cgi?mode=Info&amp;id=9767&amp;lvl=3&amp;lin=f&amp;keep=1&amp;srchmode=1&amp;unlock","9767")</f>
        <v>9767</v>
      </c>
      <c r="F2117" t="s">
        <v>96</v>
      </c>
      <c r="G2117" t="str">
        <f>HYPERLINK("http://www.ncbi.nlm.nih.gov/Taxonomy/Browser/wwwtax.cgi?mode=Info&amp;id=9767&amp;lvl=3&amp;lin=f&amp;keep=1&amp;srchmode=1&amp;unlock","Balaenoptera acutorostrata")</f>
        <v>Balaenoptera acutorostrata</v>
      </c>
      <c r="H2117" t="s">
        <v>689</v>
      </c>
      <c r="I2117" t="str">
        <f>HYPERLINK("http://www.ncbi.nlm.nih.gov/protein/XP_057386888.1","ryanodine receptor 2 isoform X4")</f>
        <v>ryanodine receptor 2 isoform X4</v>
      </c>
      <c r="J2117">
        <v>8393.48</v>
      </c>
      <c r="K2117" t="s">
        <v>19</v>
      </c>
      <c r="L2117">
        <v>1210</v>
      </c>
      <c r="M2117">
        <v>7.13</v>
      </c>
      <c r="N2117">
        <v>81.78</v>
      </c>
      <c r="O2117" t="s">
        <v>19</v>
      </c>
      <c r="P2117" t="s">
        <v>1267</v>
      </c>
      <c r="Q2117" t="s">
        <v>19</v>
      </c>
      <c r="R2117" t="str">
        <f>HYPERLINK("https://cfpub.epa.gov/ecotox/explore.cfm?ncbi=9767","Explore in ECOTOX")</f>
        <v>Explore in ECOTOX</v>
      </c>
    </row>
    <row r="2118" spans="1:18" x14ac:dyDescent="0.45">
      <c r="A2118" t="s">
        <v>1266</v>
      </c>
      <c r="B2118">
        <v>8</v>
      </c>
      <c r="C2118" t="str">
        <f>HYPERLINK("http://www.ncbi.nlm.nih.gov/protein/XP_023583920.1","XP_023583920.1")</f>
        <v>XP_023583920.1</v>
      </c>
      <c r="D2118">
        <v>37488</v>
      </c>
      <c r="E2118" t="str">
        <f>HYPERLINK("http://www.ncbi.nlm.nih.gov/Taxonomy/Browser/wwwtax.cgi?mode=Info&amp;id=127582&amp;lvl=3&amp;lin=f&amp;keep=1&amp;srchmode=1&amp;unlock","127582")</f>
        <v>127582</v>
      </c>
      <c r="F2118" t="s">
        <v>96</v>
      </c>
      <c r="G2118" t="str">
        <f>HYPERLINK("http://www.ncbi.nlm.nih.gov/Taxonomy/Browser/wwwtax.cgi?mode=Info&amp;id=127582&amp;lvl=3&amp;lin=f&amp;keep=1&amp;srchmode=1&amp;unlock","Trichechus manatus latirostris")</f>
        <v>Trichechus manatus latirostris</v>
      </c>
      <c r="H2118" t="s">
        <v>515</v>
      </c>
      <c r="I2118" t="str">
        <f>HYPERLINK("http://www.ncbi.nlm.nih.gov/protein/XP_023583920.1","ryanodine receptor 2")</f>
        <v>ryanodine receptor 2</v>
      </c>
      <c r="J2118">
        <v>8392.7099999999991</v>
      </c>
      <c r="K2118" t="s">
        <v>19</v>
      </c>
      <c r="L2118">
        <v>1210</v>
      </c>
      <c r="M2118">
        <v>7.13</v>
      </c>
      <c r="N2118">
        <v>81.78</v>
      </c>
      <c r="O2118" t="s">
        <v>19</v>
      </c>
      <c r="P2118" t="s">
        <v>1267</v>
      </c>
      <c r="Q2118" t="s">
        <v>19</v>
      </c>
      <c r="R2118" t="str">
        <f>HYPERLINK("https://cfpub.epa.gov/ecotox/explore.cfm?ncbi=127582","Explore in ECOTOX")</f>
        <v>Explore in ECOTOX</v>
      </c>
    </row>
    <row r="2119" spans="1:18" x14ac:dyDescent="0.45">
      <c r="A2119" t="s">
        <v>1266</v>
      </c>
      <c r="B2119">
        <v>8</v>
      </c>
      <c r="C2119" t="str">
        <f>HYPERLINK("http://www.ncbi.nlm.nih.gov/protein/NXO78085.1","NXO78085.1")</f>
        <v>NXO78085.1</v>
      </c>
      <c r="D2119">
        <v>13780</v>
      </c>
      <c r="E2119" t="str">
        <f>HYPERLINK("http://www.ncbi.nlm.nih.gov/Taxonomy/Browser/wwwtax.cgi?mode=Info&amp;id=50251&amp;lvl=3&amp;lin=f&amp;keep=1&amp;srchmode=1&amp;unlock","50251")</f>
        <v>50251</v>
      </c>
      <c r="F2119" t="s">
        <v>241</v>
      </c>
      <c r="G2119" t="str">
        <f>HYPERLINK("http://www.ncbi.nlm.nih.gov/Taxonomy/Browser/wwwtax.cgi?mode=Info&amp;id=50251&amp;lvl=3&amp;lin=f&amp;keep=1&amp;srchmode=1&amp;unlock","Sitta europaea")</f>
        <v>Sitta europaea</v>
      </c>
      <c r="H2119" t="s">
        <v>680</v>
      </c>
      <c r="I2119" t="str">
        <f>HYPERLINK("http://www.ncbi.nlm.nih.gov/protein/NXO78085.1","RYR2 protein")</f>
        <v>RYR2 protein</v>
      </c>
      <c r="J2119">
        <v>8391.94</v>
      </c>
      <c r="K2119" t="s">
        <v>19</v>
      </c>
      <c r="L2119">
        <v>1210</v>
      </c>
      <c r="M2119">
        <v>7.13</v>
      </c>
      <c r="N2119">
        <v>81.77</v>
      </c>
      <c r="O2119" t="s">
        <v>19</v>
      </c>
      <c r="P2119" t="s">
        <v>1267</v>
      </c>
      <c r="Q2119" t="s">
        <v>19</v>
      </c>
      <c r="R2119" t="str">
        <f>HYPERLINK("https://cfpub.epa.gov/ecotox/explore.cfm?ncbi=50251","Explore in ECOTOX")</f>
        <v>Explore in ECOTOX</v>
      </c>
    </row>
    <row r="2120" spans="1:18" x14ac:dyDescent="0.45">
      <c r="A2120" t="s">
        <v>1266</v>
      </c>
      <c r="B2120">
        <v>8</v>
      </c>
      <c r="C2120" t="str">
        <f>HYPERLINK("http://www.ncbi.nlm.nih.gov/protein/NXG97260.1","NXG97260.1")</f>
        <v>NXG97260.1</v>
      </c>
      <c r="D2120">
        <v>14012</v>
      </c>
      <c r="E2120" t="str">
        <f>HYPERLINK("http://www.ncbi.nlm.nih.gov/Taxonomy/Browser/wwwtax.cgi?mode=Info&amp;id=96539&amp;lvl=3&amp;lin=f&amp;keep=1&amp;srchmode=1&amp;unlock","96539")</f>
        <v>96539</v>
      </c>
      <c r="F2120" t="s">
        <v>241</v>
      </c>
      <c r="G2120" t="str">
        <f>HYPERLINK("http://www.ncbi.nlm.nih.gov/Taxonomy/Browser/wwwtax.cgi?mode=Info&amp;id=96539&amp;lvl=3&amp;lin=f&amp;keep=1&amp;srchmode=1&amp;unlock","Loxia leucoptera")</f>
        <v>Loxia leucoptera</v>
      </c>
      <c r="H2120" t="s">
        <v>675</v>
      </c>
      <c r="I2120" t="str">
        <f>HYPERLINK("http://www.ncbi.nlm.nih.gov/protein/NXG97260.1","RYR2 protein")</f>
        <v>RYR2 protein</v>
      </c>
      <c r="J2120">
        <v>8391.56</v>
      </c>
      <c r="K2120" t="s">
        <v>19</v>
      </c>
      <c r="L2120">
        <v>1210</v>
      </c>
      <c r="M2120">
        <v>7.13</v>
      </c>
      <c r="N2120">
        <v>81.77</v>
      </c>
      <c r="O2120" t="s">
        <v>19</v>
      </c>
      <c r="P2120" t="s">
        <v>1267</v>
      </c>
      <c r="Q2120" t="s">
        <v>19</v>
      </c>
      <c r="R2120" t="str">
        <f>HYPERLINK("https://cfpub.epa.gov/ecotox/explore.cfm?ncbi=96539","Explore in ECOTOX")</f>
        <v>Explore in ECOTOX</v>
      </c>
    </row>
    <row r="2121" spans="1:18" x14ac:dyDescent="0.45">
      <c r="A2121" t="s">
        <v>1266</v>
      </c>
      <c r="B2121">
        <v>8</v>
      </c>
      <c r="C2121" t="str">
        <f>HYPERLINK("http://www.ncbi.nlm.nih.gov/protein/NXY64415.1","NXY64415.1")</f>
        <v>NXY64415.1</v>
      </c>
      <c r="D2121">
        <v>14612</v>
      </c>
      <c r="E2121" t="str">
        <f>HYPERLINK("http://www.ncbi.nlm.nih.gov/Taxonomy/Browser/wwwtax.cgi?mode=Info&amp;id=1347786&amp;lvl=3&amp;lin=f&amp;keep=1&amp;srchmode=1&amp;unlock","1347786")</f>
        <v>1347786</v>
      </c>
      <c r="F2121" t="s">
        <v>241</v>
      </c>
      <c r="G2121" t="str">
        <f>HYPERLINK("http://www.ncbi.nlm.nih.gov/Taxonomy/Browser/wwwtax.cgi?mode=Info&amp;id=1347786&amp;lvl=3&amp;lin=f&amp;keep=1&amp;srchmode=1&amp;unlock","Callaeas wilsoni")</f>
        <v>Callaeas wilsoni</v>
      </c>
      <c r="H2121" t="s">
        <v>674</v>
      </c>
      <c r="I2121" t="str">
        <f>HYPERLINK("http://www.ncbi.nlm.nih.gov/protein/NXY64415.1","RYR2 protein")</f>
        <v>RYR2 protein</v>
      </c>
      <c r="J2121">
        <v>8390.7900000000009</v>
      </c>
      <c r="K2121" t="s">
        <v>19</v>
      </c>
      <c r="L2121">
        <v>1210</v>
      </c>
      <c r="M2121">
        <v>7.13</v>
      </c>
      <c r="N2121">
        <v>81.760000000000005</v>
      </c>
      <c r="O2121" t="s">
        <v>19</v>
      </c>
      <c r="P2121" t="s">
        <v>1267</v>
      </c>
      <c r="Q2121" t="s">
        <v>19</v>
      </c>
      <c r="R2121" t="str">
        <f>HYPERLINK("https://cfpub.epa.gov/ecotox/explore.cfm?ncbi=1347786","Explore in ECOTOX")</f>
        <v>Explore in ECOTOX</v>
      </c>
    </row>
    <row r="2122" spans="1:18" x14ac:dyDescent="0.45">
      <c r="A2122" t="s">
        <v>1266</v>
      </c>
      <c r="B2122">
        <v>8</v>
      </c>
      <c r="C2122" t="str">
        <f>HYPERLINK("http://www.ncbi.nlm.nih.gov/protein/TSL04189.1","TSL04189.1")</f>
        <v>TSL04189.1</v>
      </c>
      <c r="D2122">
        <v>17329</v>
      </c>
      <c r="E2122" t="str">
        <f>HYPERLINK("http://www.ncbi.nlm.nih.gov/Taxonomy/Browser/wwwtax.cgi?mode=Info&amp;id=175774&amp;lvl=3&amp;lin=f&amp;keep=1&amp;srchmode=1&amp;unlock","175774")</f>
        <v>175774</v>
      </c>
      <c r="F2122" t="s">
        <v>17</v>
      </c>
      <c r="G2122" t="str">
        <f>HYPERLINK("http://www.ncbi.nlm.nih.gov/Taxonomy/Browser/wwwtax.cgi?mode=Info&amp;id=175774&amp;lvl=3&amp;lin=f&amp;keep=1&amp;srchmode=1&amp;unlock","Bagarius yarrelli")</f>
        <v>Bagarius yarrelli</v>
      </c>
      <c r="H2122" t="s">
        <v>518</v>
      </c>
      <c r="I2122" t="str">
        <f>HYPERLINK("http://www.ncbi.nlm.nih.gov/protein/TSL04189.1","Ryanodine receptor 2")</f>
        <v>Ryanodine receptor 2</v>
      </c>
      <c r="J2122">
        <v>8389.6299999999992</v>
      </c>
      <c r="K2122" t="s">
        <v>19</v>
      </c>
      <c r="L2122">
        <v>1210</v>
      </c>
      <c r="M2122">
        <v>7.13</v>
      </c>
      <c r="N2122">
        <v>81.75</v>
      </c>
      <c r="O2122" t="s">
        <v>19</v>
      </c>
      <c r="P2122" t="s">
        <v>1267</v>
      </c>
      <c r="Q2122" t="s">
        <v>19</v>
      </c>
      <c r="R2122" t="str">
        <f>HYPERLINK("https://cfpub.epa.gov/ecotox/explore.cfm?ncbi=175774","Explore in ECOTOX")</f>
        <v>Explore in ECOTOX</v>
      </c>
    </row>
    <row r="2123" spans="1:18" x14ac:dyDescent="0.45">
      <c r="A2123" t="s">
        <v>1266</v>
      </c>
      <c r="B2123">
        <v>8</v>
      </c>
      <c r="C2123" t="str">
        <f>HYPERLINK("http://www.ncbi.nlm.nih.gov/protein/XP_026560789.1","XP_026560789.1")</f>
        <v>XP_026560789.1</v>
      </c>
      <c r="D2123">
        <v>31828</v>
      </c>
      <c r="E2123" t="str">
        <f>HYPERLINK("http://www.ncbi.nlm.nih.gov/Taxonomy/Browser/wwwtax.cgi?mode=Info&amp;id=8673&amp;lvl=3&amp;lin=f&amp;keep=1&amp;srchmode=1&amp;unlock","8673")</f>
        <v>8673</v>
      </c>
      <c r="F2123" t="s">
        <v>192</v>
      </c>
      <c r="G2123" t="str">
        <f>HYPERLINK("http://www.ncbi.nlm.nih.gov/Taxonomy/Browser/wwwtax.cgi?mode=Info&amp;id=8673&amp;lvl=3&amp;lin=f&amp;keep=1&amp;srchmode=1&amp;unlock","Pseudonaja textilis")</f>
        <v>Pseudonaja textilis</v>
      </c>
      <c r="H2123" t="s">
        <v>433</v>
      </c>
      <c r="I2123" t="str">
        <f>HYPERLINK("http://www.ncbi.nlm.nih.gov/protein/XP_026560789.1","ryanodine receptor 2")</f>
        <v>ryanodine receptor 2</v>
      </c>
      <c r="J2123">
        <v>8389.25</v>
      </c>
      <c r="K2123" t="s">
        <v>19</v>
      </c>
      <c r="L2123">
        <v>1210</v>
      </c>
      <c r="M2123">
        <v>7.13</v>
      </c>
      <c r="N2123">
        <v>81.739999999999995</v>
      </c>
      <c r="O2123" t="s">
        <v>19</v>
      </c>
      <c r="P2123" t="s">
        <v>1267</v>
      </c>
      <c r="Q2123" t="s">
        <v>19</v>
      </c>
      <c r="R2123" t="str">
        <f>HYPERLINK("https://cfpub.epa.gov/ecotox/explore.cfm?ncbi=8673","Explore in ECOTOX")</f>
        <v>Explore in ECOTOX</v>
      </c>
    </row>
    <row r="2124" spans="1:18" x14ac:dyDescent="0.45">
      <c r="A2124" t="s">
        <v>1266</v>
      </c>
      <c r="B2124">
        <v>8</v>
      </c>
      <c r="C2124" t="str">
        <f>HYPERLINK("http://www.ncbi.nlm.nih.gov/protein/NXQ35610.1","NXQ35610.1")</f>
        <v>NXQ35610.1</v>
      </c>
      <c r="D2124">
        <v>14402</v>
      </c>
      <c r="E2124" t="str">
        <f>HYPERLINK("http://www.ncbi.nlm.nih.gov/Taxonomy/Browser/wwwtax.cgi?mode=Info&amp;id=670337&amp;lvl=3&amp;lin=f&amp;keep=1&amp;srchmode=1&amp;unlock","670337")</f>
        <v>670337</v>
      </c>
      <c r="F2124" t="s">
        <v>241</v>
      </c>
      <c r="G2124" t="str">
        <f>HYPERLINK("http://www.ncbi.nlm.nih.gov/Taxonomy/Browser/wwwtax.cgi?mode=Info&amp;id=670337&amp;lvl=3&amp;lin=f&amp;keep=1&amp;srchmode=1&amp;unlock","Alaudala cheleensis")</f>
        <v>Alaudala cheleensis</v>
      </c>
      <c r="H2124" t="s">
        <v>678</v>
      </c>
      <c r="I2124" t="str">
        <f>HYPERLINK("http://www.ncbi.nlm.nih.gov/protein/NXQ35610.1","RYR2 protein")</f>
        <v>RYR2 protein</v>
      </c>
      <c r="J2124">
        <v>8388.86</v>
      </c>
      <c r="K2124" t="s">
        <v>19</v>
      </c>
      <c r="L2124">
        <v>1210</v>
      </c>
      <c r="M2124">
        <v>7.13</v>
      </c>
      <c r="N2124">
        <v>81.739999999999995</v>
      </c>
      <c r="O2124" t="s">
        <v>19</v>
      </c>
      <c r="P2124" t="s">
        <v>1267</v>
      </c>
      <c r="Q2124" t="s">
        <v>19</v>
      </c>
      <c r="R2124" t="str">
        <f>HYPERLINK("https://cfpub.epa.gov/ecotox/explore.cfm?ncbi=670337","Explore in ECOTOX")</f>
        <v>Explore in ECOTOX</v>
      </c>
    </row>
    <row r="2125" spans="1:18" x14ac:dyDescent="0.45">
      <c r="A2125" t="s">
        <v>1266</v>
      </c>
      <c r="B2125">
        <v>8</v>
      </c>
      <c r="C2125" t="str">
        <f>HYPERLINK("http://www.ncbi.nlm.nih.gov/protein/XP_006872072.1","XP_006872072.1")</f>
        <v>XP_006872072.1</v>
      </c>
      <c r="D2125">
        <v>25294</v>
      </c>
      <c r="E2125" t="str">
        <f>HYPERLINK("http://www.ncbi.nlm.nih.gov/Taxonomy/Browser/wwwtax.cgi?mode=Info&amp;id=185453&amp;lvl=3&amp;lin=f&amp;keep=1&amp;srchmode=1&amp;unlock","185453")</f>
        <v>185453</v>
      </c>
      <c r="F2125" t="s">
        <v>96</v>
      </c>
      <c r="G2125" t="str">
        <f>HYPERLINK("http://www.ncbi.nlm.nih.gov/Taxonomy/Browser/wwwtax.cgi?mode=Info&amp;id=185453&amp;lvl=3&amp;lin=f&amp;keep=1&amp;srchmode=1&amp;unlock","Chrysochloris asiatica")</f>
        <v>Chrysochloris asiatica</v>
      </c>
      <c r="H2125" t="s">
        <v>494</v>
      </c>
      <c r="I2125" t="str">
        <f>HYPERLINK("http://www.ncbi.nlm.nih.gov/protein/XP_006872072.1","PREDICTED: ryanodine receptor 2")</f>
        <v>PREDICTED: ryanodine receptor 2</v>
      </c>
      <c r="J2125">
        <v>8385.7800000000007</v>
      </c>
      <c r="K2125" t="s">
        <v>19</v>
      </c>
      <c r="L2125">
        <v>1210</v>
      </c>
      <c r="M2125">
        <v>7.13</v>
      </c>
      <c r="N2125">
        <v>81.709999999999994</v>
      </c>
      <c r="O2125" t="s">
        <v>19</v>
      </c>
      <c r="P2125" t="s">
        <v>1267</v>
      </c>
      <c r="Q2125" t="s">
        <v>19</v>
      </c>
      <c r="R2125" t="str">
        <f>HYPERLINK("https://cfpub.epa.gov/ecotox/explore.cfm?ncbi=185453","Explore in ECOTOX")</f>
        <v>Explore in ECOTOX</v>
      </c>
    </row>
    <row r="2126" spans="1:18" x14ac:dyDescent="0.45">
      <c r="A2126" t="s">
        <v>1266</v>
      </c>
      <c r="B2126">
        <v>8</v>
      </c>
      <c r="C2126" t="str">
        <f>HYPERLINK("http://www.ncbi.nlm.nih.gov/protein/NWR71433.1","NWR71433.1")</f>
        <v>NWR71433.1</v>
      </c>
      <c r="D2126">
        <v>14036</v>
      </c>
      <c r="E2126" t="str">
        <f>HYPERLINK("http://www.ncbi.nlm.nih.gov/Taxonomy/Browser/wwwtax.cgi?mode=Info&amp;id=1118519&amp;lvl=3&amp;lin=f&amp;keep=1&amp;srchmode=1&amp;unlock","1118519")</f>
        <v>1118519</v>
      </c>
      <c r="F2126" t="s">
        <v>241</v>
      </c>
      <c r="G2126" t="str">
        <f>HYPERLINK("http://www.ncbi.nlm.nih.gov/Taxonomy/Browser/wwwtax.cgi?mode=Info&amp;id=1118519&amp;lvl=3&amp;lin=f&amp;keep=1&amp;srchmode=1&amp;unlock","Centropus unirufus")</f>
        <v>Centropus unirufus</v>
      </c>
      <c r="H2126" t="s">
        <v>468</v>
      </c>
      <c r="I2126" t="str">
        <f>HYPERLINK("http://www.ncbi.nlm.nih.gov/protein/NWR71433.1","RYR2 protein")</f>
        <v>RYR2 protein</v>
      </c>
      <c r="J2126">
        <v>8385.01</v>
      </c>
      <c r="K2126" t="s">
        <v>19</v>
      </c>
      <c r="L2126">
        <v>1210</v>
      </c>
      <c r="M2126">
        <v>7.13</v>
      </c>
      <c r="N2126">
        <v>81.7</v>
      </c>
      <c r="O2126" t="s">
        <v>19</v>
      </c>
      <c r="P2126" t="s">
        <v>1267</v>
      </c>
      <c r="Q2126" t="s">
        <v>19</v>
      </c>
      <c r="R2126" t="str">
        <f>HYPERLINK("https://cfpub.epa.gov/ecotox/explore.cfm?ncbi=1118519","Explore in ECOTOX")</f>
        <v>Explore in ECOTOX</v>
      </c>
    </row>
    <row r="2127" spans="1:18" x14ac:dyDescent="0.45">
      <c r="A2127" t="s">
        <v>1266</v>
      </c>
      <c r="B2127">
        <v>8</v>
      </c>
      <c r="C2127" t="str">
        <f>HYPERLINK("http://www.ncbi.nlm.nih.gov/protein/NXN88130.1","NXN88130.1")</f>
        <v>NXN88130.1</v>
      </c>
      <c r="D2127">
        <v>13879</v>
      </c>
      <c r="E2127" t="str">
        <f>HYPERLINK("http://www.ncbi.nlm.nih.gov/Taxonomy/Browser/wwwtax.cgi?mode=Info&amp;id=125297&amp;lvl=3&amp;lin=f&amp;keep=1&amp;srchmode=1&amp;unlock","125297")</f>
        <v>125297</v>
      </c>
      <c r="F2127" t="s">
        <v>241</v>
      </c>
      <c r="G2127" t="str">
        <f>HYPERLINK("http://www.ncbi.nlm.nih.gov/Taxonomy/Browser/wwwtax.cgi?mode=Info&amp;id=125297&amp;lvl=3&amp;lin=f&amp;keep=1&amp;srchmode=1&amp;unlock","Bombycilla garrulus")</f>
        <v>Bombycilla garrulus</v>
      </c>
      <c r="H2127" t="s">
        <v>671</v>
      </c>
      <c r="I2127" t="str">
        <f>HYPERLINK("http://www.ncbi.nlm.nih.gov/protein/NXN88130.1","RYR2 protein")</f>
        <v>RYR2 protein</v>
      </c>
      <c r="J2127">
        <v>8384.24</v>
      </c>
      <c r="K2127" t="s">
        <v>19</v>
      </c>
      <c r="L2127">
        <v>1210</v>
      </c>
      <c r="M2127">
        <v>7.13</v>
      </c>
      <c r="N2127">
        <v>81.69</v>
      </c>
      <c r="O2127" t="s">
        <v>19</v>
      </c>
      <c r="P2127" t="s">
        <v>1267</v>
      </c>
      <c r="Q2127" t="s">
        <v>19</v>
      </c>
      <c r="R2127" t="str">
        <f>HYPERLINK("https://cfpub.epa.gov/ecotox/explore.cfm?ncbi=125297","Explore in ECOTOX")</f>
        <v>Explore in ECOTOX</v>
      </c>
    </row>
    <row r="2128" spans="1:18" x14ac:dyDescent="0.45">
      <c r="A2128" t="s">
        <v>1266</v>
      </c>
      <c r="B2128">
        <v>8</v>
      </c>
      <c r="C2128" t="str">
        <f>HYPERLINK("http://www.ncbi.nlm.nih.gov/protein/NWZ03734.1","NWZ03734.1")</f>
        <v>NWZ03734.1</v>
      </c>
      <c r="D2128">
        <v>14648</v>
      </c>
      <c r="E2128" t="str">
        <f>HYPERLINK("http://www.ncbi.nlm.nih.gov/Taxonomy/Browser/wwwtax.cgi?mode=Info&amp;id=64802&amp;lvl=3&amp;lin=f&amp;keep=1&amp;srchmode=1&amp;unlock","64802")</f>
        <v>64802</v>
      </c>
      <c r="F2128" t="s">
        <v>241</v>
      </c>
      <c r="G2128" t="str">
        <f>HYPERLINK("http://www.ncbi.nlm.nih.gov/Taxonomy/Browser/wwwtax.cgi?mode=Info&amp;id=64802&amp;lvl=3&amp;lin=f&amp;keep=1&amp;srchmode=1&amp;unlock","Loxia curvirostra")</f>
        <v>Loxia curvirostra</v>
      </c>
      <c r="H2128" t="s">
        <v>679</v>
      </c>
      <c r="I2128" t="str">
        <f>HYPERLINK("http://www.ncbi.nlm.nih.gov/protein/NWZ03734.1","RYR2 protein")</f>
        <v>RYR2 protein</v>
      </c>
      <c r="J2128">
        <v>8383.85</v>
      </c>
      <c r="K2128" t="s">
        <v>19</v>
      </c>
      <c r="L2128">
        <v>1210</v>
      </c>
      <c r="M2128">
        <v>7.13</v>
      </c>
      <c r="N2128">
        <v>81.69</v>
      </c>
      <c r="O2128" t="s">
        <v>19</v>
      </c>
      <c r="P2128" t="s">
        <v>1267</v>
      </c>
      <c r="Q2128" t="s">
        <v>19</v>
      </c>
      <c r="R2128" t="str">
        <f>HYPERLINK("https://cfpub.epa.gov/ecotox/explore.cfm?ncbi=64802","Explore in ECOTOX")</f>
        <v>Explore in ECOTOX</v>
      </c>
    </row>
    <row r="2129" spans="1:18" x14ac:dyDescent="0.45">
      <c r="A2129" t="s">
        <v>1266</v>
      </c>
      <c r="B2129">
        <v>8</v>
      </c>
      <c r="C2129" t="str">
        <f>HYPERLINK("http://www.ncbi.nlm.nih.gov/protein/NXH47069.1","NXH47069.1")</f>
        <v>NXH47069.1</v>
      </c>
      <c r="D2129">
        <v>13663</v>
      </c>
      <c r="E2129" t="str">
        <f>HYPERLINK("http://www.ncbi.nlm.nih.gov/Taxonomy/Browser/wwwtax.cgi?mode=Info&amp;id=667154&amp;lvl=3&amp;lin=f&amp;keep=1&amp;srchmode=1&amp;unlock","667154")</f>
        <v>667154</v>
      </c>
      <c r="F2129" t="s">
        <v>241</v>
      </c>
      <c r="G2129" t="str">
        <f>HYPERLINK("http://www.ncbi.nlm.nih.gov/Taxonomy/Browser/wwwtax.cgi?mode=Info&amp;id=667154&amp;lvl=3&amp;lin=f&amp;keep=1&amp;srchmode=1&amp;unlock","Dicaeum eximium")</f>
        <v>Dicaeum eximium</v>
      </c>
      <c r="H2129" t="s">
        <v>435</v>
      </c>
      <c r="I2129" t="str">
        <f>HYPERLINK("http://www.ncbi.nlm.nih.gov/protein/NXH47069.1","RYR2 protein")</f>
        <v>RYR2 protein</v>
      </c>
      <c r="J2129">
        <v>8380.39</v>
      </c>
      <c r="K2129" t="s">
        <v>19</v>
      </c>
      <c r="L2129">
        <v>1210</v>
      </c>
      <c r="M2129">
        <v>7.13</v>
      </c>
      <c r="N2129">
        <v>81.66</v>
      </c>
      <c r="O2129" t="s">
        <v>19</v>
      </c>
      <c r="P2129" t="s">
        <v>1267</v>
      </c>
      <c r="Q2129" t="s">
        <v>19</v>
      </c>
      <c r="R2129" t="str">
        <f>HYPERLINK("https://cfpub.epa.gov/ecotox/explore.cfm?ncbi=667154","Explore in ECOTOX")</f>
        <v>Explore in ECOTOX</v>
      </c>
    </row>
    <row r="2130" spans="1:18" x14ac:dyDescent="0.45">
      <c r="A2130" t="s">
        <v>1266</v>
      </c>
      <c r="B2130">
        <v>8</v>
      </c>
      <c r="C2130" t="str">
        <f>HYPERLINK("http://www.ncbi.nlm.nih.gov/protein/XP_033001325.1","XP_033001325.1")</f>
        <v>XP_033001325.1</v>
      </c>
      <c r="D2130">
        <v>39501</v>
      </c>
      <c r="E2130" t="str">
        <f>HYPERLINK("http://www.ncbi.nlm.nih.gov/Taxonomy/Browser/wwwtax.cgi?mode=Info&amp;id=80427&amp;lvl=3&amp;lin=f&amp;keep=1&amp;srchmode=1&amp;unlock","80427")</f>
        <v>80427</v>
      </c>
      <c r="F2130" t="s">
        <v>192</v>
      </c>
      <c r="G2130" t="str">
        <f>HYPERLINK("http://www.ncbi.nlm.nih.gov/Taxonomy/Browser/wwwtax.cgi?mode=Info&amp;id=80427&amp;lvl=3&amp;lin=f&amp;keep=1&amp;srchmode=1&amp;unlock","Lacerta agilis")</f>
        <v>Lacerta agilis</v>
      </c>
      <c r="H2130" t="s">
        <v>206</v>
      </c>
      <c r="I2130" t="str">
        <f>HYPERLINK("http://www.ncbi.nlm.nih.gov/protein/XP_033001325.1","LOW QUALITY PROTEIN: ryanodine receptor 2")</f>
        <v>LOW QUALITY PROTEIN: ryanodine receptor 2</v>
      </c>
      <c r="J2130">
        <v>8379.23</v>
      </c>
      <c r="K2130" t="s">
        <v>19</v>
      </c>
      <c r="L2130">
        <v>1210</v>
      </c>
      <c r="M2130">
        <v>7.13</v>
      </c>
      <c r="N2130">
        <v>81.650000000000006</v>
      </c>
      <c r="O2130" t="s">
        <v>19</v>
      </c>
      <c r="P2130" t="s">
        <v>1267</v>
      </c>
      <c r="Q2130" t="s">
        <v>19</v>
      </c>
      <c r="R2130" t="str">
        <f>HYPERLINK("https://cfpub.epa.gov/ecotox/explore.cfm?ncbi=80427","Explore in ECOTOX")</f>
        <v>Explore in ECOTOX</v>
      </c>
    </row>
    <row r="2131" spans="1:18" x14ac:dyDescent="0.45">
      <c r="A2131" t="s">
        <v>1266</v>
      </c>
      <c r="B2131">
        <v>8</v>
      </c>
      <c r="C2131" t="str">
        <f>HYPERLINK("http://www.ncbi.nlm.nih.gov/protein/NXB80218.1","NXB80218.1")</f>
        <v>NXB80218.1</v>
      </c>
      <c r="D2131">
        <v>13760</v>
      </c>
      <c r="E2131" t="str">
        <f>HYPERLINK("http://www.ncbi.nlm.nih.gov/Taxonomy/Browser/wwwtax.cgi?mode=Info&amp;id=237420&amp;lvl=3&amp;lin=f&amp;keep=1&amp;srchmode=1&amp;unlock","237420")</f>
        <v>237420</v>
      </c>
      <c r="F2131" t="s">
        <v>241</v>
      </c>
      <c r="G2131" t="str">
        <f>HYPERLINK("http://www.ncbi.nlm.nih.gov/Taxonomy/Browser/wwwtax.cgi?mode=Info&amp;id=237420&amp;lvl=3&amp;lin=f&amp;keep=1&amp;srchmode=1&amp;unlock","Donacobius atricapilla")</f>
        <v>Donacobius atricapilla</v>
      </c>
      <c r="H2131" t="s">
        <v>435</v>
      </c>
      <c r="I2131" t="str">
        <f>HYPERLINK("http://www.ncbi.nlm.nih.gov/protein/NXB80218.1","RYR2 protein")</f>
        <v>RYR2 protein</v>
      </c>
      <c r="J2131">
        <v>8378.85</v>
      </c>
      <c r="K2131" t="s">
        <v>19</v>
      </c>
      <c r="L2131">
        <v>1210</v>
      </c>
      <c r="M2131">
        <v>7.13</v>
      </c>
      <c r="N2131">
        <v>81.64</v>
      </c>
      <c r="O2131" t="s">
        <v>19</v>
      </c>
      <c r="P2131" t="s">
        <v>1267</v>
      </c>
      <c r="Q2131" t="s">
        <v>19</v>
      </c>
      <c r="R2131" t="str">
        <f>HYPERLINK("https://cfpub.epa.gov/ecotox/explore.cfm?ncbi=237420","Explore in ECOTOX")</f>
        <v>Explore in ECOTOX</v>
      </c>
    </row>
    <row r="2132" spans="1:18" x14ac:dyDescent="0.45">
      <c r="A2132" t="s">
        <v>1266</v>
      </c>
      <c r="B2132">
        <v>8</v>
      </c>
      <c r="C2132" t="str">
        <f>HYPERLINK("http://www.ncbi.nlm.nih.gov/protein/XP_017690756.1","XP_017690756.1")</f>
        <v>XP_017690756.1</v>
      </c>
      <c r="D2132">
        <v>36958</v>
      </c>
      <c r="E2132" t="str">
        <f>HYPERLINK("http://www.ncbi.nlm.nih.gov/Taxonomy/Browser/wwwtax.cgi?mode=Info&amp;id=321398&amp;lvl=3&amp;lin=f&amp;keep=1&amp;srchmode=1&amp;unlock","321398")</f>
        <v>321398</v>
      </c>
      <c r="F2132" t="s">
        <v>241</v>
      </c>
      <c r="G2132" t="str">
        <f>HYPERLINK("http://www.ncbi.nlm.nih.gov/Taxonomy/Browser/wwwtax.cgi?mode=Info&amp;id=321398&amp;lvl=3&amp;lin=f&amp;keep=1&amp;srchmode=1&amp;unlock","Lepidothrix coronata")</f>
        <v>Lepidothrix coronata</v>
      </c>
      <c r="H2132" t="s">
        <v>472</v>
      </c>
      <c r="I2132" t="str">
        <f>HYPERLINK("http://www.ncbi.nlm.nih.gov/protein/XP_017690756.1","PREDICTED: ryanodine receptor 2, partial")</f>
        <v>PREDICTED: ryanodine receptor 2, partial</v>
      </c>
      <c r="J2132">
        <v>8378.08</v>
      </c>
      <c r="K2132" t="s">
        <v>19</v>
      </c>
      <c r="L2132">
        <v>1210</v>
      </c>
      <c r="M2132">
        <v>7.13</v>
      </c>
      <c r="N2132">
        <v>81.63</v>
      </c>
      <c r="O2132" t="s">
        <v>19</v>
      </c>
      <c r="P2132" t="s">
        <v>1267</v>
      </c>
      <c r="Q2132" t="s">
        <v>19</v>
      </c>
      <c r="R2132" t="str">
        <f>HYPERLINK("https://cfpub.epa.gov/ecotox/explore.cfm?ncbi=321398","Explore in ECOTOX")</f>
        <v>Explore in ECOTOX</v>
      </c>
    </row>
    <row r="2133" spans="1:18" x14ac:dyDescent="0.45">
      <c r="A2133" t="s">
        <v>1266</v>
      </c>
      <c r="B2133">
        <v>8</v>
      </c>
      <c r="C2133" t="str">
        <f>HYPERLINK("http://www.ncbi.nlm.nih.gov/protein/NWY65460.1","NWY65460.1")</f>
        <v>NWY65460.1</v>
      </c>
      <c r="D2133">
        <v>13930</v>
      </c>
      <c r="E2133" t="str">
        <f>HYPERLINK("http://www.ncbi.nlm.nih.gov/Taxonomy/Browser/wwwtax.cgi?mode=Info&amp;id=37610&amp;lvl=3&amp;lin=f&amp;keep=1&amp;srchmode=1&amp;unlock","37610")</f>
        <v>37610</v>
      </c>
      <c r="F2133" t="s">
        <v>241</v>
      </c>
      <c r="G2133" t="str">
        <f>HYPERLINK("http://www.ncbi.nlm.nih.gov/Taxonomy/Browser/wwwtax.cgi?mode=Info&amp;id=37610&amp;lvl=3&amp;lin=f&amp;keep=1&amp;srchmode=1&amp;unlock","Erithacus rubecula")</f>
        <v>Erithacus rubecula</v>
      </c>
      <c r="H2133" t="s">
        <v>459</v>
      </c>
      <c r="I2133" t="str">
        <f>HYPERLINK("http://www.ncbi.nlm.nih.gov/protein/NWY65460.1","RYR2 protein")</f>
        <v>RYR2 protein</v>
      </c>
      <c r="J2133">
        <v>8373.4500000000007</v>
      </c>
      <c r="K2133" t="s">
        <v>19</v>
      </c>
      <c r="L2133">
        <v>1210</v>
      </c>
      <c r="M2133">
        <v>7.13</v>
      </c>
      <c r="N2133">
        <v>81.59</v>
      </c>
      <c r="O2133" t="s">
        <v>19</v>
      </c>
      <c r="P2133" t="s">
        <v>1267</v>
      </c>
      <c r="Q2133" t="s">
        <v>19</v>
      </c>
      <c r="R2133" t="str">
        <f>HYPERLINK("https://cfpub.epa.gov/ecotox/explore.cfm?ncbi=37610","Explore in ECOTOX")</f>
        <v>Explore in ECOTOX</v>
      </c>
    </row>
    <row r="2134" spans="1:18" x14ac:dyDescent="0.45">
      <c r="A2134" t="s">
        <v>1266</v>
      </c>
      <c r="B2134">
        <v>8</v>
      </c>
      <c r="C2134" t="str">
        <f>HYPERLINK("http://www.ncbi.nlm.nih.gov/protein/NXD34525.1","NXD34525.1")</f>
        <v>NXD34525.1</v>
      </c>
      <c r="D2134">
        <v>14417</v>
      </c>
      <c r="E2134" t="str">
        <f>HYPERLINK("http://www.ncbi.nlm.nih.gov/Taxonomy/Browser/wwwtax.cgi?mode=Info&amp;id=797021&amp;lvl=3&amp;lin=f&amp;keep=1&amp;srchmode=1&amp;unlock","797021")</f>
        <v>797021</v>
      </c>
      <c r="F2134" t="s">
        <v>241</v>
      </c>
      <c r="G2134" t="str">
        <f>HYPERLINK("http://www.ncbi.nlm.nih.gov/Taxonomy/Browser/wwwtax.cgi?mode=Info&amp;id=797021&amp;lvl=3&amp;lin=f&amp;keep=1&amp;srchmode=1&amp;unlock","Copsychus sechellarum")</f>
        <v>Copsychus sechellarum</v>
      </c>
      <c r="H2134" t="s">
        <v>682</v>
      </c>
      <c r="I2134" t="str">
        <f>HYPERLINK("http://www.ncbi.nlm.nih.gov/protein/NXD34525.1","RYR2 protein")</f>
        <v>RYR2 protein</v>
      </c>
      <c r="J2134">
        <v>8373.07</v>
      </c>
      <c r="K2134" t="s">
        <v>19</v>
      </c>
      <c r="L2134">
        <v>1210</v>
      </c>
      <c r="M2134">
        <v>7.13</v>
      </c>
      <c r="N2134">
        <v>81.59</v>
      </c>
      <c r="O2134" t="s">
        <v>19</v>
      </c>
      <c r="P2134" t="s">
        <v>1267</v>
      </c>
      <c r="Q2134" t="s">
        <v>19</v>
      </c>
      <c r="R2134" t="str">
        <f>HYPERLINK("https://cfpub.epa.gov/ecotox/explore.cfm?ncbi=797021","Explore in ECOTOX")</f>
        <v>Explore in ECOTOX</v>
      </c>
    </row>
    <row r="2135" spans="1:18" x14ac:dyDescent="0.45">
      <c r="A2135" t="s">
        <v>1266</v>
      </c>
      <c r="B2135">
        <v>8</v>
      </c>
      <c r="C2135" t="str">
        <f>HYPERLINK("http://www.ncbi.nlm.nih.gov/protein/NXY04260.1","NXY04260.1")</f>
        <v>NXY04260.1</v>
      </c>
      <c r="D2135">
        <v>11998</v>
      </c>
      <c r="E2135" t="str">
        <f>HYPERLINK("http://www.ncbi.nlm.nih.gov/Taxonomy/Browser/wwwtax.cgi?mode=Info&amp;id=357074&amp;lvl=3&amp;lin=f&amp;keep=1&amp;srchmode=1&amp;unlock","357074")</f>
        <v>357074</v>
      </c>
      <c r="F2135" t="s">
        <v>241</v>
      </c>
      <c r="G2135" t="str">
        <f>HYPERLINK("http://www.ncbi.nlm.nih.gov/Taxonomy/Browser/wwwtax.cgi?mode=Info&amp;id=357074&amp;lvl=3&amp;lin=f&amp;keep=1&amp;srchmode=1&amp;unlock","Pteruthius melanotis")</f>
        <v>Pteruthius melanotis</v>
      </c>
      <c r="H2135" t="s">
        <v>667</v>
      </c>
      <c r="I2135" t="str">
        <f>HYPERLINK("http://www.ncbi.nlm.nih.gov/protein/NXY04260.1","RYR2 protein")</f>
        <v>RYR2 protein</v>
      </c>
      <c r="J2135">
        <v>8371.91</v>
      </c>
      <c r="K2135" t="s">
        <v>19</v>
      </c>
      <c r="L2135">
        <v>1210</v>
      </c>
      <c r="M2135">
        <v>7.13</v>
      </c>
      <c r="N2135">
        <v>81.569999999999993</v>
      </c>
      <c r="O2135" t="s">
        <v>19</v>
      </c>
      <c r="P2135" t="s">
        <v>1267</v>
      </c>
      <c r="Q2135" t="s">
        <v>19</v>
      </c>
      <c r="R2135" t="str">
        <f>HYPERLINK("https://cfpub.epa.gov/ecotox/explore.cfm?ncbi=357074","Explore in ECOTOX")</f>
        <v>Explore in ECOTOX</v>
      </c>
    </row>
    <row r="2136" spans="1:18" x14ac:dyDescent="0.45">
      <c r="A2136" t="s">
        <v>1266</v>
      </c>
      <c r="B2136">
        <v>8</v>
      </c>
      <c r="C2136" t="str">
        <f>HYPERLINK("http://www.ncbi.nlm.nih.gov/protein/XP_049614488.1","XP_049614488.1")</f>
        <v>XP_049614488.1</v>
      </c>
      <c r="D2136">
        <v>47901</v>
      </c>
      <c r="E2136" t="str">
        <f>HYPERLINK("http://www.ncbi.nlm.nih.gov/Taxonomy/Browser/wwwtax.cgi?mode=Info&amp;id=161590&amp;lvl=3&amp;lin=f&amp;keep=1&amp;srchmode=1&amp;unlock","161590")</f>
        <v>161590</v>
      </c>
      <c r="F2136" t="s">
        <v>17</v>
      </c>
      <c r="G2136" t="str">
        <f>HYPERLINK("http://www.ncbi.nlm.nih.gov/Taxonomy/Browser/wwwtax.cgi?mode=Info&amp;id=161590&amp;lvl=3&amp;lin=f&amp;keep=1&amp;srchmode=1&amp;unlock","Syngnathus scovelli")</f>
        <v>Syngnathus scovelli</v>
      </c>
      <c r="H2136" t="s">
        <v>135</v>
      </c>
      <c r="I2136" t="str">
        <f>HYPERLINK("http://www.ncbi.nlm.nih.gov/protein/XP_049614488.1","ryanodine receptor 2 isoform X2")</f>
        <v>ryanodine receptor 2 isoform X2</v>
      </c>
      <c r="J2136">
        <v>8368.06</v>
      </c>
      <c r="K2136" t="s">
        <v>19</v>
      </c>
      <c r="L2136">
        <v>1210</v>
      </c>
      <c r="M2136">
        <v>7.13</v>
      </c>
      <c r="N2136">
        <v>81.540000000000006</v>
      </c>
      <c r="O2136" t="s">
        <v>19</v>
      </c>
      <c r="P2136" t="s">
        <v>1267</v>
      </c>
      <c r="Q2136" t="s">
        <v>19</v>
      </c>
      <c r="R2136" t="str">
        <f>HYPERLINK("https://cfpub.epa.gov/ecotox/explore.cfm?ncbi=161590","Explore in ECOTOX")</f>
        <v>Explore in ECOTOX</v>
      </c>
    </row>
    <row r="2137" spans="1:18" x14ac:dyDescent="0.45">
      <c r="A2137" t="s">
        <v>1266</v>
      </c>
      <c r="B2137">
        <v>8</v>
      </c>
      <c r="C2137" t="str">
        <f>HYPERLINK("http://www.ncbi.nlm.nih.gov/protein/XP_051926913.1","XP_051926913.1")</f>
        <v>XP_051926913.1</v>
      </c>
      <c r="D2137">
        <v>42976</v>
      </c>
      <c r="E2137" t="str">
        <f>HYPERLINK("http://www.ncbi.nlm.nih.gov/Taxonomy/Browser/wwwtax.cgi?mode=Info&amp;id=109293&amp;lvl=3&amp;lin=f&amp;keep=1&amp;srchmode=1&amp;unlock","109293")</f>
        <v>109293</v>
      </c>
      <c r="F2137" t="s">
        <v>17</v>
      </c>
      <c r="G2137" t="str">
        <f>HYPERLINK("http://www.ncbi.nlm.nih.gov/Taxonomy/Browser/wwwtax.cgi?mode=Info&amp;id=109293&amp;lvl=3&amp;lin=f&amp;keep=1&amp;srchmode=1&amp;unlock","Hippocampus zosterae")</f>
        <v>Hippocampus zosterae</v>
      </c>
      <c r="H2137" t="s">
        <v>91</v>
      </c>
      <c r="I2137" t="str">
        <f>HYPERLINK("http://www.ncbi.nlm.nih.gov/protein/XP_051926913.1","ryanodine receptor 2 isoform X4")</f>
        <v>ryanodine receptor 2 isoform X4</v>
      </c>
      <c r="J2137">
        <v>8363.44</v>
      </c>
      <c r="K2137" t="s">
        <v>19</v>
      </c>
      <c r="L2137">
        <v>1210</v>
      </c>
      <c r="M2137">
        <v>7.13</v>
      </c>
      <c r="N2137">
        <v>81.489999999999995</v>
      </c>
      <c r="O2137" t="s">
        <v>19</v>
      </c>
      <c r="P2137" t="s">
        <v>1267</v>
      </c>
      <c r="Q2137" t="s">
        <v>19</v>
      </c>
      <c r="R2137" t="str">
        <f>HYPERLINK("https://cfpub.epa.gov/ecotox/explore.cfm?ncbi=109293","Explore in ECOTOX")</f>
        <v>Explore in ECOTOX</v>
      </c>
    </row>
    <row r="2138" spans="1:18" x14ac:dyDescent="0.45">
      <c r="A2138" t="s">
        <v>1266</v>
      </c>
      <c r="B2138">
        <v>8</v>
      </c>
      <c r="C2138" t="str">
        <f>HYPERLINK("http://www.ncbi.nlm.nih.gov/protein/KAF1527931.1","KAF1527931.1")</f>
        <v>KAF1527931.1</v>
      </c>
      <c r="D2138">
        <v>12829</v>
      </c>
      <c r="E2138" t="str">
        <f>HYPERLINK("http://www.ncbi.nlm.nih.gov/Taxonomy/Browser/wwwtax.cgi?mode=Info&amp;id=92688&amp;lvl=3&amp;lin=f&amp;keep=1&amp;srchmode=1&amp;unlock","92688")</f>
        <v>92688</v>
      </c>
      <c r="F2138" t="s">
        <v>241</v>
      </c>
      <c r="G2138" t="str">
        <f>HYPERLINK("http://www.ncbi.nlm.nih.gov/Taxonomy/Browser/wwwtax.cgi?mode=Info&amp;id=92688&amp;lvl=3&amp;lin=f&amp;keep=1&amp;srchmode=1&amp;unlock","Eudyptes sclateri")</f>
        <v>Eudyptes sclateri</v>
      </c>
      <c r="H2138" t="s">
        <v>683</v>
      </c>
      <c r="I2138" t="str">
        <f>HYPERLINK("http://www.ncbi.nlm.nih.gov/protein/KAF1527931.1","Ryanodine receptor 2, partial")</f>
        <v>Ryanodine receptor 2, partial</v>
      </c>
      <c r="J2138">
        <v>8362.2800000000007</v>
      </c>
      <c r="K2138" t="s">
        <v>19</v>
      </c>
      <c r="L2138">
        <v>1210</v>
      </c>
      <c r="M2138">
        <v>7.13</v>
      </c>
      <c r="N2138">
        <v>81.48</v>
      </c>
      <c r="O2138" t="s">
        <v>19</v>
      </c>
      <c r="P2138" t="s">
        <v>1267</v>
      </c>
      <c r="Q2138" t="s">
        <v>19</v>
      </c>
      <c r="R2138" t="str">
        <f>HYPERLINK("https://cfpub.epa.gov/ecotox/explore.cfm?ncbi=92688","Explore in ECOTOX")</f>
        <v>Explore in ECOTOX</v>
      </c>
    </row>
    <row r="2139" spans="1:18" x14ac:dyDescent="0.45">
      <c r="A2139" t="s">
        <v>1266</v>
      </c>
      <c r="B2139">
        <v>8</v>
      </c>
      <c r="C2139" t="str">
        <f>HYPERLINK("http://www.ncbi.nlm.nih.gov/protein/NWX14037.1","NWX14037.1")</f>
        <v>NWX14037.1</v>
      </c>
      <c r="D2139">
        <v>13717</v>
      </c>
      <c r="E2139" t="str">
        <f>HYPERLINK("http://www.ncbi.nlm.nih.gov/Taxonomy/Browser/wwwtax.cgi?mode=Info&amp;id=48278&amp;lvl=3&amp;lin=f&amp;keep=1&amp;srchmode=1&amp;unlock","48278")</f>
        <v>48278</v>
      </c>
      <c r="F2139" t="s">
        <v>241</v>
      </c>
      <c r="G2139" t="str">
        <f>HYPERLINK("http://www.ncbi.nlm.nih.gov/Taxonomy/Browser/wwwtax.cgi?mode=Info&amp;id=48278&amp;lvl=3&amp;lin=f&amp;keep=1&amp;srchmode=1&amp;unlock","Aegotheles bennettii")</f>
        <v>Aegotheles bennettii</v>
      </c>
      <c r="H2139" t="s">
        <v>687</v>
      </c>
      <c r="I2139" t="str">
        <f>HYPERLINK("http://www.ncbi.nlm.nih.gov/protein/NWX14037.1","RYR2 protein")</f>
        <v>RYR2 protein</v>
      </c>
      <c r="J2139">
        <v>8361.51</v>
      </c>
      <c r="K2139" t="s">
        <v>19</v>
      </c>
      <c r="L2139">
        <v>1210</v>
      </c>
      <c r="M2139">
        <v>7.13</v>
      </c>
      <c r="N2139">
        <v>81.47</v>
      </c>
      <c r="O2139" t="s">
        <v>19</v>
      </c>
      <c r="P2139" t="s">
        <v>1267</v>
      </c>
      <c r="Q2139" t="s">
        <v>19</v>
      </c>
      <c r="R2139" t="str">
        <f>HYPERLINK("https://cfpub.epa.gov/ecotox/explore.cfm?ncbi=48278","Explore in ECOTOX")</f>
        <v>Explore in ECOTOX</v>
      </c>
    </row>
    <row r="2140" spans="1:18" x14ac:dyDescent="0.45">
      <c r="A2140" t="s">
        <v>1266</v>
      </c>
      <c r="B2140">
        <v>8</v>
      </c>
      <c r="C2140" t="str">
        <f>HYPERLINK("http://www.ncbi.nlm.nih.gov/protein/XP_025022800.1","XP_025022800.1")</f>
        <v>XP_025022800.1</v>
      </c>
      <c r="D2140">
        <v>32865</v>
      </c>
      <c r="E2140" t="str">
        <f>HYPERLINK("http://www.ncbi.nlm.nih.gov/Taxonomy/Browser/wwwtax.cgi?mode=Info&amp;id=176946&amp;lvl=3&amp;lin=f&amp;keep=1&amp;srchmode=1&amp;unlock","176946")</f>
        <v>176946</v>
      </c>
      <c r="F2140" t="s">
        <v>192</v>
      </c>
      <c r="G2140" t="str">
        <f>HYPERLINK("http://www.ncbi.nlm.nih.gov/Taxonomy/Browser/wwwtax.cgi?mode=Info&amp;id=176946&amp;lvl=3&amp;lin=f&amp;keep=1&amp;srchmode=1&amp;unlock","Python bivittatus")</f>
        <v>Python bivittatus</v>
      </c>
      <c r="H2140" t="s">
        <v>473</v>
      </c>
      <c r="I2140" t="str">
        <f>HYPERLINK("http://www.ncbi.nlm.nih.gov/protein/XP_025022800.1","ryanodine receptor 2")</f>
        <v>ryanodine receptor 2</v>
      </c>
      <c r="J2140">
        <v>8356.51</v>
      </c>
      <c r="K2140" t="s">
        <v>19</v>
      </c>
      <c r="L2140">
        <v>1210</v>
      </c>
      <c r="M2140">
        <v>7.13</v>
      </c>
      <c r="N2140">
        <v>81.42</v>
      </c>
      <c r="O2140" t="s">
        <v>19</v>
      </c>
      <c r="P2140" t="s">
        <v>1267</v>
      </c>
      <c r="Q2140" t="s">
        <v>19</v>
      </c>
      <c r="R2140" t="str">
        <f>HYPERLINK("https://cfpub.epa.gov/ecotox/explore.cfm?ncbi=176946","Explore in ECOTOX")</f>
        <v>Explore in ECOTOX</v>
      </c>
    </row>
    <row r="2141" spans="1:18" x14ac:dyDescent="0.45">
      <c r="A2141" t="s">
        <v>1266</v>
      </c>
      <c r="B2141">
        <v>8</v>
      </c>
      <c r="C2141" t="str">
        <f>HYPERLINK("http://www.ncbi.nlm.nih.gov/protein/XP_055495988.1","XP_055495988.1")</f>
        <v>XP_055495988.1</v>
      </c>
      <c r="D2141">
        <v>36580</v>
      </c>
      <c r="E2141" t="str">
        <f>HYPERLINK("http://www.ncbi.nlm.nih.gov/Taxonomy/Browser/wwwtax.cgi?mode=Info&amp;id=7782&amp;lvl=3&amp;lin=f&amp;keep=1&amp;srchmode=1&amp;unlock","7782")</f>
        <v>7782</v>
      </c>
      <c r="F2141" t="s">
        <v>195</v>
      </c>
      <c r="G2141" t="str">
        <f>HYPERLINK("http://www.ncbi.nlm.nih.gov/Taxonomy/Browser/wwwtax.cgi?mode=Info&amp;id=7782&amp;lvl=3&amp;lin=f&amp;keep=1&amp;srchmode=1&amp;unlock","Leucoraja erinacea")</f>
        <v>Leucoraja erinacea</v>
      </c>
      <c r="H2141" t="s">
        <v>225</v>
      </c>
      <c r="I2141" t="str">
        <f>HYPERLINK("http://www.ncbi.nlm.nih.gov/protein/XP_055495988.1","ryanodine receptor 2")</f>
        <v>ryanodine receptor 2</v>
      </c>
      <c r="J2141">
        <v>8350.73</v>
      </c>
      <c r="K2141" t="s">
        <v>19</v>
      </c>
      <c r="L2141">
        <v>1210</v>
      </c>
      <c r="M2141">
        <v>7.13</v>
      </c>
      <c r="N2141">
        <v>81.37</v>
      </c>
      <c r="O2141" t="s">
        <v>19</v>
      </c>
      <c r="P2141" t="s">
        <v>1267</v>
      </c>
      <c r="Q2141" t="s">
        <v>19</v>
      </c>
      <c r="R2141" t="str">
        <f>HYPERLINK("https://cfpub.epa.gov/ecotox/explore.cfm?ncbi=7782","Explore in ECOTOX")</f>
        <v>Explore in ECOTOX</v>
      </c>
    </row>
    <row r="2142" spans="1:18" x14ac:dyDescent="0.45">
      <c r="A2142" t="s">
        <v>1266</v>
      </c>
      <c r="B2142">
        <v>8</v>
      </c>
      <c r="C2142" t="str">
        <f>HYPERLINK("http://www.ncbi.nlm.nih.gov/protein/NXM89875.1","NXM89875.1")</f>
        <v>NXM89875.1</v>
      </c>
      <c r="D2142">
        <v>13842</v>
      </c>
      <c r="E2142" t="str">
        <f>HYPERLINK("http://www.ncbi.nlm.nih.gov/Taxonomy/Browser/wwwtax.cgi?mode=Info&amp;id=279966&amp;lvl=3&amp;lin=f&amp;keep=1&amp;srchmode=1&amp;unlock","279966")</f>
        <v>279966</v>
      </c>
      <c r="F2142" t="s">
        <v>241</v>
      </c>
      <c r="G2142" t="str">
        <f>HYPERLINK("http://www.ncbi.nlm.nih.gov/Taxonomy/Browser/wwwtax.cgi?mode=Info&amp;id=279966&amp;lvl=3&amp;lin=f&amp;keep=1&amp;srchmode=1&amp;unlock","Oenanthe oenanthe")</f>
        <v>Oenanthe oenanthe</v>
      </c>
      <c r="H2142" t="s">
        <v>685</v>
      </c>
      <c r="I2142" t="str">
        <f>HYPERLINK("http://www.ncbi.nlm.nih.gov/protein/NXM89875.1","RYR2 protein")</f>
        <v>RYR2 protein</v>
      </c>
      <c r="J2142">
        <v>8342.64</v>
      </c>
      <c r="K2142" t="s">
        <v>19</v>
      </c>
      <c r="L2142">
        <v>1210</v>
      </c>
      <c r="M2142">
        <v>7.13</v>
      </c>
      <c r="N2142">
        <v>81.290000000000006</v>
      </c>
      <c r="O2142" t="s">
        <v>19</v>
      </c>
      <c r="P2142" t="s">
        <v>1267</v>
      </c>
      <c r="Q2142" t="s">
        <v>19</v>
      </c>
      <c r="R2142" t="str">
        <f>HYPERLINK("https://cfpub.epa.gov/ecotox/explore.cfm?ncbi=279966","Explore in ECOTOX")</f>
        <v>Explore in ECOTOX</v>
      </c>
    </row>
    <row r="2143" spans="1:18" x14ac:dyDescent="0.45">
      <c r="A2143" t="s">
        <v>1266</v>
      </c>
      <c r="B2143">
        <v>8</v>
      </c>
      <c r="C2143" t="str">
        <f>HYPERLINK("http://www.ncbi.nlm.nih.gov/protein/XP_023422283.1","XP_023422283.1")</f>
        <v>XP_023422283.1</v>
      </c>
      <c r="D2143">
        <v>49200</v>
      </c>
      <c r="E2143" t="str">
        <f>HYPERLINK("http://www.ncbi.nlm.nih.gov/Taxonomy/Browser/wwwtax.cgi?mode=Info&amp;id=10141&amp;lvl=3&amp;lin=f&amp;keep=1&amp;srchmode=1&amp;unlock","10141")</f>
        <v>10141</v>
      </c>
      <c r="F2143" t="s">
        <v>96</v>
      </c>
      <c r="G2143" t="str">
        <f>HYPERLINK("http://www.ncbi.nlm.nih.gov/Taxonomy/Browser/wwwtax.cgi?mode=Info&amp;id=10141&amp;lvl=3&amp;lin=f&amp;keep=1&amp;srchmode=1&amp;unlock","Cavia porcellus")</f>
        <v>Cavia porcellus</v>
      </c>
      <c r="H2143" t="s">
        <v>692</v>
      </c>
      <c r="I2143" t="str">
        <f>HYPERLINK("http://www.ncbi.nlm.nih.gov/protein/XP_023422283.1","ryanodine receptor 2")</f>
        <v>ryanodine receptor 2</v>
      </c>
      <c r="J2143">
        <v>8341.48</v>
      </c>
      <c r="K2143" t="s">
        <v>19</v>
      </c>
      <c r="L2143">
        <v>1210</v>
      </c>
      <c r="M2143">
        <v>7.13</v>
      </c>
      <c r="N2143">
        <v>81.28</v>
      </c>
      <c r="O2143" t="s">
        <v>19</v>
      </c>
      <c r="P2143" t="s">
        <v>1267</v>
      </c>
      <c r="Q2143" t="s">
        <v>19</v>
      </c>
      <c r="R2143" t="str">
        <f>HYPERLINK("https://cfpub.epa.gov/ecotox/explore.cfm?ncbi=10141","Explore in ECOTOX")</f>
        <v>Explore in ECOTOX</v>
      </c>
    </row>
    <row r="2144" spans="1:18" x14ac:dyDescent="0.45">
      <c r="A2144" t="s">
        <v>1266</v>
      </c>
      <c r="B2144">
        <v>8</v>
      </c>
      <c r="C2144" t="str">
        <f>HYPERLINK("http://www.ncbi.nlm.nih.gov/protein/NWZ97534.1","NWZ97534.1")</f>
        <v>NWZ97534.1</v>
      </c>
      <c r="D2144">
        <v>14106</v>
      </c>
      <c r="E2144" t="str">
        <f>HYPERLINK("http://www.ncbi.nlm.nih.gov/Taxonomy/Browser/wwwtax.cgi?mode=Info&amp;id=381881&amp;lvl=3&amp;lin=f&amp;keep=1&amp;srchmode=1&amp;unlock","381881")</f>
        <v>381881</v>
      </c>
      <c r="F2144" t="s">
        <v>241</v>
      </c>
      <c r="G2144" t="str">
        <f>HYPERLINK("http://www.ncbi.nlm.nih.gov/Taxonomy/Browser/wwwtax.cgi?mode=Info&amp;id=381881&amp;lvl=3&amp;lin=f&amp;keep=1&amp;srchmode=1&amp;unlock","Nesospiza acunhae")</f>
        <v>Nesospiza acunhae</v>
      </c>
      <c r="H2144" t="s">
        <v>561</v>
      </c>
      <c r="I2144" t="str">
        <f>HYPERLINK("http://www.ncbi.nlm.nih.gov/protein/NWZ97534.1","RYR2 protein")</f>
        <v>RYR2 protein</v>
      </c>
      <c r="J2144">
        <v>8341.1</v>
      </c>
      <c r="K2144" t="s">
        <v>19</v>
      </c>
      <c r="L2144">
        <v>1210</v>
      </c>
      <c r="M2144">
        <v>7.13</v>
      </c>
      <c r="N2144">
        <v>81.27</v>
      </c>
      <c r="O2144" t="s">
        <v>19</v>
      </c>
      <c r="P2144" t="s">
        <v>1267</v>
      </c>
      <c r="Q2144" t="s">
        <v>19</v>
      </c>
      <c r="R2144" t="str">
        <f>HYPERLINK("https://cfpub.epa.gov/ecotox/explore.cfm?ncbi=381881","Explore in ECOTOX")</f>
        <v>Explore in ECOTOX</v>
      </c>
    </row>
    <row r="2145" spans="1:18" x14ac:dyDescent="0.45">
      <c r="A2145" t="s">
        <v>1266</v>
      </c>
      <c r="B2145">
        <v>8</v>
      </c>
      <c r="C2145" t="str">
        <f>HYPERLINK("http://www.ncbi.nlm.nih.gov/protein/NXU43788.1","NXU43788.1")</f>
        <v>NXU43788.1</v>
      </c>
      <c r="D2145">
        <v>13604</v>
      </c>
      <c r="E2145" t="str">
        <f>HYPERLINK("http://www.ncbi.nlm.nih.gov/Taxonomy/Browser/wwwtax.cgi?mode=Info&amp;id=626378&amp;lvl=3&amp;lin=f&amp;keep=1&amp;srchmode=1&amp;unlock","626378")</f>
        <v>626378</v>
      </c>
      <c r="F2145" t="s">
        <v>241</v>
      </c>
      <c r="G2145" t="str">
        <f>HYPERLINK("http://www.ncbi.nlm.nih.gov/Taxonomy/Browser/wwwtax.cgi?mode=Info&amp;id=626378&amp;lvl=3&amp;lin=f&amp;keep=1&amp;srchmode=1&amp;unlock","Drymodes brunneopygia")</f>
        <v>Drymodes brunneopygia</v>
      </c>
      <c r="H2145" t="s">
        <v>688</v>
      </c>
      <c r="I2145" t="str">
        <f>HYPERLINK("http://www.ncbi.nlm.nih.gov/protein/NXU43788.1","RYR2 protein")</f>
        <v>RYR2 protein</v>
      </c>
      <c r="J2145">
        <v>8335.7000000000007</v>
      </c>
      <c r="K2145" t="s">
        <v>19</v>
      </c>
      <c r="L2145">
        <v>1210</v>
      </c>
      <c r="M2145">
        <v>7.13</v>
      </c>
      <c r="N2145">
        <v>81.22</v>
      </c>
      <c r="O2145" t="s">
        <v>19</v>
      </c>
      <c r="P2145" t="s">
        <v>1267</v>
      </c>
      <c r="Q2145" t="s">
        <v>19</v>
      </c>
      <c r="R2145" t="str">
        <f>HYPERLINK("https://cfpub.epa.gov/ecotox/explore.cfm?ncbi=626378","Explore in ECOTOX")</f>
        <v>Explore in ECOTOX</v>
      </c>
    </row>
    <row r="2146" spans="1:18" x14ac:dyDescent="0.45">
      <c r="A2146" t="s">
        <v>1266</v>
      </c>
      <c r="B2146">
        <v>8</v>
      </c>
      <c r="C2146" t="str">
        <f>HYPERLINK("http://www.ncbi.nlm.nih.gov/protein/NXL86064.1","NXL86064.1")</f>
        <v>NXL86064.1</v>
      </c>
      <c r="D2146">
        <v>13506</v>
      </c>
      <c r="E2146" t="str">
        <f>HYPERLINK("http://www.ncbi.nlm.nih.gov/Taxonomy/Browser/wwwtax.cgi?mode=Info&amp;id=81907&amp;lvl=3&amp;lin=f&amp;keep=1&amp;srchmode=1&amp;unlock","81907")</f>
        <v>81907</v>
      </c>
      <c r="F2146" t="s">
        <v>241</v>
      </c>
      <c r="G2146" t="str">
        <f>HYPERLINK("http://www.ncbi.nlm.nih.gov/Taxonomy/Browser/wwwtax.cgi?mode=Info&amp;id=81907&amp;lvl=3&amp;lin=f&amp;keep=1&amp;srchmode=1&amp;unlock","Alectura lathami")</f>
        <v>Alectura lathami</v>
      </c>
      <c r="H2146" t="s">
        <v>495</v>
      </c>
      <c r="I2146" t="str">
        <f>HYPERLINK("http://www.ncbi.nlm.nih.gov/protein/NXL86064.1","RYR2 protein")</f>
        <v>RYR2 protein</v>
      </c>
      <c r="J2146">
        <v>8331.08</v>
      </c>
      <c r="K2146" t="s">
        <v>19</v>
      </c>
      <c r="L2146">
        <v>1210</v>
      </c>
      <c r="M2146">
        <v>7.13</v>
      </c>
      <c r="N2146">
        <v>81.180000000000007</v>
      </c>
      <c r="O2146" t="s">
        <v>19</v>
      </c>
      <c r="P2146" t="s">
        <v>1267</v>
      </c>
      <c r="Q2146" t="s">
        <v>19</v>
      </c>
      <c r="R2146" t="str">
        <f>HYPERLINK("https://cfpub.epa.gov/ecotox/explore.cfm?ncbi=81907","Explore in ECOTOX")</f>
        <v>Explore in ECOTOX</v>
      </c>
    </row>
    <row r="2147" spans="1:18" x14ac:dyDescent="0.45">
      <c r="A2147" t="s">
        <v>1266</v>
      </c>
      <c r="B2147">
        <v>8</v>
      </c>
      <c r="C2147" t="str">
        <f>HYPERLINK("http://www.ncbi.nlm.nih.gov/protein/XP_037134452.1","XP_037134452.1")</f>
        <v>XP_037134452.1</v>
      </c>
      <c r="D2147">
        <v>41996</v>
      </c>
      <c r="E2147" t="str">
        <f>HYPERLINK("http://www.ncbi.nlm.nih.gov/Taxonomy/Browser/wwwtax.cgi?mode=Info&amp;id=161584&amp;lvl=3&amp;lin=f&amp;keep=1&amp;srchmode=1&amp;unlock","161584")</f>
        <v>161584</v>
      </c>
      <c r="F2147" t="s">
        <v>17</v>
      </c>
      <c r="G2147" t="str">
        <f>HYPERLINK("http://www.ncbi.nlm.nih.gov/Taxonomy/Browser/wwwtax.cgi?mode=Info&amp;id=161584&amp;lvl=3&amp;lin=f&amp;keep=1&amp;srchmode=1&amp;unlock","Syngnathus acus")</f>
        <v>Syngnathus acus</v>
      </c>
      <c r="H2147" t="s">
        <v>139</v>
      </c>
      <c r="I2147" t="str">
        <f>HYPERLINK("http://www.ncbi.nlm.nih.gov/protein/XP_037134452.1","LOW QUALITY PROTEIN: ryanodine receptor 2")</f>
        <v>LOW QUALITY PROTEIN: ryanodine receptor 2</v>
      </c>
      <c r="J2147">
        <v>8330.31</v>
      </c>
      <c r="K2147" t="s">
        <v>19</v>
      </c>
      <c r="L2147">
        <v>1210</v>
      </c>
      <c r="M2147">
        <v>7.13</v>
      </c>
      <c r="N2147">
        <v>81.17</v>
      </c>
      <c r="O2147" t="s">
        <v>19</v>
      </c>
      <c r="P2147" t="s">
        <v>1267</v>
      </c>
      <c r="Q2147" t="s">
        <v>19</v>
      </c>
      <c r="R2147" t="str">
        <f>HYPERLINK("https://cfpub.epa.gov/ecotox/explore.cfm?ncbi=161584","Explore in ECOTOX")</f>
        <v>Explore in ECOTOX</v>
      </c>
    </row>
    <row r="2148" spans="1:18" x14ac:dyDescent="0.45">
      <c r="A2148" t="s">
        <v>1266</v>
      </c>
      <c r="B2148">
        <v>8</v>
      </c>
      <c r="C2148" t="str">
        <f>HYPERLINK("http://www.ncbi.nlm.nih.gov/protein/NXK60112.1","NXK60112.1")</f>
        <v>NXK60112.1</v>
      </c>
      <c r="D2148">
        <v>13823</v>
      </c>
      <c r="E2148" t="str">
        <f>HYPERLINK("http://www.ncbi.nlm.nih.gov/Taxonomy/Browser/wwwtax.cgi?mode=Info&amp;id=208069&amp;lvl=3&amp;lin=f&amp;keep=1&amp;srchmode=1&amp;unlock","208069")</f>
        <v>208069</v>
      </c>
      <c r="F2148" t="s">
        <v>241</v>
      </c>
      <c r="G2148" t="str">
        <f>HYPERLINK("http://www.ncbi.nlm.nih.gov/Taxonomy/Browser/wwwtax.cgi?mode=Info&amp;id=208069&amp;lvl=3&amp;lin=f&amp;keep=1&amp;srchmode=1&amp;unlock","Sylvietta virens")</f>
        <v>Sylvietta virens</v>
      </c>
      <c r="H2148" t="s">
        <v>690</v>
      </c>
      <c r="I2148" t="str">
        <f>HYPERLINK("http://www.ncbi.nlm.nih.gov/protein/NXK60112.1","RYR2 protein")</f>
        <v>RYR2 protein</v>
      </c>
      <c r="J2148">
        <v>8323.3799999999992</v>
      </c>
      <c r="K2148" t="s">
        <v>19</v>
      </c>
      <c r="L2148">
        <v>1210</v>
      </c>
      <c r="M2148">
        <v>7.13</v>
      </c>
      <c r="N2148">
        <v>81.099999999999994</v>
      </c>
      <c r="O2148" t="s">
        <v>19</v>
      </c>
      <c r="P2148" t="s">
        <v>1267</v>
      </c>
      <c r="Q2148" t="s">
        <v>19</v>
      </c>
      <c r="R2148" t="str">
        <f>HYPERLINK("https://cfpub.epa.gov/ecotox/explore.cfm?ncbi=208069","Explore in ECOTOX")</f>
        <v>Explore in ECOTOX</v>
      </c>
    </row>
    <row r="2149" spans="1:18" x14ac:dyDescent="0.45">
      <c r="A2149" t="s">
        <v>1266</v>
      </c>
      <c r="B2149">
        <v>8</v>
      </c>
      <c r="C2149" t="str">
        <f>HYPERLINK("http://www.ncbi.nlm.nih.gov/protein/NWU60664.1","NWU60664.1")</f>
        <v>NWU60664.1</v>
      </c>
      <c r="D2149">
        <v>13883</v>
      </c>
      <c r="E2149" t="str">
        <f>HYPERLINK("http://www.ncbi.nlm.nih.gov/Taxonomy/Browser/wwwtax.cgi?mode=Info&amp;id=2585816&amp;lvl=3&amp;lin=f&amp;keep=1&amp;srchmode=1&amp;unlock","2585816")</f>
        <v>2585816</v>
      </c>
      <c r="F2149" t="s">
        <v>241</v>
      </c>
      <c r="G2149" t="str">
        <f>HYPERLINK("http://www.ncbi.nlm.nih.gov/Taxonomy/Browser/wwwtax.cgi?mode=Info&amp;id=2585816&amp;lvl=3&amp;lin=f&amp;keep=1&amp;srchmode=1&amp;unlock","Pterocles burchelli")</f>
        <v>Pterocles burchelli</v>
      </c>
      <c r="H2149" t="s">
        <v>419</v>
      </c>
      <c r="I2149" t="str">
        <f>HYPERLINK("http://www.ncbi.nlm.nih.gov/protein/NWU60664.1","RYR2 protein")</f>
        <v>RYR2 protein</v>
      </c>
      <c r="J2149">
        <v>8314.9</v>
      </c>
      <c r="K2149" t="s">
        <v>19</v>
      </c>
      <c r="L2149">
        <v>1210</v>
      </c>
      <c r="M2149">
        <v>7.13</v>
      </c>
      <c r="N2149">
        <v>81.02</v>
      </c>
      <c r="O2149" t="s">
        <v>19</v>
      </c>
      <c r="P2149" t="s">
        <v>1267</v>
      </c>
      <c r="Q2149" t="s">
        <v>19</v>
      </c>
      <c r="R2149" t="str">
        <f>HYPERLINK("https://cfpub.epa.gov/ecotox/explore.cfm?ncbi=2585816","Explore in ECOTOX")</f>
        <v>Explore in ECOTOX</v>
      </c>
    </row>
    <row r="2150" spans="1:18" x14ac:dyDescent="0.45">
      <c r="A2150" t="s">
        <v>1266</v>
      </c>
      <c r="B2150">
        <v>8</v>
      </c>
      <c r="C2150" t="str">
        <f>HYPERLINK("http://www.ncbi.nlm.nih.gov/protein/NXG65947.1","NXG65947.1")</f>
        <v>NXG65947.1</v>
      </c>
      <c r="D2150">
        <v>13817</v>
      </c>
      <c r="E2150" t="str">
        <f>HYPERLINK("http://www.ncbi.nlm.nih.gov/Taxonomy/Browser/wwwtax.cgi?mode=Info&amp;id=243314&amp;lvl=3&amp;lin=f&amp;keep=1&amp;srchmode=1&amp;unlock","243314")</f>
        <v>243314</v>
      </c>
      <c r="F2150" t="s">
        <v>241</v>
      </c>
      <c r="G2150" t="str">
        <f>HYPERLINK("http://www.ncbi.nlm.nih.gov/Taxonomy/Browser/wwwtax.cgi?mode=Info&amp;id=243314&amp;lvl=3&amp;lin=f&amp;keep=1&amp;srchmode=1&amp;unlock","Hemiprocne comata")</f>
        <v>Hemiprocne comata</v>
      </c>
      <c r="H2150" t="s">
        <v>500</v>
      </c>
      <c r="I2150" t="str">
        <f>HYPERLINK("http://www.ncbi.nlm.nih.gov/protein/NXG65947.1","RYR2 protein")</f>
        <v>RYR2 protein</v>
      </c>
      <c r="J2150">
        <v>8314.52</v>
      </c>
      <c r="K2150" t="s">
        <v>19</v>
      </c>
      <c r="L2150">
        <v>1210</v>
      </c>
      <c r="M2150">
        <v>7.13</v>
      </c>
      <c r="N2150">
        <v>81.02</v>
      </c>
      <c r="O2150" t="s">
        <v>19</v>
      </c>
      <c r="P2150" t="s">
        <v>1267</v>
      </c>
      <c r="Q2150" t="s">
        <v>19</v>
      </c>
      <c r="R2150" t="str">
        <f>HYPERLINK("https://cfpub.epa.gov/ecotox/explore.cfm?ncbi=243314","Explore in ECOTOX")</f>
        <v>Explore in ECOTOX</v>
      </c>
    </row>
    <row r="2151" spans="1:18" x14ac:dyDescent="0.45">
      <c r="A2151" t="s">
        <v>1266</v>
      </c>
      <c r="B2151">
        <v>8</v>
      </c>
      <c r="C2151" t="str">
        <f>HYPERLINK("http://www.ncbi.nlm.nih.gov/protein/XP_057681553.1","XP_057681553.1")</f>
        <v>XP_057681553.1</v>
      </c>
      <c r="D2151">
        <v>44748</v>
      </c>
      <c r="E2151" t="str">
        <f>HYPERLINK("http://www.ncbi.nlm.nih.gov/Taxonomy/Browser/wwwtax.cgi?mode=Info&amp;id=161448&amp;lvl=3&amp;lin=f&amp;keep=1&amp;srchmode=1&amp;unlock","161448")</f>
        <v>161448</v>
      </c>
      <c r="F2151" t="s">
        <v>17</v>
      </c>
      <c r="G2151" t="str">
        <f>HYPERLINK("http://www.ncbi.nlm.nih.gov/Taxonomy/Browser/wwwtax.cgi?mode=Info&amp;id=161448&amp;lvl=3&amp;lin=f&amp;keep=1&amp;srchmode=1&amp;unlock","Corythoichthys intestinalis")</f>
        <v>Corythoichthys intestinalis</v>
      </c>
      <c r="H2151" t="s">
        <v>111</v>
      </c>
      <c r="I2151" t="str">
        <f>HYPERLINK("http://www.ncbi.nlm.nih.gov/protein/XP_057681553.1","ryanodine receptor 2 isoform X1")</f>
        <v>ryanodine receptor 2 isoform X1</v>
      </c>
      <c r="J2151">
        <v>8314.1299999999992</v>
      </c>
      <c r="K2151" t="s">
        <v>19</v>
      </c>
      <c r="L2151">
        <v>1210</v>
      </c>
      <c r="M2151">
        <v>7.13</v>
      </c>
      <c r="N2151">
        <v>81.010000000000005</v>
      </c>
      <c r="O2151" t="s">
        <v>19</v>
      </c>
      <c r="P2151" t="s">
        <v>1267</v>
      </c>
      <c r="Q2151" t="s">
        <v>19</v>
      </c>
      <c r="R2151" t="str">
        <f>HYPERLINK("https://cfpub.epa.gov/ecotox/explore.cfm?ncbi=161448","Explore in ECOTOX")</f>
        <v>Explore in ECOTOX</v>
      </c>
    </row>
    <row r="2152" spans="1:18" x14ac:dyDescent="0.45">
      <c r="A2152" t="s">
        <v>1266</v>
      </c>
      <c r="B2152">
        <v>8</v>
      </c>
      <c r="C2152" t="str">
        <f>HYPERLINK("http://www.ncbi.nlm.nih.gov/protein/OPJ72696.1","OPJ72696.1")</f>
        <v>OPJ72696.1</v>
      </c>
      <c r="D2152">
        <v>24828</v>
      </c>
      <c r="E2152" t="str">
        <f>HYPERLINK("http://www.ncbi.nlm.nih.gov/Taxonomy/Browser/wwwtax.cgi?mode=Info&amp;id=372326&amp;lvl=3&amp;lin=f&amp;keep=1&amp;srchmode=1&amp;unlock","372326")</f>
        <v>372326</v>
      </c>
      <c r="F2152" t="s">
        <v>241</v>
      </c>
      <c r="G2152" t="str">
        <f>HYPERLINK("http://www.ncbi.nlm.nih.gov/Taxonomy/Browser/wwwtax.cgi?mode=Info&amp;id=372326&amp;lvl=3&amp;lin=f&amp;keep=1&amp;srchmode=1&amp;unlock","Patagioenas fasciata monilis")</f>
        <v>Patagioenas fasciata monilis</v>
      </c>
      <c r="H2152" t="s">
        <v>497</v>
      </c>
      <c r="I2152" t="str">
        <f>HYPERLINK("http://www.ncbi.nlm.nih.gov/protein/OPJ72696.1","ryanodine receptor 2 isoform B")</f>
        <v>ryanodine receptor 2 isoform B</v>
      </c>
      <c r="J2152">
        <v>8308.36</v>
      </c>
      <c r="K2152" t="s">
        <v>19</v>
      </c>
      <c r="L2152">
        <v>1210</v>
      </c>
      <c r="M2152">
        <v>7.13</v>
      </c>
      <c r="N2152">
        <v>80.959999999999994</v>
      </c>
      <c r="O2152" t="s">
        <v>19</v>
      </c>
      <c r="P2152" t="s">
        <v>1267</v>
      </c>
      <c r="Q2152" t="s">
        <v>19</v>
      </c>
      <c r="R2152" t="str">
        <f>HYPERLINK("https://cfpub.epa.gov/ecotox/explore.cfm?ncbi=372326","Explore in ECOTOX")</f>
        <v>Explore in ECOTOX</v>
      </c>
    </row>
    <row r="2153" spans="1:18" x14ac:dyDescent="0.45">
      <c r="A2153" t="s">
        <v>1266</v>
      </c>
      <c r="B2153">
        <v>8</v>
      </c>
      <c r="C2153" t="str">
        <f>HYPERLINK("http://www.ncbi.nlm.nih.gov/protein/NXP83938.1","NXP83938.1")</f>
        <v>NXP83938.1</v>
      </c>
      <c r="D2153">
        <v>13042</v>
      </c>
      <c r="E2153" t="str">
        <f>HYPERLINK("http://www.ncbi.nlm.nih.gov/Taxonomy/Browser/wwwtax.cgi?mode=Info&amp;id=142471&amp;lvl=3&amp;lin=f&amp;keep=1&amp;srchmode=1&amp;unlock","142471")</f>
        <v>142471</v>
      </c>
      <c r="F2153" t="s">
        <v>241</v>
      </c>
      <c r="G2153" t="str">
        <f>HYPERLINK("http://www.ncbi.nlm.nih.gov/Taxonomy/Browser/wwwtax.cgi?mode=Info&amp;id=142471&amp;lvl=3&amp;lin=f&amp;keep=1&amp;srchmode=1&amp;unlock","Passerina amoena")</f>
        <v>Passerina amoena</v>
      </c>
      <c r="H2153" t="s">
        <v>435</v>
      </c>
      <c r="I2153" t="str">
        <f>HYPERLINK("http://www.ncbi.nlm.nih.gov/protein/NXP83938.1","RYR2 protein")</f>
        <v>RYR2 protein</v>
      </c>
      <c r="J2153">
        <v>8299.5</v>
      </c>
      <c r="K2153" t="s">
        <v>19</v>
      </c>
      <c r="L2153">
        <v>1210</v>
      </c>
      <c r="M2153">
        <v>7.13</v>
      </c>
      <c r="N2153">
        <v>80.87</v>
      </c>
      <c r="O2153" t="s">
        <v>19</v>
      </c>
      <c r="P2153" t="s">
        <v>1267</v>
      </c>
      <c r="Q2153" t="s">
        <v>19</v>
      </c>
      <c r="R2153" t="str">
        <f>HYPERLINK("https://cfpub.epa.gov/ecotox/explore.cfm?ncbi=142471","Explore in ECOTOX")</f>
        <v>Explore in ECOTOX</v>
      </c>
    </row>
    <row r="2154" spans="1:18" x14ac:dyDescent="0.45">
      <c r="A2154" t="s">
        <v>1266</v>
      </c>
      <c r="B2154">
        <v>8</v>
      </c>
      <c r="C2154" t="str">
        <f>HYPERLINK("http://www.ncbi.nlm.nih.gov/protein/XP_026171554.1","XP_026171554.1")</f>
        <v>XP_026171554.1</v>
      </c>
      <c r="D2154">
        <v>42546</v>
      </c>
      <c r="E2154" t="str">
        <f>HYPERLINK("http://www.ncbi.nlm.nih.gov/Taxonomy/Browser/wwwtax.cgi?mode=Info&amp;id=205130&amp;lvl=3&amp;lin=f&amp;keep=1&amp;srchmode=1&amp;unlock","205130")</f>
        <v>205130</v>
      </c>
      <c r="F2154" t="s">
        <v>17</v>
      </c>
      <c r="G2154" t="str">
        <f>HYPERLINK("http://www.ncbi.nlm.nih.gov/Taxonomy/Browser/wwwtax.cgi?mode=Info&amp;id=205130&amp;lvl=3&amp;lin=f&amp;keep=1&amp;srchmode=1&amp;unlock","Mastacembelus armatus")</f>
        <v>Mastacembelus armatus</v>
      </c>
      <c r="H2154" t="s">
        <v>513</v>
      </c>
      <c r="I2154" t="str">
        <f>HYPERLINK("http://www.ncbi.nlm.nih.gov/protein/XP_026171554.1","LOW QUALITY PROTEIN: ryanodine receptor 2")</f>
        <v>LOW QUALITY PROTEIN: ryanodine receptor 2</v>
      </c>
      <c r="J2154">
        <v>8298.73</v>
      </c>
      <c r="K2154" t="s">
        <v>19</v>
      </c>
      <c r="L2154">
        <v>1210</v>
      </c>
      <c r="M2154">
        <v>7.13</v>
      </c>
      <c r="N2154">
        <v>80.86</v>
      </c>
      <c r="O2154" t="s">
        <v>19</v>
      </c>
      <c r="P2154" t="s">
        <v>1267</v>
      </c>
      <c r="Q2154" t="s">
        <v>19</v>
      </c>
      <c r="R2154" t="str">
        <f>HYPERLINK("https://cfpub.epa.gov/ecotox/explore.cfm?ncbi=205130","Explore in ECOTOX")</f>
        <v>Explore in ECOTOX</v>
      </c>
    </row>
    <row r="2155" spans="1:18" x14ac:dyDescent="0.45">
      <c r="A2155" t="s">
        <v>1266</v>
      </c>
      <c r="B2155">
        <v>8</v>
      </c>
      <c r="C2155" t="str">
        <f>HYPERLINK("http://www.ncbi.nlm.nih.gov/protein/XP_020644001.1","XP_020644001.1")</f>
        <v>XP_020644001.1</v>
      </c>
      <c r="D2155">
        <v>38822</v>
      </c>
      <c r="E2155" t="str">
        <f>HYPERLINK("http://www.ncbi.nlm.nih.gov/Taxonomy/Browser/wwwtax.cgi?mode=Info&amp;id=103695&amp;lvl=3&amp;lin=f&amp;keep=1&amp;srchmode=1&amp;unlock","103695")</f>
        <v>103695</v>
      </c>
      <c r="F2155" t="s">
        <v>192</v>
      </c>
      <c r="G2155" t="str">
        <f>HYPERLINK("http://www.ncbi.nlm.nih.gov/Taxonomy/Browser/wwwtax.cgi?mode=Info&amp;id=103695&amp;lvl=3&amp;lin=f&amp;keep=1&amp;srchmode=1&amp;unlock","Pogona vitticeps")</f>
        <v>Pogona vitticeps</v>
      </c>
      <c r="H2155" t="s">
        <v>488</v>
      </c>
      <c r="I2155" t="str">
        <f>HYPERLINK("http://www.ncbi.nlm.nih.gov/protein/XP_020644001.1","ryanodine receptor 2")</f>
        <v>ryanodine receptor 2</v>
      </c>
      <c r="J2155">
        <v>8297.57</v>
      </c>
      <c r="K2155" t="s">
        <v>19</v>
      </c>
      <c r="L2155">
        <v>1210</v>
      </c>
      <c r="M2155">
        <v>7.13</v>
      </c>
      <c r="N2155">
        <v>80.849999999999994</v>
      </c>
      <c r="O2155" t="s">
        <v>19</v>
      </c>
      <c r="P2155" t="s">
        <v>1267</v>
      </c>
      <c r="Q2155" t="s">
        <v>19</v>
      </c>
      <c r="R2155" t="str">
        <f>HYPERLINK("https://cfpub.epa.gov/ecotox/explore.cfm?ncbi=103695","Explore in ECOTOX")</f>
        <v>Explore in ECOTOX</v>
      </c>
    </row>
    <row r="2156" spans="1:18" x14ac:dyDescent="0.45">
      <c r="A2156" t="s">
        <v>1266</v>
      </c>
      <c r="B2156">
        <v>8</v>
      </c>
      <c r="C2156" t="str">
        <f>HYPERLINK("http://www.ncbi.nlm.nih.gov/protein/XP_061120435.1","XP_061120435.1")</f>
        <v>XP_061120435.1</v>
      </c>
      <c r="D2156">
        <v>41143</v>
      </c>
      <c r="E2156" t="str">
        <f>HYPERLINK("http://www.ncbi.nlm.nih.gov/Taxonomy/Browser/wwwtax.cgi?mode=Info&amp;id=161592&amp;lvl=3&amp;lin=f&amp;keep=1&amp;srchmode=1&amp;unlock","161592")</f>
        <v>161592</v>
      </c>
      <c r="F2156" t="s">
        <v>17</v>
      </c>
      <c r="G2156" t="str">
        <f>HYPERLINK("http://www.ncbi.nlm.nih.gov/Taxonomy/Browser/wwwtax.cgi?mode=Info&amp;id=161592&amp;lvl=3&amp;lin=f&amp;keep=1&amp;srchmode=1&amp;unlock","Syngnathus typhle")</f>
        <v>Syngnathus typhle</v>
      </c>
      <c r="H2156" t="s">
        <v>143</v>
      </c>
      <c r="I2156" t="str">
        <f>HYPERLINK("http://www.ncbi.nlm.nih.gov/protein/XP_061120435.1","LOW QUALITY PROTEIN: ryanodine receptor 2")</f>
        <v>LOW QUALITY PROTEIN: ryanodine receptor 2</v>
      </c>
      <c r="J2156">
        <v>8297.18</v>
      </c>
      <c r="K2156" t="s">
        <v>19</v>
      </c>
      <c r="L2156">
        <v>1210</v>
      </c>
      <c r="M2156">
        <v>7.13</v>
      </c>
      <c r="N2156">
        <v>80.849999999999994</v>
      </c>
      <c r="O2156" t="s">
        <v>19</v>
      </c>
      <c r="P2156" t="s">
        <v>1267</v>
      </c>
      <c r="Q2156" t="s">
        <v>19</v>
      </c>
      <c r="R2156" t="str">
        <f>HYPERLINK("https://cfpub.epa.gov/ecotox/explore.cfm?ncbi=161592","Explore in ECOTOX")</f>
        <v>Explore in ECOTOX</v>
      </c>
    </row>
    <row r="2157" spans="1:18" x14ac:dyDescent="0.45">
      <c r="A2157" t="s">
        <v>1266</v>
      </c>
      <c r="B2157">
        <v>8</v>
      </c>
      <c r="C2157" t="str">
        <f>HYPERLINK("http://www.ncbi.nlm.nih.gov/protein/NWQ74070.1","NWQ74070.1")</f>
        <v>NWQ74070.1</v>
      </c>
      <c r="D2157">
        <v>12327</v>
      </c>
      <c r="E2157" t="str">
        <f>HYPERLINK("http://www.ncbi.nlm.nih.gov/Taxonomy/Browser/wwwtax.cgi?mode=Info&amp;id=115618&amp;lvl=3&amp;lin=f&amp;keep=1&amp;srchmode=1&amp;unlock","115618")</f>
        <v>115618</v>
      </c>
      <c r="F2157" t="s">
        <v>241</v>
      </c>
      <c r="G2157" t="str">
        <f>HYPERLINK("http://www.ncbi.nlm.nih.gov/Taxonomy/Browser/wwwtax.cgi?mode=Info&amp;id=115618&amp;lvl=3&amp;lin=f&amp;keep=1&amp;srchmode=1&amp;unlock","Columbina picui")</f>
        <v>Columbina picui</v>
      </c>
      <c r="H2157" t="s">
        <v>693</v>
      </c>
      <c r="I2157" t="str">
        <f>HYPERLINK("http://www.ncbi.nlm.nih.gov/protein/NWQ74070.1","RYR2 protein")</f>
        <v>RYR2 protein</v>
      </c>
      <c r="J2157">
        <v>8290.25</v>
      </c>
      <c r="K2157" t="s">
        <v>19</v>
      </c>
      <c r="L2157">
        <v>1210</v>
      </c>
      <c r="M2157">
        <v>7.13</v>
      </c>
      <c r="N2157">
        <v>80.78</v>
      </c>
      <c r="O2157" t="s">
        <v>19</v>
      </c>
      <c r="P2157" t="s">
        <v>1267</v>
      </c>
      <c r="Q2157" t="s">
        <v>19</v>
      </c>
      <c r="R2157" t="str">
        <f>HYPERLINK("https://cfpub.epa.gov/ecotox/explore.cfm?ncbi=115618","Explore in ECOTOX")</f>
        <v>Explore in ECOTOX</v>
      </c>
    </row>
    <row r="2158" spans="1:18" x14ac:dyDescent="0.45">
      <c r="A2158" t="s">
        <v>1266</v>
      </c>
      <c r="B2158">
        <v>8</v>
      </c>
      <c r="C2158" t="str">
        <f>HYPERLINK("http://www.ncbi.nlm.nih.gov/protein/NXC92830.1","NXC92830.1")</f>
        <v>NXC92830.1</v>
      </c>
      <c r="D2158">
        <v>13258</v>
      </c>
      <c r="E2158" t="str">
        <f>HYPERLINK("http://www.ncbi.nlm.nih.gov/Taxonomy/Browser/wwwtax.cgi?mode=Info&amp;id=73333&amp;lvl=3&amp;lin=f&amp;keep=1&amp;srchmode=1&amp;unlock","73333")</f>
        <v>73333</v>
      </c>
      <c r="F2158" t="s">
        <v>241</v>
      </c>
      <c r="G2158" t="str">
        <f>HYPERLINK("http://www.ncbi.nlm.nih.gov/Taxonomy/Browser/wwwtax.cgi?mode=Info&amp;id=73333&amp;lvl=3&amp;lin=f&amp;keep=1&amp;srchmode=1&amp;unlock","Certhia familiaris")</f>
        <v>Certhia familiaris</v>
      </c>
      <c r="H2158" t="s">
        <v>691</v>
      </c>
      <c r="I2158" t="str">
        <f>HYPERLINK("http://www.ncbi.nlm.nih.gov/protein/NXC92830.1","RYR2 protein")</f>
        <v>RYR2 protein</v>
      </c>
      <c r="J2158">
        <v>8288.7099999999991</v>
      </c>
      <c r="K2158" t="s">
        <v>19</v>
      </c>
      <c r="L2158">
        <v>1210</v>
      </c>
      <c r="M2158">
        <v>7.13</v>
      </c>
      <c r="N2158">
        <v>80.760000000000005</v>
      </c>
      <c r="O2158" t="s">
        <v>19</v>
      </c>
      <c r="P2158" t="s">
        <v>1267</v>
      </c>
      <c r="Q2158" t="s">
        <v>19</v>
      </c>
      <c r="R2158" t="str">
        <f>HYPERLINK("https://cfpub.epa.gov/ecotox/explore.cfm?ncbi=73333","Explore in ECOTOX")</f>
        <v>Explore in ECOTOX</v>
      </c>
    </row>
    <row r="2159" spans="1:18" x14ac:dyDescent="0.45">
      <c r="A2159" t="s">
        <v>1266</v>
      </c>
      <c r="B2159">
        <v>8</v>
      </c>
      <c r="C2159" t="str">
        <f>HYPERLINK("http://www.ncbi.nlm.nih.gov/protein/XP_039706285.1","XP_039706285.1")</f>
        <v>XP_039706285.1</v>
      </c>
      <c r="D2159">
        <v>53675</v>
      </c>
      <c r="E2159" t="str">
        <f>HYPERLINK("http://www.ncbi.nlm.nih.gov/Taxonomy/Browser/wwwtax.cgi?mode=Info&amp;id=143291&amp;lvl=3&amp;lin=f&amp;keep=1&amp;srchmode=1&amp;unlock","143291")</f>
        <v>143291</v>
      </c>
      <c r="F2159" t="s">
        <v>96</v>
      </c>
      <c r="G2159" t="str">
        <f>HYPERLINK("http://www.ncbi.nlm.nih.gov/Taxonomy/Browser/wwwtax.cgi?mode=Info&amp;id=143291&amp;lvl=3&amp;lin=f&amp;keep=1&amp;srchmode=1&amp;unlock","Pteropus giganteus")</f>
        <v>Pteropus giganteus</v>
      </c>
      <c r="H2159" t="s">
        <v>454</v>
      </c>
      <c r="I2159" t="str">
        <f>HYPERLINK("http://www.ncbi.nlm.nih.gov/protein/XP_039706285.1","ryanodine receptor 2")</f>
        <v>ryanodine receptor 2</v>
      </c>
      <c r="J2159">
        <v>8279.85</v>
      </c>
      <c r="K2159" t="s">
        <v>19</v>
      </c>
      <c r="L2159">
        <v>1210</v>
      </c>
      <c r="M2159">
        <v>7.13</v>
      </c>
      <c r="N2159">
        <v>80.680000000000007</v>
      </c>
      <c r="O2159" t="s">
        <v>19</v>
      </c>
      <c r="P2159" t="s">
        <v>1267</v>
      </c>
      <c r="Q2159" t="s">
        <v>19</v>
      </c>
      <c r="R2159" t="str">
        <f>HYPERLINK("https://cfpub.epa.gov/ecotox/explore.cfm?ncbi=143291","Explore in ECOTOX")</f>
        <v>Explore in ECOTOX</v>
      </c>
    </row>
    <row r="2160" spans="1:18" x14ac:dyDescent="0.45">
      <c r="A2160" t="s">
        <v>1266</v>
      </c>
      <c r="B2160">
        <v>8</v>
      </c>
      <c r="C2160" t="str">
        <f>HYPERLINK("http://www.ncbi.nlm.nih.gov/protein/NWR16548.1","NWR16548.1")</f>
        <v>NWR16548.1</v>
      </c>
      <c r="D2160">
        <v>13259</v>
      </c>
      <c r="E2160" t="str">
        <f>HYPERLINK("http://www.ncbi.nlm.nih.gov/Taxonomy/Browser/wwwtax.cgi?mode=Info&amp;id=337179&amp;lvl=3&amp;lin=f&amp;keep=1&amp;srchmode=1&amp;unlock","337179")</f>
        <v>337179</v>
      </c>
      <c r="F2160" t="s">
        <v>241</v>
      </c>
      <c r="G2160" t="str">
        <f>HYPERLINK("http://www.ncbi.nlm.nih.gov/Taxonomy/Browser/wwwtax.cgi?mode=Info&amp;id=337179&amp;lvl=3&amp;lin=f&amp;keep=1&amp;srchmode=1&amp;unlock","Emberiza fucata")</f>
        <v>Emberiza fucata</v>
      </c>
      <c r="H2160" t="s">
        <v>694</v>
      </c>
      <c r="I2160" t="str">
        <f>HYPERLINK("http://www.ncbi.nlm.nih.gov/protein/NWR16548.1","RYR2 protein")</f>
        <v>RYR2 protein</v>
      </c>
      <c r="J2160">
        <v>8260.59</v>
      </c>
      <c r="K2160" t="s">
        <v>19</v>
      </c>
      <c r="L2160">
        <v>1210</v>
      </c>
      <c r="M2160">
        <v>7.13</v>
      </c>
      <c r="N2160">
        <v>80.489999999999995</v>
      </c>
      <c r="O2160" t="s">
        <v>19</v>
      </c>
      <c r="P2160" t="s">
        <v>1267</v>
      </c>
      <c r="Q2160" t="s">
        <v>19</v>
      </c>
      <c r="R2160" t="str">
        <f>HYPERLINK("https://cfpub.epa.gov/ecotox/explore.cfm?ncbi=337179","Explore in ECOTOX")</f>
        <v>Explore in ECOTOX</v>
      </c>
    </row>
    <row r="2161" spans="1:18" x14ac:dyDescent="0.45">
      <c r="A2161" t="s">
        <v>1266</v>
      </c>
      <c r="B2161">
        <v>8</v>
      </c>
      <c r="C2161" t="str">
        <f>HYPERLINK("http://www.ncbi.nlm.nih.gov/protein/RMC12770.1","RMC12770.1")</f>
        <v>RMC12770.1</v>
      </c>
      <c r="D2161">
        <v>35222</v>
      </c>
      <c r="E2161" t="str">
        <f>HYPERLINK("http://www.ncbi.nlm.nih.gov/Taxonomy/Browser/wwwtax.cgi?mode=Info&amp;id=333673&amp;lvl=3&amp;lin=f&amp;keep=1&amp;srchmode=1&amp;unlock","333673")</f>
        <v>333673</v>
      </c>
      <c r="F2161" t="s">
        <v>241</v>
      </c>
      <c r="G2161" t="str">
        <f>HYPERLINK("http://www.ncbi.nlm.nih.gov/Taxonomy/Browser/wwwtax.cgi?mode=Info&amp;id=333673&amp;lvl=3&amp;lin=f&amp;keep=1&amp;srchmode=1&amp;unlock","Hirundo rustica rustica")</f>
        <v>Hirundo rustica rustica</v>
      </c>
      <c r="H2161" t="s">
        <v>549</v>
      </c>
      <c r="I2161" t="str">
        <f>HYPERLINK("http://www.ncbi.nlm.nih.gov/protein/RMC12770.1","hypothetical protein DUI87_10295")</f>
        <v>hypothetical protein DUI87_10295</v>
      </c>
      <c r="J2161">
        <v>8246.7199999999993</v>
      </c>
      <c r="K2161" t="s">
        <v>19</v>
      </c>
      <c r="L2161">
        <v>1210</v>
      </c>
      <c r="M2161">
        <v>7.13</v>
      </c>
      <c r="N2161">
        <v>80.349999999999994</v>
      </c>
      <c r="O2161" t="s">
        <v>19</v>
      </c>
      <c r="P2161" t="s">
        <v>1267</v>
      </c>
      <c r="Q2161" t="s">
        <v>19</v>
      </c>
      <c r="R2161" t="str">
        <f>HYPERLINK("https://cfpub.epa.gov/ecotox/explore.cfm?ncbi=333673","Explore in ECOTOX")</f>
        <v>Explore in ECOTOX</v>
      </c>
    </row>
    <row r="2162" spans="1:18" x14ac:dyDescent="0.45">
      <c r="A2162" t="s">
        <v>1266</v>
      </c>
      <c r="B2162">
        <v>8</v>
      </c>
      <c r="C2162" t="str">
        <f>HYPERLINK("http://www.ncbi.nlm.nih.gov/protein/XP_032881349.1","XP_032881349.1")</f>
        <v>XP_032881349.1</v>
      </c>
      <c r="D2162">
        <v>38972</v>
      </c>
      <c r="E2162" t="str">
        <f>HYPERLINK("http://www.ncbi.nlm.nih.gov/Taxonomy/Browser/wwwtax.cgi?mode=Info&amp;id=386614&amp;lvl=3&amp;lin=f&amp;keep=1&amp;srchmode=1&amp;unlock","386614")</f>
        <v>386614</v>
      </c>
      <c r="F2162" t="s">
        <v>195</v>
      </c>
      <c r="G2162" t="str">
        <f>HYPERLINK("http://www.ncbi.nlm.nih.gov/Taxonomy/Browser/wwwtax.cgi?mode=Info&amp;id=386614&amp;lvl=3&amp;lin=f&amp;keep=1&amp;srchmode=1&amp;unlock","Amblyraja radiata")</f>
        <v>Amblyraja radiata</v>
      </c>
      <c r="H2162" t="s">
        <v>226</v>
      </c>
      <c r="I2162" t="str">
        <f>HYPERLINK("http://www.ncbi.nlm.nih.gov/protein/XP_032881349.1","LOW QUALITY PROTEIN: ryanodine receptor 2")</f>
        <v>LOW QUALITY PROTEIN: ryanodine receptor 2</v>
      </c>
      <c r="J2162">
        <v>8210.51</v>
      </c>
      <c r="K2162" t="s">
        <v>19</v>
      </c>
      <c r="L2162">
        <v>1210</v>
      </c>
      <c r="M2162">
        <v>7.13</v>
      </c>
      <c r="N2162">
        <v>80</v>
      </c>
      <c r="O2162" t="s">
        <v>19</v>
      </c>
      <c r="P2162" t="s">
        <v>1267</v>
      </c>
      <c r="Q2162" t="s">
        <v>19</v>
      </c>
      <c r="R2162" t="str">
        <f>HYPERLINK("https://cfpub.epa.gov/ecotox/explore.cfm?ncbi=386614","Explore in ECOTOX")</f>
        <v>Explore in ECOTOX</v>
      </c>
    </row>
    <row r="2163" spans="1:18" x14ac:dyDescent="0.45">
      <c r="A2163" t="s">
        <v>1266</v>
      </c>
      <c r="B2163">
        <v>8</v>
      </c>
      <c r="C2163" t="str">
        <f>HYPERLINK("http://www.ncbi.nlm.nih.gov/protein/KAJ6664647.1","KAJ6664647.1")</f>
        <v>KAJ6664647.1</v>
      </c>
      <c r="D2163">
        <v>21094</v>
      </c>
      <c r="E2163" t="str">
        <f>HYPERLINK("http://www.ncbi.nlm.nih.gov/Taxonomy/Browser/wwwtax.cgi?mode=Info&amp;id=470340&amp;lvl=3&amp;lin=f&amp;keep=1&amp;srchmode=1&amp;unlock","470340")</f>
        <v>470340</v>
      </c>
      <c r="F2163" t="s">
        <v>192</v>
      </c>
      <c r="G2163" t="str">
        <f>HYPERLINK("http://www.ncbi.nlm.nih.gov/Taxonomy/Browser/wwwtax.cgi?mode=Info&amp;id=470340&amp;lvl=3&amp;lin=f&amp;keep=1&amp;srchmode=1&amp;unlock","Lerista edwardsae")</f>
        <v>Lerista edwardsae</v>
      </c>
      <c r="H2163" t="s">
        <v>696</v>
      </c>
      <c r="I2163" t="str">
        <f>HYPERLINK("http://www.ncbi.nlm.nih.gov/protein/KAJ6664647.1","hypothetical protein lerEdw1_006220")</f>
        <v>hypothetical protein lerEdw1_006220</v>
      </c>
      <c r="J2163">
        <v>8203.9699999999993</v>
      </c>
      <c r="K2163" t="s">
        <v>19</v>
      </c>
      <c r="L2163">
        <v>1210</v>
      </c>
      <c r="M2163">
        <v>7.13</v>
      </c>
      <c r="N2163">
        <v>79.94</v>
      </c>
      <c r="O2163" t="s">
        <v>19</v>
      </c>
      <c r="P2163" t="s">
        <v>1267</v>
      </c>
      <c r="Q2163" t="s">
        <v>19</v>
      </c>
      <c r="R2163" t="str">
        <f>HYPERLINK("https://cfpub.epa.gov/ecotox/explore.cfm?ncbi=470340","Explore in ECOTOX")</f>
        <v>Explore in ECOTOX</v>
      </c>
    </row>
    <row r="2164" spans="1:18" x14ac:dyDescent="0.45">
      <c r="A2164" t="s">
        <v>1266</v>
      </c>
      <c r="B2164">
        <v>8</v>
      </c>
      <c r="C2164" t="str">
        <f>HYPERLINK("http://www.ncbi.nlm.nih.gov/protein/NWY06141.1","NWY06141.1")</f>
        <v>NWY06141.1</v>
      </c>
      <c r="D2164">
        <v>13760</v>
      </c>
      <c r="E2164" t="str">
        <f>HYPERLINK("http://www.ncbi.nlm.nih.gov/Taxonomy/Browser/wwwtax.cgi?mode=Info&amp;id=83376&amp;lvl=3&amp;lin=f&amp;keep=1&amp;srchmode=1&amp;unlock","83376")</f>
        <v>83376</v>
      </c>
      <c r="F2164" t="s">
        <v>241</v>
      </c>
      <c r="G2164" t="str">
        <f>HYPERLINK("http://www.ncbi.nlm.nih.gov/Taxonomy/Browser/wwwtax.cgi?mode=Info&amp;id=83376&amp;lvl=3&amp;lin=f&amp;keep=1&amp;srchmode=1&amp;unlock","Nothoprocta ornata")</f>
        <v>Nothoprocta ornata</v>
      </c>
      <c r="H2164" t="s">
        <v>367</v>
      </c>
      <c r="I2164" t="str">
        <f>HYPERLINK("http://www.ncbi.nlm.nih.gov/protein/NWY06141.1","RYR2 protein")</f>
        <v>RYR2 protein</v>
      </c>
      <c r="J2164">
        <v>8183.17</v>
      </c>
      <c r="K2164" t="s">
        <v>19</v>
      </c>
      <c r="L2164">
        <v>1210</v>
      </c>
      <c r="M2164">
        <v>7.13</v>
      </c>
      <c r="N2164">
        <v>79.739999999999995</v>
      </c>
      <c r="O2164" t="s">
        <v>19</v>
      </c>
      <c r="P2164" t="s">
        <v>1267</v>
      </c>
      <c r="Q2164" t="s">
        <v>19</v>
      </c>
      <c r="R2164" t="str">
        <f>HYPERLINK("https://cfpub.epa.gov/ecotox/explore.cfm?ncbi=83376","Explore in ECOTOX")</f>
        <v>Explore in ECOTOX</v>
      </c>
    </row>
    <row r="2165" spans="1:18" x14ac:dyDescent="0.45">
      <c r="A2165" t="s">
        <v>1266</v>
      </c>
      <c r="B2165">
        <v>8</v>
      </c>
      <c r="C2165" t="str">
        <f>HYPERLINK("http://www.ncbi.nlm.nih.gov/protein/XP_019748143.1","XP_019748143.1")</f>
        <v>XP_019748143.1</v>
      </c>
      <c r="D2165">
        <v>42022</v>
      </c>
      <c r="E2165" t="str">
        <f>HYPERLINK("http://www.ncbi.nlm.nih.gov/Taxonomy/Browser/wwwtax.cgi?mode=Info&amp;id=109280&amp;lvl=3&amp;lin=f&amp;keep=1&amp;srchmode=1&amp;unlock","109280")</f>
        <v>109280</v>
      </c>
      <c r="F2165" t="s">
        <v>17</v>
      </c>
      <c r="G2165" t="str">
        <f>HYPERLINK("http://www.ncbi.nlm.nih.gov/Taxonomy/Browser/wwwtax.cgi?mode=Info&amp;id=109280&amp;lvl=3&amp;lin=f&amp;keep=1&amp;srchmode=1&amp;unlock","Hippocampus comes")</f>
        <v>Hippocampus comes</v>
      </c>
      <c r="H2165" t="s">
        <v>142</v>
      </c>
      <c r="I2165" t="str">
        <f>HYPERLINK("http://www.ncbi.nlm.nih.gov/protein/XP_019748143.1","PREDICTED: ryanodine receptor 2")</f>
        <v>PREDICTED: ryanodine receptor 2</v>
      </c>
      <c r="J2165">
        <v>8172.77</v>
      </c>
      <c r="K2165" t="s">
        <v>19</v>
      </c>
      <c r="L2165">
        <v>1210</v>
      </c>
      <c r="M2165">
        <v>7.13</v>
      </c>
      <c r="N2165">
        <v>79.63</v>
      </c>
      <c r="O2165" t="s">
        <v>19</v>
      </c>
      <c r="P2165" t="s">
        <v>1267</v>
      </c>
      <c r="Q2165" t="s">
        <v>19</v>
      </c>
      <c r="R2165" t="str">
        <f>HYPERLINK("https://cfpub.epa.gov/ecotox/explore.cfm?ncbi=109280","Explore in ECOTOX")</f>
        <v>Explore in ECOTOX</v>
      </c>
    </row>
    <row r="2166" spans="1:18" x14ac:dyDescent="0.45">
      <c r="A2166" t="s">
        <v>1266</v>
      </c>
      <c r="B2166">
        <v>8</v>
      </c>
      <c r="C2166" t="str">
        <f>HYPERLINK("http://www.ncbi.nlm.nih.gov/protein/XP_014384760.1","XP_014384760.1")</f>
        <v>XP_014384760.1</v>
      </c>
      <c r="D2166">
        <v>60320</v>
      </c>
      <c r="E2166" t="str">
        <f>HYPERLINK("http://www.ncbi.nlm.nih.gov/Taxonomy/Browser/wwwtax.cgi?mode=Info&amp;id=109478&amp;lvl=3&amp;lin=f&amp;keep=1&amp;srchmode=1&amp;unlock","109478")</f>
        <v>109478</v>
      </c>
      <c r="F2166" t="s">
        <v>96</v>
      </c>
      <c r="G2166" t="str">
        <f>HYPERLINK("http://www.ncbi.nlm.nih.gov/Taxonomy/Browser/wwwtax.cgi?mode=Info&amp;id=109478&amp;lvl=3&amp;lin=f&amp;keep=1&amp;srchmode=1&amp;unlock","Myotis brandtii")</f>
        <v>Myotis brandtii</v>
      </c>
      <c r="H2166" t="s">
        <v>503</v>
      </c>
      <c r="I2166" t="str">
        <f>HYPERLINK("http://www.ncbi.nlm.nih.gov/protein/XP_014384760.1","PREDICTED: ryanodine receptor 2")</f>
        <v>PREDICTED: ryanodine receptor 2</v>
      </c>
      <c r="J2166">
        <v>8171.61</v>
      </c>
      <c r="K2166" t="s">
        <v>19</v>
      </c>
      <c r="L2166">
        <v>1210</v>
      </c>
      <c r="M2166">
        <v>7.13</v>
      </c>
      <c r="N2166">
        <v>79.62</v>
      </c>
      <c r="O2166" t="s">
        <v>19</v>
      </c>
      <c r="P2166" t="s">
        <v>1267</v>
      </c>
      <c r="Q2166" t="s">
        <v>19</v>
      </c>
      <c r="R2166" t="str">
        <f>HYPERLINK("https://cfpub.epa.gov/ecotox/explore.cfm?ncbi=109478","Explore in ECOTOX")</f>
        <v>Explore in ECOTOX</v>
      </c>
    </row>
    <row r="2167" spans="1:18" x14ac:dyDescent="0.45">
      <c r="A2167" t="s">
        <v>1266</v>
      </c>
      <c r="B2167">
        <v>8</v>
      </c>
      <c r="C2167" t="str">
        <f>HYPERLINK("http://www.ncbi.nlm.nih.gov/protein/XP_023600319.1","XP_023600319.1")</f>
        <v>XP_023600319.1</v>
      </c>
      <c r="D2167">
        <v>44097</v>
      </c>
      <c r="E2167" t="str">
        <f>HYPERLINK("http://www.ncbi.nlm.nih.gov/Taxonomy/Browser/wwwtax.cgi?mode=Info&amp;id=59463&amp;lvl=3&amp;lin=f&amp;keep=1&amp;srchmode=1&amp;unlock","59463")</f>
        <v>59463</v>
      </c>
      <c r="F2167" t="s">
        <v>96</v>
      </c>
      <c r="G2167" t="str">
        <f>HYPERLINK("http://www.ncbi.nlm.nih.gov/Taxonomy/Browser/wwwtax.cgi?mode=Info&amp;id=59463&amp;lvl=3&amp;lin=f&amp;keep=1&amp;srchmode=1&amp;unlock","Myotis lucifugus")</f>
        <v>Myotis lucifugus</v>
      </c>
      <c r="H2167" t="s">
        <v>505</v>
      </c>
      <c r="I2167" t="str">
        <f>HYPERLINK("http://www.ncbi.nlm.nih.gov/protein/XP_023600319.1","LOW QUALITY PROTEIN: ryanodine receptor 2")</f>
        <v>LOW QUALITY PROTEIN: ryanodine receptor 2</v>
      </c>
      <c r="J2167">
        <v>8120.38</v>
      </c>
      <c r="K2167" t="s">
        <v>19</v>
      </c>
      <c r="L2167">
        <v>1210</v>
      </c>
      <c r="M2167">
        <v>7.13</v>
      </c>
      <c r="N2167">
        <v>79.12</v>
      </c>
      <c r="O2167" t="s">
        <v>19</v>
      </c>
      <c r="P2167" t="s">
        <v>1267</v>
      </c>
      <c r="Q2167" t="s">
        <v>19</v>
      </c>
      <c r="R2167" t="str">
        <f>HYPERLINK("https://cfpub.epa.gov/ecotox/explore.cfm?ncbi=59463","Explore in ECOTOX")</f>
        <v>Explore in ECOTOX</v>
      </c>
    </row>
    <row r="2168" spans="1:18" x14ac:dyDescent="0.45">
      <c r="A2168" t="s">
        <v>1266</v>
      </c>
      <c r="B2168">
        <v>8</v>
      </c>
      <c r="C2168" t="str">
        <f>HYPERLINK("http://www.ncbi.nlm.nih.gov/protein/XP_031676783.1","XP_031676783.1")</f>
        <v>XP_031676783.1</v>
      </c>
      <c r="D2168">
        <v>89618</v>
      </c>
      <c r="E2168" t="str">
        <f>HYPERLINK("http://www.ncbi.nlm.nih.gov/Taxonomy/Browser/wwwtax.cgi?mode=Info&amp;id=8019&amp;lvl=3&amp;lin=f&amp;keep=1&amp;srchmode=1&amp;unlock","8019")</f>
        <v>8019</v>
      </c>
      <c r="F2168" t="s">
        <v>17</v>
      </c>
      <c r="G2168" t="str">
        <f>HYPERLINK("http://www.ncbi.nlm.nih.gov/Taxonomy/Browser/wwwtax.cgi?mode=Info&amp;id=8019&amp;lvl=3&amp;lin=f&amp;keep=1&amp;srchmode=1&amp;unlock","Oncorhynchus kisutch")</f>
        <v>Oncorhynchus kisutch</v>
      </c>
      <c r="H2168" t="s">
        <v>164</v>
      </c>
      <c r="I2168" t="str">
        <f>HYPERLINK("http://www.ncbi.nlm.nih.gov/protein/XP_031676783.1","LOW QUALITY PROTEIN: ryanodine receptor 2-like")</f>
        <v>LOW QUALITY PROTEIN: ryanodine receptor 2-like</v>
      </c>
      <c r="J2168">
        <v>8096.88</v>
      </c>
      <c r="K2168" t="s">
        <v>19</v>
      </c>
      <c r="L2168">
        <v>1210</v>
      </c>
      <c r="M2168">
        <v>7.13</v>
      </c>
      <c r="N2168">
        <v>78.89</v>
      </c>
      <c r="O2168" t="s">
        <v>19</v>
      </c>
      <c r="P2168" t="s">
        <v>1267</v>
      </c>
      <c r="Q2168" t="s">
        <v>19</v>
      </c>
      <c r="R2168" t="str">
        <f>HYPERLINK("https://cfpub.epa.gov/ecotox/explore.cfm?ncbi=8019","Explore in ECOTOX")</f>
        <v>Explore in ECOTOX</v>
      </c>
    </row>
    <row r="2169" spans="1:18" x14ac:dyDescent="0.45">
      <c r="A2169" t="s">
        <v>1266</v>
      </c>
      <c r="B2169">
        <v>8</v>
      </c>
      <c r="C2169" t="str">
        <f>HYPERLINK("http://www.ncbi.nlm.nih.gov/protein/XP_029953435.1","XP_029953435.1")</f>
        <v>XP_029953435.1</v>
      </c>
      <c r="D2169">
        <v>39290</v>
      </c>
      <c r="E2169" t="str">
        <f>HYPERLINK("http://www.ncbi.nlm.nih.gov/Taxonomy/Browser/wwwtax.cgi?mode=Info&amp;id=181472&amp;lvl=3&amp;lin=f&amp;keep=1&amp;srchmode=1&amp;unlock","181472")</f>
        <v>181472</v>
      </c>
      <c r="F2169" t="s">
        <v>17</v>
      </c>
      <c r="G2169" t="str">
        <f>HYPERLINK("http://www.ncbi.nlm.nih.gov/Taxonomy/Browser/wwwtax.cgi?mode=Info&amp;id=181472&amp;lvl=3&amp;lin=f&amp;keep=1&amp;srchmode=1&amp;unlock","Salarias fasciatus")</f>
        <v>Salarias fasciatus</v>
      </c>
      <c r="H2169" t="s">
        <v>531</v>
      </c>
      <c r="I2169" t="str">
        <f>HYPERLINK("http://www.ncbi.nlm.nih.gov/protein/XP_029953435.1","LOW QUALITY PROTEIN: ryanodine receptor 2-like")</f>
        <v>LOW QUALITY PROTEIN: ryanodine receptor 2-like</v>
      </c>
      <c r="J2169">
        <v>8090.33</v>
      </c>
      <c r="K2169" t="s">
        <v>19</v>
      </c>
      <c r="L2169">
        <v>1210</v>
      </c>
      <c r="M2169">
        <v>7.13</v>
      </c>
      <c r="N2169">
        <v>78.83</v>
      </c>
      <c r="O2169" t="s">
        <v>19</v>
      </c>
      <c r="P2169" t="s">
        <v>1267</v>
      </c>
      <c r="Q2169" t="s">
        <v>19</v>
      </c>
      <c r="R2169" t="str">
        <f>HYPERLINK("https://cfpub.epa.gov/ecotox/explore.cfm?ncbi=181472","Explore in ECOTOX")</f>
        <v>Explore in ECOTOX</v>
      </c>
    </row>
    <row r="2170" spans="1:18" x14ac:dyDescent="0.45">
      <c r="A2170" t="s">
        <v>1266</v>
      </c>
      <c r="B2170">
        <v>8</v>
      </c>
      <c r="C2170" t="str">
        <f>HYPERLINK("http://www.ncbi.nlm.nih.gov/protein/XP_029697864.1","XP_029697864.1")</f>
        <v>XP_029697864.1</v>
      </c>
      <c r="D2170">
        <v>49116</v>
      </c>
      <c r="E2170" t="str">
        <f>HYPERLINK("http://www.ncbi.nlm.nih.gov/Taxonomy/Browser/wwwtax.cgi?mode=Info&amp;id=31033&amp;lvl=3&amp;lin=f&amp;keep=1&amp;srchmode=1&amp;unlock","31033")</f>
        <v>31033</v>
      </c>
      <c r="F2170" t="s">
        <v>17</v>
      </c>
      <c r="G2170" t="str">
        <f>HYPERLINK("http://www.ncbi.nlm.nih.gov/Taxonomy/Browser/wwwtax.cgi?mode=Info&amp;id=31033&amp;lvl=3&amp;lin=f&amp;keep=1&amp;srchmode=1&amp;unlock","Takifugu rubripes")</f>
        <v>Takifugu rubripes</v>
      </c>
      <c r="H2170" t="s">
        <v>109</v>
      </c>
      <c r="I2170" t="str">
        <f>HYPERLINK("http://www.ncbi.nlm.nih.gov/protein/XP_029697864.1","ryanodine receptor 2 isoform X1")</f>
        <v>ryanodine receptor 2 isoform X1</v>
      </c>
      <c r="J2170">
        <v>8073.38</v>
      </c>
      <c r="K2170" t="s">
        <v>19</v>
      </c>
      <c r="L2170">
        <v>1210</v>
      </c>
      <c r="M2170">
        <v>7.13</v>
      </c>
      <c r="N2170">
        <v>78.67</v>
      </c>
      <c r="O2170" t="s">
        <v>19</v>
      </c>
      <c r="P2170" t="s">
        <v>1267</v>
      </c>
      <c r="Q2170" t="s">
        <v>19</v>
      </c>
      <c r="R2170" t="str">
        <f>HYPERLINK("https://cfpub.epa.gov/ecotox/explore.cfm?ncbi=31033","Explore in ECOTOX")</f>
        <v>Explore in ECOTOX</v>
      </c>
    </row>
    <row r="2171" spans="1:18" x14ac:dyDescent="0.45">
      <c r="A2171" t="s">
        <v>1266</v>
      </c>
      <c r="B2171">
        <v>8</v>
      </c>
      <c r="C2171" t="str">
        <f>HYPERLINK("http://www.ncbi.nlm.nih.gov/protein/XP_056888726.1","XP_056888726.1")</f>
        <v>XP_056888726.1</v>
      </c>
      <c r="D2171">
        <v>77522</v>
      </c>
      <c r="E2171" t="str">
        <f>HYPERLINK("http://www.ncbi.nlm.nih.gov/Taxonomy/Browser/wwwtax.cgi?mode=Info&amp;id=433684&amp;lvl=3&amp;lin=f&amp;keep=1&amp;srchmode=1&amp;unlock","433684")</f>
        <v>433684</v>
      </c>
      <c r="F2171" t="s">
        <v>17</v>
      </c>
      <c r="G2171" t="str">
        <f>HYPERLINK("http://www.ncbi.nlm.nih.gov/Taxonomy/Browser/wwwtax.cgi?mode=Info&amp;id=433684&amp;lvl=3&amp;lin=f&amp;keep=1&amp;srchmode=1&amp;unlock","Takifugu flavidus")</f>
        <v>Takifugu flavidus</v>
      </c>
      <c r="H2171" t="s">
        <v>509</v>
      </c>
      <c r="I2171" t="str">
        <f>HYPERLINK("http://www.ncbi.nlm.nih.gov/protein/XP_056888726.1","ryanodine receptor 2 isoform X1")</f>
        <v>ryanodine receptor 2 isoform X1</v>
      </c>
      <c r="J2171">
        <v>8066.84</v>
      </c>
      <c r="K2171" t="s">
        <v>19</v>
      </c>
      <c r="L2171">
        <v>1210</v>
      </c>
      <c r="M2171">
        <v>7.13</v>
      </c>
      <c r="N2171">
        <v>78.599999999999994</v>
      </c>
      <c r="O2171" t="s">
        <v>19</v>
      </c>
      <c r="P2171" t="s">
        <v>1267</v>
      </c>
      <c r="Q2171" t="s">
        <v>19</v>
      </c>
      <c r="R2171" t="str">
        <f>HYPERLINK("https://cfpub.epa.gov/ecotox/explore.cfm?ncbi=433684","Explore in ECOTOX")</f>
        <v>Explore in ECOTOX</v>
      </c>
    </row>
    <row r="2172" spans="1:18" x14ac:dyDescent="0.45">
      <c r="A2172" t="s">
        <v>1266</v>
      </c>
      <c r="B2172">
        <v>8</v>
      </c>
      <c r="C2172" t="str">
        <f>HYPERLINK("http://www.ncbi.nlm.nih.gov/protein/XP_059841657.1","XP_059841657.1")</f>
        <v>XP_059841657.1</v>
      </c>
      <c r="D2172">
        <v>51018</v>
      </c>
      <c r="E2172" t="str">
        <f>HYPERLINK("http://www.ncbi.nlm.nih.gov/Taxonomy/Browser/wwwtax.cgi?mode=Info&amp;id=79690&amp;lvl=3&amp;lin=f&amp;keep=1&amp;srchmode=1&amp;unlock","79690")</f>
        <v>79690</v>
      </c>
      <c r="F2172" t="s">
        <v>195</v>
      </c>
      <c r="G2172" t="str">
        <f>HYPERLINK("http://www.ncbi.nlm.nih.gov/Taxonomy/Browser/wwwtax.cgi?mode=Info&amp;id=79690&amp;lvl=3&amp;lin=f&amp;keep=1&amp;srchmode=1&amp;unlock","Hypanus sabinus")</f>
        <v>Hypanus sabinus</v>
      </c>
      <c r="H2172" t="s">
        <v>224</v>
      </c>
      <c r="I2172" t="str">
        <f>HYPERLINK("http://www.ncbi.nlm.nih.gov/protein/XP_059841657.1","ryanodine receptor 2")</f>
        <v>ryanodine receptor 2</v>
      </c>
      <c r="J2172">
        <v>8066.06</v>
      </c>
      <c r="K2172" t="s">
        <v>19</v>
      </c>
      <c r="L2172">
        <v>1210</v>
      </c>
      <c r="M2172">
        <v>7.13</v>
      </c>
      <c r="N2172">
        <v>78.59</v>
      </c>
      <c r="O2172" t="s">
        <v>19</v>
      </c>
      <c r="P2172" t="s">
        <v>1267</v>
      </c>
      <c r="Q2172" t="s">
        <v>19</v>
      </c>
      <c r="R2172" t="str">
        <f>HYPERLINK("https://cfpub.epa.gov/ecotox/explore.cfm?ncbi=79690","Explore in ECOTOX")</f>
        <v>Explore in ECOTOX</v>
      </c>
    </row>
    <row r="2173" spans="1:18" x14ac:dyDescent="0.45">
      <c r="A2173" t="s">
        <v>1266</v>
      </c>
      <c r="B2173">
        <v>8</v>
      </c>
      <c r="C2173" t="str">
        <f>HYPERLINK("http://www.ncbi.nlm.nih.gov/protein/KFV20152.1","KFV20152.1")</f>
        <v>KFV20152.1</v>
      </c>
      <c r="D2173">
        <v>28571</v>
      </c>
      <c r="E2173" t="str">
        <f>HYPERLINK("http://www.ncbi.nlm.nih.gov/Taxonomy/Browser/wwwtax.cgi?mode=Info&amp;id=121530&amp;lvl=3&amp;lin=f&amp;keep=1&amp;srchmode=1&amp;unlock","121530")</f>
        <v>121530</v>
      </c>
      <c r="F2173" t="s">
        <v>241</v>
      </c>
      <c r="G2173" t="str">
        <f>HYPERLINK("http://www.ncbi.nlm.nih.gov/Taxonomy/Browser/wwwtax.cgi?mode=Info&amp;id=121530&amp;lvl=3&amp;lin=f&amp;keep=1&amp;srchmode=1&amp;unlock","Tauraco erythrolophus")</f>
        <v>Tauraco erythrolophus</v>
      </c>
      <c r="H2173" t="s">
        <v>507</v>
      </c>
      <c r="I2173" t="str">
        <f>HYPERLINK("http://www.ncbi.nlm.nih.gov/protein/KFV20152.1","Ryanodine receptor 2, partial")</f>
        <v>Ryanodine receptor 2, partial</v>
      </c>
      <c r="J2173">
        <v>8065.68</v>
      </c>
      <c r="K2173" t="s">
        <v>19</v>
      </c>
      <c r="L2173">
        <v>1210</v>
      </c>
      <c r="M2173">
        <v>7.13</v>
      </c>
      <c r="N2173">
        <v>78.59</v>
      </c>
      <c r="O2173" t="s">
        <v>19</v>
      </c>
      <c r="P2173" t="s">
        <v>1267</v>
      </c>
      <c r="Q2173" t="s">
        <v>19</v>
      </c>
      <c r="R2173" t="str">
        <f>HYPERLINK("https://cfpub.epa.gov/ecotox/explore.cfm?ncbi=121530","Explore in ECOTOX")</f>
        <v>Explore in ECOTOX</v>
      </c>
    </row>
    <row r="2174" spans="1:18" x14ac:dyDescent="0.45">
      <c r="A2174" t="s">
        <v>1266</v>
      </c>
      <c r="B2174">
        <v>8</v>
      </c>
      <c r="C2174" t="str">
        <f>HYPERLINK("http://www.ncbi.nlm.nih.gov/protein/XP_020732882.1","XP_020732882.1")</f>
        <v>XP_020732882.1</v>
      </c>
      <c r="D2174">
        <v>48222</v>
      </c>
      <c r="E2174" t="str">
        <f>HYPERLINK("http://www.ncbi.nlm.nih.gov/Taxonomy/Browser/wwwtax.cgi?mode=Info&amp;id=9880&amp;lvl=3&amp;lin=f&amp;keep=1&amp;srchmode=1&amp;unlock","9880")</f>
        <v>9880</v>
      </c>
      <c r="F2174" t="s">
        <v>96</v>
      </c>
      <c r="G2174" t="str">
        <f>HYPERLINK("http://www.ncbi.nlm.nih.gov/Taxonomy/Browser/wwwtax.cgi?mode=Info&amp;id=9880&amp;lvl=3&amp;lin=f&amp;keep=1&amp;srchmode=1&amp;unlock","Odocoileus virginianus texanus")</f>
        <v>Odocoileus virginianus texanus</v>
      </c>
      <c r="H2174" t="s">
        <v>511</v>
      </c>
      <c r="I2174" t="str">
        <f>HYPERLINK("http://www.ncbi.nlm.nih.gov/protein/XP_020732882.1","ryanodine receptor 2")</f>
        <v>ryanodine receptor 2</v>
      </c>
      <c r="J2174">
        <v>8064.14</v>
      </c>
      <c r="K2174" t="s">
        <v>19</v>
      </c>
      <c r="L2174">
        <v>1210</v>
      </c>
      <c r="M2174">
        <v>7.13</v>
      </c>
      <c r="N2174">
        <v>78.58</v>
      </c>
      <c r="O2174" t="s">
        <v>19</v>
      </c>
      <c r="P2174" t="s">
        <v>1267</v>
      </c>
      <c r="Q2174" t="s">
        <v>19</v>
      </c>
      <c r="R2174" t="str">
        <f>HYPERLINK("https://cfpub.epa.gov/ecotox/explore.cfm?ncbi=9880","Explore in ECOTOX")</f>
        <v>Explore in ECOTOX</v>
      </c>
    </row>
    <row r="2175" spans="1:18" x14ac:dyDescent="0.45">
      <c r="A2175" t="s">
        <v>1266</v>
      </c>
      <c r="B2175">
        <v>8</v>
      </c>
      <c r="C2175" t="str">
        <f>HYPERLINK("http://www.ncbi.nlm.nih.gov/protein/XP_009068059.1","XP_009068059.1")</f>
        <v>XP_009068059.1</v>
      </c>
      <c r="D2175">
        <v>28093</v>
      </c>
      <c r="E2175" t="str">
        <f>HYPERLINK("http://www.ncbi.nlm.nih.gov/Taxonomy/Browser/wwwtax.cgi?mode=Info&amp;id=57068&amp;lvl=3&amp;lin=f&amp;keep=1&amp;srchmode=1&amp;unlock","57068")</f>
        <v>57068</v>
      </c>
      <c r="F2175" t="s">
        <v>241</v>
      </c>
      <c r="G2175" t="str">
        <f>HYPERLINK("http://www.ncbi.nlm.nih.gov/Taxonomy/Browser/wwwtax.cgi?mode=Info&amp;id=57068&amp;lvl=3&amp;lin=f&amp;keep=1&amp;srchmode=1&amp;unlock","Acanthisitta chloris")</f>
        <v>Acanthisitta chloris</v>
      </c>
      <c r="H2175" t="s">
        <v>510</v>
      </c>
      <c r="I2175" t="str">
        <f>HYPERLINK("http://www.ncbi.nlm.nih.gov/protein/XP_009068059.1","PREDICTED: ryanodine receptor 2, partial")</f>
        <v>PREDICTED: ryanodine receptor 2, partial</v>
      </c>
      <c r="J2175">
        <v>8055.66</v>
      </c>
      <c r="K2175" t="s">
        <v>19</v>
      </c>
      <c r="L2175">
        <v>1210</v>
      </c>
      <c r="M2175">
        <v>7.13</v>
      </c>
      <c r="N2175">
        <v>78.489999999999995</v>
      </c>
      <c r="O2175" t="s">
        <v>19</v>
      </c>
      <c r="P2175" t="s">
        <v>1267</v>
      </c>
      <c r="Q2175" t="s">
        <v>19</v>
      </c>
      <c r="R2175" t="str">
        <f>HYPERLINK("https://cfpub.epa.gov/ecotox/explore.cfm?ncbi=57068","Explore in ECOTOX")</f>
        <v>Explore in ECOTOX</v>
      </c>
    </row>
    <row r="2176" spans="1:18" x14ac:dyDescent="0.45">
      <c r="A2176" t="s">
        <v>1266</v>
      </c>
      <c r="B2176">
        <v>8</v>
      </c>
      <c r="C2176" t="str">
        <f>HYPERLINK("http://www.ncbi.nlm.nih.gov/protein/XP_019326767.1","XP_019326767.1")</f>
        <v>XP_019326767.1</v>
      </c>
      <c r="D2176">
        <v>32650</v>
      </c>
      <c r="E2176" t="str">
        <f>HYPERLINK("http://www.ncbi.nlm.nih.gov/Taxonomy/Browser/wwwtax.cgi?mode=Info&amp;id=9233&amp;lvl=3&amp;lin=f&amp;keep=1&amp;srchmode=1&amp;unlock","9233")</f>
        <v>9233</v>
      </c>
      <c r="F2176" t="s">
        <v>241</v>
      </c>
      <c r="G2176" t="str">
        <f>HYPERLINK("http://www.ncbi.nlm.nih.gov/Taxonomy/Browser/wwwtax.cgi?mode=Info&amp;id=9233&amp;lvl=3&amp;lin=f&amp;keep=1&amp;srchmode=1&amp;unlock","Aptenodytes forsteri")</f>
        <v>Aptenodytes forsteri</v>
      </c>
      <c r="H2176" t="s">
        <v>699</v>
      </c>
      <c r="I2176" t="str">
        <f>HYPERLINK("http://www.ncbi.nlm.nih.gov/protein/XP_019326767.1","PREDICTED: ryanodine receptor 2, partial")</f>
        <v>PREDICTED: ryanodine receptor 2, partial</v>
      </c>
      <c r="J2176">
        <v>8038.33</v>
      </c>
      <c r="K2176" t="s">
        <v>19</v>
      </c>
      <c r="L2176">
        <v>1210</v>
      </c>
      <c r="M2176">
        <v>7.13</v>
      </c>
      <c r="N2176">
        <v>78.319999999999993</v>
      </c>
      <c r="O2176" t="s">
        <v>19</v>
      </c>
      <c r="P2176" t="s">
        <v>1267</v>
      </c>
      <c r="Q2176" t="s">
        <v>19</v>
      </c>
      <c r="R2176" t="str">
        <f>HYPERLINK("https://cfpub.epa.gov/ecotox/explore.cfm?ncbi=9233","Explore in ECOTOX")</f>
        <v>Explore in ECOTOX</v>
      </c>
    </row>
    <row r="2177" spans="1:18" x14ac:dyDescent="0.45">
      <c r="A2177" t="s">
        <v>1266</v>
      </c>
      <c r="B2177">
        <v>8</v>
      </c>
      <c r="C2177" t="str">
        <f>HYPERLINK("http://www.ncbi.nlm.nih.gov/protein/XP_009960230.1","XP_009960230.1")</f>
        <v>XP_009960230.1</v>
      </c>
      <c r="D2177">
        <v>28808</v>
      </c>
      <c r="E2177" t="str">
        <f>HYPERLINK("http://www.ncbi.nlm.nih.gov/Taxonomy/Browser/wwwtax.cgi?mode=Info&amp;id=188344&amp;lvl=3&amp;lin=f&amp;keep=1&amp;srchmode=1&amp;unlock","188344")</f>
        <v>188344</v>
      </c>
      <c r="F2177" t="s">
        <v>241</v>
      </c>
      <c r="G2177" t="str">
        <f>HYPERLINK("http://www.ncbi.nlm.nih.gov/Taxonomy/Browser/wwwtax.cgi?mode=Info&amp;id=188344&amp;lvl=3&amp;lin=f&amp;keep=1&amp;srchmode=1&amp;unlock","Leptosomus discolor")</f>
        <v>Leptosomus discolor</v>
      </c>
      <c r="H2177" t="s">
        <v>508</v>
      </c>
      <c r="I2177" t="str">
        <f>HYPERLINK("http://www.ncbi.nlm.nih.gov/protein/XP_009960230.1","PREDICTED: ryanodine receptor 2, partial")</f>
        <v>PREDICTED: ryanodine receptor 2, partial</v>
      </c>
      <c r="J2177">
        <v>8026</v>
      </c>
      <c r="K2177" t="s">
        <v>19</v>
      </c>
      <c r="L2177">
        <v>1210</v>
      </c>
      <c r="M2177">
        <v>7.13</v>
      </c>
      <c r="N2177">
        <v>78.2</v>
      </c>
      <c r="O2177" t="s">
        <v>19</v>
      </c>
      <c r="P2177" t="s">
        <v>1267</v>
      </c>
      <c r="Q2177" t="s">
        <v>19</v>
      </c>
      <c r="R2177" t="str">
        <f>HYPERLINK("https://cfpub.epa.gov/ecotox/explore.cfm?ncbi=188344","Explore in ECOTOX")</f>
        <v>Explore in ECOTOX</v>
      </c>
    </row>
    <row r="2178" spans="1:18" x14ac:dyDescent="0.45">
      <c r="A2178" t="s">
        <v>1266</v>
      </c>
      <c r="B2178">
        <v>8</v>
      </c>
      <c r="C2178" t="str">
        <f>HYPERLINK("http://www.ncbi.nlm.nih.gov/protein/KAJ7407276.1","KAJ7407276.1")</f>
        <v>KAJ7407276.1</v>
      </c>
      <c r="D2178">
        <v>16638</v>
      </c>
      <c r="E2178" t="str">
        <f>HYPERLINK("http://www.ncbi.nlm.nih.gov/Taxonomy/Browser/wwwtax.cgi?mode=Info&amp;id=1566151&amp;lvl=3&amp;lin=f&amp;keep=1&amp;srchmode=1&amp;unlock","1566151")</f>
        <v>1566151</v>
      </c>
      <c r="F2178" t="s">
        <v>241</v>
      </c>
      <c r="G2178" t="str">
        <f>HYPERLINK("http://www.ncbi.nlm.nih.gov/Taxonomy/Browser/wwwtax.cgi?mode=Info&amp;id=1566151&amp;lvl=3&amp;lin=f&amp;keep=1&amp;srchmode=1&amp;unlock","Willisornis vidua")</f>
        <v>Willisornis vidua</v>
      </c>
      <c r="H2178" t="s">
        <v>702</v>
      </c>
      <c r="I2178" t="str">
        <f>HYPERLINK("http://www.ncbi.nlm.nih.gov/protein/KAJ7407276.1","Ryanodine receptor 2")</f>
        <v>Ryanodine receptor 2</v>
      </c>
      <c r="J2178">
        <v>7968.99</v>
      </c>
      <c r="K2178" t="s">
        <v>19</v>
      </c>
      <c r="L2178">
        <v>1210</v>
      </c>
      <c r="M2178">
        <v>7.13</v>
      </c>
      <c r="N2178">
        <v>77.650000000000006</v>
      </c>
      <c r="O2178" t="s">
        <v>19</v>
      </c>
      <c r="P2178" t="s">
        <v>1267</v>
      </c>
      <c r="Q2178" t="s">
        <v>19</v>
      </c>
      <c r="R2178" t="str">
        <f>HYPERLINK("https://cfpub.epa.gov/ecotox/explore.cfm?ncbi=1566151","Explore in ECOTOX")</f>
        <v>Explore in ECOTOX</v>
      </c>
    </row>
    <row r="2179" spans="1:18" x14ac:dyDescent="0.45">
      <c r="A2179" t="s">
        <v>1266</v>
      </c>
      <c r="B2179">
        <v>8</v>
      </c>
      <c r="C2179" t="str">
        <f>HYPERLINK("http://www.ncbi.nlm.nih.gov/protein/XP_044035463.1","XP_044035463.1")</f>
        <v>XP_044035463.1</v>
      </c>
      <c r="D2179">
        <v>59434</v>
      </c>
      <c r="E2179" t="str">
        <f>HYPERLINK("http://www.ncbi.nlm.nih.gov/Taxonomy/Browser/wwwtax.cgi?mode=Info&amp;id=119488&amp;lvl=3&amp;lin=f&amp;keep=1&amp;srchmode=1&amp;unlock","119488")</f>
        <v>119488</v>
      </c>
      <c r="F2179" t="s">
        <v>17</v>
      </c>
      <c r="G2179" t="str">
        <f>HYPERLINK("http://www.ncbi.nlm.nih.gov/Taxonomy/Browser/wwwtax.cgi?mode=Info&amp;id=119488&amp;lvl=3&amp;lin=f&amp;keep=1&amp;srchmode=1&amp;unlock","Siniperca chuatsi")</f>
        <v>Siniperca chuatsi</v>
      </c>
      <c r="H2179" t="s">
        <v>62</v>
      </c>
      <c r="I2179" t="str">
        <f>HYPERLINK("http://www.ncbi.nlm.nih.gov/protein/XP_044035463.1","LOW QUALITY PROTEIN: ryanodine receptor 2")</f>
        <v>LOW QUALITY PROTEIN: ryanodine receptor 2</v>
      </c>
      <c r="J2179">
        <v>7931.63</v>
      </c>
      <c r="K2179" t="s">
        <v>19</v>
      </c>
      <c r="L2179">
        <v>1210</v>
      </c>
      <c r="M2179">
        <v>7.13</v>
      </c>
      <c r="N2179">
        <v>77.28</v>
      </c>
      <c r="O2179" t="s">
        <v>19</v>
      </c>
      <c r="P2179" t="s">
        <v>1267</v>
      </c>
      <c r="Q2179" t="s">
        <v>19</v>
      </c>
      <c r="R2179" t="str">
        <f>HYPERLINK("https://cfpub.epa.gov/ecotox/explore.cfm?ncbi=119488","Explore in ECOTOX")</f>
        <v>Explore in ECOTOX</v>
      </c>
    </row>
    <row r="2180" spans="1:18" x14ac:dyDescent="0.45">
      <c r="A2180" t="s">
        <v>1266</v>
      </c>
      <c r="B2180">
        <v>8</v>
      </c>
      <c r="C2180" t="str">
        <f>HYPERLINK("http://www.ncbi.nlm.nih.gov/protein/NXI54774.1","NXI54774.1")</f>
        <v>NXI54774.1</v>
      </c>
      <c r="D2180">
        <v>12275</v>
      </c>
      <c r="E2180" t="str">
        <f>HYPERLINK("http://www.ncbi.nlm.nih.gov/Taxonomy/Browser/wwwtax.cgi?mode=Info&amp;id=176938&amp;lvl=3&amp;lin=f&amp;keep=1&amp;srchmode=1&amp;unlock","176938")</f>
        <v>176938</v>
      </c>
      <c r="F2180" t="s">
        <v>241</v>
      </c>
      <c r="G2180" t="str">
        <f>HYPERLINK("http://www.ncbi.nlm.nih.gov/Taxonomy/Browser/wwwtax.cgi?mode=Info&amp;id=176938&amp;lvl=3&amp;lin=f&amp;keep=1&amp;srchmode=1&amp;unlock","Chloroceryle aenea")</f>
        <v>Chloroceryle aenea</v>
      </c>
      <c r="H2180" t="s">
        <v>600</v>
      </c>
      <c r="I2180" t="str">
        <f>HYPERLINK("http://www.ncbi.nlm.nih.gov/protein/NXI54774.1","RYR2 protein")</f>
        <v>RYR2 protein</v>
      </c>
      <c r="J2180">
        <v>7930.47</v>
      </c>
      <c r="K2180" t="s">
        <v>19</v>
      </c>
      <c r="L2180">
        <v>1210</v>
      </c>
      <c r="M2180">
        <v>7.13</v>
      </c>
      <c r="N2180">
        <v>77.27</v>
      </c>
      <c r="O2180" t="s">
        <v>19</v>
      </c>
      <c r="P2180" t="s">
        <v>1267</v>
      </c>
      <c r="Q2180" t="s">
        <v>19</v>
      </c>
      <c r="R2180" t="str">
        <f>HYPERLINK("https://cfpub.epa.gov/ecotox/explore.cfm?ncbi=176938","Explore in ECOTOX")</f>
        <v>Explore in ECOTOX</v>
      </c>
    </row>
    <row r="2181" spans="1:18" x14ac:dyDescent="0.45">
      <c r="A2181" t="s">
        <v>1266</v>
      </c>
      <c r="B2181">
        <v>8</v>
      </c>
      <c r="C2181" t="str">
        <f>HYPERLINK("http://www.ncbi.nlm.nih.gov/protein/NXH96549.1","NXH96549.1")</f>
        <v>NXH96549.1</v>
      </c>
      <c r="D2181">
        <v>13430</v>
      </c>
      <c r="E2181" t="str">
        <f>HYPERLINK("http://www.ncbi.nlm.nih.gov/Taxonomy/Browser/wwwtax.cgi?mode=Info&amp;id=449367&amp;lvl=3&amp;lin=f&amp;keep=1&amp;srchmode=1&amp;unlock","449367")</f>
        <v>449367</v>
      </c>
      <c r="F2181" t="s">
        <v>241</v>
      </c>
      <c r="G2181" t="str">
        <f>HYPERLINK("http://www.ncbi.nlm.nih.gov/Taxonomy/Browser/wwwtax.cgi?mode=Info&amp;id=449367&amp;lvl=3&amp;lin=f&amp;keep=1&amp;srchmode=1&amp;unlock","Pachycephala philippinensis")</f>
        <v>Pachycephala philippinensis</v>
      </c>
      <c r="H2181" t="s">
        <v>635</v>
      </c>
      <c r="I2181" t="str">
        <f>HYPERLINK("http://www.ncbi.nlm.nih.gov/protein/NXH96549.1","RYR2 protein")</f>
        <v>RYR2 protein</v>
      </c>
      <c r="J2181">
        <v>7928.16</v>
      </c>
      <c r="K2181" t="s">
        <v>19</v>
      </c>
      <c r="L2181">
        <v>1210</v>
      </c>
      <c r="M2181">
        <v>7.13</v>
      </c>
      <c r="N2181">
        <v>77.25</v>
      </c>
      <c r="O2181" t="s">
        <v>19</v>
      </c>
      <c r="P2181" t="s">
        <v>1267</v>
      </c>
      <c r="Q2181" t="s">
        <v>19</v>
      </c>
      <c r="R2181" t="str">
        <f>HYPERLINK("https://cfpub.epa.gov/ecotox/explore.cfm?ncbi=449367","Explore in ECOTOX")</f>
        <v>Explore in ECOTOX</v>
      </c>
    </row>
    <row r="2182" spans="1:18" x14ac:dyDescent="0.45">
      <c r="A2182" t="s">
        <v>1266</v>
      </c>
      <c r="B2182">
        <v>8</v>
      </c>
      <c r="C2182" t="str">
        <f>HYPERLINK("http://www.ncbi.nlm.nih.gov/protein/NWZ59656.1","NWZ59656.1")</f>
        <v>NWZ59656.1</v>
      </c>
      <c r="D2182">
        <v>45035</v>
      </c>
      <c r="E2182" t="str">
        <f>HYPERLINK("http://www.ncbi.nlm.nih.gov/Taxonomy/Browser/wwwtax.cgi?mode=Info&amp;id=8969&amp;lvl=3&amp;lin=f&amp;keep=1&amp;srchmode=1&amp;unlock","8969")</f>
        <v>8969</v>
      </c>
      <c r="F2182" t="s">
        <v>241</v>
      </c>
      <c r="G2182" t="str">
        <f>HYPERLINK("http://www.ncbi.nlm.nih.gov/Taxonomy/Browser/wwwtax.cgi?mode=Info&amp;id=8969&amp;lvl=3&amp;lin=f&amp;keep=1&amp;srchmode=1&amp;unlock","Haliaeetus albicilla")</f>
        <v>Haliaeetus albicilla</v>
      </c>
      <c r="H2182" t="s">
        <v>647</v>
      </c>
      <c r="I2182" t="str">
        <f>HYPERLINK("http://www.ncbi.nlm.nih.gov/protein/NWZ59656.1","RYR2 protein")</f>
        <v>RYR2 protein</v>
      </c>
      <c r="J2182">
        <v>7915.07</v>
      </c>
      <c r="K2182" t="s">
        <v>19</v>
      </c>
      <c r="L2182">
        <v>1210</v>
      </c>
      <c r="M2182">
        <v>7.13</v>
      </c>
      <c r="N2182">
        <v>77.12</v>
      </c>
      <c r="O2182" t="s">
        <v>19</v>
      </c>
      <c r="P2182" t="s">
        <v>1267</v>
      </c>
      <c r="Q2182" t="s">
        <v>19</v>
      </c>
      <c r="R2182" t="str">
        <f>HYPERLINK("https://cfpub.epa.gov/ecotox/explore.cfm?ncbi=8969","Explore in ECOTOX")</f>
        <v>Explore in ECOTOX</v>
      </c>
    </row>
    <row r="2183" spans="1:18" x14ac:dyDescent="0.45">
      <c r="A2183" t="s">
        <v>1266</v>
      </c>
      <c r="B2183">
        <v>8</v>
      </c>
      <c r="C2183" t="str">
        <f>HYPERLINK("http://www.ncbi.nlm.nih.gov/protein/NWJ07526.1","NWJ07526.1")</f>
        <v>NWJ07526.1</v>
      </c>
      <c r="D2183">
        <v>14090</v>
      </c>
      <c r="E2183" t="str">
        <f>HYPERLINK("http://www.ncbi.nlm.nih.gov/Taxonomy/Browser/wwwtax.cgi?mode=Info&amp;id=48396&amp;lvl=3&amp;lin=f&amp;keep=1&amp;srchmode=1&amp;unlock","48396")</f>
        <v>48396</v>
      </c>
      <c r="F2183" t="s">
        <v>241</v>
      </c>
      <c r="G2183" t="str">
        <f>HYPERLINK("http://www.ncbi.nlm.nih.gov/Taxonomy/Browser/wwwtax.cgi?mode=Info&amp;id=48396&amp;lvl=3&amp;lin=f&amp;keep=1&amp;srchmode=1&amp;unlock","Crypturellus undulatus")</f>
        <v>Crypturellus undulatus</v>
      </c>
      <c r="H2183" t="s">
        <v>367</v>
      </c>
      <c r="I2183" t="str">
        <f>HYPERLINK("http://www.ncbi.nlm.nih.gov/protein/NWJ07526.1","RYR2 protein")</f>
        <v>RYR2 protein</v>
      </c>
      <c r="J2183">
        <v>7912.76</v>
      </c>
      <c r="K2183" t="s">
        <v>19</v>
      </c>
      <c r="L2183">
        <v>1210</v>
      </c>
      <c r="M2183">
        <v>7.13</v>
      </c>
      <c r="N2183">
        <v>77.099999999999994</v>
      </c>
      <c r="O2183" t="s">
        <v>19</v>
      </c>
      <c r="P2183" t="s">
        <v>1267</v>
      </c>
      <c r="Q2183" t="s">
        <v>19</v>
      </c>
      <c r="R2183" t="str">
        <f>HYPERLINK("https://cfpub.epa.gov/ecotox/explore.cfm?ncbi=48396","Explore in ECOTOX")</f>
        <v>Explore in ECOTOX</v>
      </c>
    </row>
    <row r="2184" spans="1:18" x14ac:dyDescent="0.45">
      <c r="A2184" t="s">
        <v>1266</v>
      </c>
      <c r="B2184">
        <v>8</v>
      </c>
      <c r="C2184" t="str">
        <f>HYPERLINK("http://www.ncbi.nlm.nih.gov/protein/XP_021532857.1","XP_021532857.1")</f>
        <v>XP_021532857.1</v>
      </c>
      <c r="D2184">
        <v>48145</v>
      </c>
      <c r="E2184" t="str">
        <f>HYPERLINK("http://www.ncbi.nlm.nih.gov/Taxonomy/Browser/wwwtax.cgi?mode=Info&amp;id=37293&amp;lvl=3&amp;lin=f&amp;keep=1&amp;srchmode=1&amp;unlock","37293")</f>
        <v>37293</v>
      </c>
      <c r="F2184" t="s">
        <v>96</v>
      </c>
      <c r="G2184" t="str">
        <f>HYPERLINK("http://www.ncbi.nlm.nih.gov/Taxonomy/Browser/wwwtax.cgi?mode=Info&amp;id=37293&amp;lvl=3&amp;lin=f&amp;keep=1&amp;srchmode=1&amp;unlock","Aotus nancymaae")</f>
        <v>Aotus nancymaae</v>
      </c>
      <c r="H2184" t="s">
        <v>517</v>
      </c>
      <c r="I2184" t="str">
        <f>HYPERLINK("http://www.ncbi.nlm.nih.gov/protein/XP_021532857.1","LOW QUALITY PROTEIN: ryanodine receptor 2")</f>
        <v>LOW QUALITY PROTEIN: ryanodine receptor 2</v>
      </c>
      <c r="J2184">
        <v>7904.67</v>
      </c>
      <c r="K2184" t="s">
        <v>19</v>
      </c>
      <c r="L2184">
        <v>1210</v>
      </c>
      <c r="M2184">
        <v>7.13</v>
      </c>
      <c r="N2184">
        <v>77.02</v>
      </c>
      <c r="O2184" t="s">
        <v>19</v>
      </c>
      <c r="P2184" t="s">
        <v>1267</v>
      </c>
      <c r="Q2184" t="s">
        <v>19</v>
      </c>
      <c r="R2184" t="str">
        <f>HYPERLINK("https://cfpub.epa.gov/ecotox/explore.cfm?ncbi=37293","Explore in ECOTOX")</f>
        <v>Explore in ECOTOX</v>
      </c>
    </row>
    <row r="2185" spans="1:18" x14ac:dyDescent="0.45">
      <c r="A2185" t="s">
        <v>1266</v>
      </c>
      <c r="B2185">
        <v>8</v>
      </c>
      <c r="C2185" t="str">
        <f>HYPERLINK("http://www.ncbi.nlm.nih.gov/protein/NXY19261.1","NXY19261.1")</f>
        <v>NXY19261.1</v>
      </c>
      <c r="D2185">
        <v>14635</v>
      </c>
      <c r="E2185" t="str">
        <f>HYPERLINK("http://www.ncbi.nlm.nih.gov/Taxonomy/Browser/wwwtax.cgi?mode=Info&amp;id=449594&amp;lvl=3&amp;lin=f&amp;keep=1&amp;srchmode=1&amp;unlock","449594")</f>
        <v>449594</v>
      </c>
      <c r="F2185" t="s">
        <v>241</v>
      </c>
      <c r="G2185" t="str">
        <f>HYPERLINK("http://www.ncbi.nlm.nih.gov/Taxonomy/Browser/wwwtax.cgi?mode=Info&amp;id=449594&amp;lvl=3&amp;lin=f&amp;keep=1&amp;srchmode=1&amp;unlock","Atrichornis clamosus")</f>
        <v>Atrichornis clamosus</v>
      </c>
      <c r="H2185" t="s">
        <v>435</v>
      </c>
      <c r="I2185" t="str">
        <f>HYPERLINK("http://www.ncbi.nlm.nih.gov/protein/NXY19261.1","RYR2 protein")</f>
        <v>RYR2 protein</v>
      </c>
      <c r="J2185">
        <v>7882.32</v>
      </c>
      <c r="K2185" t="s">
        <v>19</v>
      </c>
      <c r="L2185">
        <v>1210</v>
      </c>
      <c r="M2185">
        <v>7.13</v>
      </c>
      <c r="N2185">
        <v>76.8</v>
      </c>
      <c r="O2185" t="s">
        <v>19</v>
      </c>
      <c r="P2185" t="s">
        <v>1267</v>
      </c>
      <c r="Q2185" t="s">
        <v>19</v>
      </c>
      <c r="R2185" t="str">
        <f>HYPERLINK("https://cfpub.epa.gov/ecotox/explore.cfm?ncbi=449594","Explore in ECOTOX")</f>
        <v>Explore in ECOTOX</v>
      </c>
    </row>
    <row r="2186" spans="1:18" x14ac:dyDescent="0.45">
      <c r="A2186" t="s">
        <v>1266</v>
      </c>
      <c r="B2186">
        <v>8</v>
      </c>
      <c r="C2186" t="str">
        <f>HYPERLINK("http://www.ncbi.nlm.nih.gov/protein/NWV63945.1","NWV63945.1")</f>
        <v>NWV63945.1</v>
      </c>
      <c r="D2186">
        <v>14078</v>
      </c>
      <c r="E2186" t="str">
        <f>HYPERLINK("http://www.ncbi.nlm.nih.gov/Taxonomy/Browser/wwwtax.cgi?mode=Info&amp;id=720584&amp;lvl=3&amp;lin=f&amp;keep=1&amp;srchmode=1&amp;unlock","720584")</f>
        <v>720584</v>
      </c>
      <c r="F2186" t="s">
        <v>241</v>
      </c>
      <c r="G2186" t="str">
        <f>HYPERLINK("http://www.ncbi.nlm.nih.gov/Taxonomy/Browser/wwwtax.cgi?mode=Info&amp;id=720584&amp;lvl=3&amp;lin=f&amp;keep=1&amp;srchmode=1&amp;unlock","Malurus elegans")</f>
        <v>Malurus elegans</v>
      </c>
      <c r="H2186" t="s">
        <v>650</v>
      </c>
      <c r="I2186" t="str">
        <f>HYPERLINK("http://www.ncbi.nlm.nih.gov/protein/NWV63945.1","RYR2 protein")</f>
        <v>RYR2 protein</v>
      </c>
      <c r="J2186">
        <v>7876.16</v>
      </c>
      <c r="K2186" t="s">
        <v>19</v>
      </c>
      <c r="L2186">
        <v>1210</v>
      </c>
      <c r="M2186">
        <v>7.13</v>
      </c>
      <c r="N2186">
        <v>76.739999999999995</v>
      </c>
      <c r="O2186" t="s">
        <v>19</v>
      </c>
      <c r="P2186" t="s">
        <v>1267</v>
      </c>
      <c r="Q2186" t="s">
        <v>19</v>
      </c>
      <c r="R2186" t="str">
        <f>HYPERLINK("https://cfpub.epa.gov/ecotox/explore.cfm?ncbi=720584","Explore in ECOTOX")</f>
        <v>Explore in ECOTOX</v>
      </c>
    </row>
    <row r="2187" spans="1:18" x14ac:dyDescent="0.45">
      <c r="A2187" t="s">
        <v>1266</v>
      </c>
      <c r="B2187">
        <v>8</v>
      </c>
      <c r="C2187" t="str">
        <f>HYPERLINK("http://www.ncbi.nlm.nih.gov/protein/NXF57726.1","NXF57726.1")</f>
        <v>NXF57726.1</v>
      </c>
      <c r="D2187">
        <v>13848</v>
      </c>
      <c r="E2187" t="str">
        <f>HYPERLINK("http://www.ncbi.nlm.nih.gov/Taxonomy/Browser/wwwtax.cgi?mode=Info&amp;id=1118524&amp;lvl=3&amp;lin=f&amp;keep=1&amp;srchmode=1&amp;unlock","1118524")</f>
        <v>1118524</v>
      </c>
      <c r="F2187" t="s">
        <v>241</v>
      </c>
      <c r="G2187" t="str">
        <f>HYPERLINK("http://www.ncbi.nlm.nih.gov/Taxonomy/Browser/wwwtax.cgi?mode=Info&amp;id=1118524&amp;lvl=3&amp;lin=f&amp;keep=1&amp;srchmode=1&amp;unlock","Ciccaba nigrolineata")</f>
        <v>Ciccaba nigrolineata</v>
      </c>
      <c r="H2187" t="s">
        <v>634</v>
      </c>
      <c r="I2187" t="str">
        <f>HYPERLINK("http://www.ncbi.nlm.nih.gov/protein/NXF57726.1","RYR2 protein")</f>
        <v>RYR2 protein</v>
      </c>
      <c r="J2187">
        <v>7841.88</v>
      </c>
      <c r="K2187" t="s">
        <v>19</v>
      </c>
      <c r="L2187">
        <v>1210</v>
      </c>
      <c r="M2187">
        <v>7.13</v>
      </c>
      <c r="N2187">
        <v>76.41</v>
      </c>
      <c r="O2187" t="s">
        <v>19</v>
      </c>
      <c r="P2187" t="s">
        <v>1267</v>
      </c>
      <c r="Q2187" t="s">
        <v>19</v>
      </c>
      <c r="R2187" t="str">
        <f>HYPERLINK("https://cfpub.epa.gov/ecotox/explore.cfm?ncbi=1118524","Explore in ECOTOX")</f>
        <v>Explore in ECOTOX</v>
      </c>
    </row>
    <row r="2188" spans="1:18" x14ac:dyDescent="0.45">
      <c r="A2188" t="s">
        <v>1266</v>
      </c>
      <c r="B2188">
        <v>8</v>
      </c>
      <c r="C2188" t="str">
        <f>HYPERLINK("http://www.ncbi.nlm.nih.gov/protein/NXK72125.1","NXK72125.1")</f>
        <v>NXK72125.1</v>
      </c>
      <c r="D2188">
        <v>14236</v>
      </c>
      <c r="E2188" t="str">
        <f>HYPERLINK("http://www.ncbi.nlm.nih.gov/Taxonomy/Browser/wwwtax.cgi?mode=Info&amp;id=175529&amp;lvl=3&amp;lin=f&amp;keep=1&amp;srchmode=1&amp;unlock","175529")</f>
        <v>175529</v>
      </c>
      <c r="F2188" t="s">
        <v>241</v>
      </c>
      <c r="G2188" t="str">
        <f>HYPERLINK("http://www.ncbi.nlm.nih.gov/Taxonomy/Browser/wwwtax.cgi?mode=Info&amp;id=175529&amp;lvl=3&amp;lin=f&amp;keep=1&amp;srchmode=1&amp;unlock","Amazona guildingii")</f>
        <v>Amazona guildingii</v>
      </c>
      <c r="H2188" t="s">
        <v>525</v>
      </c>
      <c r="I2188" t="str">
        <f>HYPERLINK("http://www.ncbi.nlm.nih.gov/protein/NXK72125.1","RYR2 protein")</f>
        <v>RYR2 protein</v>
      </c>
      <c r="J2188">
        <v>7749.43</v>
      </c>
      <c r="K2188" t="s">
        <v>19</v>
      </c>
      <c r="L2188">
        <v>1210</v>
      </c>
      <c r="M2188">
        <v>7.13</v>
      </c>
      <c r="N2188">
        <v>75.510000000000005</v>
      </c>
      <c r="O2188" t="s">
        <v>19</v>
      </c>
      <c r="P2188" t="s">
        <v>1267</v>
      </c>
      <c r="Q2188" t="s">
        <v>19</v>
      </c>
      <c r="R2188" t="str">
        <f>HYPERLINK("https://cfpub.epa.gov/ecotox/explore.cfm?ncbi=175529","Explore in ECOTOX")</f>
        <v>Explore in ECOTOX</v>
      </c>
    </row>
    <row r="2189" spans="1:18" x14ac:dyDescent="0.45">
      <c r="A2189" t="s">
        <v>1266</v>
      </c>
      <c r="B2189">
        <v>8</v>
      </c>
      <c r="C2189" t="str">
        <f>HYPERLINK("http://www.ncbi.nlm.nih.gov/protein/KAF1585575.1","KAF1585575.1")</f>
        <v>KAF1585575.1</v>
      </c>
      <c r="D2189">
        <v>15582</v>
      </c>
      <c r="E2189" t="str">
        <f>HYPERLINK("http://www.ncbi.nlm.nih.gov/Taxonomy/Browser/wwwtax.cgi?mode=Info&amp;id=345251&amp;lvl=3&amp;lin=f&amp;keep=1&amp;srchmode=1&amp;unlock","345251")</f>
        <v>345251</v>
      </c>
      <c r="F2189" t="s">
        <v>241</v>
      </c>
      <c r="G2189" t="str">
        <f>HYPERLINK("http://www.ncbi.nlm.nih.gov/Taxonomy/Browser/wwwtax.cgi?mode=Info&amp;id=345251&amp;lvl=3&amp;lin=f&amp;keep=1&amp;srchmode=1&amp;unlock","Eudyptes robustus")</f>
        <v>Eudyptes robustus</v>
      </c>
      <c r="H2189" t="s">
        <v>684</v>
      </c>
      <c r="I2189" t="str">
        <f>HYPERLINK("http://www.ncbi.nlm.nih.gov/protein/KAF1585575.1","Ryanodine receptor 2, partial")</f>
        <v>Ryanodine receptor 2, partial</v>
      </c>
      <c r="J2189">
        <v>7726.7</v>
      </c>
      <c r="K2189" t="s">
        <v>19</v>
      </c>
      <c r="L2189">
        <v>1210</v>
      </c>
      <c r="M2189">
        <v>7.13</v>
      </c>
      <c r="N2189">
        <v>75.290000000000006</v>
      </c>
      <c r="O2189" t="s">
        <v>19</v>
      </c>
      <c r="P2189" t="s">
        <v>1267</v>
      </c>
      <c r="Q2189" t="s">
        <v>19</v>
      </c>
      <c r="R2189" t="str">
        <f>HYPERLINK("https://cfpub.epa.gov/ecotox/explore.cfm?ncbi=345251","Explore in ECOTOX")</f>
        <v>Explore in ECOTOX</v>
      </c>
    </row>
    <row r="2190" spans="1:18" x14ac:dyDescent="0.45">
      <c r="A2190" t="s">
        <v>1266</v>
      </c>
      <c r="B2190">
        <v>8</v>
      </c>
      <c r="C2190" t="str">
        <f>HYPERLINK("http://www.ncbi.nlm.nih.gov/protein/XP_060099335.1","XP_060099335.1")</f>
        <v>XP_060099335.1</v>
      </c>
      <c r="D2190">
        <v>35418</v>
      </c>
      <c r="E2190" t="str">
        <f>HYPERLINK("http://www.ncbi.nlm.nih.gov/Taxonomy/Browser/wwwtax.cgi?mode=Info&amp;id=13085&amp;lvl=3&amp;lin=f&amp;keep=1&amp;srchmode=1&amp;unlock","13085")</f>
        <v>13085</v>
      </c>
      <c r="F2190" t="s">
        <v>192</v>
      </c>
      <c r="G2190" t="str">
        <f>HYPERLINK("http://www.ncbi.nlm.nih.gov/Taxonomy/Browser/wwwtax.cgi?mode=Info&amp;id=13085&amp;lvl=3&amp;lin=f&amp;keep=1&amp;srchmode=1&amp;unlock","Heteronotia binoei")</f>
        <v>Heteronotia binoei</v>
      </c>
      <c r="H2190" t="s">
        <v>220</v>
      </c>
      <c r="I2190" t="str">
        <f>HYPERLINK("http://www.ncbi.nlm.nih.gov/protein/XP_060099335.1","ryanodine receptor 2 isoform X4")</f>
        <v>ryanodine receptor 2 isoform X4</v>
      </c>
      <c r="J2190">
        <v>7632.33</v>
      </c>
      <c r="K2190" t="s">
        <v>19</v>
      </c>
      <c r="L2190">
        <v>1210</v>
      </c>
      <c r="M2190">
        <v>7.13</v>
      </c>
      <c r="N2190">
        <v>74.37</v>
      </c>
      <c r="O2190" t="s">
        <v>19</v>
      </c>
      <c r="P2190" t="s">
        <v>1267</v>
      </c>
      <c r="Q2190" t="s">
        <v>19</v>
      </c>
      <c r="R2190" t="str">
        <f>HYPERLINK("https://cfpub.epa.gov/ecotox/explore.cfm?ncbi=13085","Explore in ECOTOX")</f>
        <v>Explore in ECOTOX</v>
      </c>
    </row>
    <row r="2191" spans="1:18" x14ac:dyDescent="0.45">
      <c r="A2191" t="s">
        <v>1266</v>
      </c>
      <c r="B2191">
        <v>8</v>
      </c>
      <c r="C2191" t="str">
        <f>HYPERLINK("http://www.ncbi.nlm.nih.gov/protein/XP_030302591.1","XP_030302591.1")</f>
        <v>XP_030302591.1</v>
      </c>
      <c r="D2191">
        <v>42938</v>
      </c>
      <c r="E2191" t="str">
        <f>HYPERLINK("http://www.ncbi.nlm.nih.gov/Taxonomy/Browser/wwwtax.cgi?mode=Info&amp;id=9244&amp;lvl=3&amp;lin=f&amp;keep=1&amp;srchmode=1&amp;unlock","9244")</f>
        <v>9244</v>
      </c>
      <c r="F2191" t="s">
        <v>241</v>
      </c>
      <c r="G2191" t="str">
        <f>HYPERLINK("http://www.ncbi.nlm.nih.gov/Taxonomy/Browser/wwwtax.cgi?mode=Info&amp;id=9244&amp;lvl=3&amp;lin=f&amp;keep=1&amp;srchmode=1&amp;unlock","Calypte anna")</f>
        <v>Calypte anna</v>
      </c>
      <c r="H2191" t="s">
        <v>583</v>
      </c>
      <c r="I2191" t="str">
        <f>HYPERLINK("http://www.ncbi.nlm.nih.gov/protein/XP_030302591.1","ryanodine receptor 2")</f>
        <v>ryanodine receptor 2</v>
      </c>
      <c r="J2191">
        <v>7603.83</v>
      </c>
      <c r="K2191" t="s">
        <v>19</v>
      </c>
      <c r="L2191">
        <v>1210</v>
      </c>
      <c r="M2191">
        <v>7.13</v>
      </c>
      <c r="N2191">
        <v>74.09</v>
      </c>
      <c r="O2191" t="s">
        <v>19</v>
      </c>
      <c r="P2191" t="s">
        <v>1267</v>
      </c>
      <c r="Q2191" t="s">
        <v>19</v>
      </c>
      <c r="R2191" t="str">
        <f>HYPERLINK("https://cfpub.epa.gov/ecotox/explore.cfm?ncbi=9244","Explore in ECOTOX")</f>
        <v>Explore in ECOTOX</v>
      </c>
    </row>
    <row r="2192" spans="1:18" x14ac:dyDescent="0.45">
      <c r="A2192" t="s">
        <v>1266</v>
      </c>
      <c r="B2192">
        <v>8</v>
      </c>
      <c r="C2192" t="str">
        <f>HYPERLINK("http://www.ncbi.nlm.nih.gov/protein/XP_025706493.1","XP_025706493.1")</f>
        <v>XP_025706493.1</v>
      </c>
      <c r="D2192">
        <v>46265</v>
      </c>
      <c r="E2192" t="str">
        <f>HYPERLINK("http://www.ncbi.nlm.nih.gov/Taxonomy/Browser/wwwtax.cgi?mode=Info&amp;id=34884&amp;lvl=3&amp;lin=f&amp;keep=1&amp;srchmode=1&amp;unlock","34884")</f>
        <v>34884</v>
      </c>
      <c r="F2192" t="s">
        <v>96</v>
      </c>
      <c r="G2192" t="str">
        <f>HYPERLINK("http://www.ncbi.nlm.nih.gov/Taxonomy/Browser/wwwtax.cgi?mode=Info&amp;id=34884&amp;lvl=3&amp;lin=f&amp;keep=1&amp;srchmode=1&amp;unlock","Callorhinus ursinus")</f>
        <v>Callorhinus ursinus</v>
      </c>
      <c r="H2192" t="s">
        <v>603</v>
      </c>
      <c r="I2192" t="str">
        <f>HYPERLINK("http://www.ncbi.nlm.nih.gov/protein/XP_025706493.1","ryanodine receptor 2-like")</f>
        <v>ryanodine receptor 2-like</v>
      </c>
      <c r="J2192">
        <v>7556.45</v>
      </c>
      <c r="K2192" t="s">
        <v>19</v>
      </c>
      <c r="L2192">
        <v>1210</v>
      </c>
      <c r="M2192">
        <v>7.13</v>
      </c>
      <c r="N2192">
        <v>73.63</v>
      </c>
      <c r="O2192" t="s">
        <v>19</v>
      </c>
      <c r="P2192" t="s">
        <v>1267</v>
      </c>
      <c r="Q2192" t="s">
        <v>19</v>
      </c>
      <c r="R2192" t="str">
        <f>HYPERLINK("https://cfpub.epa.gov/ecotox/explore.cfm?ncbi=34884","Explore in ECOTOX")</f>
        <v>Explore in ECOTOX</v>
      </c>
    </row>
    <row r="2193" spans="1:18" x14ac:dyDescent="0.45">
      <c r="A2193" t="s">
        <v>1266</v>
      </c>
      <c r="B2193">
        <v>8</v>
      </c>
      <c r="C2193" t="str">
        <f>HYPERLINK("http://www.ncbi.nlm.nih.gov/protein/RXM33023.1","RXM33023.1")</f>
        <v>RXM33023.1</v>
      </c>
      <c r="D2193">
        <v>106531</v>
      </c>
      <c r="E2193" t="str">
        <f>HYPERLINK("http://www.ncbi.nlm.nih.gov/Taxonomy/Browser/wwwtax.cgi?mode=Info&amp;id=7906&amp;lvl=3&amp;lin=f&amp;keep=1&amp;srchmode=1&amp;unlock","7906")</f>
        <v>7906</v>
      </c>
      <c r="F2193" t="s">
        <v>17</v>
      </c>
      <c r="G2193" t="str">
        <f>HYPERLINK("http://www.ncbi.nlm.nih.gov/Taxonomy/Browser/wwwtax.cgi?mode=Info&amp;id=7906&amp;lvl=3&amp;lin=f&amp;keep=1&amp;srchmode=1&amp;unlock","Acipenser ruthenus")</f>
        <v>Acipenser ruthenus</v>
      </c>
      <c r="H2193" t="s">
        <v>697</v>
      </c>
      <c r="I2193" t="str">
        <f>HYPERLINK("http://www.ncbi.nlm.nih.gov/protein/RXM33023.1","Ryanodine receptor 2")</f>
        <v>Ryanodine receptor 2</v>
      </c>
      <c r="J2193">
        <v>7551.44</v>
      </c>
      <c r="K2193" t="s">
        <v>19</v>
      </c>
      <c r="L2193">
        <v>1210</v>
      </c>
      <c r="M2193">
        <v>7.13</v>
      </c>
      <c r="N2193">
        <v>73.58</v>
      </c>
      <c r="O2193" t="s">
        <v>19</v>
      </c>
      <c r="P2193" t="s">
        <v>1267</v>
      </c>
      <c r="Q2193" t="s">
        <v>19</v>
      </c>
      <c r="R2193" t="str">
        <f>HYPERLINK("https://cfpub.epa.gov/ecotox/explore.cfm?ncbi=7906","Explore in ECOTOX")</f>
        <v>Explore in ECOTOX</v>
      </c>
    </row>
    <row r="2194" spans="1:18" x14ac:dyDescent="0.45">
      <c r="A2194" t="s">
        <v>1266</v>
      </c>
      <c r="B2194">
        <v>8</v>
      </c>
      <c r="C2194" t="str">
        <f>HYPERLINK("http://www.ncbi.nlm.nih.gov/protein/XP_027626632.1","XP_027626632.1")</f>
        <v>XP_027626632.1</v>
      </c>
      <c r="D2194">
        <v>59511</v>
      </c>
      <c r="E2194" t="str">
        <f>HYPERLINK("http://www.ncbi.nlm.nih.gov/Taxonomy/Browser/wwwtax.cgi?mode=Info&amp;id=246437&amp;lvl=3&amp;lin=f&amp;keep=1&amp;srchmode=1&amp;unlock","246437")</f>
        <v>246437</v>
      </c>
      <c r="F2194" t="s">
        <v>96</v>
      </c>
      <c r="G2194" t="str">
        <f>HYPERLINK("http://www.ncbi.nlm.nih.gov/Taxonomy/Browser/wwwtax.cgi?mode=Info&amp;id=246437&amp;lvl=3&amp;lin=f&amp;keep=1&amp;srchmode=1&amp;unlock","Tupaia chinensis")</f>
        <v>Tupaia chinensis</v>
      </c>
      <c r="H2194" t="s">
        <v>589</v>
      </c>
      <c r="I2194" t="str">
        <f>HYPERLINK("http://www.ncbi.nlm.nih.gov/protein/XP_027626632.1","ryanodine receptor 2")</f>
        <v>ryanodine receptor 2</v>
      </c>
      <c r="J2194">
        <v>7526.79</v>
      </c>
      <c r="K2194" t="s">
        <v>19</v>
      </c>
      <c r="L2194">
        <v>1210</v>
      </c>
      <c r="M2194">
        <v>7.13</v>
      </c>
      <c r="N2194">
        <v>73.34</v>
      </c>
      <c r="O2194" t="s">
        <v>19</v>
      </c>
      <c r="P2194" t="s">
        <v>1267</v>
      </c>
      <c r="Q2194" t="s">
        <v>19</v>
      </c>
      <c r="R2194" t="str">
        <f>HYPERLINK("https://cfpub.epa.gov/ecotox/explore.cfm?ncbi=246437","Explore in ECOTOX")</f>
        <v>Explore in ECOTOX</v>
      </c>
    </row>
    <row r="2195" spans="1:18" x14ac:dyDescent="0.45">
      <c r="A2195" t="s">
        <v>1266</v>
      </c>
      <c r="B2195">
        <v>8</v>
      </c>
      <c r="C2195" t="str">
        <f>HYPERLINK("http://www.ncbi.nlm.nih.gov/protein/KAJ1155514.1","KAJ1155514.1")</f>
        <v>KAJ1155514.1</v>
      </c>
      <c r="D2195">
        <v>139820</v>
      </c>
      <c r="E2195" t="str">
        <f>HYPERLINK("http://www.ncbi.nlm.nih.gov/Taxonomy/Browser/wwwtax.cgi?mode=Info&amp;id=8319&amp;lvl=3&amp;lin=f&amp;keep=1&amp;srchmode=1&amp;unlock","8319")</f>
        <v>8319</v>
      </c>
      <c r="F2195" t="s">
        <v>177</v>
      </c>
      <c r="G2195" t="str">
        <f>HYPERLINK("http://www.ncbi.nlm.nih.gov/Taxonomy/Browser/wwwtax.cgi?mode=Info&amp;id=8319&amp;lvl=3&amp;lin=f&amp;keep=1&amp;srchmode=1&amp;unlock","Pleurodeles waltl")</f>
        <v>Pleurodeles waltl</v>
      </c>
      <c r="H2195" t="s">
        <v>182</v>
      </c>
      <c r="I2195" t="str">
        <f>HYPERLINK("http://www.ncbi.nlm.nih.gov/protein/KAJ1155514.1","hypothetical protein NDU88_008244")</f>
        <v>hypothetical protein NDU88_008244</v>
      </c>
      <c r="J2195">
        <v>7463.23</v>
      </c>
      <c r="K2195" t="s">
        <v>19</v>
      </c>
      <c r="L2195">
        <v>1210</v>
      </c>
      <c r="M2195">
        <v>7.13</v>
      </c>
      <c r="N2195">
        <v>72.72</v>
      </c>
      <c r="O2195" t="s">
        <v>19</v>
      </c>
      <c r="P2195" t="s">
        <v>1267</v>
      </c>
      <c r="Q2195" t="s">
        <v>19</v>
      </c>
      <c r="R2195" t="str">
        <f>HYPERLINK("https://cfpub.epa.gov/ecotox/explore.cfm?ncbi=8319","Explore in ECOTOX")</f>
        <v>Explore in ECOTOX</v>
      </c>
    </row>
    <row r="2196" spans="1:18" x14ac:dyDescent="0.45">
      <c r="A2196" t="s">
        <v>1266</v>
      </c>
      <c r="B2196">
        <v>8</v>
      </c>
      <c r="C2196" t="str">
        <f>HYPERLINK("http://www.ncbi.nlm.nih.gov/protein/KAG7226578.1","KAG7226578.1")</f>
        <v>KAG7226578.1</v>
      </c>
      <c r="D2196">
        <v>30930</v>
      </c>
      <c r="E2196" t="str">
        <f>HYPERLINK("http://www.ncbi.nlm.nih.gov/Taxonomy/Browser/wwwtax.cgi?mode=Info&amp;id=181461&amp;lvl=3&amp;lin=f&amp;keep=1&amp;srchmode=1&amp;unlock","181461")</f>
        <v>181461</v>
      </c>
      <c r="F2196" t="s">
        <v>17</v>
      </c>
      <c r="G2196" t="str">
        <f>HYPERLINK("http://www.ncbi.nlm.nih.gov/Taxonomy/Browser/wwwtax.cgi?mode=Info&amp;id=181461&amp;lvl=3&amp;lin=f&amp;keep=1&amp;srchmode=1&amp;unlock","Caranx melampygus")</f>
        <v>Caranx melampygus</v>
      </c>
      <c r="H2196" t="s">
        <v>704</v>
      </c>
      <c r="I2196" t="str">
        <f>HYPERLINK("http://www.ncbi.nlm.nih.gov/protein/KAG7226578.1","hypothetical protein INR49_003735")</f>
        <v>hypothetical protein INR49_003735</v>
      </c>
      <c r="J2196">
        <v>7435.49</v>
      </c>
      <c r="K2196" t="s">
        <v>19</v>
      </c>
      <c r="L2196">
        <v>1210</v>
      </c>
      <c r="M2196">
        <v>7.13</v>
      </c>
      <c r="N2196">
        <v>72.45</v>
      </c>
      <c r="O2196" t="s">
        <v>19</v>
      </c>
      <c r="P2196" t="s">
        <v>1267</v>
      </c>
      <c r="Q2196" t="s">
        <v>19</v>
      </c>
      <c r="R2196" t="str">
        <f>HYPERLINK("https://cfpub.epa.gov/ecotox/explore.cfm?ncbi=181461","Explore in ECOTOX")</f>
        <v>Explore in ECOTOX</v>
      </c>
    </row>
    <row r="2197" spans="1:18" x14ac:dyDescent="0.45">
      <c r="A2197" t="s">
        <v>1266</v>
      </c>
      <c r="B2197">
        <v>8</v>
      </c>
      <c r="C2197" t="str">
        <f>HYPERLINK("http://www.ncbi.nlm.nih.gov/protein/XP_015234788.1","XP_015234788.1")</f>
        <v>XP_015234788.1</v>
      </c>
      <c r="D2197">
        <v>36660</v>
      </c>
      <c r="E2197" t="str">
        <f>HYPERLINK("http://www.ncbi.nlm.nih.gov/Taxonomy/Browser/wwwtax.cgi?mode=Info&amp;id=28743&amp;lvl=3&amp;lin=f&amp;keep=1&amp;srchmode=1&amp;unlock","28743")</f>
        <v>28743</v>
      </c>
      <c r="F2197" t="s">
        <v>17</v>
      </c>
      <c r="G2197" t="str">
        <f>HYPERLINK("http://www.ncbi.nlm.nih.gov/Taxonomy/Browser/wwwtax.cgi?mode=Info&amp;id=28743&amp;lvl=3&amp;lin=f&amp;keep=1&amp;srchmode=1&amp;unlock","Cyprinodon variegatus")</f>
        <v>Cyprinodon variegatus</v>
      </c>
      <c r="H2197" t="s">
        <v>123</v>
      </c>
      <c r="I2197" t="str">
        <f>HYPERLINK("http://www.ncbi.nlm.nih.gov/protein/XP_015234788.1","PREDICTED: ryanodine receptor 2")</f>
        <v>PREDICTED: ryanodine receptor 2</v>
      </c>
      <c r="J2197">
        <v>7429.33</v>
      </c>
      <c r="K2197" t="s">
        <v>19</v>
      </c>
      <c r="L2197">
        <v>1210</v>
      </c>
      <c r="M2197">
        <v>7.13</v>
      </c>
      <c r="N2197">
        <v>72.39</v>
      </c>
      <c r="O2197" t="s">
        <v>19</v>
      </c>
      <c r="P2197" t="s">
        <v>1267</v>
      </c>
      <c r="Q2197" t="s">
        <v>19</v>
      </c>
      <c r="R2197" t="str">
        <f>HYPERLINK("https://cfpub.epa.gov/ecotox/explore.cfm?ncbi=28743","Explore in ECOTOX")</f>
        <v>Explore in ECOTOX</v>
      </c>
    </row>
    <row r="2198" spans="1:18" x14ac:dyDescent="0.45">
      <c r="A2198" t="s">
        <v>1266</v>
      </c>
      <c r="B2198">
        <v>8</v>
      </c>
      <c r="C2198" t="str">
        <f>HYPERLINK("http://www.ncbi.nlm.nih.gov/protein/XP_024894835.1","XP_024894835.1")</f>
        <v>XP_024894835.1</v>
      </c>
      <c r="D2198">
        <v>59368</v>
      </c>
      <c r="E2198" t="str">
        <f>HYPERLINK("http://www.ncbi.nlm.nih.gov/Taxonomy/Browser/wwwtax.cgi?mode=Info&amp;id=9402&amp;lvl=3&amp;lin=f&amp;keep=1&amp;srchmode=1&amp;unlock","9402")</f>
        <v>9402</v>
      </c>
      <c r="F2198" t="s">
        <v>96</v>
      </c>
      <c r="G2198" t="str">
        <f>HYPERLINK("http://www.ncbi.nlm.nih.gov/Taxonomy/Browser/wwwtax.cgi?mode=Info&amp;id=9402&amp;lvl=3&amp;lin=f&amp;keep=1&amp;srchmode=1&amp;unlock","Pteropus alecto")</f>
        <v>Pteropus alecto</v>
      </c>
      <c r="H2198" t="s">
        <v>450</v>
      </c>
      <c r="I2198" t="str">
        <f>HYPERLINK("http://www.ncbi.nlm.nih.gov/protein/XP_024894835.1","LOW QUALITY PROTEIN: ryanodine receptor 2")</f>
        <v>LOW QUALITY PROTEIN: ryanodine receptor 2</v>
      </c>
      <c r="J2198">
        <v>7422.01</v>
      </c>
      <c r="K2198" t="s">
        <v>19</v>
      </c>
      <c r="L2198">
        <v>1210</v>
      </c>
      <c r="M2198">
        <v>7.13</v>
      </c>
      <c r="N2198">
        <v>72.319999999999993</v>
      </c>
      <c r="O2198" t="s">
        <v>19</v>
      </c>
      <c r="P2198" t="s">
        <v>1267</v>
      </c>
      <c r="Q2198" t="s">
        <v>19</v>
      </c>
      <c r="R2198" t="str">
        <f>HYPERLINK("https://cfpub.epa.gov/ecotox/explore.cfm?ncbi=9402","Explore in ECOTOX")</f>
        <v>Explore in ECOTOX</v>
      </c>
    </row>
    <row r="2199" spans="1:18" x14ac:dyDescent="0.45">
      <c r="A2199" t="s">
        <v>1266</v>
      </c>
      <c r="B2199">
        <v>8</v>
      </c>
      <c r="C2199" t="str">
        <f>HYPERLINK("http://www.ncbi.nlm.nih.gov/protein/XP_032804167.1","XP_032804167.1")</f>
        <v>XP_032804167.1</v>
      </c>
      <c r="D2199">
        <v>40633</v>
      </c>
      <c r="E2199" t="str">
        <f>HYPERLINK("http://www.ncbi.nlm.nih.gov/Taxonomy/Browser/wwwtax.cgi?mode=Info&amp;id=7757&amp;lvl=3&amp;lin=f&amp;keep=1&amp;srchmode=1&amp;unlock","7757")</f>
        <v>7757</v>
      </c>
      <c r="F2199" t="s">
        <v>489</v>
      </c>
      <c r="G2199" t="str">
        <f>HYPERLINK("http://www.ncbi.nlm.nih.gov/Taxonomy/Browser/wwwtax.cgi?mode=Info&amp;id=7757&amp;lvl=3&amp;lin=f&amp;keep=1&amp;srchmode=1&amp;unlock","Petromyzon marinus")</f>
        <v>Petromyzon marinus</v>
      </c>
      <c r="H2199" t="s">
        <v>490</v>
      </c>
      <c r="I2199" t="str">
        <f>HYPERLINK("http://www.ncbi.nlm.nih.gov/protein/XP_032804167.1","ryanodine receptor 2-like isoform X14")</f>
        <v>ryanodine receptor 2-like isoform X14</v>
      </c>
      <c r="J2199">
        <v>7358.45</v>
      </c>
      <c r="K2199" t="s">
        <v>19</v>
      </c>
      <c r="L2199">
        <v>1210</v>
      </c>
      <c r="M2199">
        <v>7.13</v>
      </c>
      <c r="N2199">
        <v>71.7</v>
      </c>
      <c r="O2199" t="s">
        <v>19</v>
      </c>
      <c r="P2199" t="s">
        <v>1267</v>
      </c>
      <c r="Q2199" t="s">
        <v>19</v>
      </c>
      <c r="R2199" t="str">
        <f>HYPERLINK("https://cfpub.epa.gov/ecotox/explore.cfm?ncbi=7757","Explore in ECOTOX")</f>
        <v>Explore in ECOTOX</v>
      </c>
    </row>
    <row r="2200" spans="1:18" x14ac:dyDescent="0.45">
      <c r="A2200" t="s">
        <v>1266</v>
      </c>
      <c r="B2200">
        <v>8</v>
      </c>
      <c r="C2200" t="str">
        <f>HYPERLINK("http://www.ncbi.nlm.nih.gov/protein/XP_061415356.1","XP_061415356.1")</f>
        <v>XP_061415356.1</v>
      </c>
      <c r="D2200">
        <v>35223</v>
      </c>
      <c r="E2200" t="str">
        <f>HYPERLINK("http://www.ncbi.nlm.nih.gov/Taxonomy/Browser/wwwtax.cgi?mode=Info&amp;id=7753&amp;lvl=3&amp;lin=f&amp;keep=1&amp;srchmode=1&amp;unlock","7753")</f>
        <v>7753</v>
      </c>
      <c r="F2200" t="s">
        <v>489</v>
      </c>
      <c r="G2200" t="str">
        <f>HYPERLINK("http://www.ncbi.nlm.nih.gov/Taxonomy/Browser/wwwtax.cgi?mode=Info&amp;id=7753&amp;lvl=3&amp;lin=f&amp;keep=1&amp;srchmode=1&amp;unlock","Lethenteron reissneri")</f>
        <v>Lethenteron reissneri</v>
      </c>
      <c r="H2200" t="s">
        <v>496</v>
      </c>
      <c r="I2200" t="str">
        <f>HYPERLINK("http://www.ncbi.nlm.nih.gov/protein/XP_061415356.1","LOW QUALITY PROTEIN: ryanodine receptor 2-like")</f>
        <v>LOW QUALITY PROTEIN: ryanodine receptor 2-like</v>
      </c>
      <c r="J2200">
        <v>7349.98</v>
      </c>
      <c r="K2200" t="s">
        <v>19</v>
      </c>
      <c r="L2200">
        <v>1210</v>
      </c>
      <c r="M2200">
        <v>7.13</v>
      </c>
      <c r="N2200">
        <v>71.62</v>
      </c>
      <c r="O2200" t="s">
        <v>19</v>
      </c>
      <c r="P2200" t="s">
        <v>1267</v>
      </c>
      <c r="Q2200" t="s">
        <v>19</v>
      </c>
      <c r="R2200" t="str">
        <f>HYPERLINK("https://cfpub.epa.gov/ecotox/explore.cfm?ncbi=7753","Explore in ECOTOX")</f>
        <v>Explore in ECOTOX</v>
      </c>
    </row>
    <row r="2201" spans="1:18" x14ac:dyDescent="0.45">
      <c r="A2201" t="s">
        <v>1266</v>
      </c>
      <c r="B2201">
        <v>8</v>
      </c>
      <c r="C2201" t="str">
        <f>HYPERLINK("http://www.ncbi.nlm.nih.gov/protein/MCJ8738771.1","MCJ8738771.1")</f>
        <v>MCJ8738771.1</v>
      </c>
      <c r="D2201">
        <v>22462</v>
      </c>
      <c r="E2201" t="str">
        <f>HYPERLINK("http://www.ncbi.nlm.nih.gov/Taxonomy/Browser/wwwtax.cgi?mode=Info&amp;id=1691987&amp;lvl=3&amp;lin=f&amp;keep=1&amp;srchmode=1&amp;unlock","1691987")</f>
        <v>1691987</v>
      </c>
      <c r="F2201" t="s">
        <v>17</v>
      </c>
      <c r="G2201" t="str">
        <f>HYPERLINK("http://www.ncbi.nlm.nih.gov/Taxonomy/Browser/wwwtax.cgi?mode=Info&amp;id=1691987&amp;lvl=3&amp;lin=f&amp;keep=1&amp;srchmode=1&amp;unlock","Pangasius djambal")</f>
        <v>Pangasius djambal</v>
      </c>
      <c r="H2201" t="s">
        <v>705</v>
      </c>
      <c r="I2201" t="str">
        <f>HYPERLINK("http://www.ncbi.nlm.nih.gov/protein/MCJ8738771.1","hypothetical protein")</f>
        <v>hypothetical protein</v>
      </c>
      <c r="J2201">
        <v>7349.59</v>
      </c>
      <c r="K2201" t="s">
        <v>19</v>
      </c>
      <c r="L2201">
        <v>1210</v>
      </c>
      <c r="M2201">
        <v>7.13</v>
      </c>
      <c r="N2201">
        <v>71.61</v>
      </c>
      <c r="O2201" t="s">
        <v>19</v>
      </c>
      <c r="P2201" t="s">
        <v>1267</v>
      </c>
      <c r="Q2201" t="s">
        <v>19</v>
      </c>
      <c r="R2201" t="str">
        <f>HYPERLINK("https://cfpub.epa.gov/ecotox/explore.cfm?ncbi=1691987","Explore in ECOTOX")</f>
        <v>Explore in ECOTOX</v>
      </c>
    </row>
    <row r="2202" spans="1:18" x14ac:dyDescent="0.45">
      <c r="A2202" t="s">
        <v>1266</v>
      </c>
      <c r="B2202">
        <v>8</v>
      </c>
      <c r="C2202" t="str">
        <f>HYPERLINK("http://www.ncbi.nlm.nih.gov/protein/ETE69398.1","ETE69398.1")</f>
        <v>ETE69398.1</v>
      </c>
      <c r="D2202">
        <v>18859</v>
      </c>
      <c r="E2202" t="str">
        <f>HYPERLINK("http://www.ncbi.nlm.nih.gov/Taxonomy/Browser/wwwtax.cgi?mode=Info&amp;id=8665&amp;lvl=3&amp;lin=f&amp;keep=1&amp;srchmode=1&amp;unlock","8665")</f>
        <v>8665</v>
      </c>
      <c r="F2202" t="s">
        <v>192</v>
      </c>
      <c r="G2202" t="str">
        <f>HYPERLINK("http://www.ncbi.nlm.nih.gov/Taxonomy/Browser/wwwtax.cgi?mode=Info&amp;id=8665&amp;lvl=3&amp;lin=f&amp;keep=1&amp;srchmode=1&amp;unlock","Ophiophagus hannah")</f>
        <v>Ophiophagus hannah</v>
      </c>
      <c r="H2202" t="s">
        <v>700</v>
      </c>
      <c r="I2202" t="str">
        <f>HYPERLINK("http://www.ncbi.nlm.nih.gov/protein/ETE69398.1","Ryanodine receptor 3, partial")</f>
        <v>Ryanodine receptor 3, partial</v>
      </c>
      <c r="J2202">
        <v>7335.34</v>
      </c>
      <c r="K2202" t="s">
        <v>19</v>
      </c>
      <c r="L2202">
        <v>1210</v>
      </c>
      <c r="M2202">
        <v>7.13</v>
      </c>
      <c r="N2202">
        <v>71.47</v>
      </c>
      <c r="O2202" t="s">
        <v>19</v>
      </c>
      <c r="P2202" t="s">
        <v>1267</v>
      </c>
      <c r="Q2202" t="s">
        <v>19</v>
      </c>
      <c r="R2202" t="str">
        <f>HYPERLINK("https://cfpub.epa.gov/ecotox/explore.cfm?ncbi=8665","Explore in ECOTOX")</f>
        <v>Explore in ECOTOX</v>
      </c>
    </row>
    <row r="2203" spans="1:18" x14ac:dyDescent="0.45">
      <c r="A2203" t="s">
        <v>1266</v>
      </c>
      <c r="B2203">
        <v>8</v>
      </c>
      <c r="C2203" t="str">
        <f>HYPERLINK("http://www.ncbi.nlm.nih.gov/protein/XP_027759058.1","XP_027759058.1")</f>
        <v>XP_027759058.1</v>
      </c>
      <c r="D2203">
        <v>34052</v>
      </c>
      <c r="E2203" t="str">
        <f>HYPERLINK("http://www.ncbi.nlm.nih.gov/Taxonomy/Browser/wwwtax.cgi?mode=Info&amp;id=164674&amp;lvl=3&amp;lin=f&amp;keep=1&amp;srchmode=1&amp;unlock","164674")</f>
        <v>164674</v>
      </c>
      <c r="F2203" t="s">
        <v>241</v>
      </c>
      <c r="G2203" t="str">
        <f>HYPERLINK("http://www.ncbi.nlm.nih.gov/Taxonomy/Browser/wwwtax.cgi?mode=Info&amp;id=164674&amp;lvl=3&amp;lin=f&amp;keep=1&amp;srchmode=1&amp;unlock","Empidonax traillii")</f>
        <v>Empidonax traillii</v>
      </c>
      <c r="H2203" t="s">
        <v>695</v>
      </c>
      <c r="I2203" t="str">
        <f>HYPERLINK("http://www.ncbi.nlm.nih.gov/protein/XP_027759058.1","ryanodine receptor 2")</f>
        <v>ryanodine receptor 2</v>
      </c>
      <c r="J2203">
        <v>7326.87</v>
      </c>
      <c r="K2203" t="s">
        <v>19</v>
      </c>
      <c r="L2203">
        <v>1210</v>
      </c>
      <c r="M2203">
        <v>7.13</v>
      </c>
      <c r="N2203">
        <v>71.39</v>
      </c>
      <c r="O2203" t="s">
        <v>19</v>
      </c>
      <c r="P2203" t="s">
        <v>1267</v>
      </c>
      <c r="Q2203" t="s">
        <v>19</v>
      </c>
      <c r="R2203" t="str">
        <f>HYPERLINK("https://cfpub.epa.gov/ecotox/explore.cfm?ncbi=164674","Explore in ECOTOX")</f>
        <v>Explore in ECOTOX</v>
      </c>
    </row>
    <row r="2204" spans="1:18" x14ac:dyDescent="0.45">
      <c r="A2204" t="s">
        <v>1266</v>
      </c>
      <c r="B2204">
        <v>8</v>
      </c>
      <c r="C2204" t="str">
        <f>HYPERLINK("http://www.ncbi.nlm.nih.gov/protein/XP_034564299.1","XP_034564299.1")</f>
        <v>XP_034564299.1</v>
      </c>
      <c r="D2204">
        <v>39441</v>
      </c>
      <c r="E2204" t="str">
        <f>HYPERLINK("http://www.ncbi.nlm.nih.gov/Taxonomy/Browser/wwwtax.cgi?mode=Info&amp;id=1203425&amp;lvl=3&amp;lin=f&amp;keep=1&amp;srchmode=1&amp;unlock","1203425")</f>
        <v>1203425</v>
      </c>
      <c r="F2204" t="s">
        <v>17</v>
      </c>
      <c r="G2204" t="str">
        <f>HYPERLINK("http://www.ncbi.nlm.nih.gov/Taxonomy/Browser/wwwtax.cgi?mode=Info&amp;id=1203425&amp;lvl=3&amp;lin=f&amp;keep=1&amp;srchmode=1&amp;unlock","Notolabrus celidotus")</f>
        <v>Notolabrus celidotus</v>
      </c>
      <c r="H2204" t="s">
        <v>703</v>
      </c>
      <c r="I2204" t="str">
        <f>HYPERLINK("http://www.ncbi.nlm.nih.gov/protein/XP_034564299.1","ryanodine receptor 2")</f>
        <v>ryanodine receptor 2</v>
      </c>
      <c r="J2204">
        <v>7315.7</v>
      </c>
      <c r="K2204" t="s">
        <v>19</v>
      </c>
      <c r="L2204">
        <v>1210</v>
      </c>
      <c r="M2204">
        <v>7.13</v>
      </c>
      <c r="N2204">
        <v>71.28</v>
      </c>
      <c r="O2204" t="s">
        <v>19</v>
      </c>
      <c r="P2204" t="s">
        <v>1267</v>
      </c>
      <c r="Q2204" t="s">
        <v>19</v>
      </c>
      <c r="R2204" t="str">
        <f>HYPERLINK("https://cfpub.epa.gov/ecotox/explore.cfm?ncbi=1203425","Explore in ECOTOX")</f>
        <v>Explore in ECOTOX</v>
      </c>
    </row>
    <row r="2205" spans="1:18" x14ac:dyDescent="0.45">
      <c r="A2205" t="s">
        <v>1266</v>
      </c>
      <c r="B2205">
        <v>8</v>
      </c>
      <c r="C2205" t="str">
        <f>HYPERLINK("http://www.ncbi.nlm.nih.gov/protein/KAB0383362.1","KAB0383362.1")</f>
        <v>KAB0383362.1</v>
      </c>
      <c r="D2205">
        <v>26182</v>
      </c>
      <c r="E2205" t="str">
        <f>HYPERLINK("http://www.ncbi.nlm.nih.gov/Taxonomy/Browser/wwwtax.cgi?mode=Info&amp;id=9886&amp;lvl=3&amp;lin=f&amp;keep=1&amp;srchmode=1&amp;unlock","9886")</f>
        <v>9886</v>
      </c>
      <c r="F2205" t="s">
        <v>96</v>
      </c>
      <c r="G2205" t="str">
        <f>HYPERLINK("http://www.ncbi.nlm.nih.gov/Taxonomy/Browser/wwwtax.cgi?mode=Info&amp;id=9886&amp;lvl=3&amp;lin=f&amp;keep=1&amp;srchmode=1&amp;unlock","Muntiacus reevesi")</f>
        <v>Muntiacus reevesi</v>
      </c>
      <c r="H2205" t="s">
        <v>698</v>
      </c>
      <c r="I2205" t="str">
        <f>HYPERLINK("http://www.ncbi.nlm.nih.gov/protein/KAB0383362.1","hypothetical protein FD755_005279")</f>
        <v>hypothetical protein FD755_005279</v>
      </c>
      <c r="J2205">
        <v>7287.58</v>
      </c>
      <c r="K2205" t="s">
        <v>19</v>
      </c>
      <c r="L2205">
        <v>1210</v>
      </c>
      <c r="M2205">
        <v>7.13</v>
      </c>
      <c r="N2205">
        <v>71.010000000000005</v>
      </c>
      <c r="O2205" t="s">
        <v>19</v>
      </c>
      <c r="P2205" t="s">
        <v>1267</v>
      </c>
      <c r="Q2205" t="s">
        <v>19</v>
      </c>
      <c r="R2205" t="str">
        <f>HYPERLINK("https://cfpub.epa.gov/ecotox/explore.cfm?ncbi=9886","Explore in ECOTOX")</f>
        <v>Explore in ECOTOX</v>
      </c>
    </row>
    <row r="2206" spans="1:18" x14ac:dyDescent="0.45">
      <c r="A2206" t="s">
        <v>1266</v>
      </c>
      <c r="B2206">
        <v>8</v>
      </c>
      <c r="C2206" t="str">
        <f>HYPERLINK("http://www.ncbi.nlm.nih.gov/protein/XP_035526010.1","XP_035526010.1")</f>
        <v>XP_035526010.1</v>
      </c>
      <c r="D2206">
        <v>31152</v>
      </c>
      <c r="E2206" t="str">
        <f>HYPERLINK("http://www.ncbi.nlm.nih.gov/Taxonomy/Browser/wwwtax.cgi?mode=Info&amp;id=34816&amp;lvl=3&amp;lin=f&amp;keep=1&amp;srchmode=1&amp;unlock","34816")</f>
        <v>34816</v>
      </c>
      <c r="F2206" t="s">
        <v>17</v>
      </c>
      <c r="G2206" t="str">
        <f>HYPERLINK("http://www.ncbi.nlm.nih.gov/Taxonomy/Browser/wwwtax.cgi?mode=Info&amp;id=34816&amp;lvl=3&amp;lin=f&amp;keep=1&amp;srchmode=1&amp;unlock","Morone saxatilis")</f>
        <v>Morone saxatilis</v>
      </c>
      <c r="H2206" t="s">
        <v>52</v>
      </c>
      <c r="I2206" t="str">
        <f>HYPERLINK("http://www.ncbi.nlm.nih.gov/protein/XP_035526010.1","ryanodine receptor 2-like")</f>
        <v>ryanodine receptor 2-like</v>
      </c>
      <c r="J2206">
        <v>7192.82</v>
      </c>
      <c r="K2206" t="s">
        <v>19</v>
      </c>
      <c r="L2206">
        <v>1210</v>
      </c>
      <c r="M2206">
        <v>7.13</v>
      </c>
      <c r="N2206">
        <v>70.09</v>
      </c>
      <c r="O2206" t="s">
        <v>19</v>
      </c>
      <c r="P2206" t="s">
        <v>1267</v>
      </c>
      <c r="Q2206" t="s">
        <v>19</v>
      </c>
      <c r="R2206" t="str">
        <f>HYPERLINK("https://cfpub.epa.gov/ecotox/explore.cfm?ncbi=34816","Explore in ECOTOX")</f>
        <v>Explore in ECOTOX</v>
      </c>
    </row>
    <row r="2207" spans="1:18" x14ac:dyDescent="0.45">
      <c r="A2207" t="s">
        <v>1266</v>
      </c>
      <c r="B2207">
        <v>8</v>
      </c>
      <c r="C2207" t="str">
        <f>HYPERLINK("http://www.ncbi.nlm.nih.gov/protein/TKS90259.1","TKS90259.1")</f>
        <v>TKS90259.1</v>
      </c>
      <c r="D2207">
        <v>28578</v>
      </c>
      <c r="E2207" t="str">
        <f>HYPERLINK("http://www.ncbi.nlm.nih.gov/Taxonomy/Browser/wwwtax.cgi?mode=Info&amp;id=240159&amp;lvl=3&amp;lin=f&amp;keep=1&amp;srchmode=1&amp;unlock","240159")</f>
        <v>240159</v>
      </c>
      <c r="F2207" t="s">
        <v>17</v>
      </c>
      <c r="G2207" t="str">
        <f>HYPERLINK("http://www.ncbi.nlm.nih.gov/Taxonomy/Browser/wwwtax.cgi?mode=Info&amp;id=240159&amp;lvl=3&amp;lin=f&amp;keep=1&amp;srchmode=1&amp;unlock","Collichthys lucidus")</f>
        <v>Collichthys lucidus</v>
      </c>
      <c r="H2207" t="s">
        <v>712</v>
      </c>
      <c r="I2207" t="str">
        <f>HYPERLINK("http://www.ncbi.nlm.nih.gov/protein/TKS90259.1","Ryanodine receptor 2")</f>
        <v>Ryanodine receptor 2</v>
      </c>
      <c r="J2207">
        <v>7110.38</v>
      </c>
      <c r="K2207" t="s">
        <v>19</v>
      </c>
      <c r="L2207">
        <v>1210</v>
      </c>
      <c r="M2207">
        <v>7.13</v>
      </c>
      <c r="N2207">
        <v>69.28</v>
      </c>
      <c r="O2207" t="s">
        <v>19</v>
      </c>
      <c r="P2207" t="s">
        <v>1267</v>
      </c>
      <c r="Q2207" t="s">
        <v>19</v>
      </c>
      <c r="R2207" t="str">
        <f>HYPERLINK("https://cfpub.epa.gov/ecotox/explore.cfm?ncbi=240159","Explore in ECOTOX")</f>
        <v>Explore in ECOTOX</v>
      </c>
    </row>
    <row r="2208" spans="1:18" x14ac:dyDescent="0.45">
      <c r="A2208" t="s">
        <v>1266</v>
      </c>
      <c r="B2208">
        <v>8</v>
      </c>
      <c r="C2208" t="str">
        <f>HYPERLINK("http://www.ncbi.nlm.nih.gov/protein/XP_046214466.1","XP_046214466.1")</f>
        <v>XP_046214466.1</v>
      </c>
      <c r="D2208">
        <v>81040</v>
      </c>
      <c r="E2208" t="str">
        <f>HYPERLINK("http://www.ncbi.nlm.nih.gov/Taxonomy/Browser/wwwtax.cgi?mode=Info&amp;id=8017&amp;lvl=3&amp;lin=f&amp;keep=1&amp;srchmode=1&amp;unlock","8017")</f>
        <v>8017</v>
      </c>
      <c r="F2208" t="s">
        <v>17</v>
      </c>
      <c r="G2208" t="str">
        <f>HYPERLINK("http://www.ncbi.nlm.nih.gov/Taxonomy/Browser/wwwtax.cgi?mode=Info&amp;id=8017&amp;lvl=3&amp;lin=f&amp;keep=1&amp;srchmode=1&amp;unlock","Oncorhynchus gorbuscha")</f>
        <v>Oncorhynchus gorbuscha</v>
      </c>
      <c r="H2208" t="s">
        <v>159</v>
      </c>
      <c r="I2208" t="str">
        <f>HYPERLINK("http://www.ncbi.nlm.nih.gov/protein/XP_046214466.1","ryanodine receptor 2-like isoform X1")</f>
        <v>ryanodine receptor 2-like isoform X1</v>
      </c>
      <c r="J2208">
        <v>7096.52</v>
      </c>
      <c r="K2208" t="s">
        <v>19</v>
      </c>
      <c r="L2208">
        <v>1210</v>
      </c>
      <c r="M2208">
        <v>7.13</v>
      </c>
      <c r="N2208">
        <v>69.150000000000006</v>
      </c>
      <c r="O2208" t="s">
        <v>19</v>
      </c>
      <c r="P2208" t="s">
        <v>1267</v>
      </c>
      <c r="Q2208" t="s">
        <v>19</v>
      </c>
      <c r="R2208" t="str">
        <f>HYPERLINK("https://cfpub.epa.gov/ecotox/explore.cfm?ncbi=8017","Explore in ECOTOX")</f>
        <v>Explore in ECOTOX</v>
      </c>
    </row>
    <row r="2209" spans="1:18" x14ac:dyDescent="0.45">
      <c r="A2209" t="s">
        <v>1266</v>
      </c>
      <c r="B2209">
        <v>8</v>
      </c>
      <c r="C2209" t="str">
        <f>HYPERLINK("http://www.ncbi.nlm.nih.gov/protein/XP_029527949.1","XP_029527949.1")</f>
        <v>XP_029527949.1</v>
      </c>
      <c r="D2209">
        <v>68886</v>
      </c>
      <c r="E2209" t="str">
        <f>HYPERLINK("http://www.ncbi.nlm.nih.gov/Taxonomy/Browser/wwwtax.cgi?mode=Info&amp;id=8023&amp;lvl=3&amp;lin=f&amp;keep=1&amp;srchmode=1&amp;unlock","8023")</f>
        <v>8023</v>
      </c>
      <c r="F2209" t="s">
        <v>17</v>
      </c>
      <c r="G2209" t="str">
        <f>HYPERLINK("http://www.ncbi.nlm.nih.gov/Taxonomy/Browser/wwwtax.cgi?mode=Info&amp;id=8023&amp;lvl=3&amp;lin=f&amp;keep=1&amp;srchmode=1&amp;unlock","Oncorhynchus nerka")</f>
        <v>Oncorhynchus nerka</v>
      </c>
      <c r="H2209" t="s">
        <v>163</v>
      </c>
      <c r="I2209" t="str">
        <f>HYPERLINK("http://www.ncbi.nlm.nih.gov/protein/XP_029527949.1","LOW QUALITY PROTEIN: ryanodine receptor 2-like")</f>
        <v>LOW QUALITY PROTEIN: ryanodine receptor 2-like</v>
      </c>
      <c r="J2209">
        <v>7094.98</v>
      </c>
      <c r="K2209" t="s">
        <v>19</v>
      </c>
      <c r="L2209">
        <v>1210</v>
      </c>
      <c r="M2209">
        <v>7.13</v>
      </c>
      <c r="N2209">
        <v>69.13</v>
      </c>
      <c r="O2209" t="s">
        <v>19</v>
      </c>
      <c r="P2209" t="s">
        <v>1267</v>
      </c>
      <c r="Q2209" t="s">
        <v>19</v>
      </c>
      <c r="R2209" t="str">
        <f>HYPERLINK("https://cfpub.epa.gov/ecotox/explore.cfm?ncbi=8023","Explore in ECOTOX")</f>
        <v>Explore in ECOTOX</v>
      </c>
    </row>
    <row r="2210" spans="1:18" x14ac:dyDescent="0.45">
      <c r="A2210" t="s">
        <v>1266</v>
      </c>
      <c r="B2210">
        <v>8</v>
      </c>
      <c r="C2210" t="str">
        <f>HYPERLINK("http://www.ncbi.nlm.nih.gov/protein/XP_024281256.1","XP_024281256.1")</f>
        <v>XP_024281256.1</v>
      </c>
      <c r="D2210">
        <v>83228</v>
      </c>
      <c r="E2210" t="str">
        <f>HYPERLINK("http://www.ncbi.nlm.nih.gov/Taxonomy/Browser/wwwtax.cgi?mode=Info&amp;id=74940&amp;lvl=3&amp;lin=f&amp;keep=1&amp;srchmode=1&amp;unlock","74940")</f>
        <v>74940</v>
      </c>
      <c r="F2210" t="s">
        <v>17</v>
      </c>
      <c r="G2210" t="str">
        <f>HYPERLINK("http://www.ncbi.nlm.nih.gov/Taxonomy/Browser/wwwtax.cgi?mode=Info&amp;id=74940&amp;lvl=3&amp;lin=f&amp;keep=1&amp;srchmode=1&amp;unlock","Oncorhynchus tshawytscha")</f>
        <v>Oncorhynchus tshawytscha</v>
      </c>
      <c r="H2210" t="s">
        <v>185</v>
      </c>
      <c r="I2210" t="str">
        <f>HYPERLINK("http://www.ncbi.nlm.nih.gov/protein/XP_024281256.1","ryanodine receptor 2")</f>
        <v>ryanodine receptor 2</v>
      </c>
      <c r="J2210">
        <v>7076.1</v>
      </c>
      <c r="K2210" t="s">
        <v>19</v>
      </c>
      <c r="L2210">
        <v>1210</v>
      </c>
      <c r="M2210">
        <v>7.13</v>
      </c>
      <c r="N2210">
        <v>68.95</v>
      </c>
      <c r="O2210" t="s">
        <v>19</v>
      </c>
      <c r="P2210" t="s">
        <v>1267</v>
      </c>
      <c r="Q2210" t="s">
        <v>19</v>
      </c>
      <c r="R2210" t="str">
        <f>HYPERLINK("https://cfpub.epa.gov/ecotox/explore.cfm?ncbi=74940","Explore in ECOTOX")</f>
        <v>Explore in ECOTOX</v>
      </c>
    </row>
    <row r="2211" spans="1:18" x14ac:dyDescent="0.45">
      <c r="A2211" t="s">
        <v>1266</v>
      </c>
      <c r="B2211">
        <v>8</v>
      </c>
      <c r="C2211" t="str">
        <f>HYPERLINK("http://www.ncbi.nlm.nih.gov/protein/XP_038816831.1","XP_038816831.1")</f>
        <v>XP_038816831.1</v>
      </c>
      <c r="D2211">
        <v>58431</v>
      </c>
      <c r="E2211" t="str">
        <f>HYPERLINK("http://www.ncbi.nlm.nih.gov/Taxonomy/Browser/wwwtax.cgi?mode=Info&amp;id=8040&amp;lvl=3&amp;lin=f&amp;keep=1&amp;srchmode=1&amp;unlock","8040")</f>
        <v>8040</v>
      </c>
      <c r="F2211" t="s">
        <v>17</v>
      </c>
      <c r="G2211" t="str">
        <f>HYPERLINK("http://www.ncbi.nlm.nih.gov/Taxonomy/Browser/wwwtax.cgi?mode=Info&amp;id=8040&amp;lvl=3&amp;lin=f&amp;keep=1&amp;srchmode=1&amp;unlock","Salvelinus namaycush")</f>
        <v>Salvelinus namaycush</v>
      </c>
      <c r="H2211" t="s">
        <v>133</v>
      </c>
      <c r="I2211" t="str">
        <f>HYPERLINK("http://www.ncbi.nlm.nih.gov/protein/XP_038816831.1","ryanodine receptor 2-like")</f>
        <v>ryanodine receptor 2-like</v>
      </c>
      <c r="J2211">
        <v>7069.55</v>
      </c>
      <c r="K2211" t="s">
        <v>19</v>
      </c>
      <c r="L2211">
        <v>1210</v>
      </c>
      <c r="M2211">
        <v>7.13</v>
      </c>
      <c r="N2211">
        <v>68.88</v>
      </c>
      <c r="O2211" t="s">
        <v>19</v>
      </c>
      <c r="P2211" t="s">
        <v>1267</v>
      </c>
      <c r="Q2211" t="s">
        <v>19</v>
      </c>
      <c r="R2211" t="str">
        <f>HYPERLINK("https://cfpub.epa.gov/ecotox/explore.cfm?ncbi=8040","Explore in ECOTOX")</f>
        <v>Explore in ECOTOX</v>
      </c>
    </row>
    <row r="2212" spans="1:18" x14ac:dyDescent="0.45">
      <c r="A2212" t="s">
        <v>1266</v>
      </c>
      <c r="B2212">
        <v>8</v>
      </c>
      <c r="C2212" t="str">
        <f>HYPERLINK("http://www.ncbi.nlm.nih.gov/protein/XP_035610361.2","XP_035610361.2")</f>
        <v>XP_035610361.2</v>
      </c>
      <c r="D2212">
        <v>116232</v>
      </c>
      <c r="E2212" t="str">
        <f>HYPERLINK("http://www.ncbi.nlm.nih.gov/Taxonomy/Browser/wwwtax.cgi?mode=Info&amp;id=8018&amp;lvl=3&amp;lin=f&amp;keep=1&amp;srchmode=1&amp;unlock","8018")</f>
        <v>8018</v>
      </c>
      <c r="F2212" t="s">
        <v>17</v>
      </c>
      <c r="G2212" t="str">
        <f>HYPERLINK("http://www.ncbi.nlm.nih.gov/Taxonomy/Browser/wwwtax.cgi?mode=Info&amp;id=8018&amp;lvl=3&amp;lin=f&amp;keep=1&amp;srchmode=1&amp;unlock","Oncorhynchus keta")</f>
        <v>Oncorhynchus keta</v>
      </c>
      <c r="H2212" t="s">
        <v>146</v>
      </c>
      <c r="I2212" t="str">
        <f>HYPERLINK("http://www.ncbi.nlm.nih.gov/protein/XP_035610361.2","ryanodine receptor 2-like isoform X2")</f>
        <v>ryanodine receptor 2-like isoform X2</v>
      </c>
      <c r="J2212">
        <v>7066.09</v>
      </c>
      <c r="K2212" t="s">
        <v>19</v>
      </c>
      <c r="L2212">
        <v>1210</v>
      </c>
      <c r="M2212">
        <v>7.13</v>
      </c>
      <c r="N2212">
        <v>68.849999999999994</v>
      </c>
      <c r="O2212" t="s">
        <v>19</v>
      </c>
      <c r="P2212" t="s">
        <v>1267</v>
      </c>
      <c r="Q2212" t="s">
        <v>19</v>
      </c>
      <c r="R2212" t="str">
        <f>HYPERLINK("https://cfpub.epa.gov/ecotox/explore.cfm?ncbi=8018","Explore in ECOTOX")</f>
        <v>Explore in ECOTOX</v>
      </c>
    </row>
    <row r="2213" spans="1:18" x14ac:dyDescent="0.45">
      <c r="A2213" t="s">
        <v>1266</v>
      </c>
      <c r="B2213">
        <v>8</v>
      </c>
      <c r="C2213" t="str">
        <f>HYPERLINK("http://www.ncbi.nlm.nih.gov/protein/XP_023825699.1","XP_023825699.1")</f>
        <v>XP_023825699.1</v>
      </c>
      <c r="D2213">
        <v>60852</v>
      </c>
      <c r="E2213" t="str">
        <f>HYPERLINK("http://www.ncbi.nlm.nih.gov/Taxonomy/Browser/wwwtax.cgi?mode=Info&amp;id=8036&amp;lvl=3&amp;lin=f&amp;keep=1&amp;srchmode=1&amp;unlock","8036")</f>
        <v>8036</v>
      </c>
      <c r="F2213" t="s">
        <v>17</v>
      </c>
      <c r="G2213" t="str">
        <f>HYPERLINK("http://www.ncbi.nlm.nih.gov/Taxonomy/Browser/wwwtax.cgi?mode=Info&amp;id=8036&amp;lvl=3&amp;lin=f&amp;keep=1&amp;srchmode=1&amp;unlock","Salvelinus alpinus")</f>
        <v>Salvelinus alpinus</v>
      </c>
      <c r="H2213" t="s">
        <v>514</v>
      </c>
      <c r="I2213" t="str">
        <f>HYPERLINK("http://www.ncbi.nlm.nih.gov/protein/XP_023825699.1","ryanodine receptor 2-like")</f>
        <v>ryanodine receptor 2-like</v>
      </c>
      <c r="J2213">
        <v>6990.97</v>
      </c>
      <c r="K2213" t="s">
        <v>19</v>
      </c>
      <c r="L2213">
        <v>1210</v>
      </c>
      <c r="M2213">
        <v>7.13</v>
      </c>
      <c r="N2213">
        <v>68.12</v>
      </c>
      <c r="O2213" t="s">
        <v>19</v>
      </c>
      <c r="P2213" t="s">
        <v>1267</v>
      </c>
      <c r="Q2213" t="s">
        <v>19</v>
      </c>
      <c r="R2213" t="str">
        <f>HYPERLINK("https://cfpub.epa.gov/ecotox/explore.cfm?ncbi=8036","Explore in ECOTOX")</f>
        <v>Explore in ECOTOX</v>
      </c>
    </row>
    <row r="2214" spans="1:18" x14ac:dyDescent="0.45">
      <c r="A2214" t="s">
        <v>1266</v>
      </c>
      <c r="B2214">
        <v>8</v>
      </c>
      <c r="C2214" t="str">
        <f>HYPERLINK("http://www.ncbi.nlm.nih.gov/protein/XP_012824469.1","XP_012824469.1")</f>
        <v>XP_012824469.1</v>
      </c>
      <c r="D2214">
        <v>122869</v>
      </c>
      <c r="E2214" t="str">
        <f>HYPERLINK("http://www.ncbi.nlm.nih.gov/Taxonomy/Browser/wwwtax.cgi?mode=Info&amp;id=8364&amp;lvl=3&amp;lin=f&amp;keep=1&amp;srchmode=1&amp;unlock","8364")</f>
        <v>8364</v>
      </c>
      <c r="F2214" t="s">
        <v>177</v>
      </c>
      <c r="G2214" t="str">
        <f>HYPERLINK("http://www.ncbi.nlm.nih.gov/Taxonomy/Browser/wwwtax.cgi?mode=Info&amp;id=8364&amp;lvl=3&amp;lin=f&amp;keep=1&amp;srchmode=1&amp;unlock","Xenopus tropicalis")</f>
        <v>Xenopus tropicalis</v>
      </c>
      <c r="H2214" t="s">
        <v>178</v>
      </c>
      <c r="I2214" t="str">
        <f>HYPERLINK("http://www.ncbi.nlm.nih.gov/protein/XP_012824469.1","ryanodine receptor 1 isoform X4")</f>
        <v>ryanodine receptor 1 isoform X4</v>
      </c>
      <c r="J2214">
        <v>6864.63</v>
      </c>
      <c r="K2214" t="s">
        <v>22</v>
      </c>
      <c r="L2214">
        <v>1210</v>
      </c>
      <c r="M2214">
        <v>7.13</v>
      </c>
      <c r="N2214">
        <v>66.89</v>
      </c>
      <c r="O2214" t="s">
        <v>19</v>
      </c>
      <c r="P2214" t="s">
        <v>1267</v>
      </c>
      <c r="Q2214" t="s">
        <v>19</v>
      </c>
      <c r="R2214" t="str">
        <f>HYPERLINK("https://cfpub.epa.gov/ecotox/explore.cfm?ncbi=8364","Explore in ECOTOX")</f>
        <v>Explore in ECOTOX</v>
      </c>
    </row>
    <row r="2215" spans="1:18" x14ac:dyDescent="0.45">
      <c r="A2215" t="s">
        <v>1266</v>
      </c>
      <c r="B2215">
        <v>8</v>
      </c>
      <c r="C2215" t="str">
        <f>HYPERLINK("http://www.ncbi.nlm.nih.gov/protein/XP_007909259.1","XP_007909259.1")</f>
        <v>XP_007909259.1</v>
      </c>
      <c r="D2215">
        <v>34835</v>
      </c>
      <c r="E2215" t="str">
        <f>HYPERLINK("http://www.ncbi.nlm.nih.gov/Taxonomy/Browser/wwwtax.cgi?mode=Info&amp;id=7868&amp;lvl=3&amp;lin=f&amp;keep=1&amp;srchmode=1&amp;unlock","7868")</f>
        <v>7868</v>
      </c>
      <c r="F2215" t="s">
        <v>195</v>
      </c>
      <c r="G2215" t="str">
        <f>HYPERLINK("http://www.ncbi.nlm.nih.gov/Taxonomy/Browser/wwwtax.cgi?mode=Info&amp;id=7868&amp;lvl=3&amp;lin=f&amp;keep=1&amp;srchmode=1&amp;unlock","Callorhinchus milii")</f>
        <v>Callorhinchus milii</v>
      </c>
      <c r="H2215" t="s">
        <v>210</v>
      </c>
      <c r="I2215" t="str">
        <f>HYPERLINK("http://www.ncbi.nlm.nih.gov/protein/XP_007909259.1","ryanodine receptor 1 isoform X5")</f>
        <v>ryanodine receptor 1 isoform X5</v>
      </c>
      <c r="J2215">
        <v>6847.29</v>
      </c>
      <c r="K2215" t="s">
        <v>22</v>
      </c>
      <c r="L2215">
        <v>1210</v>
      </c>
      <c r="M2215">
        <v>7.13</v>
      </c>
      <c r="N2215">
        <v>66.72</v>
      </c>
      <c r="O2215" t="s">
        <v>19</v>
      </c>
      <c r="P2215" t="s">
        <v>1267</v>
      </c>
      <c r="Q2215" t="s">
        <v>19</v>
      </c>
      <c r="R2215" t="str">
        <f>HYPERLINK("https://cfpub.epa.gov/ecotox/explore.cfm?ncbi=7868","Explore in ECOTOX")</f>
        <v>Explore in ECOTOX</v>
      </c>
    </row>
    <row r="2216" spans="1:18" x14ac:dyDescent="0.45">
      <c r="A2216" t="s">
        <v>1266</v>
      </c>
      <c r="B2216">
        <v>8</v>
      </c>
      <c r="C2216" t="str">
        <f>HYPERLINK("http://www.ncbi.nlm.nih.gov/protein/XP_018085772.1","XP_018085772.1")</f>
        <v>XP_018085772.1</v>
      </c>
      <c r="D2216">
        <v>147175</v>
      </c>
      <c r="E2216" t="str">
        <f>HYPERLINK("http://www.ncbi.nlm.nih.gov/Taxonomy/Browser/wwwtax.cgi?mode=Info&amp;id=8355&amp;lvl=3&amp;lin=f&amp;keep=1&amp;srchmode=1&amp;unlock","8355")</f>
        <v>8355</v>
      </c>
      <c r="F2216" t="s">
        <v>177</v>
      </c>
      <c r="G2216" t="str">
        <f>HYPERLINK("http://www.ncbi.nlm.nih.gov/Taxonomy/Browser/wwwtax.cgi?mode=Info&amp;id=8355&amp;lvl=3&amp;lin=f&amp;keep=1&amp;srchmode=1&amp;unlock","Xenopus laevis")</f>
        <v>Xenopus laevis</v>
      </c>
      <c r="H2216" t="s">
        <v>184</v>
      </c>
      <c r="I2216" t="str">
        <f>HYPERLINK("http://www.ncbi.nlm.nih.gov/protein/XP_018085772.1","ryanodine receptor 1 isoform X2")</f>
        <v>ryanodine receptor 1 isoform X2</v>
      </c>
      <c r="J2216">
        <v>6839.2</v>
      </c>
      <c r="K2216" t="s">
        <v>22</v>
      </c>
      <c r="L2216">
        <v>1210</v>
      </c>
      <c r="M2216">
        <v>7.13</v>
      </c>
      <c r="N2216">
        <v>66.64</v>
      </c>
      <c r="O2216" t="s">
        <v>19</v>
      </c>
      <c r="P2216" t="s">
        <v>1267</v>
      </c>
      <c r="Q2216" t="s">
        <v>19</v>
      </c>
      <c r="R2216" t="str">
        <f>HYPERLINK("https://cfpub.epa.gov/ecotox/explore.cfm?ncbi=8355","Explore in ECOTOX")</f>
        <v>Explore in ECOTOX</v>
      </c>
    </row>
    <row r="2217" spans="1:18" x14ac:dyDescent="0.45">
      <c r="A2217" t="s">
        <v>1266</v>
      </c>
      <c r="B2217">
        <v>8</v>
      </c>
      <c r="C2217" t="str">
        <f>HYPERLINK("http://www.ncbi.nlm.nih.gov/protein/XP_031316660.1","XP_031316660.1")</f>
        <v>XP_031316660.1</v>
      </c>
      <c r="D2217">
        <v>87248</v>
      </c>
      <c r="E2217" t="str">
        <f>HYPERLINK("http://www.ncbi.nlm.nih.gov/Taxonomy/Browser/wwwtax.cgi?mode=Info&amp;id=9838&amp;lvl=3&amp;lin=f&amp;keep=1&amp;srchmode=1&amp;unlock","9838")</f>
        <v>9838</v>
      </c>
      <c r="F2217" t="s">
        <v>96</v>
      </c>
      <c r="G2217" t="str">
        <f>HYPERLINK("http://www.ncbi.nlm.nih.gov/Taxonomy/Browser/wwwtax.cgi?mode=Info&amp;id=9838&amp;lvl=3&amp;lin=f&amp;keep=1&amp;srchmode=1&amp;unlock","Camelus dromedarius")</f>
        <v>Camelus dromedarius</v>
      </c>
      <c r="H2217" t="s">
        <v>708</v>
      </c>
      <c r="I2217" t="str">
        <f>HYPERLINK("http://www.ncbi.nlm.nih.gov/protein/XP_031316660.1","ryanodine receptor 2 isoform X3")</f>
        <v>ryanodine receptor 2 isoform X3</v>
      </c>
      <c r="J2217">
        <v>6832.27</v>
      </c>
      <c r="K2217" t="s">
        <v>19</v>
      </c>
      <c r="L2217">
        <v>1210</v>
      </c>
      <c r="M2217">
        <v>7.13</v>
      </c>
      <c r="N2217">
        <v>66.569999999999993</v>
      </c>
      <c r="O2217" t="s">
        <v>19</v>
      </c>
      <c r="P2217" t="s">
        <v>1267</v>
      </c>
      <c r="Q2217" t="s">
        <v>19</v>
      </c>
      <c r="R2217" t="str">
        <f>HYPERLINK("https://cfpub.epa.gov/ecotox/explore.cfm?ncbi=9838","Explore in ECOTOX")</f>
        <v>Explore in ECOTOX</v>
      </c>
    </row>
    <row r="2218" spans="1:18" x14ac:dyDescent="0.45">
      <c r="A2218" t="s">
        <v>1266</v>
      </c>
      <c r="B2218">
        <v>8</v>
      </c>
      <c r="C2218" t="str">
        <f>HYPERLINK("http://www.ncbi.nlm.nih.gov/protein/XP_011891768.1","XP_011891768.1")</f>
        <v>XP_011891768.1</v>
      </c>
      <c r="D2218">
        <v>66423</v>
      </c>
      <c r="E2218" t="str">
        <f>HYPERLINK("http://www.ncbi.nlm.nih.gov/Taxonomy/Browser/wwwtax.cgi?mode=Info&amp;id=9531&amp;lvl=3&amp;lin=f&amp;keep=1&amp;srchmode=1&amp;unlock","9531")</f>
        <v>9531</v>
      </c>
      <c r="F2218" t="s">
        <v>96</v>
      </c>
      <c r="G2218" t="str">
        <f>HYPERLINK("http://www.ncbi.nlm.nih.gov/Taxonomy/Browser/wwwtax.cgi?mode=Info&amp;id=9531&amp;lvl=3&amp;lin=f&amp;keep=1&amp;srchmode=1&amp;unlock","Cercocebus atys")</f>
        <v>Cercocebus atys</v>
      </c>
      <c r="H2218" t="s">
        <v>709</v>
      </c>
      <c r="I2218" t="str">
        <f>HYPERLINK("http://www.ncbi.nlm.nih.gov/protein/XP_011891768.1","PREDICTED: LOW QUALITY PROTEIN: ryanodine receptor 2")</f>
        <v>PREDICTED: LOW QUALITY PROTEIN: ryanodine receptor 2</v>
      </c>
      <c r="J2218">
        <v>6820.33</v>
      </c>
      <c r="K2218" t="s">
        <v>19</v>
      </c>
      <c r="L2218">
        <v>1210</v>
      </c>
      <c r="M2218">
        <v>7.13</v>
      </c>
      <c r="N2218">
        <v>66.459999999999994</v>
      </c>
      <c r="O2218" t="s">
        <v>19</v>
      </c>
      <c r="P2218" t="s">
        <v>1267</v>
      </c>
      <c r="Q2218" t="s">
        <v>19</v>
      </c>
      <c r="R2218" t="str">
        <f>HYPERLINK("https://cfpub.epa.gov/ecotox/explore.cfm?ncbi=9531","Explore in ECOTOX")</f>
        <v>Explore in ECOTOX</v>
      </c>
    </row>
    <row r="2219" spans="1:18" x14ac:dyDescent="0.45">
      <c r="A2219" t="s">
        <v>1266</v>
      </c>
      <c r="B2219">
        <v>8</v>
      </c>
      <c r="C2219" t="str">
        <f>HYPERLINK("http://www.ncbi.nlm.nih.gov/protein/XP_040179237.1","XP_040179237.1")</f>
        <v>XP_040179237.1</v>
      </c>
      <c r="D2219">
        <v>42589</v>
      </c>
      <c r="E2219" t="str">
        <f>HYPERLINK("http://www.ncbi.nlm.nih.gov/Taxonomy/Browser/wwwtax.cgi?mode=Info&amp;id=8407&amp;lvl=3&amp;lin=f&amp;keep=1&amp;srchmode=1&amp;unlock","8407")</f>
        <v>8407</v>
      </c>
      <c r="F2219" t="s">
        <v>177</v>
      </c>
      <c r="G2219" t="str">
        <f>HYPERLINK("http://www.ncbi.nlm.nih.gov/Taxonomy/Browser/wwwtax.cgi?mode=Info&amp;id=8407&amp;lvl=3&amp;lin=f&amp;keep=1&amp;srchmode=1&amp;unlock","Rana temporaria")</f>
        <v>Rana temporaria</v>
      </c>
      <c r="H2219" t="s">
        <v>191</v>
      </c>
      <c r="I2219" t="str">
        <f>HYPERLINK("http://www.ncbi.nlm.nih.gov/protein/XP_040179237.1","ryanodine receptor 1 isoform X6")</f>
        <v>ryanodine receptor 1 isoform X6</v>
      </c>
      <c r="J2219">
        <v>6800.68</v>
      </c>
      <c r="K2219" t="s">
        <v>22</v>
      </c>
      <c r="L2219">
        <v>1210</v>
      </c>
      <c r="M2219">
        <v>7.13</v>
      </c>
      <c r="N2219">
        <v>66.260000000000005</v>
      </c>
      <c r="O2219" t="s">
        <v>19</v>
      </c>
      <c r="P2219" t="s">
        <v>1267</v>
      </c>
      <c r="Q2219" t="s">
        <v>19</v>
      </c>
      <c r="R2219" t="str">
        <f>HYPERLINK("https://cfpub.epa.gov/ecotox/explore.cfm?ncbi=8407","Explore in ECOTOX")</f>
        <v>Explore in ECOTOX</v>
      </c>
    </row>
    <row r="2220" spans="1:18" x14ac:dyDescent="0.45">
      <c r="A2220" t="s">
        <v>1266</v>
      </c>
      <c r="B2220">
        <v>8</v>
      </c>
      <c r="C2220" t="str">
        <f>HYPERLINK("http://www.ncbi.nlm.nih.gov/protein/XP_006786088.1","XP_006786088.1")</f>
        <v>XP_006786088.1</v>
      </c>
      <c r="D2220">
        <v>36437</v>
      </c>
      <c r="E2220" t="str">
        <f>HYPERLINK("http://www.ncbi.nlm.nih.gov/Taxonomy/Browser/wwwtax.cgi?mode=Info&amp;id=32507&amp;lvl=3&amp;lin=f&amp;keep=1&amp;srchmode=1&amp;unlock","32507")</f>
        <v>32507</v>
      </c>
      <c r="F2220" t="s">
        <v>17</v>
      </c>
      <c r="G2220" t="str">
        <f>HYPERLINK("http://www.ncbi.nlm.nih.gov/Taxonomy/Browser/wwwtax.cgi?mode=Info&amp;id=32507&amp;lvl=3&amp;lin=f&amp;keep=1&amp;srchmode=1&amp;unlock","Neolamprologus brichardi")</f>
        <v>Neolamprologus brichardi</v>
      </c>
      <c r="H2220" t="s">
        <v>72</v>
      </c>
      <c r="I2220" t="str">
        <f>HYPERLINK("http://www.ncbi.nlm.nih.gov/protein/XP_006786088.1","ryanodine receptor 3-like isoform X2")</f>
        <v>ryanodine receptor 3-like isoform X2</v>
      </c>
      <c r="J2220">
        <v>6796.83</v>
      </c>
      <c r="K2220" t="s">
        <v>22</v>
      </c>
      <c r="L2220">
        <v>1210</v>
      </c>
      <c r="M2220">
        <v>7.13</v>
      </c>
      <c r="N2220">
        <v>66.23</v>
      </c>
      <c r="O2220" t="s">
        <v>19</v>
      </c>
      <c r="P2220" t="s">
        <v>1267</v>
      </c>
      <c r="Q2220" t="s">
        <v>19</v>
      </c>
      <c r="R2220" t="str">
        <f>HYPERLINK("https://cfpub.epa.gov/ecotox/explore.cfm?ncbi=32507","Explore in ECOTOX")</f>
        <v>Explore in ECOTOX</v>
      </c>
    </row>
    <row r="2221" spans="1:18" x14ac:dyDescent="0.45">
      <c r="A2221" t="s">
        <v>1266</v>
      </c>
      <c r="B2221">
        <v>8</v>
      </c>
      <c r="C2221" t="str">
        <f>HYPERLINK("http://www.ncbi.nlm.nih.gov/protein/XP_053365801.1","XP_053365801.1")</f>
        <v>XP_053365801.1</v>
      </c>
      <c r="D2221">
        <v>41392</v>
      </c>
      <c r="E2221" t="str">
        <f>HYPERLINK("http://www.ncbi.nlm.nih.gov/Taxonomy/Browser/wwwtax.cgi?mode=Info&amp;id=13013&amp;lvl=3&amp;lin=f&amp;keep=1&amp;srchmode=1&amp;unlock","13013")</f>
        <v>13013</v>
      </c>
      <c r="F2221" t="s">
        <v>17</v>
      </c>
      <c r="G2221" t="str">
        <f>HYPERLINK("http://www.ncbi.nlm.nih.gov/Taxonomy/Browser/wwwtax.cgi?mode=Info&amp;id=13013&amp;lvl=3&amp;lin=f&amp;keep=1&amp;srchmode=1&amp;unlock","Clarias gariepinus")</f>
        <v>Clarias gariepinus</v>
      </c>
      <c r="H2221" t="s">
        <v>43</v>
      </c>
      <c r="I2221" t="str">
        <f>HYPERLINK("http://www.ncbi.nlm.nih.gov/protein/XP_053365801.1","LOW QUALITY PROTEIN: ryanodine receptor 3")</f>
        <v>LOW QUALITY PROTEIN: ryanodine receptor 3</v>
      </c>
      <c r="J2221">
        <v>6794.52</v>
      </c>
      <c r="K2221" t="s">
        <v>22</v>
      </c>
      <c r="L2221">
        <v>1210</v>
      </c>
      <c r="M2221">
        <v>7.13</v>
      </c>
      <c r="N2221">
        <v>66.2</v>
      </c>
      <c r="O2221" t="s">
        <v>19</v>
      </c>
      <c r="P2221" t="s">
        <v>1267</v>
      </c>
      <c r="Q2221" t="s">
        <v>19</v>
      </c>
      <c r="R2221" t="str">
        <f>HYPERLINK("https://cfpub.epa.gov/ecotox/explore.cfm?ncbi=13013","Explore in ECOTOX")</f>
        <v>Explore in ECOTOX</v>
      </c>
    </row>
    <row r="2222" spans="1:18" x14ac:dyDescent="0.45">
      <c r="A2222" t="s">
        <v>1266</v>
      </c>
      <c r="B2222">
        <v>8</v>
      </c>
      <c r="C2222" t="str">
        <f>HYPERLINK("http://www.ncbi.nlm.nih.gov/protein/XP_029982083.1","XP_029982083.1")</f>
        <v>XP_029982083.1</v>
      </c>
      <c r="D2222">
        <v>42356</v>
      </c>
      <c r="E2222" t="str">
        <f>HYPERLINK("http://www.ncbi.nlm.nih.gov/Taxonomy/Browser/wwwtax.cgi?mode=Info&amp;id=375764&amp;lvl=3&amp;lin=f&amp;keep=1&amp;srchmode=1&amp;unlock","375764")</f>
        <v>375764</v>
      </c>
      <c r="F2222" t="s">
        <v>17</v>
      </c>
      <c r="G2222" t="str">
        <f>HYPERLINK("http://www.ncbi.nlm.nih.gov/Taxonomy/Browser/wwwtax.cgi?mode=Info&amp;id=375764&amp;lvl=3&amp;lin=f&amp;keep=1&amp;srchmode=1&amp;unlock","Sphaeramia orbicularis")</f>
        <v>Sphaeramia orbicularis</v>
      </c>
      <c r="H2222" t="s">
        <v>153</v>
      </c>
      <c r="I2222" t="str">
        <f>HYPERLINK("http://www.ncbi.nlm.nih.gov/protein/XP_029982083.1","ryanodine receptor 3-like")</f>
        <v>ryanodine receptor 3-like</v>
      </c>
      <c r="J2222">
        <v>6783.35</v>
      </c>
      <c r="K2222" t="s">
        <v>22</v>
      </c>
      <c r="L2222">
        <v>1210</v>
      </c>
      <c r="M2222">
        <v>7.13</v>
      </c>
      <c r="N2222">
        <v>66.099999999999994</v>
      </c>
      <c r="O2222" t="s">
        <v>19</v>
      </c>
      <c r="P2222" t="s">
        <v>1267</v>
      </c>
      <c r="Q2222" t="s">
        <v>19</v>
      </c>
      <c r="R2222" t="str">
        <f>HYPERLINK("https://cfpub.epa.gov/ecotox/explore.cfm?ncbi=375764","Explore in ECOTOX")</f>
        <v>Explore in ECOTOX</v>
      </c>
    </row>
    <row r="2223" spans="1:18" x14ac:dyDescent="0.45">
      <c r="A2223" t="s">
        <v>1266</v>
      </c>
      <c r="B2223">
        <v>8</v>
      </c>
      <c r="C2223" t="str">
        <f>HYPERLINK("http://www.ncbi.nlm.nih.gov/protein/KAF7669532.1","KAF7669532.1")</f>
        <v>KAF7669532.1</v>
      </c>
      <c r="D2223">
        <v>29676</v>
      </c>
      <c r="E2223" t="str">
        <f>HYPERLINK("http://www.ncbi.nlm.nih.gov/Taxonomy/Browser/wwwtax.cgi?mode=Info&amp;id=670423&amp;lvl=3&amp;lin=f&amp;keep=1&amp;srchmode=1&amp;unlock","670423")</f>
        <v>670423</v>
      </c>
      <c r="F2223" t="s">
        <v>17</v>
      </c>
      <c r="G2223" t="str">
        <f>HYPERLINK("http://www.ncbi.nlm.nih.gov/Taxonomy/Browser/wwwtax.cgi?mode=Info&amp;id=670423&amp;lvl=3&amp;lin=f&amp;keep=1&amp;srchmode=1&amp;unlock","Lucifuga dentata")</f>
        <v>Lucifuga dentata</v>
      </c>
      <c r="H2223" t="s">
        <v>175</v>
      </c>
      <c r="I2223" t="str">
        <f>HYPERLINK("http://www.ncbi.nlm.nih.gov/protein/KAF7669532.1","hypothetical protein LDENG_00182670")</f>
        <v>hypothetical protein LDENG_00182670</v>
      </c>
      <c r="J2223">
        <v>6782.19</v>
      </c>
      <c r="K2223" t="s">
        <v>22</v>
      </c>
      <c r="L2223">
        <v>1210</v>
      </c>
      <c r="M2223">
        <v>7.13</v>
      </c>
      <c r="N2223">
        <v>66.08</v>
      </c>
      <c r="O2223" t="s">
        <v>19</v>
      </c>
      <c r="P2223" t="s">
        <v>1267</v>
      </c>
      <c r="Q2223" t="s">
        <v>19</v>
      </c>
      <c r="R2223" t="str">
        <f>HYPERLINK("https://cfpub.epa.gov/ecotox/explore.cfm?ncbi=670423","Explore in ECOTOX")</f>
        <v>Explore in ECOTOX</v>
      </c>
    </row>
    <row r="2224" spans="1:18" x14ac:dyDescent="0.45">
      <c r="A2224" t="s">
        <v>1266</v>
      </c>
      <c r="B2224">
        <v>8</v>
      </c>
      <c r="C2224" t="str">
        <f>HYPERLINK("http://www.ncbi.nlm.nih.gov/protein/KAF4083867.1","KAF4083867.1")</f>
        <v>KAF4083867.1</v>
      </c>
      <c r="D2224">
        <v>24522</v>
      </c>
      <c r="E2224" t="str">
        <f>HYPERLINK("http://www.ncbi.nlm.nih.gov/Taxonomy/Browser/wwwtax.cgi?mode=Info&amp;id=219545&amp;lvl=3&amp;lin=f&amp;keep=1&amp;srchmode=1&amp;unlock","219545")</f>
        <v>219545</v>
      </c>
      <c r="F2224" t="s">
        <v>17</v>
      </c>
      <c r="G2224" t="str">
        <f>HYPERLINK("http://www.ncbi.nlm.nih.gov/Taxonomy/Browser/wwwtax.cgi?mode=Info&amp;id=219545&amp;lvl=3&amp;lin=f&amp;keep=1&amp;srchmode=1&amp;unlock","Ameiurus melas")</f>
        <v>Ameiurus melas</v>
      </c>
      <c r="H2224" t="s">
        <v>737</v>
      </c>
      <c r="I2224" t="str">
        <f>HYPERLINK("http://www.ncbi.nlm.nih.gov/protein/KAF4083867.1","hypothetical protein AMELA_G00122270")</f>
        <v>hypothetical protein AMELA_G00122270</v>
      </c>
      <c r="J2224">
        <v>6779.11</v>
      </c>
      <c r="K2224" t="s">
        <v>22</v>
      </c>
      <c r="L2224">
        <v>1210</v>
      </c>
      <c r="M2224">
        <v>7.13</v>
      </c>
      <c r="N2224">
        <v>66.05</v>
      </c>
      <c r="O2224" t="s">
        <v>19</v>
      </c>
      <c r="P2224" t="s">
        <v>1267</v>
      </c>
      <c r="Q2224" t="s">
        <v>19</v>
      </c>
      <c r="R2224" t="str">
        <f>HYPERLINK("https://cfpub.epa.gov/ecotox/explore.cfm?ncbi=219545","Explore in ECOTOX")</f>
        <v>Explore in ECOTOX</v>
      </c>
    </row>
    <row r="2225" spans="1:18" x14ac:dyDescent="0.45">
      <c r="A2225" t="s">
        <v>1266</v>
      </c>
      <c r="B2225">
        <v>8</v>
      </c>
      <c r="C2225" t="str">
        <f>HYPERLINK("http://www.ncbi.nlm.nih.gov/protein/XP_040298296.1","XP_040298296.1")</f>
        <v>XP_040298296.1</v>
      </c>
      <c r="D2225">
        <v>38457</v>
      </c>
      <c r="E2225" t="str">
        <f>HYPERLINK("http://www.ncbi.nlm.nih.gov/Taxonomy/Browser/wwwtax.cgi?mode=Info&amp;id=8384&amp;lvl=3&amp;lin=f&amp;keep=1&amp;srchmode=1&amp;unlock","8384")</f>
        <v>8384</v>
      </c>
      <c r="F2225" t="s">
        <v>177</v>
      </c>
      <c r="G2225" t="str">
        <f>HYPERLINK("http://www.ncbi.nlm.nih.gov/Taxonomy/Browser/wwwtax.cgi?mode=Info&amp;id=8384&amp;lvl=3&amp;lin=f&amp;keep=1&amp;srchmode=1&amp;unlock","Bufo bufo")</f>
        <v>Bufo bufo</v>
      </c>
      <c r="H2225" t="s">
        <v>181</v>
      </c>
      <c r="I2225" t="str">
        <f>HYPERLINK("http://www.ncbi.nlm.nih.gov/protein/XP_040298296.1","ryanodine receptor 1 isoform X5")</f>
        <v>ryanodine receptor 1 isoform X5</v>
      </c>
      <c r="J2225">
        <v>6774.49</v>
      </c>
      <c r="K2225" t="s">
        <v>22</v>
      </c>
      <c r="L2225">
        <v>1210</v>
      </c>
      <c r="M2225">
        <v>7.13</v>
      </c>
      <c r="N2225">
        <v>66.010000000000005</v>
      </c>
      <c r="O2225" t="s">
        <v>19</v>
      </c>
      <c r="P2225" t="s">
        <v>1267</v>
      </c>
      <c r="Q2225" t="s">
        <v>19</v>
      </c>
      <c r="R2225" t="str">
        <f>HYPERLINK("https://cfpub.epa.gov/ecotox/explore.cfm?ncbi=8384","Explore in ECOTOX")</f>
        <v>Explore in ECOTOX</v>
      </c>
    </row>
    <row r="2226" spans="1:18" x14ac:dyDescent="0.45">
      <c r="A2226" t="s">
        <v>1266</v>
      </c>
      <c r="B2226">
        <v>8</v>
      </c>
      <c r="C2226" t="str">
        <f>HYPERLINK("http://www.ncbi.nlm.nih.gov/protein/XP_017269853.1","XP_017269853.1")</f>
        <v>XP_017269853.1</v>
      </c>
      <c r="D2226">
        <v>43415</v>
      </c>
      <c r="E2226" t="str">
        <f>HYPERLINK("http://www.ncbi.nlm.nih.gov/Taxonomy/Browser/wwwtax.cgi?mode=Info&amp;id=37003&amp;lvl=3&amp;lin=f&amp;keep=1&amp;srchmode=1&amp;unlock","37003")</f>
        <v>37003</v>
      </c>
      <c r="F2226" t="s">
        <v>17</v>
      </c>
      <c r="G2226" t="str">
        <f>HYPERLINK("http://www.ncbi.nlm.nih.gov/Taxonomy/Browser/wwwtax.cgi?mode=Info&amp;id=37003&amp;lvl=3&amp;lin=f&amp;keep=1&amp;srchmode=1&amp;unlock","Kryptolebias marmoratus")</f>
        <v>Kryptolebias marmoratus</v>
      </c>
      <c r="H2226" t="s">
        <v>141</v>
      </c>
      <c r="I2226" t="str">
        <f>HYPERLINK("http://www.ncbi.nlm.nih.gov/protein/XP_017269853.1","ryanodine receptor 3 isoform X6")</f>
        <v>ryanodine receptor 3 isoform X6</v>
      </c>
      <c r="J2226">
        <v>6773.72</v>
      </c>
      <c r="K2226" t="s">
        <v>22</v>
      </c>
      <c r="L2226">
        <v>1210</v>
      </c>
      <c r="M2226">
        <v>7.13</v>
      </c>
      <c r="N2226">
        <v>66</v>
      </c>
      <c r="O2226" t="s">
        <v>19</v>
      </c>
      <c r="P2226" t="s">
        <v>1267</v>
      </c>
      <c r="Q2226" t="s">
        <v>19</v>
      </c>
      <c r="R2226" t="str">
        <f>HYPERLINK("https://cfpub.epa.gov/ecotox/explore.cfm?ncbi=37003","Explore in ECOTOX")</f>
        <v>Explore in ECOTOX</v>
      </c>
    </row>
    <row r="2227" spans="1:18" x14ac:dyDescent="0.45">
      <c r="A2227" t="s">
        <v>1266</v>
      </c>
      <c r="B2227">
        <v>8</v>
      </c>
      <c r="C2227" t="str">
        <f>HYPERLINK("http://www.ncbi.nlm.nih.gov/protein/XP_028251793.1","XP_028251793.1")</f>
        <v>XP_028251793.1</v>
      </c>
      <c r="D2227">
        <v>41039</v>
      </c>
      <c r="E2227" t="str">
        <f>HYPERLINK("http://www.ncbi.nlm.nih.gov/Taxonomy/Browser/wwwtax.cgi?mode=Info&amp;id=210632&amp;lvl=3&amp;lin=f&amp;keep=1&amp;srchmode=1&amp;unlock","210632")</f>
        <v>210632</v>
      </c>
      <c r="F2227" t="s">
        <v>17</v>
      </c>
      <c r="G2227" t="str">
        <f>HYPERLINK("http://www.ncbi.nlm.nih.gov/Taxonomy/Browser/wwwtax.cgi?mode=Info&amp;id=210632&amp;lvl=3&amp;lin=f&amp;keep=1&amp;srchmode=1&amp;unlock","Parambassis ranga")</f>
        <v>Parambassis ranga</v>
      </c>
      <c r="H2227" t="s">
        <v>50</v>
      </c>
      <c r="I2227" t="str">
        <f>HYPERLINK("http://www.ncbi.nlm.nih.gov/protein/XP_028251793.1","ryanodine receptor 3-like")</f>
        <v>ryanodine receptor 3-like</v>
      </c>
      <c r="J2227">
        <v>6773.72</v>
      </c>
      <c r="K2227" t="s">
        <v>22</v>
      </c>
      <c r="L2227">
        <v>1210</v>
      </c>
      <c r="M2227">
        <v>7.13</v>
      </c>
      <c r="N2227">
        <v>66</v>
      </c>
      <c r="O2227" t="s">
        <v>19</v>
      </c>
      <c r="P2227" t="s">
        <v>1267</v>
      </c>
      <c r="Q2227" t="s">
        <v>19</v>
      </c>
      <c r="R2227" t="str">
        <f>HYPERLINK("https://cfpub.epa.gov/ecotox/explore.cfm?ncbi=210632","Explore in ECOTOX")</f>
        <v>Explore in ECOTOX</v>
      </c>
    </row>
    <row r="2228" spans="1:18" x14ac:dyDescent="0.45">
      <c r="A2228" t="s">
        <v>1266</v>
      </c>
      <c r="B2228">
        <v>8</v>
      </c>
      <c r="C2228" t="str">
        <f>HYPERLINK("http://www.ncbi.nlm.nih.gov/protein/KAB0349146.1","KAB0349146.1")</f>
        <v>KAB0349146.1</v>
      </c>
      <c r="D2228">
        <v>25803</v>
      </c>
      <c r="E2228" t="str">
        <f>HYPERLINK("http://www.ncbi.nlm.nih.gov/Taxonomy/Browser/wwwtax.cgi?mode=Info&amp;id=9888&amp;lvl=3&amp;lin=f&amp;keep=1&amp;srchmode=1&amp;unlock","9888")</f>
        <v>9888</v>
      </c>
      <c r="F2228" t="s">
        <v>96</v>
      </c>
      <c r="G2228" t="str">
        <f>HYPERLINK("http://www.ncbi.nlm.nih.gov/Taxonomy/Browser/wwwtax.cgi?mode=Info&amp;id=9888&amp;lvl=3&amp;lin=f&amp;keep=1&amp;srchmode=1&amp;unlock","Muntiacus muntjak")</f>
        <v>Muntiacus muntjak</v>
      </c>
      <c r="H2228" t="s">
        <v>706</v>
      </c>
      <c r="I2228" t="str">
        <f>HYPERLINK("http://www.ncbi.nlm.nih.gov/protein/KAB0349146.1","hypothetical protein FD754_014003")</f>
        <v>hypothetical protein FD754_014003</v>
      </c>
      <c r="J2228">
        <v>6773.34</v>
      </c>
      <c r="K2228" t="s">
        <v>19</v>
      </c>
      <c r="L2228">
        <v>1210</v>
      </c>
      <c r="M2228">
        <v>7.13</v>
      </c>
      <c r="N2228">
        <v>66</v>
      </c>
      <c r="O2228" t="s">
        <v>19</v>
      </c>
      <c r="P2228" t="s">
        <v>1267</v>
      </c>
      <c r="Q2228" t="s">
        <v>19</v>
      </c>
      <c r="R2228" t="str">
        <f>HYPERLINK("https://cfpub.epa.gov/ecotox/explore.cfm?ncbi=9888","Explore in ECOTOX")</f>
        <v>Explore in ECOTOX</v>
      </c>
    </row>
    <row r="2229" spans="1:18" x14ac:dyDescent="0.45">
      <c r="A2229" t="s">
        <v>1266</v>
      </c>
      <c r="B2229">
        <v>8</v>
      </c>
      <c r="C2229" t="str">
        <f>HYPERLINK("http://www.ncbi.nlm.nih.gov/protein/BAA04646.1","BAA04646.1")</f>
        <v>BAA04646.1</v>
      </c>
      <c r="D2229">
        <v>30283</v>
      </c>
      <c r="E2229" t="str">
        <f>HYPERLINK("http://www.ncbi.nlm.nih.gov/Taxonomy/Browser/wwwtax.cgi?mode=Info&amp;id=8400&amp;lvl=3&amp;lin=f&amp;keep=1&amp;srchmode=1&amp;unlock","8400")</f>
        <v>8400</v>
      </c>
      <c r="F2229" t="s">
        <v>177</v>
      </c>
      <c r="G2229" t="str">
        <f>HYPERLINK("http://www.ncbi.nlm.nih.gov/Taxonomy/Browser/wwwtax.cgi?mode=Info&amp;id=8400&amp;lvl=3&amp;lin=f&amp;keep=1&amp;srchmode=1&amp;unlock","Aquarana catesbeiana")</f>
        <v>Aquarana catesbeiana</v>
      </c>
      <c r="H2229" t="s">
        <v>190</v>
      </c>
      <c r="I2229" t="str">
        <f>HYPERLINK("http://www.ncbi.nlm.nih.gov/protein/BAA04646.1","ryanodine receptor alpha isoform")</f>
        <v>ryanodine receptor alpha isoform</v>
      </c>
      <c r="J2229">
        <v>6772.95</v>
      </c>
      <c r="K2229" t="s">
        <v>22</v>
      </c>
      <c r="L2229">
        <v>1210</v>
      </c>
      <c r="M2229">
        <v>7.13</v>
      </c>
      <c r="N2229">
        <v>65.989999999999995</v>
      </c>
      <c r="O2229" t="s">
        <v>19</v>
      </c>
      <c r="P2229" t="s">
        <v>1267</v>
      </c>
      <c r="Q2229" t="s">
        <v>19</v>
      </c>
      <c r="R2229" t="str">
        <f>HYPERLINK("https://cfpub.epa.gov/ecotox/explore.cfm?ncbi=8400","Explore in ECOTOX")</f>
        <v>Explore in ECOTOX</v>
      </c>
    </row>
    <row r="2230" spans="1:18" x14ac:dyDescent="0.45">
      <c r="A2230" t="s">
        <v>1266</v>
      </c>
      <c r="B2230">
        <v>8</v>
      </c>
      <c r="C2230" t="str">
        <f>HYPERLINK("http://www.ncbi.nlm.nih.gov/protein/XP_060788785.1","XP_060788785.1")</f>
        <v>XP_060788785.1</v>
      </c>
      <c r="D2230">
        <v>46654</v>
      </c>
      <c r="E2230" t="str">
        <f>HYPERLINK("http://www.ncbi.nlm.nih.gov/Taxonomy/Browser/wwwtax.cgi?mode=Info&amp;id=443677&amp;lvl=3&amp;lin=f&amp;keep=1&amp;srchmode=1&amp;unlock","443677")</f>
        <v>443677</v>
      </c>
      <c r="F2230" t="s">
        <v>17</v>
      </c>
      <c r="G2230" t="str">
        <f>HYPERLINK("http://www.ncbi.nlm.nih.gov/Taxonomy/Browser/wwwtax.cgi?mode=Info&amp;id=443677&amp;lvl=3&amp;lin=f&amp;keep=1&amp;srchmode=1&amp;unlock","Neoarius graeffei")</f>
        <v>Neoarius graeffei</v>
      </c>
      <c r="H2230" t="s">
        <v>41</v>
      </c>
      <c r="I2230" t="str">
        <f>HYPERLINK("http://www.ncbi.nlm.nih.gov/protein/XP_060788785.1","ryanodine receptor 3")</f>
        <v>ryanodine receptor 3</v>
      </c>
      <c r="J2230">
        <v>6769.48</v>
      </c>
      <c r="K2230" t="s">
        <v>22</v>
      </c>
      <c r="L2230">
        <v>1210</v>
      </c>
      <c r="M2230">
        <v>7.13</v>
      </c>
      <c r="N2230">
        <v>65.959999999999994</v>
      </c>
      <c r="O2230" t="s">
        <v>19</v>
      </c>
      <c r="P2230" t="s">
        <v>1267</v>
      </c>
      <c r="Q2230" t="s">
        <v>19</v>
      </c>
      <c r="R2230" t="str">
        <f>HYPERLINK("https://cfpub.epa.gov/ecotox/explore.cfm?ncbi=443677","Explore in ECOTOX")</f>
        <v>Explore in ECOTOX</v>
      </c>
    </row>
    <row r="2231" spans="1:18" x14ac:dyDescent="0.45">
      <c r="A2231" t="s">
        <v>1266</v>
      </c>
      <c r="B2231">
        <v>8</v>
      </c>
      <c r="C2231" t="str">
        <f>HYPERLINK("http://www.ncbi.nlm.nih.gov/protein/KAG8448852.1","KAG8448852.1")</f>
        <v>KAG8448852.1</v>
      </c>
      <c r="D2231">
        <v>28057</v>
      </c>
      <c r="E2231" t="str">
        <f>HYPERLINK("http://www.ncbi.nlm.nih.gov/Taxonomy/Browser/wwwtax.cgi?mode=Info&amp;id=247094&amp;lvl=3&amp;lin=f&amp;keep=1&amp;srchmode=1&amp;unlock","247094")</f>
        <v>247094</v>
      </c>
      <c r="F2231" t="s">
        <v>177</v>
      </c>
      <c r="G2231" t="str">
        <f>HYPERLINK("http://www.ncbi.nlm.nih.gov/Taxonomy/Browser/wwwtax.cgi?mode=Info&amp;id=247094&amp;lvl=3&amp;lin=f&amp;keep=1&amp;srchmode=1&amp;unlock","Hymenochirus boettgeri")</f>
        <v>Hymenochirus boettgeri</v>
      </c>
      <c r="H2231" t="s">
        <v>188</v>
      </c>
      <c r="I2231" t="str">
        <f>HYPERLINK("http://www.ncbi.nlm.nih.gov/protein/KAG8448852.1","hypothetical protein GDO86_015793")</f>
        <v>hypothetical protein GDO86_015793</v>
      </c>
      <c r="J2231">
        <v>6766.79</v>
      </c>
      <c r="K2231" t="s">
        <v>22</v>
      </c>
      <c r="L2231">
        <v>1210</v>
      </c>
      <c r="M2231">
        <v>7.13</v>
      </c>
      <c r="N2231">
        <v>65.930000000000007</v>
      </c>
      <c r="O2231" t="s">
        <v>19</v>
      </c>
      <c r="P2231" t="s">
        <v>1267</v>
      </c>
      <c r="Q2231" t="s">
        <v>19</v>
      </c>
      <c r="R2231" t="str">
        <f>HYPERLINK("https://cfpub.epa.gov/ecotox/explore.cfm?ncbi=247094","Explore in ECOTOX")</f>
        <v>Explore in ECOTOX</v>
      </c>
    </row>
    <row r="2232" spans="1:18" x14ac:dyDescent="0.45">
      <c r="A2232" t="s">
        <v>1266</v>
      </c>
      <c r="B2232">
        <v>8</v>
      </c>
      <c r="C2232" t="str">
        <f>HYPERLINK("http://www.ncbi.nlm.nih.gov/protein/XP_013768729.1","XP_013768729.1")</f>
        <v>XP_013768729.1</v>
      </c>
      <c r="D2232">
        <v>38743</v>
      </c>
      <c r="E2232" t="str">
        <f>HYPERLINK("http://www.ncbi.nlm.nih.gov/Taxonomy/Browser/wwwtax.cgi?mode=Info&amp;id=303518&amp;lvl=3&amp;lin=f&amp;keep=1&amp;srchmode=1&amp;unlock","303518")</f>
        <v>303518</v>
      </c>
      <c r="F2232" t="s">
        <v>17</v>
      </c>
      <c r="G2232" t="str">
        <f>HYPERLINK("http://www.ncbi.nlm.nih.gov/Taxonomy/Browser/wwwtax.cgi?mode=Info&amp;id=303518&amp;lvl=3&amp;lin=f&amp;keep=1&amp;srchmode=1&amp;unlock","Pundamilia nyererei")</f>
        <v>Pundamilia nyererei</v>
      </c>
      <c r="H2232" t="s">
        <v>73</v>
      </c>
      <c r="I2232" t="str">
        <f>HYPERLINK("http://www.ncbi.nlm.nih.gov/protein/XP_013768729.1","PREDICTED: LOW QUALITY PROTEIN: ryanodine receptor 3-like")</f>
        <v>PREDICTED: LOW QUALITY PROTEIN: ryanodine receptor 3-like</v>
      </c>
      <c r="J2232">
        <v>6763.71</v>
      </c>
      <c r="K2232" t="s">
        <v>22</v>
      </c>
      <c r="L2232">
        <v>1210</v>
      </c>
      <c r="M2232">
        <v>7.13</v>
      </c>
      <c r="N2232">
        <v>65.900000000000006</v>
      </c>
      <c r="O2232" t="s">
        <v>19</v>
      </c>
      <c r="P2232" t="s">
        <v>1267</v>
      </c>
      <c r="Q2232" t="s">
        <v>19</v>
      </c>
      <c r="R2232" t="str">
        <f>HYPERLINK("https://cfpub.epa.gov/ecotox/explore.cfm?ncbi=303518","Explore in ECOTOX")</f>
        <v>Explore in ECOTOX</v>
      </c>
    </row>
    <row r="2233" spans="1:18" x14ac:dyDescent="0.45">
      <c r="A2233" t="s">
        <v>1266</v>
      </c>
      <c r="B2233">
        <v>8</v>
      </c>
      <c r="C2233" t="str">
        <f>HYPERLINK("http://www.ncbi.nlm.nih.gov/protein/XP_031703588.1","XP_031703588.1")</f>
        <v>XP_031703588.1</v>
      </c>
      <c r="D2233">
        <v>41917</v>
      </c>
      <c r="E2233" t="str">
        <f>HYPERLINK("http://www.ncbi.nlm.nih.gov/Taxonomy/Browser/wwwtax.cgi?mode=Info&amp;id=433405&amp;lvl=3&amp;lin=f&amp;keep=1&amp;srchmode=1&amp;unlock","433405")</f>
        <v>433405</v>
      </c>
      <c r="F2233" t="s">
        <v>17</v>
      </c>
      <c r="G2233" t="str">
        <f>HYPERLINK("http://www.ncbi.nlm.nih.gov/Taxonomy/Browser/wwwtax.cgi?mode=Info&amp;id=433405&amp;lvl=3&amp;lin=f&amp;keep=1&amp;srchmode=1&amp;unlock","Anarrhichthys ocellatus")</f>
        <v>Anarrhichthys ocellatus</v>
      </c>
      <c r="H2233" t="s">
        <v>98</v>
      </c>
      <c r="I2233" t="str">
        <f>HYPERLINK("http://www.ncbi.nlm.nih.gov/protein/XP_031703588.1","ryanodine receptor 3-like isoform X12")</f>
        <v>ryanodine receptor 3-like isoform X12</v>
      </c>
      <c r="J2233">
        <v>6750.22</v>
      </c>
      <c r="K2233" t="s">
        <v>22</v>
      </c>
      <c r="L2233">
        <v>1210</v>
      </c>
      <c r="M2233">
        <v>7.13</v>
      </c>
      <c r="N2233">
        <v>65.77</v>
      </c>
      <c r="O2233" t="s">
        <v>19</v>
      </c>
      <c r="P2233" t="s">
        <v>1267</v>
      </c>
      <c r="Q2233" t="s">
        <v>19</v>
      </c>
      <c r="R2233" t="str">
        <f>HYPERLINK("https://cfpub.epa.gov/ecotox/explore.cfm?ncbi=433405","Explore in ECOTOX")</f>
        <v>Explore in ECOTOX</v>
      </c>
    </row>
    <row r="2234" spans="1:18" x14ac:dyDescent="0.45">
      <c r="A2234" t="s">
        <v>1266</v>
      </c>
      <c r="B2234">
        <v>8</v>
      </c>
      <c r="C2234" t="str">
        <f>HYPERLINK("http://www.ncbi.nlm.nih.gov/protein/NXL34081.1","NXL34081.1")</f>
        <v>NXL34081.1</v>
      </c>
      <c r="D2234">
        <v>14261</v>
      </c>
      <c r="E2234" t="str">
        <f>HYPERLINK("http://www.ncbi.nlm.nih.gov/Taxonomy/Browser/wwwtax.cgi?mode=Info&amp;id=78217&amp;lvl=3&amp;lin=f&amp;keep=1&amp;srchmode=1&amp;unlock","78217")</f>
        <v>78217</v>
      </c>
      <c r="F2234" t="s">
        <v>241</v>
      </c>
      <c r="G2234" t="str">
        <f>HYPERLINK("http://www.ncbi.nlm.nih.gov/Taxonomy/Browser/wwwtax.cgi?mode=Info&amp;id=78217&amp;lvl=3&amp;lin=f&amp;keep=1&amp;srchmode=1&amp;unlock","Glaucidium brasilianum")</f>
        <v>Glaucidium brasilianum</v>
      </c>
      <c r="H2234" t="s">
        <v>707</v>
      </c>
      <c r="I2234" t="str">
        <f>HYPERLINK("http://www.ncbi.nlm.nih.gov/protein/NXL34081.1","RYR2 protein")</f>
        <v>RYR2 protein</v>
      </c>
      <c r="J2234">
        <v>6739.82</v>
      </c>
      <c r="K2234" t="s">
        <v>19</v>
      </c>
      <c r="L2234">
        <v>1210</v>
      </c>
      <c r="M2234">
        <v>7.13</v>
      </c>
      <c r="N2234">
        <v>65.67</v>
      </c>
      <c r="O2234" t="s">
        <v>19</v>
      </c>
      <c r="P2234" t="s">
        <v>1267</v>
      </c>
      <c r="Q2234" t="s">
        <v>19</v>
      </c>
      <c r="R2234" t="str">
        <f>HYPERLINK("https://cfpub.epa.gov/ecotox/explore.cfm?ncbi=78217","Explore in ECOTOX")</f>
        <v>Explore in ECOTOX</v>
      </c>
    </row>
    <row r="2235" spans="1:18" x14ac:dyDescent="0.45">
      <c r="A2235" t="s">
        <v>1266</v>
      </c>
      <c r="B2235">
        <v>8</v>
      </c>
      <c r="C2235" t="str">
        <f>HYPERLINK("http://www.ncbi.nlm.nih.gov/protein/RVE57110.1","RVE57110.1")</f>
        <v>RVE57110.1</v>
      </c>
      <c r="D2235">
        <v>21547</v>
      </c>
      <c r="E2235" t="str">
        <f>HYPERLINK("http://www.ncbi.nlm.nih.gov/Taxonomy/Browser/wwwtax.cgi?mode=Info&amp;id=123683&amp;lvl=3&amp;lin=f&amp;keep=1&amp;srchmode=1&amp;unlock","123683")</f>
        <v>123683</v>
      </c>
      <c r="F2235" t="s">
        <v>17</v>
      </c>
      <c r="G2235" t="str">
        <f>HYPERLINK("http://www.ncbi.nlm.nih.gov/Taxonomy/Browser/wwwtax.cgi?mode=Info&amp;id=123683&amp;lvl=3&amp;lin=f&amp;keep=1&amp;srchmode=1&amp;unlock","Oryzias javanicus")</f>
        <v>Oryzias javanicus</v>
      </c>
      <c r="H2235" t="s">
        <v>610</v>
      </c>
      <c r="I2235" t="str">
        <f>HYPERLINK("http://www.ncbi.nlm.nih.gov/protein/RVE57110.1","hypothetical protein OJAV_G00212980")</f>
        <v>hypothetical protein OJAV_G00212980</v>
      </c>
      <c r="J2235">
        <v>6735.97</v>
      </c>
      <c r="K2235" t="s">
        <v>22</v>
      </c>
      <c r="L2235">
        <v>1210</v>
      </c>
      <c r="M2235">
        <v>7.13</v>
      </c>
      <c r="N2235">
        <v>65.63</v>
      </c>
      <c r="O2235" t="s">
        <v>19</v>
      </c>
      <c r="P2235" t="s">
        <v>1267</v>
      </c>
      <c r="Q2235" t="s">
        <v>19</v>
      </c>
      <c r="R2235" t="str">
        <f>HYPERLINK("https://cfpub.epa.gov/ecotox/explore.cfm?ncbi=123683","Explore in ECOTOX")</f>
        <v>Explore in ECOTOX</v>
      </c>
    </row>
    <row r="2236" spans="1:18" x14ac:dyDescent="0.45">
      <c r="A2236" t="s">
        <v>1266</v>
      </c>
      <c r="B2236">
        <v>8</v>
      </c>
      <c r="C2236" t="str">
        <f>HYPERLINK("http://www.ncbi.nlm.nih.gov/protein/CAI5780825.1","CAI5780825.1")</f>
        <v>CAI5780825.1</v>
      </c>
      <c r="D2236">
        <v>38743</v>
      </c>
      <c r="E2236" t="str">
        <f>HYPERLINK("http://www.ncbi.nlm.nih.gov/Taxonomy/Browser/wwwtax.cgi?mode=Info&amp;id=74358&amp;lvl=3&amp;lin=f&amp;keep=1&amp;srchmode=1&amp;unlock","74358")</f>
        <v>74358</v>
      </c>
      <c r="F2236" t="s">
        <v>192</v>
      </c>
      <c r="G2236" t="str">
        <f>HYPERLINK("http://www.ncbi.nlm.nih.gov/Taxonomy/Browser/wwwtax.cgi?mode=Info&amp;id=74358&amp;lvl=3&amp;lin=f&amp;keep=1&amp;srchmode=1&amp;unlock","Podarcis lilfordi")</f>
        <v>Podarcis lilfordi</v>
      </c>
      <c r="H2236" t="s">
        <v>200</v>
      </c>
      <c r="I2236" t="str">
        <f>HYPERLINK("http://www.ncbi.nlm.nih.gov/protein/CAI5780825.1","ryanodine receptor 1 isoform X6")</f>
        <v>ryanodine receptor 1 isoform X6</v>
      </c>
      <c r="J2236">
        <v>6735.2</v>
      </c>
      <c r="K2236" t="s">
        <v>22</v>
      </c>
      <c r="L2236">
        <v>1210</v>
      </c>
      <c r="M2236">
        <v>7.13</v>
      </c>
      <c r="N2236">
        <v>65.63</v>
      </c>
      <c r="O2236" t="s">
        <v>19</v>
      </c>
      <c r="P2236" t="s">
        <v>1267</v>
      </c>
      <c r="Q2236" t="s">
        <v>19</v>
      </c>
      <c r="R2236" t="str">
        <f>HYPERLINK("https://cfpub.epa.gov/ecotox/explore.cfm?ncbi=74358","Explore in ECOTOX")</f>
        <v>Explore in ECOTOX</v>
      </c>
    </row>
    <row r="2237" spans="1:18" x14ac:dyDescent="0.45">
      <c r="A2237" t="s">
        <v>1266</v>
      </c>
      <c r="B2237">
        <v>8</v>
      </c>
      <c r="C2237" t="str">
        <f>HYPERLINK("http://www.ncbi.nlm.nih.gov/protein/XP_013867545.1","XP_013867545.1")</f>
        <v>XP_013867545.1</v>
      </c>
      <c r="D2237">
        <v>35359</v>
      </c>
      <c r="E2237" t="str">
        <f>HYPERLINK("http://www.ncbi.nlm.nih.gov/Taxonomy/Browser/wwwtax.cgi?mode=Info&amp;id=52670&amp;lvl=3&amp;lin=f&amp;keep=1&amp;srchmode=1&amp;unlock","52670")</f>
        <v>52670</v>
      </c>
      <c r="F2237" t="s">
        <v>17</v>
      </c>
      <c r="G2237" t="str">
        <f>HYPERLINK("http://www.ncbi.nlm.nih.gov/Taxonomy/Browser/wwwtax.cgi?mode=Info&amp;id=52670&amp;lvl=3&amp;lin=f&amp;keep=1&amp;srchmode=1&amp;unlock","Austrofundulus limnaeus")</f>
        <v>Austrofundulus limnaeus</v>
      </c>
      <c r="H2237" t="s">
        <v>166</v>
      </c>
      <c r="I2237" t="str">
        <f>HYPERLINK("http://www.ncbi.nlm.nih.gov/protein/XP_013867545.1","PREDICTED: ryanodine receptor 3-like")</f>
        <v>PREDICTED: ryanodine receptor 3-like</v>
      </c>
      <c r="J2237">
        <v>6724.8</v>
      </c>
      <c r="K2237" t="s">
        <v>22</v>
      </c>
      <c r="L2237">
        <v>1210</v>
      </c>
      <c r="M2237">
        <v>7.13</v>
      </c>
      <c r="N2237">
        <v>65.53</v>
      </c>
      <c r="O2237" t="s">
        <v>19</v>
      </c>
      <c r="P2237" t="s">
        <v>1267</v>
      </c>
      <c r="Q2237" t="s">
        <v>19</v>
      </c>
      <c r="R2237" t="str">
        <f>HYPERLINK("https://cfpub.epa.gov/ecotox/explore.cfm?ncbi=52670","Explore in ECOTOX")</f>
        <v>Explore in ECOTOX</v>
      </c>
    </row>
    <row r="2238" spans="1:18" x14ac:dyDescent="0.45">
      <c r="A2238" t="s">
        <v>1266</v>
      </c>
      <c r="B2238">
        <v>8</v>
      </c>
      <c r="C2238" t="str">
        <f>HYPERLINK("http://www.ncbi.nlm.nih.gov/protein/GCC25854.1","GCC25854.1")</f>
        <v>GCC25854.1</v>
      </c>
      <c r="D2238">
        <v>33658</v>
      </c>
      <c r="E2238" t="str">
        <f>HYPERLINK("http://www.ncbi.nlm.nih.gov/Taxonomy/Browser/wwwtax.cgi?mode=Info&amp;id=137246&amp;lvl=3&amp;lin=f&amp;keep=1&amp;srchmode=1&amp;unlock","137246")</f>
        <v>137246</v>
      </c>
      <c r="F2238" t="s">
        <v>195</v>
      </c>
      <c r="G2238" t="str">
        <f>HYPERLINK("http://www.ncbi.nlm.nih.gov/Taxonomy/Browser/wwwtax.cgi?mode=Info&amp;id=137246&amp;lvl=3&amp;lin=f&amp;keep=1&amp;srchmode=1&amp;unlock","Chiloscyllium punctatum")</f>
        <v>Chiloscyllium punctatum</v>
      </c>
      <c r="H2238" t="s">
        <v>229</v>
      </c>
      <c r="I2238" t="str">
        <f>HYPERLINK("http://www.ncbi.nlm.nih.gov/protein/GCC25854.1","hypothetical protein")</f>
        <v>hypothetical protein</v>
      </c>
      <c r="J2238">
        <v>6709.78</v>
      </c>
      <c r="K2238" t="s">
        <v>22</v>
      </c>
      <c r="L2238">
        <v>1210</v>
      </c>
      <c r="M2238">
        <v>7.13</v>
      </c>
      <c r="N2238">
        <v>65.38</v>
      </c>
      <c r="O2238" t="s">
        <v>19</v>
      </c>
      <c r="P2238" t="s">
        <v>1267</v>
      </c>
      <c r="Q2238" t="s">
        <v>19</v>
      </c>
      <c r="R2238" t="str">
        <f>HYPERLINK("https://cfpub.epa.gov/ecotox/explore.cfm?ncbi=137246","Explore in ECOTOX")</f>
        <v>Explore in ECOTOX</v>
      </c>
    </row>
    <row r="2239" spans="1:18" x14ac:dyDescent="0.45">
      <c r="A2239" t="s">
        <v>1266</v>
      </c>
      <c r="B2239">
        <v>8</v>
      </c>
      <c r="C2239" t="str">
        <f>HYPERLINK("http://www.ncbi.nlm.nih.gov/protein/KAJ7303922.1","KAJ7303922.1")</f>
        <v>KAJ7303922.1</v>
      </c>
      <c r="D2239">
        <v>20655</v>
      </c>
      <c r="E2239" t="str">
        <f>HYPERLINK("http://www.ncbi.nlm.nih.gov/Taxonomy/Browser/wwwtax.cgi?mode=Info&amp;id=171643&amp;lvl=3&amp;lin=f&amp;keep=1&amp;srchmode=1&amp;unlock","171643")</f>
        <v>171643</v>
      </c>
      <c r="F2239" t="s">
        <v>192</v>
      </c>
      <c r="G2239" t="str">
        <f>HYPERLINK("http://www.ncbi.nlm.nih.gov/Taxonomy/Browser/wwwtax.cgi?mode=Info&amp;id=171643&amp;lvl=3&amp;lin=f&amp;keep=1&amp;srchmode=1&amp;unlock","Phrynocephalus forsythii")</f>
        <v>Phrynocephalus forsythii</v>
      </c>
      <c r="H2239" t="s">
        <v>213</v>
      </c>
      <c r="I2239" t="str">
        <f>HYPERLINK("http://www.ncbi.nlm.nih.gov/protein/KAJ7303922.1","hypothetical protein JRQ81_011434")</f>
        <v>hypothetical protein JRQ81_011434</v>
      </c>
      <c r="J2239">
        <v>6704.38</v>
      </c>
      <c r="K2239" t="s">
        <v>22</v>
      </c>
      <c r="L2239">
        <v>1210</v>
      </c>
      <c r="M2239">
        <v>7.13</v>
      </c>
      <c r="N2239">
        <v>65.33</v>
      </c>
      <c r="O2239" t="s">
        <v>19</v>
      </c>
      <c r="P2239" t="s">
        <v>1267</v>
      </c>
      <c r="Q2239" t="s">
        <v>19</v>
      </c>
      <c r="R2239" t="str">
        <f>HYPERLINK("https://cfpub.epa.gov/ecotox/explore.cfm?ncbi=171643","Explore in ECOTOX")</f>
        <v>Explore in ECOTOX</v>
      </c>
    </row>
    <row r="2240" spans="1:18" x14ac:dyDescent="0.45">
      <c r="A2240" t="s">
        <v>1266</v>
      </c>
      <c r="B2240">
        <v>8</v>
      </c>
      <c r="C2240" t="str">
        <f>HYPERLINK("http://www.ncbi.nlm.nih.gov/protein/XP_016329558.1","XP_016329558.1")</f>
        <v>XP_016329558.1</v>
      </c>
      <c r="D2240">
        <v>68489</v>
      </c>
      <c r="E2240" t="str">
        <f>HYPERLINK("http://www.ncbi.nlm.nih.gov/Taxonomy/Browser/wwwtax.cgi?mode=Info&amp;id=1608454&amp;lvl=3&amp;lin=f&amp;keep=1&amp;srchmode=1&amp;unlock","1608454")</f>
        <v>1608454</v>
      </c>
      <c r="F2240" t="s">
        <v>17</v>
      </c>
      <c r="G2240" t="str">
        <f>HYPERLINK("http://www.ncbi.nlm.nih.gov/Taxonomy/Browser/wwwtax.cgi?mode=Info&amp;id=1608454&amp;lvl=3&amp;lin=f&amp;keep=1&amp;srchmode=1&amp;unlock","Sinocyclocheilus anshuiensis")</f>
        <v>Sinocyclocheilus anshuiensis</v>
      </c>
      <c r="H2240" t="s">
        <v>21</v>
      </c>
      <c r="I2240" t="str">
        <f>HYPERLINK("http://www.ncbi.nlm.nih.gov/protein/XP_016329558.1","PREDICTED: ryanodine receptor 3-like")</f>
        <v>PREDICTED: ryanodine receptor 3-like</v>
      </c>
      <c r="J2240">
        <v>6700.15</v>
      </c>
      <c r="K2240" t="s">
        <v>22</v>
      </c>
      <c r="L2240">
        <v>1210</v>
      </c>
      <c r="M2240">
        <v>7.13</v>
      </c>
      <c r="N2240">
        <v>65.290000000000006</v>
      </c>
      <c r="O2240" t="s">
        <v>19</v>
      </c>
      <c r="P2240" t="s">
        <v>1267</v>
      </c>
      <c r="Q2240" t="s">
        <v>19</v>
      </c>
      <c r="R2240" t="str">
        <f>HYPERLINK("https://cfpub.epa.gov/ecotox/explore.cfm?ncbi=1608454","Explore in ECOTOX")</f>
        <v>Explore in ECOTOX</v>
      </c>
    </row>
    <row r="2241" spans="1:18" x14ac:dyDescent="0.45">
      <c r="A2241" t="s">
        <v>1266</v>
      </c>
      <c r="B2241">
        <v>8</v>
      </c>
      <c r="C2241" t="str">
        <f>HYPERLINK("http://www.ncbi.nlm.nih.gov/protein/XP_054469239.1","XP_054469239.1")</f>
        <v>XP_054469239.1</v>
      </c>
      <c r="D2241">
        <v>33066</v>
      </c>
      <c r="E2241" t="str">
        <f>HYPERLINK("http://www.ncbi.nlm.nih.gov/Taxonomy/Browser/wwwtax.cgi?mode=Info&amp;id=229290&amp;lvl=3&amp;lin=f&amp;keep=1&amp;srchmode=1&amp;unlock","229290")</f>
        <v>229290</v>
      </c>
      <c r="F2241" t="s">
        <v>17</v>
      </c>
      <c r="G2241" t="str">
        <f>HYPERLINK("http://www.ncbi.nlm.nih.gov/Taxonomy/Browser/wwwtax.cgi?mode=Info&amp;id=229290&amp;lvl=3&amp;lin=f&amp;keep=1&amp;srchmode=1&amp;unlock","Anoplopoma fimbria")</f>
        <v>Anoplopoma fimbria</v>
      </c>
      <c r="H2241" t="s">
        <v>63</v>
      </c>
      <c r="I2241" t="str">
        <f>HYPERLINK("http://www.ncbi.nlm.nih.gov/protein/XP_054469239.1","LOW QUALITY PROTEIN: ryanodine receptor 3-like")</f>
        <v>LOW QUALITY PROTEIN: ryanodine receptor 3-like</v>
      </c>
      <c r="J2241">
        <v>6698.22</v>
      </c>
      <c r="K2241" t="s">
        <v>22</v>
      </c>
      <c r="L2241">
        <v>1210</v>
      </c>
      <c r="M2241">
        <v>7.13</v>
      </c>
      <c r="N2241">
        <v>65.27</v>
      </c>
      <c r="O2241" t="s">
        <v>19</v>
      </c>
      <c r="P2241" t="s">
        <v>1267</v>
      </c>
      <c r="Q2241" t="s">
        <v>19</v>
      </c>
      <c r="R2241" t="str">
        <f>HYPERLINK("https://cfpub.epa.gov/ecotox/explore.cfm?ncbi=229290","Explore in ECOTOX")</f>
        <v>Explore in ECOTOX</v>
      </c>
    </row>
    <row r="2242" spans="1:18" x14ac:dyDescent="0.45">
      <c r="A2242" t="s">
        <v>1266</v>
      </c>
      <c r="B2242">
        <v>8</v>
      </c>
      <c r="C2242" t="str">
        <f>HYPERLINK("http://www.ncbi.nlm.nih.gov/protein/ROI83799.1","ROI83799.1")</f>
        <v>ROI83799.1</v>
      </c>
      <c r="D2242">
        <v>23913</v>
      </c>
      <c r="E2242" t="str">
        <f>HYPERLINK("http://www.ncbi.nlm.nih.gov/Taxonomy/Browser/wwwtax.cgi?mode=Info&amp;id=495550&amp;lvl=3&amp;lin=f&amp;keep=1&amp;srchmode=1&amp;unlock","495550")</f>
        <v>495550</v>
      </c>
      <c r="F2242" t="s">
        <v>17</v>
      </c>
      <c r="G2242" t="str">
        <f>HYPERLINK("http://www.ncbi.nlm.nih.gov/Taxonomy/Browser/wwwtax.cgi?mode=Info&amp;id=495550&amp;lvl=3&amp;lin=f&amp;keep=1&amp;srchmode=1&amp;unlock","Anabarilius grahami")</f>
        <v>Anabarilius grahami</v>
      </c>
      <c r="H2242" t="s">
        <v>21</v>
      </c>
      <c r="I2242" t="str">
        <f>HYPERLINK("http://www.ncbi.nlm.nih.gov/protein/ROI83799.1","Ryanodine receptor 2")</f>
        <v>Ryanodine receptor 2</v>
      </c>
      <c r="J2242">
        <v>6691.67</v>
      </c>
      <c r="K2242" t="s">
        <v>22</v>
      </c>
      <c r="L2242">
        <v>1210</v>
      </c>
      <c r="M2242">
        <v>7.13</v>
      </c>
      <c r="N2242">
        <v>65.2</v>
      </c>
      <c r="O2242" t="s">
        <v>19</v>
      </c>
      <c r="P2242" t="s">
        <v>1267</v>
      </c>
      <c r="Q2242" t="s">
        <v>19</v>
      </c>
      <c r="R2242" t="str">
        <f>HYPERLINK("https://cfpub.epa.gov/ecotox/explore.cfm?ncbi=495550","Explore in ECOTOX")</f>
        <v>Explore in ECOTOX</v>
      </c>
    </row>
    <row r="2243" spans="1:18" x14ac:dyDescent="0.45">
      <c r="A2243" t="s">
        <v>1266</v>
      </c>
      <c r="B2243">
        <v>8</v>
      </c>
      <c r="C2243" t="str">
        <f>HYPERLINK("http://www.ncbi.nlm.nih.gov/protein/XP_037543942.1","XP_037543942.1")</f>
        <v>XP_037543942.1</v>
      </c>
      <c r="D2243">
        <v>24154</v>
      </c>
      <c r="E2243" t="str">
        <f>HYPERLINK("http://www.ncbi.nlm.nih.gov/Taxonomy/Browser/wwwtax.cgi?mode=Info&amp;id=451745&amp;lvl=3&amp;lin=f&amp;keep=1&amp;srchmode=1&amp;unlock","451745")</f>
        <v>451745</v>
      </c>
      <c r="F2243" t="s">
        <v>17</v>
      </c>
      <c r="G2243" t="str">
        <f>HYPERLINK("http://www.ncbi.nlm.nih.gov/Taxonomy/Browser/wwwtax.cgi?mode=Info&amp;id=451745&amp;lvl=3&amp;lin=f&amp;keep=1&amp;srchmode=1&amp;unlock","Nematolebias whitei")</f>
        <v>Nematolebias whitei</v>
      </c>
      <c r="H2243" t="s">
        <v>136</v>
      </c>
      <c r="I2243" t="str">
        <f>HYPERLINK("http://www.ncbi.nlm.nih.gov/protein/XP_037543942.1","ryanodine receptor 1")</f>
        <v>ryanodine receptor 1</v>
      </c>
      <c r="J2243">
        <v>6674.72</v>
      </c>
      <c r="K2243" t="s">
        <v>22</v>
      </c>
      <c r="L2243">
        <v>1210</v>
      </c>
      <c r="M2243">
        <v>7.13</v>
      </c>
      <c r="N2243">
        <v>65.040000000000006</v>
      </c>
      <c r="O2243" t="s">
        <v>19</v>
      </c>
      <c r="P2243" t="s">
        <v>1267</v>
      </c>
      <c r="Q2243" t="s">
        <v>19</v>
      </c>
      <c r="R2243" t="str">
        <f>HYPERLINK("https://cfpub.epa.gov/ecotox/explore.cfm?ncbi=451745","Explore in ECOTOX")</f>
        <v>Explore in ECOTOX</v>
      </c>
    </row>
    <row r="2244" spans="1:18" x14ac:dyDescent="0.45">
      <c r="A2244" t="s">
        <v>1266</v>
      </c>
      <c r="B2244">
        <v>8</v>
      </c>
      <c r="C2244" t="str">
        <f>HYPERLINK("http://www.ncbi.nlm.nih.gov/protein/XP_029132484.1","XP_029132484.1")</f>
        <v>XP_029132484.1</v>
      </c>
      <c r="D2244">
        <v>36766</v>
      </c>
      <c r="E2244" t="str">
        <f>HYPERLINK("http://www.ncbi.nlm.nih.gov/Taxonomy/Browser/wwwtax.cgi?mode=Info&amp;id=56723&amp;lvl=3&amp;lin=f&amp;keep=1&amp;srchmode=1&amp;unlock","56723")</f>
        <v>56723</v>
      </c>
      <c r="F2244" t="s">
        <v>17</v>
      </c>
      <c r="G2244" t="str">
        <f>HYPERLINK("http://www.ncbi.nlm.nih.gov/Taxonomy/Browser/wwwtax.cgi?mode=Info&amp;id=56723&amp;lvl=3&amp;lin=f&amp;keep=1&amp;srchmode=1&amp;unlock","Labrus bergylta")</f>
        <v>Labrus bergylta</v>
      </c>
      <c r="H2244" t="s">
        <v>103</v>
      </c>
      <c r="I2244" t="str">
        <f>HYPERLINK("http://www.ncbi.nlm.nih.gov/protein/XP_029132484.1","LOW QUALITY PROTEIN: ryanodine receptor 3-like")</f>
        <v>LOW QUALITY PROTEIN: ryanodine receptor 3-like</v>
      </c>
      <c r="J2244">
        <v>6636.2</v>
      </c>
      <c r="K2244" t="s">
        <v>22</v>
      </c>
      <c r="L2244">
        <v>1210</v>
      </c>
      <c r="M2244">
        <v>7.13</v>
      </c>
      <c r="N2244">
        <v>64.66</v>
      </c>
      <c r="O2244" t="s">
        <v>19</v>
      </c>
      <c r="P2244" t="s">
        <v>1267</v>
      </c>
      <c r="Q2244" t="s">
        <v>19</v>
      </c>
      <c r="R2244" t="str">
        <f>HYPERLINK("https://cfpub.epa.gov/ecotox/explore.cfm?ncbi=56723","Explore in ECOTOX")</f>
        <v>Explore in ECOTOX</v>
      </c>
    </row>
    <row r="2245" spans="1:18" x14ac:dyDescent="0.45">
      <c r="A2245" t="s">
        <v>1266</v>
      </c>
      <c r="B2245">
        <v>8</v>
      </c>
      <c r="C2245" t="str">
        <f>HYPERLINK("http://www.ncbi.nlm.nih.gov/protein/KAK3560028.1","KAK3560028.1")</f>
        <v>KAK3560028.1</v>
      </c>
      <c r="D2245">
        <v>70122</v>
      </c>
      <c r="E2245" t="str">
        <f>HYPERLINK("http://www.ncbi.nlm.nih.gov/Taxonomy/Browser/wwwtax.cgi?mode=Info&amp;id=175788&amp;lvl=3&amp;lin=f&amp;keep=1&amp;srchmode=1&amp;unlock","175788")</f>
        <v>175788</v>
      </c>
      <c r="F2245" t="s">
        <v>17</v>
      </c>
      <c r="G2245" t="str">
        <f>HYPERLINK("http://www.ncbi.nlm.nih.gov/Taxonomy/Browser/wwwtax.cgi?mode=Info&amp;id=175788&amp;lvl=3&amp;lin=f&amp;keep=1&amp;srchmode=1&amp;unlock","Hemibagrus guttatus")</f>
        <v>Hemibagrus guttatus</v>
      </c>
      <c r="H2245" t="s">
        <v>45</v>
      </c>
      <c r="I2245" t="str">
        <f>HYPERLINK("http://www.ncbi.nlm.nih.gov/protein/KAK3560028.1","hypothetical protein QTP86_033829, partial")</f>
        <v>hypothetical protein QTP86_033829, partial</v>
      </c>
      <c r="J2245">
        <v>6595.37</v>
      </c>
      <c r="K2245" t="s">
        <v>19</v>
      </c>
      <c r="L2245">
        <v>1210</v>
      </c>
      <c r="M2245">
        <v>7.13</v>
      </c>
      <c r="N2245">
        <v>64.260000000000005</v>
      </c>
      <c r="O2245" t="s">
        <v>19</v>
      </c>
      <c r="P2245" t="s">
        <v>1267</v>
      </c>
      <c r="Q2245" t="s">
        <v>19</v>
      </c>
      <c r="R2245" t="str">
        <f>HYPERLINK("https://cfpub.epa.gov/ecotox/explore.cfm?ncbi=175788","Explore in ECOTOX")</f>
        <v>Explore in ECOTOX</v>
      </c>
    </row>
    <row r="2246" spans="1:18" x14ac:dyDescent="0.45">
      <c r="A2246" t="s">
        <v>1266</v>
      </c>
      <c r="B2246">
        <v>8</v>
      </c>
      <c r="C2246" t="str">
        <f>HYPERLINK("http://www.ncbi.nlm.nih.gov/protein/KAF5909086.1","KAF5909086.1")</f>
        <v>KAF5909086.1</v>
      </c>
      <c r="D2246">
        <v>23900</v>
      </c>
      <c r="E2246" t="str">
        <f>HYPERLINK("http://www.ncbi.nlm.nih.gov/Taxonomy/Browser/wwwtax.cgi?mode=Info&amp;id=1594786&amp;lvl=3&amp;lin=f&amp;keep=1&amp;srchmode=1&amp;unlock","1594786")</f>
        <v>1594786</v>
      </c>
      <c r="F2246" t="s">
        <v>17</v>
      </c>
      <c r="G2246" t="str">
        <f>HYPERLINK("http://www.ncbi.nlm.nih.gov/Taxonomy/Browser/wwwtax.cgi?mode=Info&amp;id=1594786&amp;lvl=3&amp;lin=f&amp;keep=1&amp;srchmode=1&amp;unlock","Clarias magur")</f>
        <v>Clarias magur</v>
      </c>
      <c r="H2246" t="s">
        <v>59</v>
      </c>
      <c r="I2246" t="str">
        <f>HYPERLINK("http://www.ncbi.nlm.nih.gov/protein/KAF5909086.1","ryanodine receptor 2 isoform X4, partial")</f>
        <v>ryanodine receptor 2 isoform X4, partial</v>
      </c>
      <c r="J2246">
        <v>6584.59</v>
      </c>
      <c r="K2246" t="s">
        <v>19</v>
      </c>
      <c r="L2246">
        <v>1210</v>
      </c>
      <c r="M2246">
        <v>7.13</v>
      </c>
      <c r="N2246">
        <v>64.16</v>
      </c>
      <c r="O2246" t="s">
        <v>19</v>
      </c>
      <c r="P2246" t="s">
        <v>1267</v>
      </c>
      <c r="Q2246" t="s">
        <v>19</v>
      </c>
      <c r="R2246" t="str">
        <f>HYPERLINK("https://cfpub.epa.gov/ecotox/explore.cfm?ncbi=1594786","Explore in ECOTOX")</f>
        <v>Explore in ECOTOX</v>
      </c>
    </row>
    <row r="2247" spans="1:18" x14ac:dyDescent="0.45">
      <c r="A2247" t="s">
        <v>1266</v>
      </c>
      <c r="B2247">
        <v>8</v>
      </c>
      <c r="C2247" t="str">
        <f>HYPERLINK("http://www.ncbi.nlm.nih.gov/protein/XP_039234993.1","XP_039234993.1")</f>
        <v>XP_039234993.1</v>
      </c>
      <c r="D2247">
        <v>35877</v>
      </c>
      <c r="E2247" t="str">
        <f>HYPERLINK("http://www.ncbi.nlm.nih.gov/Taxonomy/Browser/wwwtax.cgi?mode=Info&amp;id=649802&amp;lvl=3&amp;lin=f&amp;keep=1&amp;srchmode=1&amp;unlock","649802")</f>
        <v>649802</v>
      </c>
      <c r="F2247" t="s">
        <v>241</v>
      </c>
      <c r="G2247" t="str">
        <f>HYPERLINK("http://www.ncbi.nlm.nih.gov/Taxonomy/Browser/wwwtax.cgi?mode=Info&amp;id=649802&amp;lvl=3&amp;lin=f&amp;keep=1&amp;srchmode=1&amp;unlock","Pipra filicauda")</f>
        <v>Pipra filicauda</v>
      </c>
      <c r="H2247" t="s">
        <v>711</v>
      </c>
      <c r="I2247" t="str">
        <f>HYPERLINK("http://www.ncbi.nlm.nih.gov/protein/XP_039234993.1","ryanodine receptor 2")</f>
        <v>ryanodine receptor 2</v>
      </c>
      <c r="J2247">
        <v>6570.72</v>
      </c>
      <c r="K2247" t="s">
        <v>19</v>
      </c>
      <c r="L2247">
        <v>1210</v>
      </c>
      <c r="M2247">
        <v>7.13</v>
      </c>
      <c r="N2247">
        <v>64.02</v>
      </c>
      <c r="O2247" t="s">
        <v>19</v>
      </c>
      <c r="P2247" t="s">
        <v>1267</v>
      </c>
      <c r="Q2247" t="s">
        <v>19</v>
      </c>
      <c r="R2247" t="str">
        <f>HYPERLINK("https://cfpub.epa.gov/ecotox/explore.cfm?ncbi=649802","Explore in ECOTOX")</f>
        <v>Explore in ECOTOX</v>
      </c>
    </row>
    <row r="2248" spans="1:18" x14ac:dyDescent="0.45">
      <c r="A2248" t="s">
        <v>1266</v>
      </c>
      <c r="B2248">
        <v>8</v>
      </c>
      <c r="C2248" t="str">
        <f>HYPERLINK("http://www.ncbi.nlm.nih.gov/protein/KAJ8399093.1","KAJ8399093.1")</f>
        <v>KAJ8399093.1</v>
      </c>
      <c r="D2248">
        <v>44185</v>
      </c>
      <c r="E2248" t="str">
        <f>HYPERLINK("http://www.ncbi.nlm.nih.gov/Taxonomy/Browser/wwwtax.cgi?mode=Info&amp;id=143900&amp;lvl=3&amp;lin=f&amp;keep=1&amp;srchmode=1&amp;unlock","143900")</f>
        <v>143900</v>
      </c>
      <c r="F2248" t="s">
        <v>17</v>
      </c>
      <c r="G2248" t="str">
        <f>HYPERLINK("http://www.ncbi.nlm.nih.gov/Taxonomy/Browser/wwwtax.cgi?mode=Info&amp;id=143900&amp;lvl=3&amp;lin=f&amp;keep=1&amp;srchmode=1&amp;unlock","Aldrovandia affinis")</f>
        <v>Aldrovandia affinis</v>
      </c>
      <c r="H2248" t="s">
        <v>170</v>
      </c>
      <c r="I2248" t="str">
        <f>HYPERLINK("http://www.ncbi.nlm.nih.gov/protein/KAJ8399093.1","hypothetical protein AAFF_G00414720")</f>
        <v>hypothetical protein AAFF_G00414720</v>
      </c>
      <c r="J2248">
        <v>6555.31</v>
      </c>
      <c r="K2248" t="s">
        <v>22</v>
      </c>
      <c r="L2248">
        <v>1210</v>
      </c>
      <c r="M2248">
        <v>7.13</v>
      </c>
      <c r="N2248">
        <v>63.87</v>
      </c>
      <c r="O2248" t="s">
        <v>19</v>
      </c>
      <c r="P2248" t="s">
        <v>1267</v>
      </c>
      <c r="Q2248" t="s">
        <v>19</v>
      </c>
      <c r="R2248" t="str">
        <f>HYPERLINK("https://cfpub.epa.gov/ecotox/explore.cfm?ncbi=143900","Explore in ECOTOX")</f>
        <v>Explore in ECOTOX</v>
      </c>
    </row>
    <row r="2249" spans="1:18" x14ac:dyDescent="0.45">
      <c r="A2249" t="s">
        <v>1266</v>
      </c>
      <c r="B2249">
        <v>8</v>
      </c>
      <c r="C2249" t="str">
        <f>HYPERLINK("http://www.ncbi.nlm.nih.gov/protein/KAI4813945.1","KAI4813945.1")</f>
        <v>KAI4813945.1</v>
      </c>
      <c r="D2249">
        <v>39982</v>
      </c>
      <c r="E2249" t="str">
        <f>HYPERLINK("http://www.ncbi.nlm.nih.gov/Taxonomy/Browser/wwwtax.cgi?mode=Info&amp;id=36190&amp;lvl=3&amp;lin=f&amp;keep=1&amp;srchmode=1&amp;unlock","36190")</f>
        <v>36190</v>
      </c>
      <c r="F2249" t="s">
        <v>17</v>
      </c>
      <c r="G2249" t="str">
        <f>HYPERLINK("http://www.ncbi.nlm.nih.gov/Taxonomy/Browser/wwwtax.cgi?mode=Info&amp;id=36190&amp;lvl=3&amp;lin=f&amp;keep=1&amp;srchmode=1&amp;unlock","Chaenocephalus aceratus")</f>
        <v>Chaenocephalus aceratus</v>
      </c>
      <c r="H2249" t="s">
        <v>174</v>
      </c>
      <c r="I2249" t="str">
        <f>HYPERLINK("http://www.ncbi.nlm.nih.gov/protein/KAI4813945.1","hypothetical protein KUCAC02_003163, partial")</f>
        <v>hypothetical protein KUCAC02_003163, partial</v>
      </c>
      <c r="J2249">
        <v>6532.2</v>
      </c>
      <c r="K2249" t="s">
        <v>22</v>
      </c>
      <c r="L2249">
        <v>1210</v>
      </c>
      <c r="M2249">
        <v>7.13</v>
      </c>
      <c r="N2249">
        <v>63.65</v>
      </c>
      <c r="O2249" t="s">
        <v>19</v>
      </c>
      <c r="P2249" t="s">
        <v>1267</v>
      </c>
      <c r="Q2249" t="s">
        <v>19</v>
      </c>
      <c r="R2249" t="str">
        <f>HYPERLINK("https://cfpub.epa.gov/ecotox/explore.cfm?ncbi=36190","Explore in ECOTOX")</f>
        <v>Explore in ECOTOX</v>
      </c>
    </row>
    <row r="2250" spans="1:18" x14ac:dyDescent="0.45">
      <c r="A2250" t="s">
        <v>1266</v>
      </c>
      <c r="B2250">
        <v>8</v>
      </c>
      <c r="C2250" t="str">
        <f>HYPERLINK("http://www.ncbi.nlm.nih.gov/protein/XP_036381526.1","XP_036381526.1")</f>
        <v>XP_036381526.1</v>
      </c>
      <c r="D2250">
        <v>40219</v>
      </c>
      <c r="E2250" t="str">
        <f>HYPERLINK("http://www.ncbi.nlm.nih.gov/Taxonomy/Browser/wwwtax.cgi?mode=Info&amp;id=118141&amp;lvl=3&amp;lin=f&amp;keep=1&amp;srchmode=1&amp;unlock","118141")</f>
        <v>118141</v>
      </c>
      <c r="F2250" t="s">
        <v>17</v>
      </c>
      <c r="G2250" t="str">
        <f>HYPERLINK("http://www.ncbi.nlm.nih.gov/Taxonomy/Browser/wwwtax.cgi?mode=Info&amp;id=118141&amp;lvl=3&amp;lin=f&amp;keep=1&amp;srchmode=1&amp;unlock","Megalops cyprinoides")</f>
        <v>Megalops cyprinoides</v>
      </c>
      <c r="H2250" t="s">
        <v>724</v>
      </c>
      <c r="I2250" t="str">
        <f>HYPERLINK("http://www.ncbi.nlm.nih.gov/protein/XP_036381526.1","ryanodine receptor 2")</f>
        <v>ryanodine receptor 2</v>
      </c>
      <c r="J2250">
        <v>6519.87</v>
      </c>
      <c r="K2250" t="s">
        <v>19</v>
      </c>
      <c r="L2250">
        <v>1210</v>
      </c>
      <c r="M2250">
        <v>7.13</v>
      </c>
      <c r="N2250">
        <v>63.53</v>
      </c>
      <c r="O2250" t="s">
        <v>19</v>
      </c>
      <c r="P2250" t="s">
        <v>1267</v>
      </c>
      <c r="Q2250" t="s">
        <v>19</v>
      </c>
      <c r="R2250" t="str">
        <f>HYPERLINK("https://cfpub.epa.gov/ecotox/explore.cfm?ncbi=118141","Explore in ECOTOX")</f>
        <v>Explore in ECOTOX</v>
      </c>
    </row>
    <row r="2251" spans="1:18" x14ac:dyDescent="0.45">
      <c r="A2251" t="s">
        <v>1266</v>
      </c>
      <c r="B2251">
        <v>8</v>
      </c>
      <c r="C2251" t="str">
        <f>HYPERLINK("http://www.ncbi.nlm.nih.gov/protein/KAI3367816.1","KAI3367816.1")</f>
        <v>KAI3367816.1</v>
      </c>
      <c r="D2251">
        <v>26944</v>
      </c>
      <c r="E2251" t="str">
        <f>HYPERLINK("http://www.ncbi.nlm.nih.gov/Taxonomy/Browser/wwwtax.cgi?mode=Info&amp;id=214431&amp;lvl=3&amp;lin=f&amp;keep=1&amp;srchmode=1&amp;unlock","214431")</f>
        <v>214431</v>
      </c>
      <c r="F2251" t="s">
        <v>17</v>
      </c>
      <c r="G2251" t="str">
        <f>HYPERLINK("http://www.ncbi.nlm.nih.gov/Taxonomy/Browser/wwwtax.cgi?mode=Info&amp;id=214431&amp;lvl=3&amp;lin=f&amp;keep=1&amp;srchmode=1&amp;unlock","Scortum barcoo")</f>
        <v>Scortum barcoo</v>
      </c>
      <c r="H2251" t="s">
        <v>173</v>
      </c>
      <c r="I2251" t="str">
        <f>HYPERLINK("http://www.ncbi.nlm.nih.gov/protein/KAI3367816.1","hypothetical protein L3Q82_026647")</f>
        <v>hypothetical protein L3Q82_026647</v>
      </c>
      <c r="J2251">
        <v>6500.23</v>
      </c>
      <c r="K2251" t="s">
        <v>22</v>
      </c>
      <c r="L2251">
        <v>1210</v>
      </c>
      <c r="M2251">
        <v>7.13</v>
      </c>
      <c r="N2251">
        <v>63.34</v>
      </c>
      <c r="O2251" t="s">
        <v>19</v>
      </c>
      <c r="P2251" t="s">
        <v>1267</v>
      </c>
      <c r="Q2251" t="s">
        <v>19</v>
      </c>
      <c r="R2251" t="str">
        <f>HYPERLINK("https://cfpub.epa.gov/ecotox/explore.cfm?ncbi=214431","Explore in ECOTOX")</f>
        <v>Explore in ECOTOX</v>
      </c>
    </row>
    <row r="2252" spans="1:18" x14ac:dyDescent="0.45">
      <c r="A2252" t="s">
        <v>1266</v>
      </c>
      <c r="B2252">
        <v>8</v>
      </c>
      <c r="C2252" t="str">
        <f>HYPERLINK("http://www.ncbi.nlm.nih.gov/protein/KAJ8341461.1","KAJ8341461.1")</f>
        <v>KAJ8341461.1</v>
      </c>
      <c r="D2252">
        <v>42989</v>
      </c>
      <c r="E2252" t="str">
        <f>HYPERLINK("http://www.ncbi.nlm.nih.gov/Taxonomy/Browser/wwwtax.cgi?mode=Info&amp;id=118154&amp;lvl=3&amp;lin=f&amp;keep=1&amp;srchmode=1&amp;unlock","118154")</f>
        <v>118154</v>
      </c>
      <c r="F2252" t="s">
        <v>17</v>
      </c>
      <c r="G2252" t="str">
        <f>HYPERLINK("http://www.ncbi.nlm.nih.gov/Taxonomy/Browser/wwwtax.cgi?mode=Info&amp;id=118154&amp;lvl=3&amp;lin=f&amp;keep=1&amp;srchmode=1&amp;unlock","Synaphobranchus kaupii")</f>
        <v>Synaphobranchus kaupii</v>
      </c>
      <c r="H2252" t="s">
        <v>710</v>
      </c>
      <c r="I2252" t="str">
        <f>HYPERLINK("http://www.ncbi.nlm.nih.gov/protein/KAJ8341461.1","hypothetical protein SKAU_G00337520")</f>
        <v>hypothetical protein SKAU_G00337520</v>
      </c>
      <c r="J2252">
        <v>6495.99</v>
      </c>
      <c r="K2252" t="s">
        <v>22</v>
      </c>
      <c r="L2252">
        <v>1210</v>
      </c>
      <c r="M2252">
        <v>7.13</v>
      </c>
      <c r="N2252">
        <v>63.3</v>
      </c>
      <c r="O2252" t="s">
        <v>19</v>
      </c>
      <c r="P2252" t="s">
        <v>1267</v>
      </c>
      <c r="Q2252" t="s">
        <v>19</v>
      </c>
      <c r="R2252" t="str">
        <f>HYPERLINK("https://cfpub.epa.gov/ecotox/explore.cfm?ncbi=118154","Explore in ECOTOX")</f>
        <v>Explore in ECOTOX</v>
      </c>
    </row>
    <row r="2253" spans="1:18" x14ac:dyDescent="0.45">
      <c r="A2253" t="s">
        <v>1266</v>
      </c>
      <c r="B2253">
        <v>8</v>
      </c>
      <c r="C2253" t="str">
        <f>HYPERLINK("http://www.ncbi.nlm.nih.gov/protein/NXV08112.1","NXV08112.1")</f>
        <v>NXV08112.1</v>
      </c>
      <c r="D2253">
        <v>14925</v>
      </c>
      <c r="E2253" t="str">
        <f>HYPERLINK("http://www.ncbi.nlm.nih.gov/Taxonomy/Browser/wwwtax.cgi?mode=Info&amp;id=68486&amp;lvl=3&amp;lin=f&amp;keep=1&amp;srchmode=1&amp;unlock","68486")</f>
        <v>68486</v>
      </c>
      <c r="F2253" t="s">
        <v>241</v>
      </c>
      <c r="G2253" t="str">
        <f>HYPERLINK("http://www.ncbi.nlm.nih.gov/Taxonomy/Browser/wwwtax.cgi?mode=Info&amp;id=68486&amp;lvl=3&amp;lin=f&amp;keep=1&amp;srchmode=1&amp;unlock","Cettia cetti")</f>
        <v>Cettia cetti</v>
      </c>
      <c r="H2253" t="s">
        <v>733</v>
      </c>
      <c r="I2253" t="str">
        <f>HYPERLINK("http://www.ncbi.nlm.nih.gov/protein/NXV08112.1","RYR2 protein")</f>
        <v>RYR2 protein</v>
      </c>
      <c r="J2253">
        <v>6485.21</v>
      </c>
      <c r="K2253" t="s">
        <v>19</v>
      </c>
      <c r="L2253">
        <v>1210</v>
      </c>
      <c r="M2253">
        <v>7.13</v>
      </c>
      <c r="N2253">
        <v>63.19</v>
      </c>
      <c r="O2253" t="s">
        <v>19</v>
      </c>
      <c r="P2253" t="s">
        <v>1267</v>
      </c>
      <c r="Q2253" t="s">
        <v>19</v>
      </c>
      <c r="R2253" t="str">
        <f>HYPERLINK("https://cfpub.epa.gov/ecotox/explore.cfm?ncbi=68486","Explore in ECOTOX")</f>
        <v>Explore in ECOTOX</v>
      </c>
    </row>
    <row r="2254" spans="1:18" x14ac:dyDescent="0.45">
      <c r="A2254" t="s">
        <v>1266</v>
      </c>
      <c r="B2254">
        <v>8</v>
      </c>
      <c r="C2254" t="str">
        <f>HYPERLINK("http://www.ncbi.nlm.nih.gov/protein/KAK1881079.1","KAK1881079.1")</f>
        <v>KAK1881079.1</v>
      </c>
      <c r="D2254">
        <v>67997</v>
      </c>
      <c r="E2254" t="str">
        <f>HYPERLINK("http://www.ncbi.nlm.nih.gov/Taxonomy/Browser/wwwtax.cgi?mode=Info&amp;id=100907&amp;lvl=3&amp;lin=f&amp;keep=1&amp;srchmode=1&amp;unlock","100907")</f>
        <v>100907</v>
      </c>
      <c r="F2254" t="s">
        <v>17</v>
      </c>
      <c r="G2254" t="str">
        <f>HYPERLINK("http://www.ncbi.nlm.nih.gov/Taxonomy/Browser/wwwtax.cgi?mode=Info&amp;id=100907&amp;lvl=3&amp;lin=f&amp;keep=1&amp;srchmode=1&amp;unlock","Dissostichus eleginoides")</f>
        <v>Dissostichus eleginoides</v>
      </c>
      <c r="H2254" t="s">
        <v>362</v>
      </c>
      <c r="I2254" t="str">
        <f>HYPERLINK("http://www.ncbi.nlm.nih.gov/protein/KAK1881079.1","Ryanodine receptor 2, partial")</f>
        <v>Ryanodine receptor 2, partial</v>
      </c>
      <c r="J2254">
        <v>6466.72</v>
      </c>
      <c r="K2254" t="s">
        <v>19</v>
      </c>
      <c r="L2254">
        <v>1210</v>
      </c>
      <c r="M2254">
        <v>7.13</v>
      </c>
      <c r="N2254">
        <v>63.01</v>
      </c>
      <c r="O2254" t="s">
        <v>19</v>
      </c>
      <c r="P2254" t="s">
        <v>1267</v>
      </c>
      <c r="Q2254" t="s">
        <v>19</v>
      </c>
      <c r="R2254" t="str">
        <f>HYPERLINK("https://cfpub.epa.gov/ecotox/explore.cfm?ncbi=100907","Explore in ECOTOX")</f>
        <v>Explore in ECOTOX</v>
      </c>
    </row>
    <row r="2255" spans="1:18" x14ac:dyDescent="0.45">
      <c r="A2255" t="s">
        <v>1266</v>
      </c>
      <c r="B2255">
        <v>8</v>
      </c>
      <c r="C2255" t="str">
        <f>HYPERLINK("http://www.ncbi.nlm.nih.gov/protein/XP_014909908.1","XP_014909908.1")</f>
        <v>XP_014909908.1</v>
      </c>
      <c r="D2255">
        <v>47235</v>
      </c>
      <c r="E2255" t="str">
        <f>HYPERLINK("http://www.ncbi.nlm.nih.gov/Taxonomy/Browser/wwwtax.cgi?mode=Info&amp;id=48699&amp;lvl=3&amp;lin=f&amp;keep=1&amp;srchmode=1&amp;unlock","48699")</f>
        <v>48699</v>
      </c>
      <c r="F2255" t="s">
        <v>17</v>
      </c>
      <c r="G2255" t="str">
        <f>HYPERLINK("http://www.ncbi.nlm.nih.gov/Taxonomy/Browser/wwwtax.cgi?mode=Info&amp;id=48699&amp;lvl=3&amp;lin=f&amp;keep=1&amp;srchmode=1&amp;unlock","Poecilia latipinna")</f>
        <v>Poecilia latipinna</v>
      </c>
      <c r="H2255" t="s">
        <v>117</v>
      </c>
      <c r="I2255" t="str">
        <f>HYPERLINK("http://www.ncbi.nlm.nih.gov/protein/XP_014909908.1","PREDICTED: ryanodine receptor 2-like")</f>
        <v>PREDICTED: ryanodine receptor 2-like</v>
      </c>
      <c r="J2255">
        <v>6454.39</v>
      </c>
      <c r="K2255" t="s">
        <v>19</v>
      </c>
      <c r="L2255">
        <v>1210</v>
      </c>
      <c r="M2255">
        <v>7.13</v>
      </c>
      <c r="N2255">
        <v>62.89</v>
      </c>
      <c r="O2255" t="s">
        <v>19</v>
      </c>
      <c r="P2255" t="s">
        <v>1267</v>
      </c>
      <c r="Q2255" t="s">
        <v>19</v>
      </c>
      <c r="R2255" t="str">
        <f>HYPERLINK("https://cfpub.epa.gov/ecotox/explore.cfm?ncbi=48699","Explore in ECOTOX")</f>
        <v>Explore in ECOTOX</v>
      </c>
    </row>
    <row r="2256" spans="1:18" x14ac:dyDescent="0.45">
      <c r="A2256" t="s">
        <v>1266</v>
      </c>
      <c r="B2256">
        <v>8</v>
      </c>
      <c r="C2256" t="str">
        <f>HYPERLINK("http://www.ncbi.nlm.nih.gov/protein/XP_047903860.1","XP_047903860.1")</f>
        <v>XP_047903860.1</v>
      </c>
      <c r="D2256">
        <v>47682</v>
      </c>
      <c r="E2256" t="str">
        <f>HYPERLINK("http://www.ncbi.nlm.nih.gov/Taxonomy/Browser/wwwtax.cgi?mode=Info&amp;id=8845&amp;lvl=3&amp;lin=f&amp;keep=1&amp;srchmode=1&amp;unlock","8845")</f>
        <v>8845</v>
      </c>
      <c r="F2256" t="s">
        <v>241</v>
      </c>
      <c r="G2256" t="str">
        <f>HYPERLINK("http://www.ncbi.nlm.nih.gov/Taxonomy/Browser/wwwtax.cgi?mode=Info&amp;id=8845&amp;lvl=3&amp;lin=f&amp;keep=1&amp;srchmode=1&amp;unlock","Anser cygnoides")</f>
        <v>Anser cygnoides</v>
      </c>
      <c r="H2256" t="s">
        <v>716</v>
      </c>
      <c r="I2256" t="str">
        <f>HYPERLINK("http://www.ncbi.nlm.nih.gov/protein/XP_047903860.1","ryanodine receptor 2 isoform X1")</f>
        <v>ryanodine receptor 2 isoform X1</v>
      </c>
      <c r="J2256">
        <v>6435.52</v>
      </c>
      <c r="K2256" t="s">
        <v>19</v>
      </c>
      <c r="L2256">
        <v>1210</v>
      </c>
      <c r="M2256">
        <v>7.13</v>
      </c>
      <c r="N2256">
        <v>62.71</v>
      </c>
      <c r="O2256" t="s">
        <v>19</v>
      </c>
      <c r="P2256" t="s">
        <v>1267</v>
      </c>
      <c r="Q2256" t="s">
        <v>19</v>
      </c>
      <c r="R2256" t="str">
        <f>HYPERLINK("https://cfpub.epa.gov/ecotox/explore.cfm?ncbi=8845","Explore in ECOTOX")</f>
        <v>Explore in ECOTOX</v>
      </c>
    </row>
    <row r="2257" spans="1:18" x14ac:dyDescent="0.45">
      <c r="A2257" t="s">
        <v>1266</v>
      </c>
      <c r="B2257">
        <v>8</v>
      </c>
      <c r="C2257" t="str">
        <f>HYPERLINK("http://www.ncbi.nlm.nih.gov/protein/NXF87278.1","NXF87278.1")</f>
        <v>NXF87278.1</v>
      </c>
      <c r="D2257">
        <v>14177</v>
      </c>
      <c r="E2257" t="str">
        <f>HYPERLINK("http://www.ncbi.nlm.nih.gov/Taxonomy/Browser/wwwtax.cgi?mode=Info&amp;id=91767&amp;lvl=3&amp;lin=f&amp;keep=1&amp;srchmode=1&amp;unlock","91767")</f>
        <v>91767</v>
      </c>
      <c r="F2257" t="s">
        <v>241</v>
      </c>
      <c r="G2257" t="str">
        <f>HYPERLINK("http://www.ncbi.nlm.nih.gov/Taxonomy/Browser/wwwtax.cgi?mode=Info&amp;id=91767&amp;lvl=3&amp;lin=f&amp;keep=1&amp;srchmode=1&amp;unlock","Eubucco bourcierii")</f>
        <v>Eubucco bourcierii</v>
      </c>
      <c r="H2257" t="s">
        <v>720</v>
      </c>
      <c r="I2257" t="str">
        <f>HYPERLINK("http://www.ncbi.nlm.nih.gov/protein/NXF87278.1","RYR2 protein")</f>
        <v>RYR2 protein</v>
      </c>
      <c r="J2257">
        <v>6356.16</v>
      </c>
      <c r="K2257" t="s">
        <v>19</v>
      </c>
      <c r="L2257">
        <v>1210</v>
      </c>
      <c r="M2257">
        <v>7.13</v>
      </c>
      <c r="N2257">
        <v>61.93</v>
      </c>
      <c r="O2257" t="s">
        <v>19</v>
      </c>
      <c r="P2257" t="s">
        <v>1267</v>
      </c>
      <c r="Q2257" t="s">
        <v>19</v>
      </c>
      <c r="R2257" t="str">
        <f>HYPERLINK("https://cfpub.epa.gov/ecotox/explore.cfm?ncbi=91767","Explore in ECOTOX")</f>
        <v>Explore in ECOTOX</v>
      </c>
    </row>
    <row r="2258" spans="1:18" x14ac:dyDescent="0.45">
      <c r="A2258" t="s">
        <v>1266</v>
      </c>
      <c r="B2258">
        <v>8</v>
      </c>
      <c r="C2258" t="str">
        <f>HYPERLINK("http://www.ncbi.nlm.nih.gov/protein/XP_021323063.1","XP_021323063.1")</f>
        <v>XP_021323063.1</v>
      </c>
      <c r="D2258">
        <v>88318</v>
      </c>
      <c r="E2258" t="str">
        <f>HYPERLINK("http://www.ncbi.nlm.nih.gov/Taxonomy/Browser/wwwtax.cgi?mode=Info&amp;id=7955&amp;lvl=3&amp;lin=f&amp;keep=1&amp;srchmode=1&amp;unlock","7955")</f>
        <v>7955</v>
      </c>
      <c r="F2258" t="s">
        <v>17</v>
      </c>
      <c r="G2258" t="str">
        <f>HYPERLINK("http://www.ncbi.nlm.nih.gov/Taxonomy/Browser/wwwtax.cgi?mode=Info&amp;id=7955&amp;lvl=3&amp;lin=f&amp;keep=1&amp;srchmode=1&amp;unlock","Danio rerio")</f>
        <v>Danio rerio</v>
      </c>
      <c r="H2258" t="s">
        <v>26</v>
      </c>
      <c r="I2258" t="str">
        <f>HYPERLINK("http://www.ncbi.nlm.nih.gov/protein/XP_021323063.1","LOW QUALITY PROTEIN: ryanodine receptor 2 isoform X1")</f>
        <v>LOW QUALITY PROTEIN: ryanodine receptor 2 isoform X1</v>
      </c>
      <c r="J2258">
        <v>6341.14</v>
      </c>
      <c r="K2258" t="s">
        <v>22</v>
      </c>
      <c r="L2258">
        <v>1210</v>
      </c>
      <c r="M2258">
        <v>7.13</v>
      </c>
      <c r="N2258">
        <v>61.79</v>
      </c>
      <c r="O2258" t="s">
        <v>19</v>
      </c>
      <c r="P2258" t="s">
        <v>1267</v>
      </c>
      <c r="Q2258" t="s">
        <v>19</v>
      </c>
      <c r="R2258" t="str">
        <f>HYPERLINK("https://cfpub.epa.gov/ecotox/explore.cfm?ncbi=7955","Explore in ECOTOX")</f>
        <v>Explore in ECOTOX</v>
      </c>
    </row>
    <row r="2259" spans="1:18" x14ac:dyDescent="0.45">
      <c r="A2259" t="s">
        <v>1266</v>
      </c>
      <c r="B2259">
        <v>8</v>
      </c>
      <c r="C2259" t="str">
        <f>HYPERLINK("http://www.ncbi.nlm.nih.gov/protein/XP_032642132.1","XP_032642132.1")</f>
        <v>XP_032642132.1</v>
      </c>
      <c r="D2259">
        <v>44415</v>
      </c>
      <c r="E2259" t="str">
        <f>HYPERLINK("http://www.ncbi.nlm.nih.gov/Taxonomy/Browser/wwwtax.cgi?mode=Info&amp;id=106734&amp;lvl=3&amp;lin=f&amp;keep=1&amp;srchmode=1&amp;unlock","106734")</f>
        <v>106734</v>
      </c>
      <c r="F2259" t="s">
        <v>203</v>
      </c>
      <c r="G2259" t="str">
        <f>HYPERLINK("http://www.ncbi.nlm.nih.gov/Taxonomy/Browser/wwwtax.cgi?mode=Info&amp;id=106734&amp;lvl=3&amp;lin=f&amp;keep=1&amp;srchmode=1&amp;unlock","Chelonoidis abingdonii")</f>
        <v>Chelonoidis abingdonii</v>
      </c>
      <c r="H2259" t="s">
        <v>742</v>
      </c>
      <c r="I2259" t="str">
        <f>HYPERLINK("http://www.ncbi.nlm.nih.gov/protein/XP_032642132.1","ryanodine receptor 2, partial")</f>
        <v>ryanodine receptor 2, partial</v>
      </c>
      <c r="J2259">
        <v>6305.32</v>
      </c>
      <c r="K2259" t="s">
        <v>19</v>
      </c>
      <c r="L2259">
        <v>1210</v>
      </c>
      <c r="M2259">
        <v>7.13</v>
      </c>
      <c r="N2259">
        <v>61.44</v>
      </c>
      <c r="O2259" t="s">
        <v>19</v>
      </c>
      <c r="P2259" t="s">
        <v>1267</v>
      </c>
      <c r="Q2259" t="s">
        <v>19</v>
      </c>
      <c r="R2259" t="str">
        <f>HYPERLINK("https://cfpub.epa.gov/ecotox/explore.cfm?ncbi=106734","Explore in ECOTOX")</f>
        <v>Explore in ECOTOX</v>
      </c>
    </row>
    <row r="2260" spans="1:18" x14ac:dyDescent="0.45">
      <c r="A2260" t="s">
        <v>1266</v>
      </c>
      <c r="B2260">
        <v>8</v>
      </c>
      <c r="C2260" t="str">
        <f>HYPERLINK("http://www.ncbi.nlm.nih.gov/protein/NXN56035.1","NXN56035.1")</f>
        <v>NXN56035.1</v>
      </c>
      <c r="D2260">
        <v>14353</v>
      </c>
      <c r="E2260" t="str">
        <f>HYPERLINK("http://www.ncbi.nlm.nih.gov/Taxonomy/Browser/wwwtax.cgi?mode=Info&amp;id=227184&amp;lvl=3&amp;lin=f&amp;keep=1&amp;srchmode=1&amp;unlock","227184")</f>
        <v>227184</v>
      </c>
      <c r="F2260" t="s">
        <v>241</v>
      </c>
      <c r="G2260" t="str">
        <f>HYPERLINK("http://www.ncbi.nlm.nih.gov/Taxonomy/Browser/wwwtax.cgi?mode=Info&amp;id=227184&amp;lvl=3&amp;lin=f&amp;keep=1&amp;srchmode=1&amp;unlock","Rynchops niger")</f>
        <v>Rynchops niger</v>
      </c>
      <c r="H2260" t="s">
        <v>722</v>
      </c>
      <c r="I2260" t="str">
        <f>HYPERLINK("http://www.ncbi.nlm.nih.gov/protein/NXN56035.1","RYR2 protein")</f>
        <v>RYR2 protein</v>
      </c>
      <c r="J2260">
        <v>6304.93</v>
      </c>
      <c r="K2260" t="s">
        <v>19</v>
      </c>
      <c r="L2260">
        <v>1210</v>
      </c>
      <c r="M2260">
        <v>7.13</v>
      </c>
      <c r="N2260">
        <v>61.43</v>
      </c>
      <c r="O2260" t="s">
        <v>19</v>
      </c>
      <c r="P2260" t="s">
        <v>1267</v>
      </c>
      <c r="Q2260" t="s">
        <v>19</v>
      </c>
      <c r="R2260" t="str">
        <f>HYPERLINK("https://cfpub.epa.gov/ecotox/explore.cfm?ncbi=227184","Explore in ECOTOX")</f>
        <v>Explore in ECOTOX</v>
      </c>
    </row>
    <row r="2261" spans="1:18" x14ac:dyDescent="0.45">
      <c r="A2261" t="s">
        <v>1266</v>
      </c>
      <c r="B2261">
        <v>8</v>
      </c>
      <c r="C2261" t="str">
        <f>HYPERLINK("http://www.ncbi.nlm.nih.gov/protein/KFQ34583.1","KFQ34583.1")</f>
        <v>KFQ34583.1</v>
      </c>
      <c r="D2261">
        <v>26771</v>
      </c>
      <c r="E2261" t="str">
        <f>HYPERLINK("http://www.ncbi.nlm.nih.gov/Taxonomy/Browser/wwwtax.cgi?mode=Info&amp;id=57421&amp;lvl=3&amp;lin=f&amp;keep=1&amp;srchmode=1&amp;unlock","57421")</f>
        <v>57421</v>
      </c>
      <c r="F2261" t="s">
        <v>241</v>
      </c>
      <c r="G2261" t="str">
        <f>HYPERLINK("http://www.ncbi.nlm.nih.gov/Taxonomy/Browser/wwwtax.cgi?mode=Info&amp;id=57421&amp;lvl=3&amp;lin=f&amp;keep=1&amp;srchmode=1&amp;unlock","Merops nubicus")</f>
        <v>Merops nubicus</v>
      </c>
      <c r="H2261" t="s">
        <v>723</v>
      </c>
      <c r="I2261" t="str">
        <f>HYPERLINK("http://www.ncbi.nlm.nih.gov/protein/KFQ34583.1","Ryanodine receptor 2, partial")</f>
        <v>Ryanodine receptor 2, partial</v>
      </c>
      <c r="J2261">
        <v>6237.14</v>
      </c>
      <c r="K2261" t="s">
        <v>19</v>
      </c>
      <c r="L2261">
        <v>1210</v>
      </c>
      <c r="M2261">
        <v>7.13</v>
      </c>
      <c r="N2261">
        <v>60.77</v>
      </c>
      <c r="O2261" t="s">
        <v>19</v>
      </c>
      <c r="P2261" t="s">
        <v>1267</v>
      </c>
      <c r="Q2261" t="s">
        <v>19</v>
      </c>
      <c r="R2261" t="str">
        <f>HYPERLINK("https://cfpub.epa.gov/ecotox/explore.cfm?ncbi=57421","Explore in ECOTOX")</f>
        <v>Explore in ECOTOX</v>
      </c>
    </row>
    <row r="2262" spans="1:18" x14ac:dyDescent="0.45">
      <c r="A2262" t="s">
        <v>1266</v>
      </c>
      <c r="B2262">
        <v>8</v>
      </c>
      <c r="C2262" t="str">
        <f>HYPERLINK("http://www.ncbi.nlm.nih.gov/protein/XP_016523492.1","XP_016523492.1")</f>
        <v>XP_016523492.1</v>
      </c>
      <c r="D2262">
        <v>49657</v>
      </c>
      <c r="E2262" t="str">
        <f>HYPERLINK("http://www.ncbi.nlm.nih.gov/Taxonomy/Browser/wwwtax.cgi?mode=Info&amp;id=48698&amp;lvl=3&amp;lin=f&amp;keep=1&amp;srchmode=1&amp;unlock","48698")</f>
        <v>48698</v>
      </c>
      <c r="F2262" t="s">
        <v>17</v>
      </c>
      <c r="G2262" t="str">
        <f>HYPERLINK("http://www.ncbi.nlm.nih.gov/Taxonomy/Browser/wwwtax.cgi?mode=Info&amp;id=48698&amp;lvl=3&amp;lin=f&amp;keep=1&amp;srchmode=1&amp;unlock","Poecilia formosa")</f>
        <v>Poecilia formosa</v>
      </c>
      <c r="H2262" t="s">
        <v>119</v>
      </c>
      <c r="I2262" t="str">
        <f>HYPERLINK("http://www.ncbi.nlm.nih.gov/protein/XP_016523492.1","PREDICTED: ryanodine receptor 2")</f>
        <v>PREDICTED: ryanodine receptor 2</v>
      </c>
      <c r="J2262">
        <v>6194.38</v>
      </c>
      <c r="K2262" t="s">
        <v>19</v>
      </c>
      <c r="L2262">
        <v>1210</v>
      </c>
      <c r="M2262">
        <v>7.13</v>
      </c>
      <c r="N2262">
        <v>60.36</v>
      </c>
      <c r="O2262" t="s">
        <v>19</v>
      </c>
      <c r="P2262" t="s">
        <v>1267</v>
      </c>
      <c r="Q2262" t="s">
        <v>19</v>
      </c>
      <c r="R2262" t="str">
        <f>HYPERLINK("https://cfpub.epa.gov/ecotox/explore.cfm?ncbi=48698","Explore in ECOTOX")</f>
        <v>Explore in ECOTOX</v>
      </c>
    </row>
    <row r="2263" spans="1:18" x14ac:dyDescent="0.45">
      <c r="A2263" t="s">
        <v>1266</v>
      </c>
      <c r="B2263">
        <v>8</v>
      </c>
      <c r="C2263" t="str">
        <f>HYPERLINK("http://www.ncbi.nlm.nih.gov/protein/XP_014836101.1","XP_014836101.1")</f>
        <v>XP_014836101.1</v>
      </c>
      <c r="D2263">
        <v>47808</v>
      </c>
      <c r="E2263" t="str">
        <f>HYPERLINK("http://www.ncbi.nlm.nih.gov/Taxonomy/Browser/wwwtax.cgi?mode=Info&amp;id=48701&amp;lvl=3&amp;lin=f&amp;keep=1&amp;srchmode=1&amp;unlock","48701")</f>
        <v>48701</v>
      </c>
      <c r="F2263" t="s">
        <v>17</v>
      </c>
      <c r="G2263" t="str">
        <f>HYPERLINK("http://www.ncbi.nlm.nih.gov/Taxonomy/Browser/wwwtax.cgi?mode=Info&amp;id=48701&amp;lvl=3&amp;lin=f&amp;keep=1&amp;srchmode=1&amp;unlock","Poecilia mexicana")</f>
        <v>Poecilia mexicana</v>
      </c>
      <c r="H2263" t="s">
        <v>120</v>
      </c>
      <c r="I2263" t="str">
        <f>HYPERLINK("http://www.ncbi.nlm.nih.gov/protein/XP_014836101.1","PREDICTED: ryanodine receptor 2-like")</f>
        <v>PREDICTED: ryanodine receptor 2-like</v>
      </c>
      <c r="J2263">
        <v>6181.28</v>
      </c>
      <c r="K2263" t="s">
        <v>19</v>
      </c>
      <c r="L2263">
        <v>1210</v>
      </c>
      <c r="M2263">
        <v>7.13</v>
      </c>
      <c r="N2263">
        <v>60.23</v>
      </c>
      <c r="O2263" t="s">
        <v>19</v>
      </c>
      <c r="P2263" t="s">
        <v>1267</v>
      </c>
      <c r="Q2263" t="s">
        <v>19</v>
      </c>
      <c r="R2263" t="str">
        <f>HYPERLINK("https://cfpub.epa.gov/ecotox/explore.cfm?ncbi=48701","Explore in ECOTOX")</f>
        <v>Explore in ECOTOX</v>
      </c>
    </row>
    <row r="2264" spans="1:18" x14ac:dyDescent="0.45">
      <c r="A2264" t="s">
        <v>1266</v>
      </c>
      <c r="B2264">
        <v>8</v>
      </c>
      <c r="C2264" t="str">
        <f>HYPERLINK("http://www.ncbi.nlm.nih.gov/protein/XP_008567455.1","XP_008567455.1")</f>
        <v>XP_008567455.1</v>
      </c>
      <c r="D2264">
        <v>32194</v>
      </c>
      <c r="E2264" t="str">
        <f>HYPERLINK("http://www.ncbi.nlm.nih.gov/Taxonomy/Browser/wwwtax.cgi?mode=Info&amp;id=482537&amp;lvl=3&amp;lin=f&amp;keep=1&amp;srchmode=1&amp;unlock","482537")</f>
        <v>482537</v>
      </c>
      <c r="F2264" t="s">
        <v>96</v>
      </c>
      <c r="G2264" t="str">
        <f>HYPERLINK("http://www.ncbi.nlm.nih.gov/Taxonomy/Browser/wwwtax.cgi?mode=Info&amp;id=482537&amp;lvl=3&amp;lin=f&amp;keep=1&amp;srchmode=1&amp;unlock","Galeopterus variegatus")</f>
        <v>Galeopterus variegatus</v>
      </c>
      <c r="H2264" t="s">
        <v>752</v>
      </c>
      <c r="I2264" t="str">
        <f>HYPERLINK("http://www.ncbi.nlm.nih.gov/protein/XP_008567455.1","PREDICTED: ryanodine receptor 2 isoform X1")</f>
        <v>PREDICTED: ryanodine receptor 2 isoform X1</v>
      </c>
      <c r="J2264">
        <v>6161.25</v>
      </c>
      <c r="K2264" t="s">
        <v>19</v>
      </c>
      <c r="L2264">
        <v>1210</v>
      </c>
      <c r="M2264">
        <v>7.13</v>
      </c>
      <c r="N2264">
        <v>60.03</v>
      </c>
      <c r="O2264" t="s">
        <v>19</v>
      </c>
      <c r="P2264" t="s">
        <v>1267</v>
      </c>
      <c r="Q2264" t="s">
        <v>19</v>
      </c>
      <c r="R2264" t="str">
        <f>HYPERLINK("https://cfpub.epa.gov/ecotox/explore.cfm?ncbi=482537","Explore in ECOTOX")</f>
        <v>Explore in ECOTOX</v>
      </c>
    </row>
    <row r="2265" spans="1:18" x14ac:dyDescent="0.45">
      <c r="A2265" t="s">
        <v>1266</v>
      </c>
      <c r="B2265">
        <v>8</v>
      </c>
      <c r="C2265" t="str">
        <f>HYPERLINK("http://www.ncbi.nlm.nih.gov/protein/XP_008057423.1","XP_008057423.1")</f>
        <v>XP_008057423.1</v>
      </c>
      <c r="D2265">
        <v>33270</v>
      </c>
      <c r="E2265" t="str">
        <f>HYPERLINK("http://www.ncbi.nlm.nih.gov/Taxonomy/Browser/wwwtax.cgi?mode=Info&amp;id=1868482&amp;lvl=3&amp;lin=f&amp;keep=1&amp;srchmode=1&amp;unlock","1868482")</f>
        <v>1868482</v>
      </c>
      <c r="F2265" t="s">
        <v>96</v>
      </c>
      <c r="G2265" t="str">
        <f>HYPERLINK("http://www.ncbi.nlm.nih.gov/Taxonomy/Browser/wwwtax.cgi?mode=Info&amp;id=1868482&amp;lvl=3&amp;lin=f&amp;keep=1&amp;srchmode=1&amp;unlock","Carlito syrichta")</f>
        <v>Carlito syrichta</v>
      </c>
      <c r="H2265" t="s">
        <v>725</v>
      </c>
      <c r="I2265" t="str">
        <f>HYPERLINK("http://www.ncbi.nlm.nih.gov/protein/XP_008057423.1","ryanodine receptor 2, partial")</f>
        <v>ryanodine receptor 2, partial</v>
      </c>
      <c r="J2265">
        <v>6126.2</v>
      </c>
      <c r="K2265" t="s">
        <v>19</v>
      </c>
      <c r="L2265">
        <v>1210</v>
      </c>
      <c r="M2265">
        <v>7.13</v>
      </c>
      <c r="N2265">
        <v>59.69</v>
      </c>
      <c r="O2265" t="s">
        <v>19</v>
      </c>
      <c r="P2265" t="s">
        <v>1267</v>
      </c>
      <c r="Q2265" t="s">
        <v>19</v>
      </c>
      <c r="R2265" t="str">
        <f>HYPERLINK("https://cfpub.epa.gov/ecotox/explore.cfm?ncbi=1868482","Explore in ECOTOX")</f>
        <v>Explore in ECOTOX</v>
      </c>
    </row>
    <row r="2266" spans="1:18" x14ac:dyDescent="0.45">
      <c r="A2266" t="s">
        <v>1266</v>
      </c>
      <c r="B2266">
        <v>8</v>
      </c>
      <c r="C2266" t="str">
        <f>HYPERLINK("http://www.ncbi.nlm.nih.gov/protein/KAH0622519.1","KAH0622519.1")</f>
        <v>KAH0622519.1</v>
      </c>
      <c r="D2266">
        <v>16952</v>
      </c>
      <c r="E2266" t="str">
        <f>HYPERLINK("http://www.ncbi.nlm.nih.gov/Taxonomy/Browser/wwwtax.cgi?mode=Info&amp;id=52577&amp;lvl=3&amp;lin=f&amp;keep=1&amp;srchmode=1&amp;unlock","52577")</f>
        <v>52577</v>
      </c>
      <c r="F2266" t="s">
        <v>192</v>
      </c>
      <c r="G2266" t="str">
        <f>HYPERLINK("http://www.ncbi.nlm.nih.gov/Taxonomy/Browser/wwwtax.cgi?mode=Info&amp;id=52577&amp;lvl=3&amp;lin=f&amp;keep=1&amp;srchmode=1&amp;unlock","Phrynosoma platyrhinos")</f>
        <v>Phrynosoma platyrhinos</v>
      </c>
      <c r="H2266" t="s">
        <v>493</v>
      </c>
      <c r="I2266" t="str">
        <f>HYPERLINK("http://www.ncbi.nlm.nih.gov/protein/KAH0622519.1","hypothetical protein JD844_024895, partial")</f>
        <v>hypothetical protein JD844_024895, partial</v>
      </c>
      <c r="J2266">
        <v>6119.27</v>
      </c>
      <c r="K2266" t="s">
        <v>19</v>
      </c>
      <c r="L2266">
        <v>1210</v>
      </c>
      <c r="M2266">
        <v>7.13</v>
      </c>
      <c r="N2266">
        <v>59.63</v>
      </c>
      <c r="O2266" t="s">
        <v>19</v>
      </c>
      <c r="P2266" t="s">
        <v>1267</v>
      </c>
      <c r="Q2266" t="s">
        <v>19</v>
      </c>
      <c r="R2266" t="str">
        <f>HYPERLINK("https://cfpub.epa.gov/ecotox/explore.cfm?ncbi=52577","Explore in ECOTOX")</f>
        <v>Explore in ECOTOX</v>
      </c>
    </row>
    <row r="2267" spans="1:18" x14ac:dyDescent="0.45">
      <c r="A2267" t="s">
        <v>1266</v>
      </c>
      <c r="B2267">
        <v>8</v>
      </c>
      <c r="C2267" t="str">
        <f>HYPERLINK("http://www.ncbi.nlm.nih.gov/protein/XP_054606771.1","XP_054606771.1")</f>
        <v>XP_054606771.1</v>
      </c>
      <c r="D2267">
        <v>79907</v>
      </c>
      <c r="E2267" t="str">
        <f>HYPERLINK("http://www.ncbi.nlm.nih.gov/Taxonomy/Browser/wwwtax.cgi?mode=Info&amp;id=105023&amp;lvl=3&amp;lin=f&amp;keep=1&amp;srchmode=1&amp;unlock","105023")</f>
        <v>105023</v>
      </c>
      <c r="F2267" t="s">
        <v>17</v>
      </c>
      <c r="G2267" t="str">
        <f>HYPERLINK("http://www.ncbi.nlm.nih.gov/Taxonomy/Browser/wwwtax.cgi?mode=Info&amp;id=105023&amp;lvl=3&amp;lin=f&amp;keep=1&amp;srchmode=1&amp;unlock","Nothobranchius furzeri")</f>
        <v>Nothobranchius furzeri</v>
      </c>
      <c r="H2267" t="s">
        <v>65</v>
      </c>
      <c r="I2267" t="str">
        <f>HYPERLINK("http://www.ncbi.nlm.nih.gov/protein/XP_054606771.1","ryanodine receptor 2")</f>
        <v>ryanodine receptor 2</v>
      </c>
      <c r="J2267">
        <v>6098.85</v>
      </c>
      <c r="K2267" t="s">
        <v>19</v>
      </c>
      <c r="L2267">
        <v>1210</v>
      </c>
      <c r="M2267">
        <v>7.13</v>
      </c>
      <c r="N2267">
        <v>59.43</v>
      </c>
      <c r="O2267" t="s">
        <v>19</v>
      </c>
      <c r="P2267" t="s">
        <v>1267</v>
      </c>
      <c r="Q2267" t="s">
        <v>19</v>
      </c>
      <c r="R2267" t="str">
        <f>HYPERLINK("https://cfpub.epa.gov/ecotox/explore.cfm?ncbi=105023","Explore in ECOTOX")</f>
        <v>Explore in ECOTOX</v>
      </c>
    </row>
    <row r="2268" spans="1:18" x14ac:dyDescent="0.45">
      <c r="A2268" t="s">
        <v>1266</v>
      </c>
      <c r="B2268">
        <v>8</v>
      </c>
      <c r="C2268" t="str">
        <f>HYPERLINK("http://www.ncbi.nlm.nih.gov/protein/NWX73781.1","NWX73781.1")</f>
        <v>NWX73781.1</v>
      </c>
      <c r="D2268">
        <v>14034</v>
      </c>
      <c r="E2268" t="str">
        <f>HYPERLINK("http://www.ncbi.nlm.nih.gov/Taxonomy/Browser/wwwtax.cgi?mode=Info&amp;id=28689&amp;lvl=3&amp;lin=f&amp;keep=1&amp;srchmode=1&amp;unlock","28689")</f>
        <v>28689</v>
      </c>
      <c r="F2268" t="s">
        <v>241</v>
      </c>
      <c r="G2268" t="str">
        <f>HYPERLINK("http://www.ncbi.nlm.nih.gov/Taxonomy/Browser/wwwtax.cgi?mode=Info&amp;id=28689&amp;lvl=3&amp;lin=f&amp;keep=1&amp;srchmode=1&amp;unlock","Alca torda")</f>
        <v>Alca torda</v>
      </c>
      <c r="H2268" t="s">
        <v>730</v>
      </c>
      <c r="I2268" t="str">
        <f>HYPERLINK("http://www.ncbi.nlm.nih.gov/protein/NWX73781.1","RYR2 protein")</f>
        <v>RYR2 protein</v>
      </c>
      <c r="J2268">
        <v>6072.27</v>
      </c>
      <c r="K2268" t="s">
        <v>19</v>
      </c>
      <c r="L2268">
        <v>1210</v>
      </c>
      <c r="M2268">
        <v>7.13</v>
      </c>
      <c r="N2268">
        <v>59.17</v>
      </c>
      <c r="O2268" t="s">
        <v>19</v>
      </c>
      <c r="P2268" t="s">
        <v>1267</v>
      </c>
      <c r="Q2268" t="s">
        <v>19</v>
      </c>
      <c r="R2268" t="str">
        <f>HYPERLINK("https://cfpub.epa.gov/ecotox/explore.cfm?ncbi=28689","Explore in ECOTOX")</f>
        <v>Explore in ECOTOX</v>
      </c>
    </row>
    <row r="2269" spans="1:18" x14ac:dyDescent="0.45">
      <c r="A2269" t="s">
        <v>1266</v>
      </c>
      <c r="B2269">
        <v>8</v>
      </c>
      <c r="C2269" t="str">
        <f>HYPERLINK("http://www.ncbi.nlm.nih.gov/protein/XP_012515607.1","XP_012515607.1")</f>
        <v>XP_012515607.1</v>
      </c>
      <c r="D2269">
        <v>28381</v>
      </c>
      <c r="E2269" t="str">
        <f>HYPERLINK("http://www.ncbi.nlm.nih.gov/Taxonomy/Browser/wwwtax.cgi?mode=Info&amp;id=379532&amp;lvl=3&amp;lin=f&amp;keep=1&amp;srchmode=1&amp;unlock","379532")</f>
        <v>379532</v>
      </c>
      <c r="F2269" t="s">
        <v>96</v>
      </c>
      <c r="G2269" t="str">
        <f>HYPERLINK("http://www.ncbi.nlm.nih.gov/Taxonomy/Browser/wwwtax.cgi?mode=Info&amp;id=379532&amp;lvl=3&amp;lin=f&amp;keep=1&amp;srchmode=1&amp;unlock","Propithecus coquereli")</f>
        <v>Propithecus coquereli</v>
      </c>
      <c r="H2269" t="s">
        <v>492</v>
      </c>
      <c r="I2269" t="str">
        <f>HYPERLINK("http://www.ncbi.nlm.nih.gov/protein/XP_012515607.1","PREDICTED: LOW QUALITY PROTEIN: ryanodine receptor 2")</f>
        <v>PREDICTED: LOW QUALITY PROTEIN: ryanodine receptor 2</v>
      </c>
      <c r="J2269">
        <v>6051.09</v>
      </c>
      <c r="K2269" t="s">
        <v>22</v>
      </c>
      <c r="L2269">
        <v>1210</v>
      </c>
      <c r="M2269">
        <v>7.13</v>
      </c>
      <c r="N2269">
        <v>58.96</v>
      </c>
      <c r="O2269" t="s">
        <v>19</v>
      </c>
      <c r="P2269" t="s">
        <v>1267</v>
      </c>
      <c r="Q2269" t="s">
        <v>19</v>
      </c>
      <c r="R2269" t="str">
        <f>HYPERLINK("https://cfpub.epa.gov/ecotox/explore.cfm?ncbi=379532","Explore in ECOTOX")</f>
        <v>Explore in ECOTOX</v>
      </c>
    </row>
    <row r="2270" spans="1:18" x14ac:dyDescent="0.45">
      <c r="A2270" t="s">
        <v>1266</v>
      </c>
      <c r="B2270">
        <v>8</v>
      </c>
      <c r="C2270" t="str">
        <f>HYPERLINK("http://www.ncbi.nlm.nih.gov/protein/XP_059686655.1","XP_059686655.1")</f>
        <v>XP_059686655.1</v>
      </c>
      <c r="D2270">
        <v>35182</v>
      </c>
      <c r="E2270" t="str">
        <f>HYPERLINK("http://www.ncbi.nlm.nih.gov/Taxonomy/Browser/wwwtax.cgi?mode=Info&amp;id=37040&amp;lvl=3&amp;lin=f&amp;keep=1&amp;srchmode=1&amp;unlock","37040")</f>
        <v>37040</v>
      </c>
      <c r="F2270" t="s">
        <v>241</v>
      </c>
      <c r="G2270" t="str">
        <f>HYPERLINK("http://www.ncbi.nlm.nih.gov/Taxonomy/Browser/wwwtax.cgi?mode=Info&amp;id=37040&amp;lvl=3&amp;lin=f&amp;keep=1&amp;srchmode=1&amp;unlock","Gavia stellata")</f>
        <v>Gavia stellata</v>
      </c>
      <c r="H2270" t="s">
        <v>713</v>
      </c>
      <c r="I2270" t="str">
        <f>HYPERLINK("http://www.ncbi.nlm.nih.gov/protein/XP_059686655.1","ryanodine receptor 2")</f>
        <v>ryanodine receptor 2</v>
      </c>
      <c r="J2270">
        <v>5998.7</v>
      </c>
      <c r="K2270" t="s">
        <v>22</v>
      </c>
      <c r="L2270">
        <v>1210</v>
      </c>
      <c r="M2270">
        <v>7.13</v>
      </c>
      <c r="N2270">
        <v>58.45</v>
      </c>
      <c r="O2270" t="s">
        <v>19</v>
      </c>
      <c r="P2270" t="s">
        <v>1267</v>
      </c>
      <c r="Q2270" t="s">
        <v>19</v>
      </c>
      <c r="R2270" t="str">
        <f>HYPERLINK("https://cfpub.epa.gov/ecotox/explore.cfm?ncbi=37040","Explore in ECOTOX")</f>
        <v>Explore in ECOTOX</v>
      </c>
    </row>
    <row r="2271" spans="1:18" x14ac:dyDescent="0.45">
      <c r="A2271" t="s">
        <v>1266</v>
      </c>
      <c r="B2271">
        <v>8</v>
      </c>
      <c r="C2271" t="str">
        <f>HYPERLINK("http://www.ncbi.nlm.nih.gov/protein/XP_031527799.1","XP_031527799.1")</f>
        <v>XP_031527799.1</v>
      </c>
      <c r="D2271">
        <v>45493</v>
      </c>
      <c r="E2271" t="str">
        <f>HYPERLINK("http://www.ncbi.nlm.nih.gov/Taxonomy/Browser/wwwtax.cgi?mode=Info&amp;id=30538&amp;lvl=3&amp;lin=f&amp;keep=1&amp;srchmode=1&amp;unlock","30538")</f>
        <v>30538</v>
      </c>
      <c r="F2271" t="s">
        <v>96</v>
      </c>
      <c r="G2271" t="str">
        <f>HYPERLINK("http://www.ncbi.nlm.nih.gov/Taxonomy/Browser/wwwtax.cgi?mode=Info&amp;id=30538&amp;lvl=3&amp;lin=f&amp;keep=1&amp;srchmode=1&amp;unlock","Vicugna pacos")</f>
        <v>Vicugna pacos</v>
      </c>
      <c r="H2271" t="s">
        <v>747</v>
      </c>
      <c r="I2271" t="str">
        <f>HYPERLINK("http://www.ncbi.nlm.nih.gov/protein/XP_031527799.1","ryanodine receptor 2")</f>
        <v>ryanodine receptor 2</v>
      </c>
      <c r="J2271">
        <v>5968.65</v>
      </c>
      <c r="K2271" t="s">
        <v>19</v>
      </c>
      <c r="L2271">
        <v>1210</v>
      </c>
      <c r="M2271">
        <v>7.13</v>
      </c>
      <c r="N2271">
        <v>58.16</v>
      </c>
      <c r="O2271" t="s">
        <v>19</v>
      </c>
      <c r="P2271" t="s">
        <v>1267</v>
      </c>
      <c r="Q2271" t="s">
        <v>19</v>
      </c>
      <c r="R2271" t="str">
        <f>HYPERLINK("https://cfpub.epa.gov/ecotox/explore.cfm?ncbi=30538","Explore in ECOTOX")</f>
        <v>Explore in ECOTOX</v>
      </c>
    </row>
    <row r="2272" spans="1:18" x14ac:dyDescent="0.45">
      <c r="A2272" t="s">
        <v>1266</v>
      </c>
      <c r="B2272">
        <v>8</v>
      </c>
      <c r="C2272" t="str">
        <f>HYPERLINK("http://www.ncbi.nlm.nih.gov/protein/KAF0870432.1","KAF0870432.1")</f>
        <v>KAF0870432.1</v>
      </c>
      <c r="D2272">
        <v>17554</v>
      </c>
      <c r="E2272" t="str">
        <f>HYPERLINK("http://www.ncbi.nlm.nih.gov/Taxonomy/Browser/wwwtax.cgi?mode=Info&amp;id=9678&amp;lvl=3&amp;lin=f&amp;keep=1&amp;srchmode=1&amp;unlock","9678")</f>
        <v>9678</v>
      </c>
      <c r="F2272" t="s">
        <v>96</v>
      </c>
      <c r="G2272" t="str">
        <f>HYPERLINK("http://www.ncbi.nlm.nih.gov/Taxonomy/Browser/wwwtax.cgi?mode=Info&amp;id=9678&amp;lvl=3&amp;lin=f&amp;keep=1&amp;srchmode=1&amp;unlock","Crocuta crocuta")</f>
        <v>Crocuta crocuta</v>
      </c>
      <c r="H2272" t="s">
        <v>745</v>
      </c>
      <c r="I2272" t="str">
        <f>HYPERLINK("http://www.ncbi.nlm.nih.gov/protein/KAF0870432.1","RYR2 protein, partial")</f>
        <v>RYR2 protein, partial</v>
      </c>
      <c r="J2272">
        <v>5968.27</v>
      </c>
      <c r="K2272" t="s">
        <v>22</v>
      </c>
      <c r="L2272">
        <v>1210</v>
      </c>
      <c r="M2272">
        <v>7.13</v>
      </c>
      <c r="N2272">
        <v>58.15</v>
      </c>
      <c r="O2272" t="s">
        <v>19</v>
      </c>
      <c r="P2272" t="s">
        <v>1267</v>
      </c>
      <c r="Q2272" t="s">
        <v>19</v>
      </c>
      <c r="R2272" t="str">
        <f>HYPERLINK("https://cfpub.epa.gov/ecotox/explore.cfm?ncbi=9678","Explore in ECOTOX")</f>
        <v>Explore in ECOTOX</v>
      </c>
    </row>
    <row r="2273" spans="1:18" x14ac:dyDescent="0.45">
      <c r="A2273" t="s">
        <v>1266</v>
      </c>
      <c r="B2273">
        <v>8</v>
      </c>
      <c r="C2273" t="str">
        <f>HYPERLINK("http://www.ncbi.nlm.nih.gov/protein/KAI4887181.1","KAI4887181.1")</f>
        <v>KAI4887181.1</v>
      </c>
      <c r="D2273">
        <v>34759</v>
      </c>
      <c r="E2273" t="str">
        <f>HYPERLINK("http://www.ncbi.nlm.nih.gov/Taxonomy/Browser/wwwtax.cgi?mode=Info&amp;id=148989&amp;lvl=3&amp;lin=f&amp;keep=1&amp;srchmode=1&amp;unlock","148989")</f>
        <v>148989</v>
      </c>
      <c r="F2273" t="s">
        <v>17</v>
      </c>
      <c r="G2273" t="str">
        <f>HYPERLINK("http://www.ncbi.nlm.nih.gov/Taxonomy/Browser/wwwtax.cgi?mode=Info&amp;id=148989&amp;lvl=3&amp;lin=f&amp;keep=1&amp;srchmode=1&amp;unlock","Prochilodus magdalenae")</f>
        <v>Prochilodus magdalenae</v>
      </c>
      <c r="H2273" t="s">
        <v>721</v>
      </c>
      <c r="I2273" t="str">
        <f>HYPERLINK("http://www.ncbi.nlm.nih.gov/protein/KAI4887181.1","hypothetical protein NFI96_021277, partial")</f>
        <v>hypothetical protein NFI96_021277, partial</v>
      </c>
      <c r="J2273">
        <v>5863.49</v>
      </c>
      <c r="K2273" t="s">
        <v>22</v>
      </c>
      <c r="L2273">
        <v>1210</v>
      </c>
      <c r="M2273">
        <v>7.13</v>
      </c>
      <c r="N2273">
        <v>57.13</v>
      </c>
      <c r="O2273" t="s">
        <v>19</v>
      </c>
      <c r="P2273" t="s">
        <v>1267</v>
      </c>
      <c r="Q2273" t="s">
        <v>19</v>
      </c>
      <c r="R2273" t="str">
        <f>HYPERLINK("https://cfpub.epa.gov/ecotox/explore.cfm?ncbi=148989","Explore in ECOTOX")</f>
        <v>Explore in ECOTOX</v>
      </c>
    </row>
    <row r="2274" spans="1:18" x14ac:dyDescent="0.45">
      <c r="A2274" t="s">
        <v>1266</v>
      </c>
      <c r="B2274">
        <v>8</v>
      </c>
      <c r="C2274" t="str">
        <f>HYPERLINK("http://www.ncbi.nlm.nih.gov/protein/XP_004411395.1","XP_004411395.1")</f>
        <v>XP_004411395.1</v>
      </c>
      <c r="D2274">
        <v>31383</v>
      </c>
      <c r="E2274" t="str">
        <f>HYPERLINK("http://www.ncbi.nlm.nih.gov/Taxonomy/Browser/wwwtax.cgi?mode=Info&amp;id=9708&amp;lvl=3&amp;lin=f&amp;keep=1&amp;srchmode=1&amp;unlock","9708")</f>
        <v>9708</v>
      </c>
      <c r="F2274" t="s">
        <v>96</v>
      </c>
      <c r="G2274" t="str">
        <f>HYPERLINK("http://www.ncbi.nlm.nih.gov/Taxonomy/Browser/wwwtax.cgi?mode=Info&amp;id=9708&amp;lvl=3&amp;lin=f&amp;keep=1&amp;srchmode=1&amp;unlock","Odobenus rosmarus divergens")</f>
        <v>Odobenus rosmarus divergens</v>
      </c>
      <c r="H2274" t="s">
        <v>751</v>
      </c>
      <c r="I2274" t="str">
        <f>HYPERLINK("http://www.ncbi.nlm.nih.gov/protein/XP_004411395.1","PREDICTED: ryanodine receptor 2, partial")</f>
        <v>PREDICTED: ryanodine receptor 2, partial</v>
      </c>
      <c r="J2274">
        <v>5752.94</v>
      </c>
      <c r="K2274" t="s">
        <v>19</v>
      </c>
      <c r="L2274">
        <v>1210</v>
      </c>
      <c r="M2274">
        <v>7.13</v>
      </c>
      <c r="N2274">
        <v>56.06</v>
      </c>
      <c r="O2274" t="s">
        <v>19</v>
      </c>
      <c r="P2274" t="s">
        <v>1267</v>
      </c>
      <c r="Q2274" t="s">
        <v>19</v>
      </c>
      <c r="R2274" t="str">
        <f>HYPERLINK("https://cfpub.epa.gov/ecotox/explore.cfm?ncbi=9708","Explore in ECOTOX")</f>
        <v>Explore in ECOTOX</v>
      </c>
    </row>
    <row r="2275" spans="1:18" x14ac:dyDescent="0.45">
      <c r="A2275" t="s">
        <v>1266</v>
      </c>
      <c r="B2275">
        <v>8</v>
      </c>
      <c r="C2275" t="str">
        <f>HYPERLINK("http://www.ncbi.nlm.nih.gov/protein/CAB1335142.1","CAB1335142.1")</f>
        <v>CAB1335142.1</v>
      </c>
      <c r="D2275">
        <v>41731</v>
      </c>
      <c r="E2275" t="str">
        <f>HYPERLINK("http://www.ncbi.nlm.nih.gov/Taxonomy/Browser/wwwtax.cgi?mode=Info&amp;id=861768&amp;lvl=3&amp;lin=f&amp;keep=1&amp;srchmode=1&amp;unlock","861768")</f>
        <v>861768</v>
      </c>
      <c r="F2275" t="s">
        <v>17</v>
      </c>
      <c r="G2275" t="str">
        <f>HYPERLINK("http://www.ncbi.nlm.nih.gov/Taxonomy/Browser/wwwtax.cgi?mode=Info&amp;id=861768&amp;lvl=3&amp;lin=f&amp;keep=1&amp;srchmode=1&amp;unlock","Coregonus sp. 'balchen'")</f>
        <v>Coregonus sp. 'balchen'</v>
      </c>
      <c r="H2275" t="s">
        <v>726</v>
      </c>
      <c r="I2275" t="str">
        <f>HYPERLINK("http://www.ncbi.nlm.nih.gov/protein/CAB1335142.1","unnamed protein product, partial")</f>
        <v>unnamed protein product, partial</v>
      </c>
      <c r="J2275">
        <v>5660.88</v>
      </c>
      <c r="K2275" t="s">
        <v>22</v>
      </c>
      <c r="L2275">
        <v>1210</v>
      </c>
      <c r="M2275">
        <v>7.13</v>
      </c>
      <c r="N2275">
        <v>55.16</v>
      </c>
      <c r="O2275" t="s">
        <v>19</v>
      </c>
      <c r="P2275" t="s">
        <v>1267</v>
      </c>
      <c r="Q2275" t="s">
        <v>19</v>
      </c>
      <c r="R2275" t="str">
        <f>HYPERLINK("https://cfpub.epa.gov/ecotox/explore.cfm?ncbi=861768","Explore in ECOTOX")</f>
        <v>Explore in ECOTOX</v>
      </c>
    </row>
    <row r="2276" spans="1:18" x14ac:dyDescent="0.45">
      <c r="A2276" t="s">
        <v>1266</v>
      </c>
      <c r="B2276">
        <v>8</v>
      </c>
      <c r="C2276" t="str">
        <f>HYPERLINK("http://www.ncbi.nlm.nih.gov/protein/KAJ8264428.1","KAJ8264428.1")</f>
        <v>KAJ8264428.1</v>
      </c>
      <c r="D2276">
        <v>22572</v>
      </c>
      <c r="E2276" t="str">
        <f>HYPERLINK("http://www.ncbi.nlm.nih.gov/Taxonomy/Browser/wwwtax.cgi?mode=Info&amp;id=473457&amp;lvl=3&amp;lin=f&amp;keep=1&amp;srchmode=1&amp;unlock","473457")</f>
        <v>473457</v>
      </c>
      <c r="F2276" t="s">
        <v>17</v>
      </c>
      <c r="G2276" t="str">
        <f>HYPERLINK("http://www.ncbi.nlm.nih.gov/Taxonomy/Browser/wwwtax.cgi?mode=Info&amp;id=473457&amp;lvl=3&amp;lin=f&amp;keep=1&amp;srchmode=1&amp;unlock","Gymnothorax javanicus")</f>
        <v>Gymnothorax javanicus</v>
      </c>
      <c r="H2276" t="s">
        <v>736</v>
      </c>
      <c r="I2276" t="str">
        <f>HYPERLINK("http://www.ncbi.nlm.nih.gov/protein/KAJ8264428.1","hypothetical protein GJAV_G00149040")</f>
        <v>hypothetical protein GJAV_G00149040</v>
      </c>
      <c r="J2276">
        <v>5620.05</v>
      </c>
      <c r="K2276" t="s">
        <v>19</v>
      </c>
      <c r="L2276">
        <v>1210</v>
      </c>
      <c r="M2276">
        <v>7.13</v>
      </c>
      <c r="N2276">
        <v>54.76</v>
      </c>
      <c r="O2276" t="s">
        <v>19</v>
      </c>
      <c r="P2276" t="s">
        <v>1267</v>
      </c>
      <c r="Q2276" t="s">
        <v>19</v>
      </c>
      <c r="R2276" t="str">
        <f>HYPERLINK("https://cfpub.epa.gov/ecotox/explore.cfm?ncbi=473457","Explore in ECOTOX")</f>
        <v>Explore in ECOTOX</v>
      </c>
    </row>
    <row r="2277" spans="1:18" x14ac:dyDescent="0.45">
      <c r="A2277" t="s">
        <v>1266</v>
      </c>
      <c r="B2277">
        <v>8</v>
      </c>
      <c r="C2277" t="str">
        <f>HYPERLINK("http://www.ncbi.nlm.nih.gov/protein/KAI5607441.1","KAI5607441.1")</f>
        <v>KAI5607441.1</v>
      </c>
      <c r="D2277">
        <v>24506</v>
      </c>
      <c r="E2277" t="str">
        <f>HYPERLINK("http://www.ncbi.nlm.nih.gov/Taxonomy/Browser/wwwtax.cgi?mode=Info&amp;id=30991&amp;lvl=3&amp;lin=f&amp;keep=1&amp;srchmode=1&amp;unlock","30991")</f>
        <v>30991</v>
      </c>
      <c r="F2277" t="s">
        <v>17</v>
      </c>
      <c r="G2277" t="str">
        <f>HYPERLINK("http://www.ncbi.nlm.nih.gov/Taxonomy/Browser/wwwtax.cgi?mode=Info&amp;id=30991&amp;lvl=3&amp;lin=f&amp;keep=1&amp;srchmode=1&amp;unlock","Silurus asotus")</f>
        <v>Silurus asotus</v>
      </c>
      <c r="H2277" t="s">
        <v>101</v>
      </c>
      <c r="I2277" t="str">
        <f>HYPERLINK("http://www.ncbi.nlm.nih.gov/protein/KAI5607441.1","ryanodine receptor 1 isoform X1, partial")</f>
        <v>ryanodine receptor 1 isoform X1, partial</v>
      </c>
      <c r="J2277">
        <v>5605.02</v>
      </c>
      <c r="K2277" t="s">
        <v>19</v>
      </c>
      <c r="L2277">
        <v>1210</v>
      </c>
      <c r="M2277">
        <v>7.13</v>
      </c>
      <c r="N2277">
        <v>54.61</v>
      </c>
      <c r="O2277" t="s">
        <v>19</v>
      </c>
      <c r="P2277" t="s">
        <v>1267</v>
      </c>
      <c r="Q2277" t="s">
        <v>19</v>
      </c>
      <c r="R2277" t="str">
        <f>HYPERLINK("https://cfpub.epa.gov/ecotox/explore.cfm?ncbi=30991","Explore in ECOTOX")</f>
        <v>Explore in ECOTOX</v>
      </c>
    </row>
    <row r="2278" spans="1:18" x14ac:dyDescent="0.45">
      <c r="A2278" t="s">
        <v>1266</v>
      </c>
      <c r="B2278">
        <v>8</v>
      </c>
      <c r="C2278" t="str">
        <f>HYPERLINK("http://www.ncbi.nlm.nih.gov/protein/XP_013913629.1","XP_013913629.1")</f>
        <v>XP_013913629.1</v>
      </c>
      <c r="D2278">
        <v>25664</v>
      </c>
      <c r="E2278" t="str">
        <f>HYPERLINK("http://www.ncbi.nlm.nih.gov/Taxonomy/Browser/wwwtax.cgi?mode=Info&amp;id=35019&amp;lvl=3&amp;lin=f&amp;keep=1&amp;srchmode=1&amp;unlock","35019")</f>
        <v>35019</v>
      </c>
      <c r="F2278" t="s">
        <v>192</v>
      </c>
      <c r="G2278" t="str">
        <f>HYPERLINK("http://www.ncbi.nlm.nih.gov/Taxonomy/Browser/wwwtax.cgi?mode=Info&amp;id=35019&amp;lvl=3&amp;lin=f&amp;keep=1&amp;srchmode=1&amp;unlock","Thamnophis sirtalis")</f>
        <v>Thamnophis sirtalis</v>
      </c>
      <c r="H2278" t="s">
        <v>272</v>
      </c>
      <c r="I2278" t="str">
        <f>HYPERLINK("http://www.ncbi.nlm.nih.gov/protein/XP_013913629.1","PREDICTED: LOW QUALITY PROTEIN: ryanodine receptor 2")</f>
        <v>PREDICTED: LOW QUALITY PROTEIN: ryanodine receptor 2</v>
      </c>
      <c r="J2278">
        <v>5542.24</v>
      </c>
      <c r="K2278" t="s">
        <v>19</v>
      </c>
      <c r="L2278">
        <v>1210</v>
      </c>
      <c r="M2278">
        <v>7.13</v>
      </c>
      <c r="N2278">
        <v>54</v>
      </c>
      <c r="O2278" t="s">
        <v>19</v>
      </c>
      <c r="P2278" t="s">
        <v>1267</v>
      </c>
      <c r="Q2278" t="s">
        <v>19</v>
      </c>
      <c r="R2278" t="str">
        <f>HYPERLINK("https://cfpub.epa.gov/ecotox/explore.cfm?ncbi=35019","Explore in ECOTOX")</f>
        <v>Explore in ECOTOX</v>
      </c>
    </row>
    <row r="2279" spans="1:18" x14ac:dyDescent="0.45">
      <c r="A2279" t="s">
        <v>1266</v>
      </c>
      <c r="B2279">
        <v>8</v>
      </c>
      <c r="C2279" t="str">
        <f>HYPERLINK("http://www.ncbi.nlm.nih.gov/protein/KAG8123547.1","KAG8123547.1")</f>
        <v>KAG8123547.1</v>
      </c>
      <c r="D2279">
        <v>25952</v>
      </c>
      <c r="E2279" t="str">
        <f>HYPERLINK("http://www.ncbi.nlm.nih.gov/Taxonomy/Browser/wwwtax.cgi?mode=Info&amp;id=35670&amp;lvl=3&amp;lin=f&amp;keep=1&amp;srchmode=1&amp;unlock","35670")</f>
        <v>35670</v>
      </c>
      <c r="F2279" t="s">
        <v>192</v>
      </c>
      <c r="G2279" t="str">
        <f>HYPERLINK("http://www.ncbi.nlm.nih.gov/Taxonomy/Browser/wwwtax.cgi?mode=Info&amp;id=35670&amp;lvl=3&amp;lin=f&amp;keep=1&amp;srchmode=1&amp;unlock","Naja naja")</f>
        <v>Naja naja</v>
      </c>
      <c r="H2279" t="s">
        <v>759</v>
      </c>
      <c r="I2279" t="str">
        <f>HYPERLINK("http://www.ncbi.nlm.nih.gov/protein/KAG8123547.1","hypothetical protein E2320_018933")</f>
        <v>hypothetical protein E2320_018933</v>
      </c>
      <c r="J2279">
        <v>5532.99</v>
      </c>
      <c r="K2279" t="s">
        <v>19</v>
      </c>
      <c r="L2279">
        <v>1210</v>
      </c>
      <c r="M2279">
        <v>7.13</v>
      </c>
      <c r="N2279">
        <v>53.91</v>
      </c>
      <c r="O2279" t="s">
        <v>19</v>
      </c>
      <c r="P2279" t="s">
        <v>1267</v>
      </c>
      <c r="Q2279" t="s">
        <v>19</v>
      </c>
      <c r="R2279" t="str">
        <f>HYPERLINK("https://cfpub.epa.gov/ecotox/explore.cfm?ncbi=35670","Explore in ECOTOX")</f>
        <v>Explore in ECOTOX</v>
      </c>
    </row>
    <row r="2280" spans="1:18" x14ac:dyDescent="0.45">
      <c r="A2280" t="s">
        <v>1266</v>
      </c>
      <c r="B2280">
        <v>8</v>
      </c>
      <c r="C2280" t="str">
        <f>HYPERLINK("http://www.ncbi.nlm.nih.gov/protein/XP_023779615.1","XP_023779615.1")</f>
        <v>XP_023779615.1</v>
      </c>
      <c r="D2280">
        <v>31627</v>
      </c>
      <c r="E2280" t="str">
        <f>HYPERLINK("http://www.ncbi.nlm.nih.gov/Taxonomy/Browser/wwwtax.cgi?mode=Info&amp;id=156563&amp;lvl=3&amp;lin=f&amp;keep=1&amp;srchmode=1&amp;unlock","156563")</f>
        <v>156563</v>
      </c>
      <c r="F2280" t="s">
        <v>241</v>
      </c>
      <c r="G2280" t="str">
        <f>HYPERLINK("http://www.ncbi.nlm.nih.gov/Taxonomy/Browser/wwwtax.cgi?mode=Info&amp;id=156563&amp;lvl=3&amp;lin=f&amp;keep=1&amp;srchmode=1&amp;unlock","Cyanistes caeruleus")</f>
        <v>Cyanistes caeruleus</v>
      </c>
      <c r="H2280" t="s">
        <v>738</v>
      </c>
      <c r="I2280" t="str">
        <f>HYPERLINK("http://www.ncbi.nlm.nih.gov/protein/XP_023779615.1","ryanodine receptor 2")</f>
        <v>ryanodine receptor 2</v>
      </c>
      <c r="J2280">
        <v>5486.77</v>
      </c>
      <c r="K2280" t="s">
        <v>19</v>
      </c>
      <c r="L2280">
        <v>1210</v>
      </c>
      <c r="M2280">
        <v>7.13</v>
      </c>
      <c r="N2280">
        <v>53.46</v>
      </c>
      <c r="O2280" t="s">
        <v>19</v>
      </c>
      <c r="P2280" t="s">
        <v>1267</v>
      </c>
      <c r="Q2280" t="s">
        <v>19</v>
      </c>
      <c r="R2280" t="str">
        <f>HYPERLINK("https://cfpub.epa.gov/ecotox/explore.cfm?ncbi=156563","Explore in ECOTOX")</f>
        <v>Explore in ECOTOX</v>
      </c>
    </row>
    <row r="2281" spans="1:18" x14ac:dyDescent="0.45">
      <c r="A2281" t="s">
        <v>1266</v>
      </c>
      <c r="B2281">
        <v>8</v>
      </c>
      <c r="C2281" t="str">
        <f>HYPERLINK("http://www.ncbi.nlm.nih.gov/protein/NXJ07318.1","NXJ07318.1")</f>
        <v>NXJ07318.1</v>
      </c>
      <c r="D2281">
        <v>13852</v>
      </c>
      <c r="E2281" t="str">
        <f>HYPERLINK("http://www.ncbi.nlm.nih.gov/Taxonomy/Browser/wwwtax.cgi?mode=Info&amp;id=886794&amp;lvl=3&amp;lin=f&amp;keep=1&amp;srchmode=1&amp;unlock","886794")</f>
        <v>886794</v>
      </c>
      <c r="F2281" t="s">
        <v>241</v>
      </c>
      <c r="G2281" t="str">
        <f>HYPERLINK("http://www.ncbi.nlm.nih.gov/Taxonomy/Browser/wwwtax.cgi?mode=Info&amp;id=886794&amp;lvl=3&amp;lin=f&amp;keep=1&amp;srchmode=1&amp;unlock","Odontophorus gujanensis")</f>
        <v>Odontophorus gujanensis</v>
      </c>
      <c r="H2281" t="s">
        <v>766</v>
      </c>
      <c r="I2281" t="str">
        <f>HYPERLINK("http://www.ncbi.nlm.nih.gov/protein/NXJ07318.1","RYR2 protein")</f>
        <v>RYR2 protein</v>
      </c>
      <c r="J2281">
        <v>5284.54</v>
      </c>
      <c r="K2281" t="s">
        <v>19</v>
      </c>
      <c r="L2281">
        <v>1210</v>
      </c>
      <c r="M2281">
        <v>7.13</v>
      </c>
      <c r="N2281">
        <v>51.49</v>
      </c>
      <c r="O2281" t="s">
        <v>19</v>
      </c>
      <c r="P2281" t="s">
        <v>1267</v>
      </c>
      <c r="Q2281" t="s">
        <v>19</v>
      </c>
      <c r="R2281" t="str">
        <f>HYPERLINK("https://cfpub.epa.gov/ecotox/explore.cfm?ncbi=886794","Explore in ECOTOX")</f>
        <v>Explore in ECOTOX</v>
      </c>
    </row>
    <row r="2282" spans="1:18" x14ac:dyDescent="0.45">
      <c r="A2282" t="s">
        <v>1266</v>
      </c>
      <c r="B2282">
        <v>8</v>
      </c>
      <c r="C2282" t="str">
        <f>HYPERLINK("http://www.ncbi.nlm.nih.gov/protein/NXW55754.1","NXW55754.1")</f>
        <v>NXW55754.1</v>
      </c>
      <c r="D2282">
        <v>13972</v>
      </c>
      <c r="E2282" t="str">
        <f>HYPERLINK("http://www.ncbi.nlm.nih.gov/Taxonomy/Browser/wwwtax.cgi?mode=Info&amp;id=325343&amp;lvl=3&amp;lin=f&amp;keep=1&amp;srchmode=1&amp;unlock","325343")</f>
        <v>325343</v>
      </c>
      <c r="F2282" t="s">
        <v>241</v>
      </c>
      <c r="G2282" t="str">
        <f>HYPERLINK("http://www.ncbi.nlm.nih.gov/Taxonomy/Browser/wwwtax.cgi?mode=Info&amp;id=325343&amp;lvl=3&amp;lin=f&amp;keep=1&amp;srchmode=1&amp;unlock","Eurystomus gularis")</f>
        <v>Eurystomus gularis</v>
      </c>
      <c r="H2282" t="s">
        <v>778</v>
      </c>
      <c r="I2282" t="str">
        <f>HYPERLINK("http://www.ncbi.nlm.nih.gov/protein/NXW55754.1","RYR2 protein")</f>
        <v>RYR2 protein</v>
      </c>
      <c r="J2282">
        <v>5218.28</v>
      </c>
      <c r="K2282" t="s">
        <v>19</v>
      </c>
      <c r="L2282">
        <v>1210</v>
      </c>
      <c r="M2282">
        <v>7.13</v>
      </c>
      <c r="N2282">
        <v>50.85</v>
      </c>
      <c r="O2282" t="s">
        <v>19</v>
      </c>
      <c r="P2282" t="s">
        <v>1267</v>
      </c>
      <c r="Q2282" t="s">
        <v>19</v>
      </c>
      <c r="R2282" t="str">
        <f>HYPERLINK("https://cfpub.epa.gov/ecotox/explore.cfm?ncbi=325343","Explore in ECOTOX")</f>
        <v>Explore in ECOTOX</v>
      </c>
    </row>
    <row r="2283" spans="1:18" x14ac:dyDescent="0.45">
      <c r="A2283" t="s">
        <v>1266</v>
      </c>
      <c r="B2283">
        <v>8</v>
      </c>
      <c r="C2283" t="str">
        <f>HYPERLINK("http://www.ncbi.nlm.nih.gov/protein/NXI90335.1","NXI90335.1")</f>
        <v>NXI90335.1</v>
      </c>
      <c r="D2283">
        <v>13920</v>
      </c>
      <c r="E2283" t="str">
        <f>HYPERLINK("http://www.ncbi.nlm.nih.gov/Taxonomy/Browser/wwwtax.cgi?mode=Info&amp;id=54359&amp;lvl=3&amp;lin=f&amp;keep=1&amp;srchmode=1&amp;unlock","54359")</f>
        <v>54359</v>
      </c>
      <c r="F2283" t="s">
        <v>241</v>
      </c>
      <c r="G2283" t="str">
        <f>HYPERLINK("http://www.ncbi.nlm.nih.gov/Taxonomy/Browser/wwwtax.cgi?mode=Info&amp;id=54359&amp;lvl=3&amp;lin=f&amp;keep=1&amp;srchmode=1&amp;unlock","Psophia crepitans")</f>
        <v>Psophia crepitans</v>
      </c>
      <c r="H2283" t="s">
        <v>785</v>
      </c>
      <c r="I2283" t="str">
        <f>HYPERLINK("http://www.ncbi.nlm.nih.gov/protein/NXI90335.1","RYR2 protein")</f>
        <v>RYR2 protein</v>
      </c>
      <c r="J2283">
        <v>5093.4799999999996</v>
      </c>
      <c r="K2283" t="s">
        <v>19</v>
      </c>
      <c r="L2283">
        <v>1210</v>
      </c>
      <c r="M2283">
        <v>7.13</v>
      </c>
      <c r="N2283">
        <v>49.63</v>
      </c>
      <c r="O2283" t="s">
        <v>19</v>
      </c>
      <c r="P2283" t="s">
        <v>1267</v>
      </c>
      <c r="Q2283" t="s">
        <v>19</v>
      </c>
      <c r="R2283" t="str">
        <f>HYPERLINK("https://cfpub.epa.gov/ecotox/explore.cfm?ncbi=54359","Explore in ECOTOX")</f>
        <v>Explore in ECOTOX</v>
      </c>
    </row>
    <row r="2284" spans="1:18" x14ac:dyDescent="0.45">
      <c r="A2284" t="s">
        <v>1266</v>
      </c>
      <c r="B2284">
        <v>8</v>
      </c>
      <c r="C2284" t="str">
        <f>HYPERLINK("http://www.ncbi.nlm.nih.gov/protein/XP_039258901.1","XP_039258901.1")</f>
        <v>XP_039258901.1</v>
      </c>
      <c r="D2284">
        <v>27545</v>
      </c>
      <c r="E2284" t="str">
        <f>HYPERLINK("http://www.ncbi.nlm.nih.gov/Taxonomy/Browser/wwwtax.cgi?mode=Info&amp;id=7725&amp;lvl=3&amp;lin=f&amp;keep=1&amp;srchmode=1&amp;unlock","7725")</f>
        <v>7725</v>
      </c>
      <c r="F2284" t="s">
        <v>727</v>
      </c>
      <c r="G2284" t="str">
        <f>HYPERLINK("http://www.ncbi.nlm.nih.gov/Taxonomy/Browser/wwwtax.cgi?mode=Info&amp;id=7725&amp;lvl=3&amp;lin=f&amp;keep=1&amp;srchmode=1&amp;unlock","Styela clava")</f>
        <v>Styela clava</v>
      </c>
      <c r="H2284" t="s">
        <v>728</v>
      </c>
      <c r="I2284" t="str">
        <f>HYPERLINK("http://www.ncbi.nlm.nih.gov/protein/XP_039258901.1","LOW QUALITY PROTEIN: ryanodine receptor 3-like")</f>
        <v>LOW QUALITY PROTEIN: ryanodine receptor 3-like</v>
      </c>
      <c r="J2284">
        <v>5056.5</v>
      </c>
      <c r="K2284" t="s">
        <v>19</v>
      </c>
      <c r="L2284">
        <v>1210</v>
      </c>
      <c r="M2284">
        <v>7.13</v>
      </c>
      <c r="N2284">
        <v>49.27</v>
      </c>
      <c r="O2284" t="s">
        <v>19</v>
      </c>
      <c r="P2284" t="s">
        <v>1267</v>
      </c>
      <c r="Q2284" t="s">
        <v>19</v>
      </c>
      <c r="R2284" t="str">
        <f>HYPERLINK("https://cfpub.epa.gov/ecotox/explore.cfm?ncbi=7725","Explore in ECOTOX")</f>
        <v>Explore in ECOTOX</v>
      </c>
    </row>
    <row r="2285" spans="1:18" x14ac:dyDescent="0.45">
      <c r="A2285" t="s">
        <v>1266</v>
      </c>
      <c r="B2285">
        <v>8</v>
      </c>
      <c r="C2285" t="str">
        <f>HYPERLINK("http://www.ncbi.nlm.nih.gov/protein/NWH59077.1","NWH59077.1")</f>
        <v>NWH59077.1</v>
      </c>
      <c r="D2285">
        <v>13557</v>
      </c>
      <c r="E2285" t="str">
        <f>HYPERLINK("http://www.ncbi.nlm.nih.gov/Taxonomy/Browser/wwwtax.cgi?mode=Info&amp;id=8947&amp;lvl=3&amp;lin=f&amp;keep=1&amp;srchmode=1&amp;unlock","8947")</f>
        <v>8947</v>
      </c>
      <c r="F2285" t="s">
        <v>241</v>
      </c>
      <c r="G2285" t="str">
        <f>HYPERLINK("http://www.ncbi.nlm.nih.gov/Taxonomy/Browser/wwwtax.cgi?mode=Info&amp;id=8947&amp;lvl=3&amp;lin=f&amp;keep=1&amp;srchmode=1&amp;unlock","Geococcyx californianus")</f>
        <v>Geococcyx californianus</v>
      </c>
      <c r="H2285" t="s">
        <v>787</v>
      </c>
      <c r="I2285" t="str">
        <f>HYPERLINK("http://www.ncbi.nlm.nih.gov/protein/NWH59077.1","RYR2 protein")</f>
        <v>RYR2 protein</v>
      </c>
      <c r="J2285">
        <v>5022.99</v>
      </c>
      <c r="K2285" t="s">
        <v>19</v>
      </c>
      <c r="L2285">
        <v>1210</v>
      </c>
      <c r="M2285">
        <v>7.13</v>
      </c>
      <c r="N2285">
        <v>48.94</v>
      </c>
      <c r="O2285" t="s">
        <v>19</v>
      </c>
      <c r="P2285" t="s">
        <v>1267</v>
      </c>
      <c r="Q2285" t="s">
        <v>19</v>
      </c>
      <c r="R2285" t="str">
        <f>HYPERLINK("https://cfpub.epa.gov/ecotox/explore.cfm?ncbi=8947","Explore in ECOTOX")</f>
        <v>Explore in ECOTOX</v>
      </c>
    </row>
    <row r="2286" spans="1:18" x14ac:dyDescent="0.45">
      <c r="A2286" t="s">
        <v>1266</v>
      </c>
      <c r="B2286">
        <v>8</v>
      </c>
      <c r="C2286" t="str">
        <f>HYPERLINK("http://www.ncbi.nlm.nih.gov/protein/XP_016061941.1","XP_016061941.1")</f>
        <v>XP_016061941.1</v>
      </c>
      <c r="D2286">
        <v>29868</v>
      </c>
      <c r="E2286" t="str">
        <f>HYPERLINK("http://www.ncbi.nlm.nih.gov/Taxonomy/Browser/wwwtax.cgi?mode=Info&amp;id=291302&amp;lvl=3&amp;lin=f&amp;keep=1&amp;srchmode=1&amp;unlock","291302")</f>
        <v>291302</v>
      </c>
      <c r="F2286" t="s">
        <v>96</v>
      </c>
      <c r="G2286" t="str">
        <f>HYPERLINK("http://www.ncbi.nlm.nih.gov/Taxonomy/Browser/wwwtax.cgi?mode=Info&amp;id=291302&amp;lvl=3&amp;lin=f&amp;keep=1&amp;srchmode=1&amp;unlock","Miniopterus natalensis")</f>
        <v>Miniopterus natalensis</v>
      </c>
      <c r="H2286" t="s">
        <v>387</v>
      </c>
      <c r="I2286" t="str">
        <f>HYPERLINK("http://www.ncbi.nlm.nih.gov/protein/XP_016061941.1","PREDICTED: ryanodine receptor 1")</f>
        <v>PREDICTED: ryanodine receptor 1</v>
      </c>
      <c r="J2286">
        <v>5006.04</v>
      </c>
      <c r="K2286" t="s">
        <v>22</v>
      </c>
      <c r="L2286">
        <v>1210</v>
      </c>
      <c r="M2286">
        <v>7.13</v>
      </c>
      <c r="N2286">
        <v>48.78</v>
      </c>
      <c r="O2286" t="s">
        <v>19</v>
      </c>
      <c r="P2286" t="s">
        <v>1267</v>
      </c>
      <c r="Q2286" t="s">
        <v>19</v>
      </c>
      <c r="R2286" t="str">
        <f>HYPERLINK("https://cfpub.epa.gov/ecotox/explore.cfm?ncbi=291302","Explore in ECOTOX")</f>
        <v>Explore in ECOTOX</v>
      </c>
    </row>
    <row r="2287" spans="1:18" x14ac:dyDescent="0.45">
      <c r="A2287" t="s">
        <v>1266</v>
      </c>
      <c r="B2287">
        <v>8</v>
      </c>
      <c r="C2287" t="str">
        <f>HYPERLINK("http://www.ncbi.nlm.nih.gov/protein/XP_045150157.1","XP_045150157.1")</f>
        <v>XP_045150157.1</v>
      </c>
      <c r="D2287">
        <v>32216</v>
      </c>
      <c r="E2287" t="str">
        <f>HYPERLINK("http://www.ncbi.nlm.nih.gov/Taxonomy/Browser/wwwtax.cgi?mode=Info&amp;id=9371&amp;lvl=3&amp;lin=f&amp;keep=1&amp;srchmode=1&amp;unlock","9371")</f>
        <v>9371</v>
      </c>
      <c r="F2287" t="s">
        <v>96</v>
      </c>
      <c r="G2287" t="str">
        <f>HYPERLINK("http://www.ncbi.nlm.nih.gov/Taxonomy/Browser/wwwtax.cgi?mode=Info&amp;id=9371&amp;lvl=3&amp;lin=f&amp;keep=1&amp;srchmode=1&amp;unlock","Echinops telfairi")</f>
        <v>Echinops telfairi</v>
      </c>
      <c r="H2287" t="s">
        <v>756</v>
      </c>
      <c r="I2287" t="str">
        <f>HYPERLINK("http://www.ncbi.nlm.nih.gov/protein/XP_045150157.1","ryanodine receptor 2")</f>
        <v>ryanodine receptor 2</v>
      </c>
      <c r="J2287">
        <v>4984.8500000000004</v>
      </c>
      <c r="K2287" t="s">
        <v>19</v>
      </c>
      <c r="L2287">
        <v>1210</v>
      </c>
      <c r="M2287">
        <v>7.13</v>
      </c>
      <c r="N2287">
        <v>48.57</v>
      </c>
      <c r="O2287" t="s">
        <v>19</v>
      </c>
      <c r="P2287" t="s">
        <v>1267</v>
      </c>
      <c r="Q2287" t="s">
        <v>19</v>
      </c>
      <c r="R2287" t="str">
        <f>HYPERLINK("https://cfpub.epa.gov/ecotox/explore.cfm?ncbi=9371","Explore in ECOTOX")</f>
        <v>Explore in ECOTOX</v>
      </c>
    </row>
    <row r="2288" spans="1:18" x14ac:dyDescent="0.45">
      <c r="A2288" t="s">
        <v>1266</v>
      </c>
      <c r="B2288">
        <v>8</v>
      </c>
      <c r="C2288" t="str">
        <f>HYPERLINK("http://www.ncbi.nlm.nih.gov/protein/KAJ4940611.1","KAJ4940611.1")</f>
        <v>KAJ4940611.1</v>
      </c>
      <c r="D2288">
        <v>31147</v>
      </c>
      <c r="E2288" t="str">
        <f>HYPERLINK("http://www.ncbi.nlm.nih.gov/Taxonomy/Browser/wwwtax.cgi?mode=Info&amp;id=1090488&amp;lvl=3&amp;lin=f&amp;keep=1&amp;srchmode=1&amp;unlock","1090488")</f>
        <v>1090488</v>
      </c>
      <c r="F2288" t="s">
        <v>17</v>
      </c>
      <c r="G2288" t="str">
        <f>HYPERLINK("http://www.ncbi.nlm.nih.gov/Taxonomy/Browser/wwwtax.cgi?mode=Info&amp;id=1090488&amp;lvl=3&amp;lin=f&amp;keep=1&amp;srchmode=1&amp;unlock","Pogonophryne albipinna")</f>
        <v>Pogonophryne albipinna</v>
      </c>
      <c r="H2288" t="s">
        <v>719</v>
      </c>
      <c r="I2288" t="str">
        <f>HYPERLINK("http://www.ncbi.nlm.nih.gov/protein/KAJ4940611.1","hypothetical protein JOQ06_026908, partial")</f>
        <v>hypothetical protein JOQ06_026908, partial</v>
      </c>
      <c r="J2288">
        <v>4957.5</v>
      </c>
      <c r="K2288" t="s">
        <v>19</v>
      </c>
      <c r="L2288">
        <v>1210</v>
      </c>
      <c r="M2288">
        <v>7.13</v>
      </c>
      <c r="N2288">
        <v>48.31</v>
      </c>
      <c r="O2288" t="s">
        <v>19</v>
      </c>
      <c r="P2288" t="s">
        <v>1267</v>
      </c>
      <c r="Q2288" t="s">
        <v>19</v>
      </c>
      <c r="R2288" t="str">
        <f>HYPERLINK("https://cfpub.epa.gov/ecotox/explore.cfm?ncbi=1090488","Explore in ECOTOX")</f>
        <v>Explore in ECOTOX</v>
      </c>
    </row>
    <row r="2289" spans="1:18" x14ac:dyDescent="0.45">
      <c r="A2289" t="s">
        <v>1266</v>
      </c>
      <c r="B2289">
        <v>8</v>
      </c>
      <c r="C2289" t="str">
        <f>HYPERLINK("http://www.ncbi.nlm.nih.gov/protein/CAB3265843.1","CAB3265843.1")</f>
        <v>CAB3265843.1</v>
      </c>
      <c r="D2289">
        <v>9704</v>
      </c>
      <c r="E2289" t="str">
        <f>HYPERLINK("http://www.ncbi.nlm.nih.gov/Taxonomy/Browser/wwwtax.cgi?mode=Info&amp;id=59560&amp;lvl=3&amp;lin=f&amp;keep=1&amp;srchmode=1&amp;unlock","59560")</f>
        <v>59560</v>
      </c>
      <c r="F2289" t="s">
        <v>727</v>
      </c>
      <c r="G2289" t="str">
        <f>HYPERLINK("http://www.ncbi.nlm.nih.gov/Taxonomy/Browser/wwwtax.cgi?mode=Info&amp;id=59560&amp;lvl=3&amp;lin=f&amp;keep=1&amp;srchmode=1&amp;unlock","Phallusia mammillata")</f>
        <v>Phallusia mammillata</v>
      </c>
      <c r="H2289" t="s">
        <v>746</v>
      </c>
      <c r="I2289" t="str">
        <f>HYPERLINK("http://www.ncbi.nlm.nih.gov/protein/CAB3265843.1","ryanodine receptor 3")</f>
        <v>ryanodine receptor 3</v>
      </c>
      <c r="J2289">
        <v>4942.4799999999996</v>
      </c>
      <c r="K2289" t="s">
        <v>19</v>
      </c>
      <c r="L2289">
        <v>1210</v>
      </c>
      <c r="M2289">
        <v>7.13</v>
      </c>
      <c r="N2289">
        <v>48.16</v>
      </c>
      <c r="O2289" t="s">
        <v>19</v>
      </c>
      <c r="P2289" t="s">
        <v>1267</v>
      </c>
      <c r="Q2289" t="s">
        <v>19</v>
      </c>
      <c r="R2289" t="str">
        <f>HYPERLINK("https://cfpub.epa.gov/ecotox/explore.cfm?ncbi=59560","Explore in ECOTOX")</f>
        <v>Explore in ECOTOX</v>
      </c>
    </row>
    <row r="2290" spans="1:18" x14ac:dyDescent="0.45">
      <c r="A2290" t="s">
        <v>1266</v>
      </c>
      <c r="B2290">
        <v>8</v>
      </c>
      <c r="C2290" t="str">
        <f>HYPERLINK("http://www.ncbi.nlm.nih.gov/protein/KAF4800675.1","KAF4800675.1")</f>
        <v>KAF4800675.1</v>
      </c>
      <c r="D2290">
        <v>18371</v>
      </c>
      <c r="E2290" t="str">
        <f>HYPERLINK("http://www.ncbi.nlm.nih.gov/Taxonomy/Browser/wwwtax.cgi?mode=Info&amp;id=311356&amp;lvl=3&amp;lin=f&amp;keep=1&amp;srchmode=1&amp;unlock","311356")</f>
        <v>311356</v>
      </c>
      <c r="F2290" t="s">
        <v>241</v>
      </c>
      <c r="G2290" t="str">
        <f>HYPERLINK("http://www.ncbi.nlm.nih.gov/Taxonomy/Browser/wwwtax.cgi?mode=Info&amp;id=311356&amp;lvl=3&amp;lin=f&amp;keep=1&amp;srchmode=1&amp;unlock","Turdus rufiventris")</f>
        <v>Turdus rufiventris</v>
      </c>
      <c r="H2290" t="s">
        <v>792</v>
      </c>
      <c r="I2290" t="str">
        <f>HYPERLINK("http://www.ncbi.nlm.nih.gov/protein/KAF4800675.1","ryanodine receptor 2")</f>
        <v>ryanodine receptor 2</v>
      </c>
      <c r="J2290">
        <v>4926.6899999999996</v>
      </c>
      <c r="K2290" t="s">
        <v>19</v>
      </c>
      <c r="L2290">
        <v>1210</v>
      </c>
      <c r="M2290">
        <v>7.13</v>
      </c>
      <c r="N2290">
        <v>48</v>
      </c>
      <c r="O2290" t="s">
        <v>19</v>
      </c>
      <c r="P2290" t="s">
        <v>1267</v>
      </c>
      <c r="Q2290" t="s">
        <v>19</v>
      </c>
      <c r="R2290" t="str">
        <f>HYPERLINK("https://cfpub.epa.gov/ecotox/explore.cfm?ncbi=311356","Explore in ECOTOX")</f>
        <v>Explore in ECOTOX</v>
      </c>
    </row>
    <row r="2291" spans="1:18" x14ac:dyDescent="0.45">
      <c r="A2291" t="s">
        <v>1266</v>
      </c>
      <c r="B2291">
        <v>8</v>
      </c>
      <c r="C2291" t="str">
        <f>HYPERLINK("http://www.ncbi.nlm.nih.gov/protein/TRZ16704.1","TRZ16704.1")</f>
        <v>TRZ16704.1</v>
      </c>
      <c r="D2291">
        <v>22654</v>
      </c>
      <c r="E2291" t="str">
        <f>HYPERLINK("http://www.ncbi.nlm.nih.gov/Taxonomy/Browser/wwwtax.cgi?mode=Info&amp;id=364589&amp;lvl=3&amp;lin=f&amp;keep=1&amp;srchmode=1&amp;unlock","364589")</f>
        <v>364589</v>
      </c>
      <c r="F2291" t="s">
        <v>241</v>
      </c>
      <c r="G2291" t="str">
        <f>HYPERLINK("http://www.ncbi.nlm.nih.gov/Taxonomy/Browser/wwwtax.cgi?mode=Info&amp;id=364589&amp;lvl=3&amp;lin=f&amp;keep=1&amp;srchmode=1&amp;unlock","Zosterops borbonicus")</f>
        <v>Zosterops borbonicus</v>
      </c>
      <c r="H2291" t="s">
        <v>670</v>
      </c>
      <c r="I2291" t="str">
        <f>HYPERLINK("http://www.ncbi.nlm.nih.gov/protein/TRZ16704.1","hypothetical protein HGM15179_010409, partial")</f>
        <v>hypothetical protein HGM15179_010409, partial</v>
      </c>
      <c r="J2291">
        <v>4917.83</v>
      </c>
      <c r="K2291" t="s">
        <v>22</v>
      </c>
      <c r="L2291">
        <v>1210</v>
      </c>
      <c r="M2291">
        <v>7.13</v>
      </c>
      <c r="N2291">
        <v>47.92</v>
      </c>
      <c r="O2291" t="s">
        <v>19</v>
      </c>
      <c r="P2291" t="s">
        <v>1267</v>
      </c>
      <c r="Q2291" t="s">
        <v>19</v>
      </c>
      <c r="R2291" t="str">
        <f>HYPERLINK("https://cfpub.epa.gov/ecotox/explore.cfm?ncbi=364589","Explore in ECOTOX")</f>
        <v>Explore in ECOTOX</v>
      </c>
    </row>
    <row r="2292" spans="1:18" x14ac:dyDescent="0.45">
      <c r="A2292" t="s">
        <v>1266</v>
      </c>
      <c r="B2292">
        <v>8</v>
      </c>
      <c r="C2292" t="str">
        <f>HYPERLINK("http://www.ncbi.nlm.nih.gov/protein/XP_018669433.1","XP_018669433.1")</f>
        <v>XP_018669433.1</v>
      </c>
      <c r="D2292">
        <v>23442</v>
      </c>
      <c r="E2292" t="str">
        <f>HYPERLINK("http://www.ncbi.nlm.nih.gov/Taxonomy/Browser/wwwtax.cgi?mode=Info&amp;id=7719&amp;lvl=3&amp;lin=f&amp;keep=1&amp;srchmode=1&amp;unlock","7719")</f>
        <v>7719</v>
      </c>
      <c r="F2292" t="s">
        <v>727</v>
      </c>
      <c r="G2292" t="str">
        <f>HYPERLINK("http://www.ncbi.nlm.nih.gov/Taxonomy/Browser/wwwtax.cgi?mode=Info&amp;id=7719&amp;lvl=3&amp;lin=f&amp;keep=1&amp;srchmode=1&amp;unlock","Ciona intestinalis")</f>
        <v>Ciona intestinalis</v>
      </c>
      <c r="H2292" t="s">
        <v>753</v>
      </c>
      <c r="I2292" t="str">
        <f>HYPERLINK("http://www.ncbi.nlm.nih.gov/protein/XP_018669433.1","ryanodine receptor 3")</f>
        <v>ryanodine receptor 3</v>
      </c>
      <c r="J2292">
        <v>4915.8999999999996</v>
      </c>
      <c r="K2292" t="s">
        <v>19</v>
      </c>
      <c r="L2292">
        <v>1210</v>
      </c>
      <c r="M2292">
        <v>7.13</v>
      </c>
      <c r="N2292">
        <v>47.9</v>
      </c>
      <c r="O2292" t="s">
        <v>19</v>
      </c>
      <c r="P2292" t="s">
        <v>1267</v>
      </c>
      <c r="Q2292" t="s">
        <v>19</v>
      </c>
      <c r="R2292" t="str">
        <f>HYPERLINK("https://cfpub.epa.gov/ecotox/explore.cfm?ncbi=7719","Explore in ECOTOX")</f>
        <v>Explore in ECOTOX</v>
      </c>
    </row>
    <row r="2293" spans="1:18" x14ac:dyDescent="0.45">
      <c r="A2293" t="s">
        <v>1266</v>
      </c>
      <c r="B2293">
        <v>8</v>
      </c>
      <c r="C2293" t="str">
        <f>HYPERLINK("http://www.ncbi.nlm.nih.gov/protein/NWT34261.1","NWT34261.1")</f>
        <v>NWT34261.1</v>
      </c>
      <c r="D2293">
        <v>14099</v>
      </c>
      <c r="E2293" t="str">
        <f>HYPERLINK("http://www.ncbi.nlm.nih.gov/Taxonomy/Browser/wwwtax.cgi?mode=Info&amp;id=98964&amp;lvl=3&amp;lin=f&amp;keep=1&amp;srchmode=1&amp;unlock","98964")</f>
        <v>98964</v>
      </c>
      <c r="F2293" t="s">
        <v>241</v>
      </c>
      <c r="G2293" t="str">
        <f>HYPERLINK("http://www.ncbi.nlm.nih.gov/Taxonomy/Browser/wwwtax.cgi?mode=Info&amp;id=98964&amp;lvl=3&amp;lin=f&amp;keep=1&amp;srchmode=1&amp;unlock","Cardinalis cardinalis")</f>
        <v>Cardinalis cardinalis</v>
      </c>
      <c r="H2293" t="s">
        <v>791</v>
      </c>
      <c r="I2293" t="str">
        <f>HYPERLINK("http://www.ncbi.nlm.nih.gov/protein/NWT34261.1","RYR2 protein")</f>
        <v>RYR2 protein</v>
      </c>
      <c r="J2293">
        <v>4897.8</v>
      </c>
      <c r="K2293" t="s">
        <v>19</v>
      </c>
      <c r="L2293">
        <v>1210</v>
      </c>
      <c r="M2293">
        <v>7.13</v>
      </c>
      <c r="N2293">
        <v>47.72</v>
      </c>
      <c r="O2293" t="s">
        <v>19</v>
      </c>
      <c r="P2293" t="s">
        <v>1267</v>
      </c>
      <c r="Q2293" t="s">
        <v>19</v>
      </c>
      <c r="R2293" t="str">
        <f>HYPERLINK("https://cfpub.epa.gov/ecotox/explore.cfm?ncbi=98964","Explore in ECOTOX")</f>
        <v>Explore in ECOTOX</v>
      </c>
    </row>
    <row r="2294" spans="1:18" x14ac:dyDescent="0.45">
      <c r="A2294" t="s">
        <v>1266</v>
      </c>
      <c r="B2294">
        <v>8</v>
      </c>
      <c r="C2294" t="str">
        <f>HYPERLINK("http://www.ncbi.nlm.nih.gov/protein/CAH2328331.1","CAH2328331.1")</f>
        <v>CAH2328331.1</v>
      </c>
      <c r="D2294">
        <v>51619</v>
      </c>
      <c r="E2294" t="str">
        <f>HYPERLINK("http://www.ncbi.nlm.nih.gov/Taxonomy/Browser/wwwtax.cgi?mode=Info&amp;id=61616&amp;lvl=3&amp;lin=f&amp;keep=1&amp;srchmode=1&amp;unlock","61616")</f>
        <v>61616</v>
      </c>
      <c r="F2294" t="s">
        <v>177</v>
      </c>
      <c r="G2294" t="str">
        <f>HYPERLINK("http://www.ncbi.nlm.nih.gov/Taxonomy/Browser/wwwtax.cgi?mode=Info&amp;id=61616&amp;lvl=3&amp;lin=f&amp;keep=1&amp;srchmode=1&amp;unlock","Pelobates cultripes")</f>
        <v>Pelobates cultripes</v>
      </c>
      <c r="H2294" t="s">
        <v>714</v>
      </c>
      <c r="I2294" t="str">
        <f>HYPERLINK("http://www.ncbi.nlm.nih.gov/protein/CAH2328331.1","ryanodine receptor 3")</f>
        <v>ryanodine receptor 3</v>
      </c>
      <c r="J2294">
        <v>4896.26</v>
      </c>
      <c r="K2294" t="s">
        <v>22</v>
      </c>
      <c r="L2294">
        <v>1210</v>
      </c>
      <c r="M2294">
        <v>7.13</v>
      </c>
      <c r="N2294">
        <v>47.71</v>
      </c>
      <c r="O2294" t="s">
        <v>19</v>
      </c>
      <c r="P2294" t="s">
        <v>1267</v>
      </c>
      <c r="Q2294" t="s">
        <v>19</v>
      </c>
      <c r="R2294" t="str">
        <f>HYPERLINK("https://cfpub.epa.gov/ecotox/explore.cfm?ncbi=61616","Explore in ECOTOX")</f>
        <v>Explore in ECOTOX</v>
      </c>
    </row>
    <row r="2295" spans="1:18" x14ac:dyDescent="0.45">
      <c r="A2295" t="s">
        <v>1266</v>
      </c>
      <c r="B2295">
        <v>8</v>
      </c>
      <c r="C2295" t="str">
        <f>HYPERLINK("http://www.ncbi.nlm.nih.gov/protein/XP_056401295.1","XP_056401295.1")</f>
        <v>XP_056401295.1</v>
      </c>
      <c r="D2295">
        <v>58737</v>
      </c>
      <c r="E2295" t="str">
        <f>HYPERLINK("http://www.ncbi.nlm.nih.gov/Taxonomy/Browser/wwwtax.cgi?mode=Info&amp;id=327740&amp;lvl=3&amp;lin=f&amp;keep=1&amp;srchmode=1&amp;unlock","327740")</f>
        <v>327740</v>
      </c>
      <c r="F2295" t="s">
        <v>177</v>
      </c>
      <c r="G2295" t="str">
        <f>HYPERLINK("http://www.ncbi.nlm.nih.gov/Taxonomy/Browser/wwwtax.cgi?mode=Info&amp;id=327740&amp;lvl=3&amp;lin=f&amp;keep=1&amp;srchmode=1&amp;unlock","Hyla sarda")</f>
        <v>Hyla sarda</v>
      </c>
      <c r="H2295" t="s">
        <v>731</v>
      </c>
      <c r="I2295" t="str">
        <f>HYPERLINK("http://www.ncbi.nlm.nih.gov/protein/XP_056401295.1","ryanodine receptor 3 isoform X9")</f>
        <v>ryanodine receptor 3 isoform X9</v>
      </c>
      <c r="J2295">
        <v>4878.54</v>
      </c>
      <c r="K2295" t="s">
        <v>22</v>
      </c>
      <c r="L2295">
        <v>1210</v>
      </c>
      <c r="M2295">
        <v>7.13</v>
      </c>
      <c r="N2295">
        <v>47.54</v>
      </c>
      <c r="O2295" t="s">
        <v>19</v>
      </c>
      <c r="P2295" t="s">
        <v>1267</v>
      </c>
      <c r="Q2295" t="s">
        <v>19</v>
      </c>
      <c r="R2295" t="str">
        <f>HYPERLINK("https://cfpub.epa.gov/ecotox/explore.cfm?ncbi=327740","Explore in ECOTOX")</f>
        <v>Explore in ECOTOX</v>
      </c>
    </row>
    <row r="2296" spans="1:18" x14ac:dyDescent="0.45">
      <c r="A2296" t="s">
        <v>1266</v>
      </c>
      <c r="B2296">
        <v>8</v>
      </c>
      <c r="C2296" t="str">
        <f>HYPERLINK("http://www.ncbi.nlm.nih.gov/protein/XP_044128314.1","XP_044128314.1")</f>
        <v>XP_044128314.1</v>
      </c>
      <c r="D2296">
        <v>39196</v>
      </c>
      <c r="E2296" t="str">
        <f>HYPERLINK("http://www.ncbi.nlm.nih.gov/Taxonomy/Browser/wwwtax.cgi?mode=Info&amp;id=30331&amp;lvl=3&amp;lin=f&amp;keep=1&amp;srchmode=1&amp;unlock","30331")</f>
        <v>30331</v>
      </c>
      <c r="F2296" t="s">
        <v>177</v>
      </c>
      <c r="G2296" t="str">
        <f>HYPERLINK("http://www.ncbi.nlm.nih.gov/Taxonomy/Browser/wwwtax.cgi?mode=Info&amp;id=30331&amp;lvl=3&amp;lin=f&amp;keep=1&amp;srchmode=1&amp;unlock","Bufo gargarizans")</f>
        <v>Bufo gargarizans</v>
      </c>
      <c r="H2296" t="s">
        <v>186</v>
      </c>
      <c r="I2296" t="str">
        <f>HYPERLINK("http://www.ncbi.nlm.nih.gov/protein/XP_044128314.1","ryanodine receptor 3 isoform X4")</f>
        <v>ryanodine receptor 3 isoform X4</v>
      </c>
      <c r="J2296">
        <v>4875.46</v>
      </c>
      <c r="K2296" t="s">
        <v>22</v>
      </c>
      <c r="L2296">
        <v>1210</v>
      </c>
      <c r="M2296">
        <v>7.13</v>
      </c>
      <c r="N2296">
        <v>47.51</v>
      </c>
      <c r="O2296" t="s">
        <v>19</v>
      </c>
      <c r="P2296" t="s">
        <v>1267</v>
      </c>
      <c r="Q2296" t="s">
        <v>19</v>
      </c>
      <c r="R2296" t="str">
        <f>HYPERLINK("https://cfpub.epa.gov/ecotox/explore.cfm?ncbi=30331","Explore in ECOTOX")</f>
        <v>Explore in ECOTOX</v>
      </c>
    </row>
    <row r="2297" spans="1:18" x14ac:dyDescent="0.45">
      <c r="A2297" t="s">
        <v>1266</v>
      </c>
      <c r="B2297">
        <v>8</v>
      </c>
      <c r="C2297" t="str">
        <f>HYPERLINK("http://www.ncbi.nlm.nih.gov/protein/XP_053553950.1","XP_053553950.1")</f>
        <v>XP_053553950.1</v>
      </c>
      <c r="D2297">
        <v>33803</v>
      </c>
      <c r="E2297" t="str">
        <f>HYPERLINK("http://www.ncbi.nlm.nih.gov/Taxonomy/Browser/wwwtax.cgi?mode=Info&amp;id=8345&amp;lvl=3&amp;lin=f&amp;keep=1&amp;srchmode=1&amp;unlock","8345")</f>
        <v>8345</v>
      </c>
      <c r="F2297" t="s">
        <v>177</v>
      </c>
      <c r="G2297" t="str">
        <f>HYPERLINK("http://www.ncbi.nlm.nih.gov/Taxonomy/Browser/wwwtax.cgi?mode=Info&amp;id=8345&amp;lvl=3&amp;lin=f&amp;keep=1&amp;srchmode=1&amp;unlock","Bombina bombina")</f>
        <v>Bombina bombina</v>
      </c>
      <c r="H2297" t="s">
        <v>187</v>
      </c>
      <c r="I2297" t="str">
        <f>HYPERLINK("http://www.ncbi.nlm.nih.gov/protein/XP_053553950.1","ryanodine receptor 3 isoform X7")</f>
        <v>ryanodine receptor 3 isoform X7</v>
      </c>
      <c r="J2297">
        <v>4874.6899999999996</v>
      </c>
      <c r="K2297" t="s">
        <v>22</v>
      </c>
      <c r="L2297">
        <v>1210</v>
      </c>
      <c r="M2297">
        <v>7.13</v>
      </c>
      <c r="N2297">
        <v>47.5</v>
      </c>
      <c r="O2297" t="s">
        <v>19</v>
      </c>
      <c r="P2297" t="s">
        <v>1267</v>
      </c>
      <c r="Q2297" t="s">
        <v>19</v>
      </c>
      <c r="R2297" t="str">
        <f>HYPERLINK("https://cfpub.epa.gov/ecotox/explore.cfm?ncbi=8345","Explore in ECOTOX")</f>
        <v>Explore in ECOTOX</v>
      </c>
    </row>
    <row r="2298" spans="1:18" x14ac:dyDescent="0.45">
      <c r="A2298" t="s">
        <v>1266</v>
      </c>
      <c r="B2298">
        <v>8</v>
      </c>
      <c r="C2298" t="str">
        <f>HYPERLINK("http://www.ncbi.nlm.nih.gov/protein/DBA14234.1","DBA14234.1")</f>
        <v>DBA14234.1</v>
      </c>
      <c r="D2298">
        <v>21325</v>
      </c>
      <c r="E2298" t="str">
        <f>HYPERLINK("http://www.ncbi.nlm.nih.gov/Taxonomy/Browser/wwwtax.cgi?mode=Info&amp;id=30357&amp;lvl=3&amp;lin=f&amp;keep=1&amp;srchmode=1&amp;unlock","30357")</f>
        <v>30357</v>
      </c>
      <c r="F2298" t="s">
        <v>177</v>
      </c>
      <c r="G2298" t="str">
        <f>HYPERLINK("http://www.ncbi.nlm.nih.gov/Taxonomy/Browser/wwwtax.cgi?mode=Info&amp;id=30357&amp;lvl=3&amp;lin=f&amp;keep=1&amp;srchmode=1&amp;unlock","Pyxicephalus adspersus")</f>
        <v>Pyxicephalus adspersus</v>
      </c>
      <c r="H2298" t="s">
        <v>717</v>
      </c>
      <c r="I2298" t="str">
        <f>HYPERLINK("http://www.ncbi.nlm.nih.gov/protein/DBA14234.1","TPA: hypothetical protein GDO54_005232")</f>
        <v>TPA: hypothetical protein GDO54_005232</v>
      </c>
      <c r="J2298">
        <v>4863.5200000000004</v>
      </c>
      <c r="K2298" t="s">
        <v>22</v>
      </c>
      <c r="L2298">
        <v>1210</v>
      </c>
      <c r="M2298">
        <v>7.13</v>
      </c>
      <c r="N2298">
        <v>47.39</v>
      </c>
      <c r="O2298" t="s">
        <v>19</v>
      </c>
      <c r="P2298" t="s">
        <v>1267</v>
      </c>
      <c r="Q2298" t="s">
        <v>19</v>
      </c>
      <c r="R2298" t="str">
        <f>HYPERLINK("https://cfpub.epa.gov/ecotox/explore.cfm?ncbi=30357","Explore in ECOTOX")</f>
        <v>Explore in ECOTOX</v>
      </c>
    </row>
    <row r="2299" spans="1:18" x14ac:dyDescent="0.45">
      <c r="A2299" t="s">
        <v>1266</v>
      </c>
      <c r="B2299">
        <v>8</v>
      </c>
      <c r="C2299" t="str">
        <f>HYPERLINK("http://www.ncbi.nlm.nih.gov/protein/XP_018409702.1","XP_018409702.1")</f>
        <v>XP_018409702.1</v>
      </c>
      <c r="D2299">
        <v>24954</v>
      </c>
      <c r="E2299" t="str">
        <f>HYPERLINK("http://www.ncbi.nlm.nih.gov/Taxonomy/Browser/wwwtax.cgi?mode=Info&amp;id=125878&amp;lvl=3&amp;lin=f&amp;keep=1&amp;srchmode=1&amp;unlock","125878")</f>
        <v>125878</v>
      </c>
      <c r="F2299" t="s">
        <v>177</v>
      </c>
      <c r="G2299" t="str">
        <f>HYPERLINK("http://www.ncbi.nlm.nih.gov/Taxonomy/Browser/wwwtax.cgi?mode=Info&amp;id=125878&amp;lvl=3&amp;lin=f&amp;keep=1&amp;srchmode=1&amp;unlock","Nanorana parkeri")</f>
        <v>Nanorana parkeri</v>
      </c>
      <c r="H2299" t="s">
        <v>717</v>
      </c>
      <c r="I2299" t="str">
        <f>HYPERLINK("http://www.ncbi.nlm.nih.gov/protein/XP_018409702.1","PREDICTED: ryanodine receptor 3")</f>
        <v>PREDICTED: ryanodine receptor 3</v>
      </c>
      <c r="J2299">
        <v>4857.74</v>
      </c>
      <c r="K2299" t="s">
        <v>22</v>
      </c>
      <c r="L2299">
        <v>1210</v>
      </c>
      <c r="M2299">
        <v>7.13</v>
      </c>
      <c r="N2299">
        <v>47.33</v>
      </c>
      <c r="O2299" t="s">
        <v>19</v>
      </c>
      <c r="P2299" t="s">
        <v>1267</v>
      </c>
      <c r="Q2299" t="s">
        <v>19</v>
      </c>
      <c r="R2299" t="str">
        <f>HYPERLINK("https://cfpub.epa.gov/ecotox/explore.cfm?ncbi=125878","Explore in ECOTOX")</f>
        <v>Explore in ECOTOX</v>
      </c>
    </row>
    <row r="2300" spans="1:18" x14ac:dyDescent="0.45">
      <c r="A2300" t="s">
        <v>1266</v>
      </c>
      <c r="B2300">
        <v>8</v>
      </c>
      <c r="C2300" t="str">
        <f>HYPERLINK("http://www.ncbi.nlm.nih.gov/protein/XP_017597432.1","XP_017597432.1")</f>
        <v>XP_017597432.1</v>
      </c>
      <c r="D2300">
        <v>43090</v>
      </c>
      <c r="E2300" t="str">
        <f>HYPERLINK("http://www.ncbi.nlm.nih.gov/Taxonomy/Browser/wwwtax.cgi?mode=Info&amp;id=85066&amp;lvl=3&amp;lin=f&amp;keep=1&amp;srchmode=1&amp;unlock","85066")</f>
        <v>85066</v>
      </c>
      <c r="F2300" t="s">
        <v>241</v>
      </c>
      <c r="G2300" t="str">
        <f>HYPERLINK("http://www.ncbi.nlm.nih.gov/Taxonomy/Browser/wwwtax.cgi?mode=Info&amp;id=85066&amp;lvl=3&amp;lin=f&amp;keep=1&amp;srchmode=1&amp;unlock","Corvus brachyrhynchos")</f>
        <v>Corvus brachyrhynchos</v>
      </c>
      <c r="H2300" t="s">
        <v>734</v>
      </c>
      <c r="I2300" t="str">
        <f>HYPERLINK("http://www.ncbi.nlm.nih.gov/protein/XP_017597432.1","PREDICTED: ryanodine receptor 3 isoform X13")</f>
        <v>PREDICTED: ryanodine receptor 3 isoform X13</v>
      </c>
      <c r="J2300">
        <v>4856.58</v>
      </c>
      <c r="K2300" t="s">
        <v>22</v>
      </c>
      <c r="L2300">
        <v>1210</v>
      </c>
      <c r="M2300">
        <v>7.13</v>
      </c>
      <c r="N2300">
        <v>47.32</v>
      </c>
      <c r="O2300" t="s">
        <v>19</v>
      </c>
      <c r="P2300" t="s">
        <v>1267</v>
      </c>
      <c r="Q2300" t="s">
        <v>19</v>
      </c>
      <c r="R2300" t="str">
        <f>HYPERLINK("https://cfpub.epa.gov/ecotox/explore.cfm?ncbi=85066","Explore in ECOTOX")</f>
        <v>Explore in ECOTOX</v>
      </c>
    </row>
    <row r="2301" spans="1:18" x14ac:dyDescent="0.45">
      <c r="A2301" t="s">
        <v>1266</v>
      </c>
      <c r="B2301">
        <v>8</v>
      </c>
      <c r="C2301" t="str">
        <f>HYPERLINK("http://www.ncbi.nlm.nih.gov/protein/XP_059704203.1","XP_059704203.1")</f>
        <v>XP_059704203.1</v>
      </c>
      <c r="D2301">
        <v>38239</v>
      </c>
      <c r="E2301" t="str">
        <f>HYPERLINK("http://www.ncbi.nlm.nih.gov/Taxonomy/Browser/wwwtax.cgi?mode=Info&amp;id=30427&amp;lvl=3&amp;lin=f&amp;keep=1&amp;srchmode=1&amp;unlock","30427")</f>
        <v>30427</v>
      </c>
      <c r="F2301" t="s">
        <v>241</v>
      </c>
      <c r="G2301" t="str">
        <f>HYPERLINK("http://www.ncbi.nlm.nih.gov/Taxonomy/Browser/wwwtax.cgi?mode=Info&amp;id=30427&amp;lvl=3&amp;lin=f&amp;keep=1&amp;srchmode=1&amp;unlock","Haemorhous mexicanus")</f>
        <v>Haemorhous mexicanus</v>
      </c>
      <c r="H2301" t="s">
        <v>729</v>
      </c>
      <c r="I2301" t="str">
        <f>HYPERLINK("http://www.ncbi.nlm.nih.gov/protein/XP_059704203.1","ryanodine receptor 3")</f>
        <v>ryanodine receptor 3</v>
      </c>
      <c r="J2301">
        <v>4855.8100000000004</v>
      </c>
      <c r="K2301" t="s">
        <v>22</v>
      </c>
      <c r="L2301">
        <v>1210</v>
      </c>
      <c r="M2301">
        <v>7.13</v>
      </c>
      <c r="N2301">
        <v>47.31</v>
      </c>
      <c r="O2301" t="s">
        <v>19</v>
      </c>
      <c r="P2301" t="s">
        <v>1267</v>
      </c>
      <c r="Q2301" t="s">
        <v>19</v>
      </c>
      <c r="R2301" t="str">
        <f>HYPERLINK("https://cfpub.epa.gov/ecotox/explore.cfm?ncbi=30427","Explore in ECOTOX")</f>
        <v>Explore in ECOTOX</v>
      </c>
    </row>
    <row r="2302" spans="1:18" x14ac:dyDescent="0.45">
      <c r="A2302" t="s">
        <v>1266</v>
      </c>
      <c r="B2302">
        <v>8</v>
      </c>
      <c r="C2302" t="str">
        <f>HYPERLINK("http://www.ncbi.nlm.nih.gov/protein/XP_053330601.1","XP_053330601.1")</f>
        <v>XP_053330601.1</v>
      </c>
      <c r="D2302">
        <v>27882</v>
      </c>
      <c r="E2302" t="str">
        <f>HYPERLINK("http://www.ncbi.nlm.nih.gov/Taxonomy/Browser/wwwtax.cgi?mode=Info&amp;id=233779&amp;lvl=3&amp;lin=f&amp;keep=1&amp;srchmode=1&amp;unlock","233779")</f>
        <v>233779</v>
      </c>
      <c r="F2302" t="s">
        <v>177</v>
      </c>
      <c r="G2302" t="str">
        <f>HYPERLINK("http://www.ncbi.nlm.nih.gov/Taxonomy/Browser/wwwtax.cgi?mode=Info&amp;id=233779&amp;lvl=3&amp;lin=f&amp;keep=1&amp;srchmode=1&amp;unlock","Spea bombifrons")</f>
        <v>Spea bombifrons</v>
      </c>
      <c r="H2302" t="s">
        <v>183</v>
      </c>
      <c r="I2302" t="str">
        <f>HYPERLINK("http://www.ncbi.nlm.nih.gov/protein/XP_053330601.1","ryanodine receptor 3")</f>
        <v>ryanodine receptor 3</v>
      </c>
      <c r="J2302">
        <v>4849.26</v>
      </c>
      <c r="K2302" t="s">
        <v>22</v>
      </c>
      <c r="L2302">
        <v>1210</v>
      </c>
      <c r="M2302">
        <v>7.13</v>
      </c>
      <c r="N2302">
        <v>47.25</v>
      </c>
      <c r="O2302" t="s">
        <v>19</v>
      </c>
      <c r="P2302" t="s">
        <v>1267</v>
      </c>
      <c r="Q2302" t="s">
        <v>19</v>
      </c>
      <c r="R2302" t="str">
        <f>HYPERLINK("https://cfpub.epa.gov/ecotox/explore.cfm?ncbi=233779","Explore in ECOTOX")</f>
        <v>Explore in ECOTOX</v>
      </c>
    </row>
    <row r="2303" spans="1:18" x14ac:dyDescent="0.45">
      <c r="A2303" t="s">
        <v>1266</v>
      </c>
      <c r="B2303">
        <v>8</v>
      </c>
      <c r="C2303" t="str">
        <f>HYPERLINK("http://www.ncbi.nlm.nih.gov/protein/KAJ3610589.1","KAJ3610589.1")</f>
        <v>KAJ3610589.1</v>
      </c>
      <c r="D2303">
        <v>34688</v>
      </c>
      <c r="E2303" t="str">
        <f>HYPERLINK("http://www.ncbi.nlm.nih.gov/Taxonomy/Browser/wwwtax.cgi?mode=Info&amp;id=630683&amp;lvl=3&amp;lin=f&amp;keep=1&amp;srchmode=1&amp;unlock","630683")</f>
        <v>630683</v>
      </c>
      <c r="F2303" t="s">
        <v>17</v>
      </c>
      <c r="G2303" t="str">
        <f>HYPERLINK("http://www.ncbi.nlm.nih.gov/Taxonomy/Browser/wwwtax.cgi?mode=Info&amp;id=630683&amp;lvl=3&amp;lin=f&amp;keep=1&amp;srchmode=1&amp;unlock","Muraenolepis orangiensis")</f>
        <v>Muraenolepis orangiensis</v>
      </c>
      <c r="H2303" t="s">
        <v>235</v>
      </c>
      <c r="I2303" t="str">
        <f>HYPERLINK("http://www.ncbi.nlm.nih.gov/protein/KAJ3610589.1","hypothetical protein NHX12_022681")</f>
        <v>hypothetical protein NHX12_022681</v>
      </c>
      <c r="J2303">
        <v>4848.49</v>
      </c>
      <c r="K2303" t="s">
        <v>19</v>
      </c>
      <c r="L2303">
        <v>1210</v>
      </c>
      <c r="M2303">
        <v>7.13</v>
      </c>
      <c r="N2303">
        <v>47.24</v>
      </c>
      <c r="O2303" t="s">
        <v>19</v>
      </c>
      <c r="P2303" t="s">
        <v>1267</v>
      </c>
      <c r="Q2303" t="s">
        <v>19</v>
      </c>
      <c r="R2303" t="str">
        <f>HYPERLINK("https://cfpub.epa.gov/ecotox/explore.cfm?ncbi=630683","Explore in ECOTOX")</f>
        <v>Explore in ECOTOX</v>
      </c>
    </row>
    <row r="2304" spans="1:18" x14ac:dyDescent="0.45">
      <c r="A2304" t="s">
        <v>1266</v>
      </c>
      <c r="B2304">
        <v>8</v>
      </c>
      <c r="C2304" t="str">
        <f>HYPERLINK("http://www.ncbi.nlm.nih.gov/protein/XP_009482892.1","XP_009482892.1")</f>
        <v>XP_009482892.1</v>
      </c>
      <c r="D2304">
        <v>28625</v>
      </c>
      <c r="E2304" t="str">
        <f>HYPERLINK("http://www.ncbi.nlm.nih.gov/Taxonomy/Browser/wwwtax.cgi?mode=Info&amp;id=36300&amp;lvl=3&amp;lin=f&amp;keep=1&amp;srchmode=1&amp;unlock","36300")</f>
        <v>36300</v>
      </c>
      <c r="F2304" t="s">
        <v>241</v>
      </c>
      <c r="G2304" t="str">
        <f>HYPERLINK("http://www.ncbi.nlm.nih.gov/Taxonomy/Browser/wwwtax.cgi?mode=Info&amp;id=36300&amp;lvl=3&amp;lin=f&amp;keep=1&amp;srchmode=1&amp;unlock","Pelecanus crispus")</f>
        <v>Pelecanus crispus</v>
      </c>
      <c r="H2304" t="s">
        <v>732</v>
      </c>
      <c r="I2304" t="str">
        <f>HYPERLINK("http://www.ncbi.nlm.nih.gov/protein/XP_009482892.1","PREDICTED: LOW QUALITY PROTEIN: ryanodine receptor 3-like, partial")</f>
        <v>PREDICTED: LOW QUALITY PROTEIN: ryanodine receptor 3-like, partial</v>
      </c>
      <c r="J2304">
        <v>4846.95</v>
      </c>
      <c r="K2304" t="s">
        <v>22</v>
      </c>
      <c r="L2304">
        <v>1210</v>
      </c>
      <c r="M2304">
        <v>7.13</v>
      </c>
      <c r="N2304">
        <v>47.23</v>
      </c>
      <c r="O2304" t="s">
        <v>19</v>
      </c>
      <c r="P2304" t="s">
        <v>1267</v>
      </c>
      <c r="Q2304" t="s">
        <v>19</v>
      </c>
      <c r="R2304" t="str">
        <f>HYPERLINK("https://cfpub.epa.gov/ecotox/explore.cfm?ncbi=36300","Explore in ECOTOX")</f>
        <v>Explore in ECOTOX</v>
      </c>
    </row>
    <row r="2305" spans="1:18" x14ac:dyDescent="0.45">
      <c r="A2305" t="s">
        <v>1266</v>
      </c>
      <c r="B2305">
        <v>8</v>
      </c>
      <c r="C2305" t="str">
        <f>HYPERLINK("http://www.ncbi.nlm.nih.gov/protein/XP_010288227.1","XP_010288227.1")</f>
        <v>XP_010288227.1</v>
      </c>
      <c r="D2305">
        <v>28598</v>
      </c>
      <c r="E2305" t="str">
        <f>HYPERLINK("http://www.ncbi.nlm.nih.gov/Taxonomy/Browser/wwwtax.cgi?mode=Info&amp;id=97097&amp;lvl=3&amp;lin=f&amp;keep=1&amp;srchmode=1&amp;unlock","97097")</f>
        <v>97097</v>
      </c>
      <c r="F2305" t="s">
        <v>241</v>
      </c>
      <c r="G2305" t="str">
        <f>HYPERLINK("http://www.ncbi.nlm.nih.gov/Taxonomy/Browser/wwwtax.cgi?mode=Info&amp;id=97097&amp;lvl=3&amp;lin=f&amp;keep=1&amp;srchmode=1&amp;unlock","Phaethon lepturus")</f>
        <v>Phaethon lepturus</v>
      </c>
      <c r="H2305" t="s">
        <v>735</v>
      </c>
      <c r="I2305" t="str">
        <f>HYPERLINK("http://www.ncbi.nlm.nih.gov/protein/XP_010288227.1","PREDICTED: LOW QUALITY PROTEIN: ryanodine receptor 3, partial")</f>
        <v>PREDICTED: LOW QUALITY PROTEIN: ryanodine receptor 3, partial</v>
      </c>
      <c r="J2305">
        <v>4840.0200000000004</v>
      </c>
      <c r="K2305" t="s">
        <v>22</v>
      </c>
      <c r="L2305">
        <v>1210</v>
      </c>
      <c r="M2305">
        <v>7.13</v>
      </c>
      <c r="N2305">
        <v>47.16</v>
      </c>
      <c r="O2305" t="s">
        <v>19</v>
      </c>
      <c r="P2305" t="s">
        <v>1267</v>
      </c>
      <c r="Q2305" t="s">
        <v>19</v>
      </c>
      <c r="R2305" t="str">
        <f>HYPERLINK("https://cfpub.epa.gov/ecotox/explore.cfm?ncbi=97097","Explore in ECOTOX")</f>
        <v>Explore in ECOTOX</v>
      </c>
    </row>
    <row r="2306" spans="1:18" x14ac:dyDescent="0.45">
      <c r="A2306" t="s">
        <v>1266</v>
      </c>
      <c r="B2306">
        <v>8</v>
      </c>
      <c r="C2306" t="str">
        <f>HYPERLINK("http://www.ncbi.nlm.nih.gov/protein/TFK15157.1","TFK15157.1")</f>
        <v>TFK15157.1</v>
      </c>
      <c r="D2306">
        <v>21675</v>
      </c>
      <c r="E2306" t="str">
        <f>HYPERLINK("http://www.ncbi.nlm.nih.gov/Taxonomy/Browser/wwwtax.cgi?mode=Info&amp;id=55544&amp;lvl=3&amp;lin=f&amp;keep=1&amp;srchmode=1&amp;unlock","55544")</f>
        <v>55544</v>
      </c>
      <c r="F2306" t="s">
        <v>203</v>
      </c>
      <c r="G2306" t="str">
        <f>HYPERLINK("http://www.ncbi.nlm.nih.gov/Taxonomy/Browser/wwwtax.cgi?mode=Info&amp;id=55544&amp;lvl=3&amp;lin=f&amp;keep=1&amp;srchmode=1&amp;unlock","Platysternon megacephalum")</f>
        <v>Platysternon megacephalum</v>
      </c>
      <c r="H2306" t="s">
        <v>701</v>
      </c>
      <c r="I2306" t="str">
        <f>HYPERLINK("http://www.ncbi.nlm.nih.gov/protein/TFK15157.1","cytosolic beta-glucosidase")</f>
        <v>cytosolic beta-glucosidase</v>
      </c>
      <c r="J2306">
        <v>4837.71</v>
      </c>
      <c r="K2306" t="s">
        <v>22</v>
      </c>
      <c r="L2306">
        <v>1210</v>
      </c>
      <c r="M2306">
        <v>7.13</v>
      </c>
      <c r="N2306">
        <v>47.14</v>
      </c>
      <c r="O2306" t="s">
        <v>19</v>
      </c>
      <c r="P2306" t="s">
        <v>1267</v>
      </c>
      <c r="Q2306" t="s">
        <v>19</v>
      </c>
      <c r="R2306" t="str">
        <f>HYPERLINK("https://cfpub.epa.gov/ecotox/explore.cfm?ncbi=55544","Explore in ECOTOX")</f>
        <v>Explore in ECOTOX</v>
      </c>
    </row>
    <row r="2307" spans="1:18" x14ac:dyDescent="0.45">
      <c r="A2307" t="s">
        <v>1266</v>
      </c>
      <c r="B2307">
        <v>8</v>
      </c>
      <c r="C2307" t="str">
        <f>HYPERLINK("http://www.ncbi.nlm.nih.gov/protein/XP_015413022.1","XP_015413022.1")</f>
        <v>XP_015413022.1</v>
      </c>
      <c r="D2307">
        <v>48727</v>
      </c>
      <c r="E2307" t="str">
        <f>HYPERLINK("http://www.ncbi.nlm.nih.gov/Taxonomy/Browser/wwwtax.cgi?mode=Info&amp;id=225400&amp;lvl=3&amp;lin=f&amp;keep=1&amp;srchmode=1&amp;unlock","225400")</f>
        <v>225400</v>
      </c>
      <c r="F2307" t="s">
        <v>96</v>
      </c>
      <c r="G2307" t="str">
        <f>HYPERLINK("http://www.ncbi.nlm.nih.gov/Taxonomy/Browser/wwwtax.cgi?mode=Info&amp;id=225400&amp;lvl=3&amp;lin=f&amp;keep=1&amp;srchmode=1&amp;unlock","Myotis davidii")</f>
        <v>Myotis davidii</v>
      </c>
      <c r="H2307" t="s">
        <v>387</v>
      </c>
      <c r="I2307" t="str">
        <f>HYPERLINK("http://www.ncbi.nlm.nih.gov/protein/XP_015413022.1","PREDICTED: LOW QUALITY PROTEIN: ryanodine receptor 3")</f>
        <v>PREDICTED: LOW QUALITY PROTEIN: ryanodine receptor 3</v>
      </c>
      <c r="J2307">
        <v>4835.78</v>
      </c>
      <c r="K2307" t="s">
        <v>22</v>
      </c>
      <c r="L2307">
        <v>1210</v>
      </c>
      <c r="M2307">
        <v>7.13</v>
      </c>
      <c r="N2307">
        <v>47.12</v>
      </c>
      <c r="O2307" t="s">
        <v>19</v>
      </c>
      <c r="P2307" t="s">
        <v>1267</v>
      </c>
      <c r="Q2307" t="s">
        <v>19</v>
      </c>
      <c r="R2307" t="str">
        <f>HYPERLINK("https://cfpub.epa.gov/ecotox/explore.cfm?ncbi=225400","Explore in ECOTOX")</f>
        <v>Explore in ECOTOX</v>
      </c>
    </row>
    <row r="2308" spans="1:18" x14ac:dyDescent="0.45">
      <c r="A2308" t="s">
        <v>1266</v>
      </c>
      <c r="B2308">
        <v>8</v>
      </c>
      <c r="C2308" t="str">
        <f>HYPERLINK("http://www.ncbi.nlm.nih.gov/protein/XP_011844521.1","XP_011844521.1")</f>
        <v>XP_011844521.1</v>
      </c>
      <c r="D2308">
        <v>38461</v>
      </c>
      <c r="E2308" t="str">
        <f>HYPERLINK("http://www.ncbi.nlm.nih.gov/Taxonomy/Browser/wwwtax.cgi?mode=Info&amp;id=9568&amp;lvl=3&amp;lin=f&amp;keep=1&amp;srchmode=1&amp;unlock","9568")</f>
        <v>9568</v>
      </c>
      <c r="F2308" t="s">
        <v>96</v>
      </c>
      <c r="G2308" t="str">
        <f>HYPERLINK("http://www.ncbi.nlm.nih.gov/Taxonomy/Browser/wwwtax.cgi?mode=Info&amp;id=9568&amp;lvl=3&amp;lin=f&amp;keep=1&amp;srchmode=1&amp;unlock","Mandrillus leucophaeus")</f>
        <v>Mandrillus leucophaeus</v>
      </c>
      <c r="H2308" t="s">
        <v>739</v>
      </c>
      <c r="I2308" t="str">
        <f>HYPERLINK("http://www.ncbi.nlm.nih.gov/protein/XP_011844521.1","PREDICTED: ryanodine receptor 3")</f>
        <v>PREDICTED: ryanodine receptor 3</v>
      </c>
      <c r="J2308">
        <v>4834.24</v>
      </c>
      <c r="K2308" t="s">
        <v>22</v>
      </c>
      <c r="L2308">
        <v>1210</v>
      </c>
      <c r="M2308">
        <v>7.13</v>
      </c>
      <c r="N2308">
        <v>47.1</v>
      </c>
      <c r="O2308" t="s">
        <v>19</v>
      </c>
      <c r="P2308" t="s">
        <v>1267</v>
      </c>
      <c r="Q2308" t="s">
        <v>19</v>
      </c>
      <c r="R2308" t="str">
        <f>HYPERLINK("https://cfpub.epa.gov/ecotox/explore.cfm?ncbi=9568","Explore in ECOTOX")</f>
        <v>Explore in ECOTOX</v>
      </c>
    </row>
    <row r="2309" spans="1:18" x14ac:dyDescent="0.45">
      <c r="A2309" t="s">
        <v>1266</v>
      </c>
      <c r="B2309">
        <v>8</v>
      </c>
      <c r="C2309" t="str">
        <f>HYPERLINK("http://www.ncbi.nlm.nih.gov/protein/XP_014635880.1","XP_014635880.1")</f>
        <v>XP_014635880.1</v>
      </c>
      <c r="D2309">
        <v>33637</v>
      </c>
      <c r="E2309" t="str">
        <f>HYPERLINK("http://www.ncbi.nlm.nih.gov/Taxonomy/Browser/wwwtax.cgi?mode=Info&amp;id=73337&amp;lvl=3&amp;lin=f&amp;keep=1&amp;srchmode=1&amp;unlock","73337")</f>
        <v>73337</v>
      </c>
      <c r="F2309" t="s">
        <v>96</v>
      </c>
      <c r="G2309" t="str">
        <f>HYPERLINK("http://www.ncbi.nlm.nih.gov/Taxonomy/Browser/wwwtax.cgi?mode=Info&amp;id=73337&amp;lvl=3&amp;lin=f&amp;keep=1&amp;srchmode=1&amp;unlock","Ceratotherium simum simum")</f>
        <v>Ceratotherium simum simum</v>
      </c>
      <c r="H2309" t="s">
        <v>740</v>
      </c>
      <c r="I2309" t="str">
        <f>HYPERLINK("http://www.ncbi.nlm.nih.gov/protein/XP_014635880.1","PREDICTED: ryanodine receptor 3")</f>
        <v>PREDICTED: ryanodine receptor 3</v>
      </c>
      <c r="J2309">
        <v>4830.7700000000004</v>
      </c>
      <c r="K2309" t="s">
        <v>22</v>
      </c>
      <c r="L2309">
        <v>1210</v>
      </c>
      <c r="M2309">
        <v>7.13</v>
      </c>
      <c r="N2309">
        <v>47.07</v>
      </c>
      <c r="O2309" t="s">
        <v>19</v>
      </c>
      <c r="P2309" t="s">
        <v>1267</v>
      </c>
      <c r="Q2309" t="s">
        <v>19</v>
      </c>
      <c r="R2309" t="str">
        <f>HYPERLINK("https://cfpub.epa.gov/ecotox/explore.cfm?ncbi=73337","Explore in ECOTOX")</f>
        <v>Explore in ECOTOX</v>
      </c>
    </row>
    <row r="2310" spans="1:18" x14ac:dyDescent="0.45">
      <c r="A2310" t="s">
        <v>1266</v>
      </c>
      <c r="B2310">
        <v>8</v>
      </c>
      <c r="C2310" t="str">
        <f>HYPERLINK("http://www.ncbi.nlm.nih.gov/protein/KAK2507410.1","KAK2507410.1")</f>
        <v>KAK2507410.1</v>
      </c>
      <c r="D2310">
        <v>21901</v>
      </c>
      <c r="E2310" t="str">
        <f>HYPERLINK("http://www.ncbi.nlm.nih.gov/Taxonomy/Browser/wwwtax.cgi?mode=Info&amp;id=1559511&amp;lvl=3&amp;lin=f&amp;keep=1&amp;srchmode=1&amp;unlock","1559511")</f>
        <v>1559511</v>
      </c>
      <c r="F2310" t="s">
        <v>96</v>
      </c>
      <c r="G2310" t="str">
        <f>HYPERLINK("http://www.ncbi.nlm.nih.gov/Taxonomy/Browser/wwwtax.cgi?mode=Info&amp;id=1559511&amp;lvl=3&amp;lin=f&amp;keep=1&amp;srchmode=1&amp;unlock","Smutsia gigantea")</f>
        <v>Smutsia gigantea</v>
      </c>
      <c r="H2310" t="s">
        <v>831</v>
      </c>
      <c r="I2310" t="str">
        <f>HYPERLINK("http://www.ncbi.nlm.nih.gov/protein/KAK2507410.1","hypothetical protein MC885_007629, partial")</f>
        <v>hypothetical protein MC885_007629, partial</v>
      </c>
      <c r="J2310">
        <v>4828.08</v>
      </c>
      <c r="K2310" t="s">
        <v>19</v>
      </c>
      <c r="L2310">
        <v>1210</v>
      </c>
      <c r="M2310">
        <v>7.13</v>
      </c>
      <c r="N2310">
        <v>47.04</v>
      </c>
      <c r="O2310" t="s">
        <v>19</v>
      </c>
      <c r="P2310" t="s">
        <v>1267</v>
      </c>
      <c r="Q2310" t="s">
        <v>19</v>
      </c>
      <c r="R2310" t="str">
        <f>HYPERLINK("https://cfpub.epa.gov/ecotox/explore.cfm?ncbi=1559511","Explore in ECOTOX")</f>
        <v>Explore in ECOTOX</v>
      </c>
    </row>
    <row r="2311" spans="1:18" x14ac:dyDescent="0.45">
      <c r="A2311" t="s">
        <v>1266</v>
      </c>
      <c r="B2311">
        <v>8</v>
      </c>
      <c r="C2311" t="str">
        <f>HYPERLINK("http://www.ncbi.nlm.nih.gov/protein/XP_023414540.1","XP_023414540.1")</f>
        <v>XP_023414540.1</v>
      </c>
      <c r="D2311">
        <v>41939</v>
      </c>
      <c r="E2311" t="str">
        <f>HYPERLINK("http://www.ncbi.nlm.nih.gov/Taxonomy/Browser/wwwtax.cgi?mode=Info&amp;id=9785&amp;lvl=3&amp;lin=f&amp;keep=1&amp;srchmode=1&amp;unlock","9785")</f>
        <v>9785</v>
      </c>
      <c r="F2311" t="s">
        <v>96</v>
      </c>
      <c r="G2311" t="str">
        <f>HYPERLINK("http://www.ncbi.nlm.nih.gov/Taxonomy/Browser/wwwtax.cgi?mode=Info&amp;id=9785&amp;lvl=3&amp;lin=f&amp;keep=1&amp;srchmode=1&amp;unlock","Loxodonta africana")</f>
        <v>Loxodonta africana</v>
      </c>
      <c r="H2311" t="s">
        <v>749</v>
      </c>
      <c r="I2311" t="str">
        <f>HYPERLINK("http://www.ncbi.nlm.nih.gov/protein/XP_023414540.1","LOW QUALITY PROTEIN: ryanodine receptor 3")</f>
        <v>LOW QUALITY PROTEIN: ryanodine receptor 3</v>
      </c>
      <c r="J2311">
        <v>4822.68</v>
      </c>
      <c r="K2311" t="s">
        <v>22</v>
      </c>
      <c r="L2311">
        <v>1210</v>
      </c>
      <c r="M2311">
        <v>7.13</v>
      </c>
      <c r="N2311">
        <v>46.99</v>
      </c>
      <c r="O2311" t="s">
        <v>19</v>
      </c>
      <c r="P2311" t="s">
        <v>1267</v>
      </c>
      <c r="Q2311" t="s">
        <v>19</v>
      </c>
      <c r="R2311" t="str">
        <f>HYPERLINK("https://cfpub.epa.gov/ecotox/explore.cfm?ncbi=9785","Explore in ECOTOX")</f>
        <v>Explore in ECOTOX</v>
      </c>
    </row>
    <row r="2312" spans="1:18" x14ac:dyDescent="0.45">
      <c r="A2312" t="s">
        <v>1266</v>
      </c>
      <c r="B2312">
        <v>8</v>
      </c>
      <c r="C2312" t="str">
        <f>HYPERLINK("http://www.ncbi.nlm.nih.gov/protein/XP_017655619.1","XP_017655619.1")</f>
        <v>XP_017655619.1</v>
      </c>
      <c r="D2312">
        <v>49440</v>
      </c>
      <c r="E2312" t="str">
        <f>HYPERLINK("http://www.ncbi.nlm.nih.gov/Taxonomy/Browser/wwwtax.cgi?mode=Info&amp;id=1026970&amp;lvl=3&amp;lin=f&amp;keep=1&amp;srchmode=1&amp;unlock","1026970")</f>
        <v>1026970</v>
      </c>
      <c r="F2312" t="s">
        <v>96</v>
      </c>
      <c r="G2312" t="str">
        <f>HYPERLINK("http://www.ncbi.nlm.nih.gov/Taxonomy/Browser/wwwtax.cgi?mode=Info&amp;id=1026970&amp;lvl=3&amp;lin=f&amp;keep=1&amp;srchmode=1&amp;unlock","Nannospalax galili")</f>
        <v>Nannospalax galili</v>
      </c>
      <c r="H2312" t="s">
        <v>744</v>
      </c>
      <c r="I2312" t="str">
        <f>HYPERLINK("http://www.ncbi.nlm.nih.gov/protein/XP_017655619.1","ryanodine receptor 3")</f>
        <v>ryanodine receptor 3</v>
      </c>
      <c r="J2312">
        <v>4814.21</v>
      </c>
      <c r="K2312" t="s">
        <v>22</v>
      </c>
      <c r="L2312">
        <v>1210</v>
      </c>
      <c r="M2312">
        <v>7.13</v>
      </c>
      <c r="N2312">
        <v>46.91</v>
      </c>
      <c r="O2312" t="s">
        <v>19</v>
      </c>
      <c r="P2312" t="s">
        <v>1267</v>
      </c>
      <c r="Q2312" t="s">
        <v>19</v>
      </c>
      <c r="R2312" t="str">
        <f>HYPERLINK("https://cfpub.epa.gov/ecotox/explore.cfm?ncbi=1026970","Explore in ECOTOX")</f>
        <v>Explore in ECOTOX</v>
      </c>
    </row>
    <row r="2313" spans="1:18" x14ac:dyDescent="0.45">
      <c r="A2313" t="s">
        <v>1266</v>
      </c>
      <c r="B2313">
        <v>8</v>
      </c>
      <c r="C2313" t="str">
        <f>HYPERLINK("http://www.ncbi.nlm.nih.gov/protein/XP_015264808.1","XP_015264808.1")</f>
        <v>XP_015264808.1</v>
      </c>
      <c r="D2313">
        <v>24685</v>
      </c>
      <c r="E2313" t="str">
        <f>HYPERLINK("http://www.ncbi.nlm.nih.gov/Taxonomy/Browser/wwwtax.cgi?mode=Info&amp;id=146911&amp;lvl=3&amp;lin=f&amp;keep=1&amp;srchmode=1&amp;unlock","146911")</f>
        <v>146911</v>
      </c>
      <c r="F2313" t="s">
        <v>192</v>
      </c>
      <c r="G2313" t="str">
        <f>HYPERLINK("http://www.ncbi.nlm.nih.gov/Taxonomy/Browser/wwwtax.cgi?mode=Info&amp;id=146911&amp;lvl=3&amp;lin=f&amp;keep=1&amp;srchmode=1&amp;unlock","Gekko japonicus")</f>
        <v>Gekko japonicus</v>
      </c>
      <c r="H2313" t="s">
        <v>255</v>
      </c>
      <c r="I2313" t="str">
        <f>HYPERLINK("http://www.ncbi.nlm.nih.gov/protein/XP_015264808.1","PREDICTED: ryanodine receptor 3")</f>
        <v>PREDICTED: ryanodine receptor 3</v>
      </c>
      <c r="J2313">
        <v>4814.21</v>
      </c>
      <c r="K2313" t="s">
        <v>22</v>
      </c>
      <c r="L2313">
        <v>1210</v>
      </c>
      <c r="M2313">
        <v>7.13</v>
      </c>
      <c r="N2313">
        <v>46.91</v>
      </c>
      <c r="O2313" t="s">
        <v>19</v>
      </c>
      <c r="P2313" t="s">
        <v>1267</v>
      </c>
      <c r="Q2313" t="s">
        <v>19</v>
      </c>
      <c r="R2313" t="str">
        <f>HYPERLINK("https://cfpub.epa.gov/ecotox/explore.cfm?ncbi=146911","Explore in ECOTOX")</f>
        <v>Explore in ECOTOX</v>
      </c>
    </row>
    <row r="2314" spans="1:18" x14ac:dyDescent="0.45">
      <c r="A2314" t="s">
        <v>1266</v>
      </c>
      <c r="B2314">
        <v>8</v>
      </c>
      <c r="C2314" t="str">
        <f>HYPERLINK("http://www.ncbi.nlm.nih.gov/protein/XP_058018114.1","XP_058018114.1")</f>
        <v>XP_058018114.1</v>
      </c>
      <c r="D2314">
        <v>42811</v>
      </c>
      <c r="E2314" t="str">
        <f>HYPERLINK("http://www.ncbi.nlm.nih.gov/Taxonomy/Browser/wwwtax.cgi?mode=Info&amp;id=499056&amp;lvl=3&amp;lin=f&amp;keep=1&amp;srchmode=1&amp;unlock","499056")</f>
        <v>499056</v>
      </c>
      <c r="F2314" t="s">
        <v>192</v>
      </c>
      <c r="G2314" t="str">
        <f>HYPERLINK("http://www.ncbi.nlm.nih.gov/Taxonomy/Browser/wwwtax.cgi?mode=Info&amp;id=499056&amp;lvl=3&amp;lin=f&amp;keep=1&amp;srchmode=1&amp;unlock","Ahaetulla prasina")</f>
        <v>Ahaetulla prasina</v>
      </c>
      <c r="H2314" t="s">
        <v>272</v>
      </c>
      <c r="I2314" t="str">
        <f>HYPERLINK("http://www.ncbi.nlm.nih.gov/protein/XP_058018114.1","ryanodine receptor 3")</f>
        <v>ryanodine receptor 3</v>
      </c>
      <c r="J2314">
        <v>4809.59</v>
      </c>
      <c r="K2314" t="s">
        <v>22</v>
      </c>
      <c r="L2314">
        <v>1210</v>
      </c>
      <c r="M2314">
        <v>7.13</v>
      </c>
      <c r="N2314">
        <v>46.86</v>
      </c>
      <c r="O2314" t="s">
        <v>19</v>
      </c>
      <c r="P2314" t="s">
        <v>1267</v>
      </c>
      <c r="Q2314" t="s">
        <v>19</v>
      </c>
      <c r="R2314" t="str">
        <f>HYPERLINK("https://cfpub.epa.gov/ecotox/explore.cfm?ncbi=499056","Explore in ECOTOX")</f>
        <v>Explore in ECOTOX</v>
      </c>
    </row>
    <row r="2315" spans="1:18" x14ac:dyDescent="0.45">
      <c r="A2315" t="s">
        <v>1266</v>
      </c>
      <c r="B2315">
        <v>8</v>
      </c>
      <c r="C2315" t="str">
        <f>HYPERLINK("http://www.ncbi.nlm.nih.gov/protein/RLW10063.1","RLW10063.1")</f>
        <v>RLW10063.1</v>
      </c>
      <c r="D2315">
        <v>19082</v>
      </c>
      <c r="E2315" t="str">
        <f>HYPERLINK("http://www.ncbi.nlm.nih.gov/Taxonomy/Browser/wwwtax.cgi?mode=Info&amp;id=44316&amp;lvl=3&amp;lin=f&amp;keep=1&amp;srchmode=1&amp;unlock","44316")</f>
        <v>44316</v>
      </c>
      <c r="F2315" t="s">
        <v>241</v>
      </c>
      <c r="G2315" t="str">
        <f>HYPERLINK("http://www.ncbi.nlm.nih.gov/Taxonomy/Browser/wwwtax.cgi?mode=Info&amp;id=44316&amp;lvl=3&amp;lin=f&amp;keep=1&amp;srchmode=1&amp;unlock","Chloebia gouldiae")</f>
        <v>Chloebia gouldiae</v>
      </c>
      <c r="H2315" t="s">
        <v>741</v>
      </c>
      <c r="I2315" t="str">
        <f>HYPERLINK("http://www.ncbi.nlm.nih.gov/protein/RLW10063.1","hypothetical protein DV515_00002198")</f>
        <v>hypothetical protein DV515_00002198</v>
      </c>
      <c r="J2315">
        <v>4800.34</v>
      </c>
      <c r="K2315" t="s">
        <v>22</v>
      </c>
      <c r="L2315">
        <v>1210</v>
      </c>
      <c r="M2315">
        <v>7.13</v>
      </c>
      <c r="N2315">
        <v>46.77</v>
      </c>
      <c r="O2315" t="s">
        <v>19</v>
      </c>
      <c r="P2315" t="s">
        <v>1267</v>
      </c>
      <c r="Q2315" t="s">
        <v>19</v>
      </c>
      <c r="R2315" t="str">
        <f>HYPERLINK("https://cfpub.epa.gov/ecotox/explore.cfm?ncbi=44316","Explore in ECOTOX")</f>
        <v>Explore in ECOTOX</v>
      </c>
    </row>
    <row r="2316" spans="1:18" x14ac:dyDescent="0.45">
      <c r="A2316" t="s">
        <v>1266</v>
      </c>
      <c r="B2316">
        <v>8</v>
      </c>
      <c r="C2316" t="str">
        <f>HYPERLINK("http://www.ncbi.nlm.nih.gov/protein/XP_035745681.1","XP_035745681.1")</f>
        <v>XP_035745681.1</v>
      </c>
      <c r="D2316">
        <v>37444</v>
      </c>
      <c r="E2316" t="str">
        <f>HYPERLINK("http://www.ncbi.nlm.nih.gov/Taxonomy/Browser/wwwtax.cgi?mode=Info&amp;id=188379&amp;lvl=3&amp;lin=f&amp;keep=1&amp;srchmode=1&amp;unlock","188379")</f>
        <v>188379</v>
      </c>
      <c r="F2316" t="s">
        <v>241</v>
      </c>
      <c r="G2316" t="str">
        <f>HYPERLINK("http://www.ncbi.nlm.nih.gov/Taxonomy/Browser/wwwtax.cgi?mode=Info&amp;id=188379&amp;lvl=3&amp;lin=f&amp;keep=1&amp;srchmode=1&amp;unlock","Egretta garzetta")</f>
        <v>Egretta garzetta</v>
      </c>
      <c r="H2316" t="s">
        <v>743</v>
      </c>
      <c r="I2316" t="str">
        <f>HYPERLINK("http://www.ncbi.nlm.nih.gov/protein/XP_035745681.1","LOW QUALITY PROTEIN: ryanodine receptor 3")</f>
        <v>LOW QUALITY PROTEIN: ryanodine receptor 3</v>
      </c>
      <c r="J2316">
        <v>4788.0200000000004</v>
      </c>
      <c r="K2316" t="s">
        <v>22</v>
      </c>
      <c r="L2316">
        <v>1210</v>
      </c>
      <c r="M2316">
        <v>7.13</v>
      </c>
      <c r="N2316">
        <v>46.65</v>
      </c>
      <c r="O2316" t="s">
        <v>19</v>
      </c>
      <c r="P2316" t="s">
        <v>1267</v>
      </c>
      <c r="Q2316" t="s">
        <v>19</v>
      </c>
      <c r="R2316" t="str">
        <f>HYPERLINK("https://cfpub.epa.gov/ecotox/explore.cfm?ncbi=188379","Explore in ECOTOX")</f>
        <v>Explore in ECOTOX</v>
      </c>
    </row>
    <row r="2317" spans="1:18" x14ac:dyDescent="0.45">
      <c r="A2317" t="s">
        <v>1266</v>
      </c>
      <c r="B2317">
        <v>8</v>
      </c>
      <c r="C2317" t="str">
        <f>HYPERLINK("http://www.ncbi.nlm.nih.gov/protein/XP_054369595.1","XP_054369595.1")</f>
        <v>XP_054369595.1</v>
      </c>
      <c r="D2317">
        <v>45739</v>
      </c>
      <c r="E2317" t="str">
        <f>HYPERLINK("http://www.ncbi.nlm.nih.gov/Taxonomy/Browser/wwwtax.cgi?mode=Info&amp;id=9716&amp;lvl=3&amp;lin=f&amp;keep=1&amp;srchmode=1&amp;unlock","9716")</f>
        <v>9716</v>
      </c>
      <c r="F2317" t="s">
        <v>96</v>
      </c>
      <c r="G2317" t="str">
        <f>HYPERLINK("http://www.ncbi.nlm.nih.gov/Taxonomy/Browser/wwwtax.cgi?mode=Info&amp;id=9716&amp;lvl=3&amp;lin=f&amp;keep=1&amp;srchmode=1&amp;unlock","Mirounga angustirostris")</f>
        <v>Mirounga angustirostris</v>
      </c>
      <c r="H2317" t="s">
        <v>750</v>
      </c>
      <c r="I2317" t="str">
        <f>HYPERLINK("http://www.ncbi.nlm.nih.gov/protein/XP_054369595.1","ryanodine receptor 3")</f>
        <v>ryanodine receptor 3</v>
      </c>
      <c r="J2317">
        <v>4787.63</v>
      </c>
      <c r="K2317" t="s">
        <v>22</v>
      </c>
      <c r="L2317">
        <v>1210</v>
      </c>
      <c r="M2317">
        <v>7.13</v>
      </c>
      <c r="N2317">
        <v>46.65</v>
      </c>
      <c r="O2317" t="s">
        <v>19</v>
      </c>
      <c r="P2317" t="s">
        <v>1267</v>
      </c>
      <c r="Q2317" t="s">
        <v>19</v>
      </c>
      <c r="R2317" t="str">
        <f>HYPERLINK("https://cfpub.epa.gov/ecotox/explore.cfm?ncbi=9716","Explore in ECOTOX")</f>
        <v>Explore in ECOTOX</v>
      </c>
    </row>
    <row r="2318" spans="1:18" x14ac:dyDescent="0.45">
      <c r="A2318" t="s">
        <v>1266</v>
      </c>
      <c r="B2318">
        <v>8</v>
      </c>
      <c r="C2318" t="str">
        <f>HYPERLINK("http://www.ncbi.nlm.nih.gov/protein/KAK1793405.1","KAK1793405.1")</f>
        <v>KAK1793405.1</v>
      </c>
      <c r="D2318">
        <v>23160</v>
      </c>
      <c r="E2318" t="str">
        <f>HYPERLINK("http://www.ncbi.nlm.nih.gov/Taxonomy/Browser/wwwtax.cgi?mode=Info&amp;id=2609070&amp;lvl=3&amp;lin=f&amp;keep=1&amp;srchmode=1&amp;unlock","2609070")</f>
        <v>2609070</v>
      </c>
      <c r="F2318" t="s">
        <v>17</v>
      </c>
      <c r="G2318" t="str">
        <f>HYPERLINK("http://www.ncbi.nlm.nih.gov/Taxonomy/Browser/wwwtax.cgi?mode=Info&amp;id=2609070&amp;lvl=3&amp;lin=f&amp;keep=1&amp;srchmode=1&amp;unlock","Electrophorus voltai")</f>
        <v>Electrophorus voltai</v>
      </c>
      <c r="H2318" t="s">
        <v>169</v>
      </c>
      <c r="I2318" t="str">
        <f>HYPERLINK("http://www.ncbi.nlm.nih.gov/protein/KAK1793405.1","hypothetical protein P4O66_011783")</f>
        <v>hypothetical protein P4O66_011783</v>
      </c>
      <c r="J2318">
        <v>4749.1099999999997</v>
      </c>
      <c r="K2318" t="s">
        <v>22</v>
      </c>
      <c r="L2318">
        <v>1210</v>
      </c>
      <c r="M2318">
        <v>7.13</v>
      </c>
      <c r="N2318">
        <v>46.27</v>
      </c>
      <c r="O2318" t="s">
        <v>19</v>
      </c>
      <c r="P2318" t="s">
        <v>1267</v>
      </c>
      <c r="Q2318" t="s">
        <v>19</v>
      </c>
      <c r="R2318" t="str">
        <f>HYPERLINK("https://cfpub.epa.gov/ecotox/explore.cfm?ncbi=2609070","Explore in ECOTOX")</f>
        <v>Explore in ECOTOX</v>
      </c>
    </row>
    <row r="2319" spans="1:18" x14ac:dyDescent="0.45">
      <c r="A2319" t="s">
        <v>1266</v>
      </c>
      <c r="B2319">
        <v>8</v>
      </c>
      <c r="C2319" t="str">
        <f>HYPERLINK("http://www.ncbi.nlm.nih.gov/protein/KAI1237803.1","KAI1237803.1")</f>
        <v>KAI1237803.1</v>
      </c>
      <c r="D2319">
        <v>14273</v>
      </c>
      <c r="E2319" t="str">
        <f>HYPERLINK("http://www.ncbi.nlm.nih.gov/Taxonomy/Browser/wwwtax.cgi?mode=Info&amp;id=245042&amp;lvl=3&amp;lin=f&amp;keep=1&amp;srchmode=1&amp;unlock","245042")</f>
        <v>245042</v>
      </c>
      <c r="F2319" t="s">
        <v>241</v>
      </c>
      <c r="G2319" t="str">
        <f>HYPERLINK("http://www.ncbi.nlm.nih.gov/Taxonomy/Browser/wwwtax.cgi?mode=Info&amp;id=245042&amp;lvl=3&amp;lin=f&amp;keep=1&amp;srchmode=1&amp;unlock","Lamprotornis superbus")</f>
        <v>Lamprotornis superbus</v>
      </c>
      <c r="H2319" t="s">
        <v>754</v>
      </c>
      <c r="I2319" t="str">
        <f>HYPERLINK("http://www.ncbi.nlm.nih.gov/protein/KAI1237803.1","hypothetical protein IHE44_0013890")</f>
        <v>hypothetical protein IHE44_0013890</v>
      </c>
      <c r="J2319">
        <v>4699.8100000000004</v>
      </c>
      <c r="K2319" t="s">
        <v>22</v>
      </c>
      <c r="L2319">
        <v>1210</v>
      </c>
      <c r="M2319">
        <v>7.13</v>
      </c>
      <c r="N2319">
        <v>45.79</v>
      </c>
      <c r="O2319" t="s">
        <v>19</v>
      </c>
      <c r="P2319" t="s">
        <v>1267</v>
      </c>
      <c r="Q2319" t="s">
        <v>19</v>
      </c>
      <c r="R2319" t="str">
        <f>HYPERLINK("https://cfpub.epa.gov/ecotox/explore.cfm?ncbi=245042","Explore in ECOTOX")</f>
        <v>Explore in ECOTOX</v>
      </c>
    </row>
    <row r="2320" spans="1:18" x14ac:dyDescent="0.45">
      <c r="A2320" t="s">
        <v>1266</v>
      </c>
      <c r="B2320">
        <v>8</v>
      </c>
      <c r="C2320" t="str">
        <f>HYPERLINK("http://www.ncbi.nlm.nih.gov/protein/XP_016085515.1","XP_016085515.1")</f>
        <v>XP_016085515.1</v>
      </c>
      <c r="D2320">
        <v>67442</v>
      </c>
      <c r="E2320" t="str">
        <f>HYPERLINK("http://www.ncbi.nlm.nih.gov/Taxonomy/Browser/wwwtax.cgi?mode=Info&amp;id=75366&amp;lvl=3&amp;lin=f&amp;keep=1&amp;srchmode=1&amp;unlock","75366")</f>
        <v>75366</v>
      </c>
      <c r="F2320" t="s">
        <v>17</v>
      </c>
      <c r="G2320" t="str">
        <f>HYPERLINK("http://www.ncbi.nlm.nih.gov/Taxonomy/Browser/wwwtax.cgi?mode=Info&amp;id=75366&amp;lvl=3&amp;lin=f&amp;keep=1&amp;srchmode=1&amp;unlock","Sinocyclocheilus grahami")</f>
        <v>Sinocyclocheilus grahami</v>
      </c>
      <c r="H2320" t="s">
        <v>21</v>
      </c>
      <c r="I2320" t="str">
        <f>HYPERLINK("http://www.ncbi.nlm.nih.gov/protein/XP_016085515.1","PREDICTED: ryanodine receptor 3-like isoform X2")</f>
        <v>PREDICTED: ryanodine receptor 3-like isoform X2</v>
      </c>
      <c r="J2320">
        <v>4670.1499999999996</v>
      </c>
      <c r="K2320" t="s">
        <v>22</v>
      </c>
      <c r="L2320">
        <v>1210</v>
      </c>
      <c r="M2320">
        <v>7.13</v>
      </c>
      <c r="N2320">
        <v>45.51</v>
      </c>
      <c r="O2320" t="s">
        <v>19</v>
      </c>
      <c r="P2320" t="s">
        <v>1267</v>
      </c>
      <c r="Q2320" t="s">
        <v>19</v>
      </c>
      <c r="R2320" t="str">
        <f>HYPERLINK("https://cfpub.epa.gov/ecotox/explore.cfm?ncbi=75366","Explore in ECOTOX")</f>
        <v>Explore in ECOTOX</v>
      </c>
    </row>
    <row r="2321" spans="1:18" x14ac:dyDescent="0.45">
      <c r="A2321" t="s">
        <v>1266</v>
      </c>
      <c r="B2321">
        <v>8</v>
      </c>
      <c r="C2321" t="str">
        <f>HYPERLINK("http://www.ncbi.nlm.nih.gov/protein/KAG8516636.1","KAG8516636.1")</f>
        <v>KAG8516636.1</v>
      </c>
      <c r="D2321">
        <v>21011</v>
      </c>
      <c r="E2321" t="str">
        <f>HYPERLINK("http://www.ncbi.nlm.nih.gov/Taxonomy/Browser/wwwtax.cgi?mode=Info&amp;id=202257&amp;lvl=3&amp;lin=f&amp;keep=1&amp;srchmode=1&amp;unlock","202257")</f>
        <v>202257</v>
      </c>
      <c r="F2321" t="s">
        <v>96</v>
      </c>
      <c r="G2321" t="str">
        <f>HYPERLINK("http://www.ncbi.nlm.nih.gov/Taxonomy/Browser/wwwtax.cgi?mode=Info&amp;id=202257&amp;lvl=3&amp;lin=f&amp;keep=1&amp;srchmode=1&amp;unlock","Galemys pyrenaicus")</f>
        <v>Galemys pyrenaicus</v>
      </c>
      <c r="H2321" t="s">
        <v>790</v>
      </c>
      <c r="I2321" t="str">
        <f>HYPERLINK("http://www.ncbi.nlm.nih.gov/protein/KAG8516636.1","Ryanodine receptor 2, partial")</f>
        <v>Ryanodine receptor 2, partial</v>
      </c>
      <c r="J2321">
        <v>4658.2</v>
      </c>
      <c r="K2321" t="s">
        <v>19</v>
      </c>
      <c r="L2321">
        <v>1210</v>
      </c>
      <c r="M2321">
        <v>7.13</v>
      </c>
      <c r="N2321">
        <v>45.39</v>
      </c>
      <c r="O2321" t="s">
        <v>19</v>
      </c>
      <c r="P2321" t="s">
        <v>1267</v>
      </c>
      <c r="Q2321" t="s">
        <v>19</v>
      </c>
      <c r="R2321" t="str">
        <f>HYPERLINK("https://cfpub.epa.gov/ecotox/explore.cfm?ncbi=202257","Explore in ECOTOX")</f>
        <v>Explore in ECOTOX</v>
      </c>
    </row>
    <row r="2322" spans="1:18" x14ac:dyDescent="0.45">
      <c r="A2322" t="s">
        <v>1266</v>
      </c>
      <c r="B2322">
        <v>8</v>
      </c>
      <c r="C2322" t="str">
        <f>HYPERLINK("http://www.ncbi.nlm.nih.gov/protein/GLD49658.1","GLD49658.1")</f>
        <v>GLD49658.1</v>
      </c>
      <c r="D2322">
        <v>30118</v>
      </c>
      <c r="E2322" t="str">
        <f>HYPERLINK("http://www.ncbi.nlm.nih.gov/Taxonomy/Browser/wwwtax.cgi?mode=Info&amp;id=270547&amp;lvl=3&amp;lin=f&amp;keep=1&amp;srchmode=1&amp;unlock","270547")</f>
        <v>270547</v>
      </c>
      <c r="F2322" t="s">
        <v>17</v>
      </c>
      <c r="G2322" t="str">
        <f>HYPERLINK("http://www.ncbi.nlm.nih.gov/Taxonomy/Browser/wwwtax.cgi?mode=Info&amp;id=270547&amp;lvl=3&amp;lin=f&amp;keep=1&amp;srchmode=1&amp;unlock","Lates japonicus")</f>
        <v>Lates japonicus</v>
      </c>
      <c r="H2322" t="s">
        <v>239</v>
      </c>
      <c r="I2322" t="str">
        <f>HYPERLINK("http://www.ncbi.nlm.nih.gov/protein/GLD49658.1","ryanodine receptor 3-like protein, partial")</f>
        <v>ryanodine receptor 3-like protein, partial</v>
      </c>
      <c r="J2322">
        <v>4611.6000000000004</v>
      </c>
      <c r="K2322" t="s">
        <v>22</v>
      </c>
      <c r="L2322">
        <v>1210</v>
      </c>
      <c r="M2322">
        <v>7.13</v>
      </c>
      <c r="N2322">
        <v>44.93</v>
      </c>
      <c r="O2322" t="s">
        <v>19</v>
      </c>
      <c r="P2322" t="s">
        <v>1267</v>
      </c>
      <c r="Q2322" t="s">
        <v>19</v>
      </c>
      <c r="R2322" t="str">
        <f>HYPERLINK("https://cfpub.epa.gov/ecotox/explore.cfm?ncbi=270547","Explore in ECOTOX")</f>
        <v>Explore in ECOTOX</v>
      </c>
    </row>
    <row r="2323" spans="1:18" x14ac:dyDescent="0.45">
      <c r="A2323" t="s">
        <v>1266</v>
      </c>
      <c r="B2323">
        <v>8</v>
      </c>
      <c r="C2323" t="str">
        <f>HYPERLINK("http://www.ncbi.nlm.nih.gov/protein/XP_055878945.1","XP_055878945.1")</f>
        <v>XP_055878945.1</v>
      </c>
      <c r="D2323">
        <v>127041</v>
      </c>
      <c r="E2323" t="str">
        <f>HYPERLINK("http://www.ncbi.nlm.nih.gov/Taxonomy/Browser/wwwtax.cgi?mode=Info&amp;id=6526&amp;lvl=3&amp;lin=f&amp;keep=1&amp;srchmode=1&amp;unlock","6526")</f>
        <v>6526</v>
      </c>
      <c r="F2323" t="s">
        <v>757</v>
      </c>
      <c r="G2323" t="str">
        <f>HYPERLINK("http://www.ncbi.nlm.nih.gov/Taxonomy/Browser/wwwtax.cgi?mode=Info&amp;id=6526&amp;lvl=3&amp;lin=f&amp;keep=1&amp;srchmode=1&amp;unlock","Biomphalaria glabrata")</f>
        <v>Biomphalaria glabrata</v>
      </c>
      <c r="H2323" t="s">
        <v>758</v>
      </c>
      <c r="I2323" t="str">
        <f>HYPERLINK("http://www.ncbi.nlm.nih.gov/protein/XP_055878945.1","ryanodine receptor-like isoform X15")</f>
        <v>ryanodine receptor-like isoform X15</v>
      </c>
      <c r="J2323">
        <v>4598.1099999999997</v>
      </c>
      <c r="K2323" t="s">
        <v>19</v>
      </c>
      <c r="L2323">
        <v>1210</v>
      </c>
      <c r="M2323">
        <v>7.13</v>
      </c>
      <c r="N2323">
        <v>44.8</v>
      </c>
      <c r="O2323" t="s">
        <v>19</v>
      </c>
      <c r="P2323" t="s">
        <v>1267</v>
      </c>
      <c r="Q2323" t="s">
        <v>19</v>
      </c>
      <c r="R2323" t="str">
        <f>HYPERLINK("https://cfpub.epa.gov/ecotox/explore.cfm?ncbi=6526","Explore in ECOTOX")</f>
        <v>Explore in ECOTOX</v>
      </c>
    </row>
    <row r="2324" spans="1:18" x14ac:dyDescent="0.45">
      <c r="A2324" t="s">
        <v>1266</v>
      </c>
      <c r="B2324">
        <v>8</v>
      </c>
      <c r="C2324" t="str">
        <f>HYPERLINK("http://www.ncbi.nlm.nih.gov/protein/KAK0140854.1","KAK0140854.1")</f>
        <v>KAK0140854.1</v>
      </c>
      <c r="D2324">
        <v>26145</v>
      </c>
      <c r="E2324" t="str">
        <f>HYPERLINK("http://www.ncbi.nlm.nih.gov/Taxonomy/Browser/wwwtax.cgi?mode=Info&amp;id=89951&amp;lvl=3&amp;lin=f&amp;keep=1&amp;srchmode=1&amp;unlock","89951")</f>
        <v>89951</v>
      </c>
      <c r="F2324" t="s">
        <v>17</v>
      </c>
      <c r="G2324" t="str">
        <f>HYPERLINK("http://www.ncbi.nlm.nih.gov/Taxonomy/Browser/wwwtax.cgi?mode=Info&amp;id=89951&amp;lvl=3&amp;lin=f&amp;keep=1&amp;srchmode=1&amp;unlock","Merluccius polli")</f>
        <v>Merluccius polli</v>
      </c>
      <c r="H2324" t="s">
        <v>156</v>
      </c>
      <c r="I2324" t="str">
        <f>HYPERLINK("http://www.ncbi.nlm.nih.gov/protein/KAK0140854.1","Ryanodine receptor 3")</f>
        <v>Ryanodine receptor 3</v>
      </c>
      <c r="J2324">
        <v>4577.7</v>
      </c>
      <c r="K2324" t="s">
        <v>22</v>
      </c>
      <c r="L2324">
        <v>1210</v>
      </c>
      <c r="M2324">
        <v>7.13</v>
      </c>
      <c r="N2324">
        <v>44.6</v>
      </c>
      <c r="O2324" t="s">
        <v>19</v>
      </c>
      <c r="P2324" t="s">
        <v>1267</v>
      </c>
      <c r="Q2324" t="s">
        <v>19</v>
      </c>
      <c r="R2324" t="str">
        <f>HYPERLINK("https://cfpub.epa.gov/ecotox/explore.cfm?ncbi=89951","Explore in ECOTOX")</f>
        <v>Explore in ECOTOX</v>
      </c>
    </row>
    <row r="2325" spans="1:18" x14ac:dyDescent="0.45">
      <c r="A2325" t="s">
        <v>1266</v>
      </c>
      <c r="B2325">
        <v>8</v>
      </c>
      <c r="C2325" t="str">
        <f>HYPERLINK("http://www.ncbi.nlm.nih.gov/protein/KAA0711620.1","KAA0711620.1")</f>
        <v>KAA0711620.1</v>
      </c>
      <c r="D2325">
        <v>24360</v>
      </c>
      <c r="E2325" t="str">
        <f>HYPERLINK("http://www.ncbi.nlm.nih.gov/Taxonomy/Browser/wwwtax.cgi?mode=Info&amp;id=1572043&amp;lvl=3&amp;lin=f&amp;keep=1&amp;srchmode=1&amp;unlock","1572043")</f>
        <v>1572043</v>
      </c>
      <c r="F2325" t="s">
        <v>17</v>
      </c>
      <c r="G2325" t="str">
        <f>HYPERLINK("http://www.ncbi.nlm.nih.gov/Taxonomy/Browser/wwwtax.cgi?mode=Info&amp;id=1572043&amp;lvl=3&amp;lin=f&amp;keep=1&amp;srchmode=1&amp;unlock","Triplophysa tibetana")</f>
        <v>Triplophysa tibetana</v>
      </c>
      <c r="H2325" t="s">
        <v>33</v>
      </c>
      <c r="I2325" t="str">
        <f>HYPERLINK("http://www.ncbi.nlm.nih.gov/protein/KAA0711620.1","Ryanodine receptor 3")</f>
        <v>Ryanodine receptor 3</v>
      </c>
      <c r="J2325">
        <v>4487.95</v>
      </c>
      <c r="K2325" t="s">
        <v>22</v>
      </c>
      <c r="L2325">
        <v>1210</v>
      </c>
      <c r="M2325">
        <v>7.13</v>
      </c>
      <c r="N2325">
        <v>43.73</v>
      </c>
      <c r="O2325" t="s">
        <v>19</v>
      </c>
      <c r="P2325" t="s">
        <v>1267</v>
      </c>
      <c r="Q2325" t="s">
        <v>19</v>
      </c>
      <c r="R2325" t="str">
        <f>HYPERLINK("https://cfpub.epa.gov/ecotox/explore.cfm?ncbi=1572043","Explore in ECOTOX")</f>
        <v>Explore in ECOTOX</v>
      </c>
    </row>
    <row r="2326" spans="1:18" x14ac:dyDescent="0.45">
      <c r="A2326" t="s">
        <v>1266</v>
      </c>
      <c r="B2326">
        <v>8</v>
      </c>
      <c r="C2326" t="str">
        <f>HYPERLINK("http://www.ncbi.nlm.nih.gov/protein/TNM94653.1","TNM94653.1")</f>
        <v>TNM94653.1</v>
      </c>
      <c r="D2326">
        <v>20164</v>
      </c>
      <c r="E2326" t="str">
        <f>HYPERLINK("http://www.ncbi.nlm.nih.gov/Taxonomy/Browser/wwwtax.cgi?mode=Info&amp;id=433685&amp;lvl=3&amp;lin=f&amp;keep=1&amp;srchmode=1&amp;unlock","433685")</f>
        <v>433685</v>
      </c>
      <c r="F2326" t="s">
        <v>17</v>
      </c>
      <c r="G2326" t="str">
        <f>HYPERLINK("http://www.ncbi.nlm.nih.gov/Taxonomy/Browser/wwwtax.cgi?mode=Info&amp;id=433685&amp;lvl=3&amp;lin=f&amp;keep=1&amp;srchmode=1&amp;unlock","Takifugu bimaculatus")</f>
        <v>Takifugu bimaculatus</v>
      </c>
      <c r="H2326" t="s">
        <v>755</v>
      </c>
      <c r="I2326" t="str">
        <f>HYPERLINK("http://www.ncbi.nlm.nih.gov/protein/TNM94653.1","hypothetical protein fugu_017412")</f>
        <v>hypothetical protein fugu_017412</v>
      </c>
      <c r="J2326">
        <v>4464.45</v>
      </c>
      <c r="K2326" t="s">
        <v>22</v>
      </c>
      <c r="L2326">
        <v>1210</v>
      </c>
      <c r="M2326">
        <v>7.13</v>
      </c>
      <c r="N2326">
        <v>43.5</v>
      </c>
      <c r="O2326" t="s">
        <v>19</v>
      </c>
      <c r="P2326" t="s">
        <v>1267</v>
      </c>
      <c r="Q2326" t="s">
        <v>19</v>
      </c>
      <c r="R2326" t="str">
        <f>HYPERLINK("https://cfpub.epa.gov/ecotox/explore.cfm?ncbi=433685","Explore in ECOTOX")</f>
        <v>Explore in ECOTOX</v>
      </c>
    </row>
    <row r="2327" spans="1:18" x14ac:dyDescent="0.45">
      <c r="A2327" t="s">
        <v>1266</v>
      </c>
      <c r="B2327">
        <v>8</v>
      </c>
      <c r="C2327" t="str">
        <f>HYPERLINK("http://www.ncbi.nlm.nih.gov/protein/XP_009510893.1","XP_009510893.1")</f>
        <v>XP_009510893.1</v>
      </c>
      <c r="D2327">
        <v>26167</v>
      </c>
      <c r="E2327" t="str">
        <f>HYPERLINK("http://www.ncbi.nlm.nih.gov/Taxonomy/Browser/wwwtax.cgi?mode=Info&amp;id=9209&amp;lvl=3&amp;lin=f&amp;keep=1&amp;srchmode=1&amp;unlock","9209")</f>
        <v>9209</v>
      </c>
      <c r="F2327" t="s">
        <v>241</v>
      </c>
      <c r="G2327" t="str">
        <f>HYPERLINK("http://www.ncbi.nlm.nih.gov/Taxonomy/Browser/wwwtax.cgi?mode=Info&amp;id=9209&amp;lvl=3&amp;lin=f&amp;keep=1&amp;srchmode=1&amp;unlock","Phalacrocorax carbo")</f>
        <v>Phalacrocorax carbo</v>
      </c>
      <c r="H2327" t="s">
        <v>822</v>
      </c>
      <c r="I2327" t="str">
        <f>HYPERLINK("http://www.ncbi.nlm.nih.gov/protein/XP_009510893.1","PREDICTED: ryanodine receptor 2, partial")</f>
        <v>PREDICTED: ryanodine receptor 2, partial</v>
      </c>
      <c r="J2327">
        <v>4447.5</v>
      </c>
      <c r="K2327" t="s">
        <v>19</v>
      </c>
      <c r="L2327">
        <v>1210</v>
      </c>
      <c r="M2327">
        <v>7.13</v>
      </c>
      <c r="N2327">
        <v>43.34</v>
      </c>
      <c r="O2327" t="s">
        <v>19</v>
      </c>
      <c r="P2327" t="s">
        <v>1267</v>
      </c>
      <c r="Q2327" t="s">
        <v>19</v>
      </c>
      <c r="R2327" t="str">
        <f>HYPERLINK("https://cfpub.epa.gov/ecotox/explore.cfm?ncbi=9209","Explore in ECOTOX")</f>
        <v>Explore in ECOTOX</v>
      </c>
    </row>
    <row r="2328" spans="1:18" x14ac:dyDescent="0.45">
      <c r="A2328" t="s">
        <v>1266</v>
      </c>
      <c r="B2328">
        <v>8</v>
      </c>
      <c r="C2328" t="str">
        <f>HYPERLINK("http://www.ncbi.nlm.nih.gov/protein/KAF4018765.1","KAF4018765.1")</f>
        <v>KAF4018765.1</v>
      </c>
      <c r="D2328">
        <v>19261</v>
      </c>
      <c r="E2328" t="str">
        <f>HYPERLINK("http://www.ncbi.nlm.nih.gov/Taxonomy/Browser/wwwtax.cgi?mode=Info&amp;id=84702&amp;lvl=3&amp;lin=f&amp;keep=1&amp;srchmode=1&amp;unlock","84702")</f>
        <v>84702</v>
      </c>
      <c r="F2328" t="s">
        <v>96</v>
      </c>
      <c r="G2328" t="str">
        <f>HYPERLINK("http://www.ncbi.nlm.nih.gov/Taxonomy/Browser/wwwtax.cgi?mode=Info&amp;id=84702&amp;lvl=3&amp;lin=f&amp;keep=1&amp;srchmode=1&amp;unlock","Cervus hanglu yarkandensis")</f>
        <v>Cervus hanglu yarkandensis</v>
      </c>
      <c r="H2328" t="s">
        <v>799</v>
      </c>
      <c r="I2328" t="str">
        <f>HYPERLINK("http://www.ncbi.nlm.nih.gov/protein/KAF4018765.1","hypothetical protein G4228_010619")</f>
        <v>hypothetical protein G4228_010619</v>
      </c>
      <c r="J2328">
        <v>4336.95</v>
      </c>
      <c r="K2328" t="s">
        <v>19</v>
      </c>
      <c r="L2328">
        <v>1210</v>
      </c>
      <c r="M2328">
        <v>7.13</v>
      </c>
      <c r="N2328">
        <v>42.26</v>
      </c>
      <c r="O2328" t="s">
        <v>19</v>
      </c>
      <c r="P2328" t="s">
        <v>1267</v>
      </c>
      <c r="Q2328" t="s">
        <v>19</v>
      </c>
      <c r="R2328" t="str">
        <f>HYPERLINK("https://cfpub.epa.gov/ecotox/explore.cfm?ncbi=84702","Explore in ECOTOX")</f>
        <v>Explore in ECOTOX</v>
      </c>
    </row>
    <row r="2329" spans="1:18" x14ac:dyDescent="0.45">
      <c r="A2329" t="s">
        <v>1266</v>
      </c>
      <c r="B2329">
        <v>8</v>
      </c>
      <c r="C2329" t="str">
        <f>HYPERLINK("http://www.ncbi.nlm.nih.gov/protein/XP_030883560.1","XP_030883560.1")</f>
        <v>XP_030883560.1</v>
      </c>
      <c r="D2329">
        <v>40472</v>
      </c>
      <c r="E2329" t="str">
        <f>HYPERLINK("http://www.ncbi.nlm.nih.gov/Taxonomy/Browser/wwwtax.cgi?mode=Info&amp;id=9713&amp;lvl=3&amp;lin=f&amp;keep=1&amp;srchmode=1&amp;unlock","9713")</f>
        <v>9713</v>
      </c>
      <c r="F2329" t="s">
        <v>96</v>
      </c>
      <c r="G2329" t="str">
        <f>HYPERLINK("http://www.ncbi.nlm.nih.gov/Taxonomy/Browser/wwwtax.cgi?mode=Info&amp;id=9713&amp;lvl=3&amp;lin=f&amp;keep=1&amp;srchmode=1&amp;unlock","Leptonychotes weddellii")</f>
        <v>Leptonychotes weddellii</v>
      </c>
      <c r="H2329" t="s">
        <v>798</v>
      </c>
      <c r="I2329" t="str">
        <f>HYPERLINK("http://www.ncbi.nlm.nih.gov/protein/XP_030883560.1","ryanodine receptor 2, partial")</f>
        <v>ryanodine receptor 2, partial</v>
      </c>
      <c r="J2329">
        <v>4299.97</v>
      </c>
      <c r="K2329" t="s">
        <v>19</v>
      </c>
      <c r="L2329">
        <v>1210</v>
      </c>
      <c r="M2329">
        <v>7.13</v>
      </c>
      <c r="N2329">
        <v>41.9</v>
      </c>
      <c r="O2329" t="s">
        <v>19</v>
      </c>
      <c r="P2329" t="s">
        <v>1267</v>
      </c>
      <c r="Q2329" t="s">
        <v>19</v>
      </c>
      <c r="R2329" t="str">
        <f>HYPERLINK("https://cfpub.epa.gov/ecotox/explore.cfm?ncbi=9713","Explore in ECOTOX")</f>
        <v>Explore in ECOTOX</v>
      </c>
    </row>
    <row r="2330" spans="1:18" x14ac:dyDescent="0.45">
      <c r="A2330" t="s">
        <v>1266</v>
      </c>
      <c r="B2330">
        <v>8</v>
      </c>
      <c r="C2330" t="str">
        <f>HYPERLINK("http://www.ncbi.nlm.nih.gov/protein/NXI11248.1","NXI11248.1")</f>
        <v>NXI11248.1</v>
      </c>
      <c r="D2330">
        <v>14281</v>
      </c>
      <c r="E2330" t="str">
        <f>HYPERLINK("http://www.ncbi.nlm.nih.gov/Taxonomy/Browser/wwwtax.cgi?mode=Info&amp;id=175120&amp;lvl=3&amp;lin=f&amp;keep=1&amp;srchmode=1&amp;unlock","175120")</f>
        <v>175120</v>
      </c>
      <c r="F2330" t="s">
        <v>241</v>
      </c>
      <c r="G2330" t="str">
        <f>HYPERLINK("http://www.ncbi.nlm.nih.gov/Taxonomy/Browser/wwwtax.cgi?mode=Info&amp;id=175120&amp;lvl=3&amp;lin=f&amp;keep=1&amp;srchmode=1&amp;unlock","Irena cyanogastra")</f>
        <v>Irena cyanogastra</v>
      </c>
      <c r="H2330" t="s">
        <v>825</v>
      </c>
      <c r="I2330" t="str">
        <f>HYPERLINK("http://www.ncbi.nlm.nih.gov/protein/NXI11248.1","RYR2 protein")</f>
        <v>RYR2 protein</v>
      </c>
      <c r="J2330">
        <v>4270.6899999999996</v>
      </c>
      <c r="K2330" t="s">
        <v>19</v>
      </c>
      <c r="L2330">
        <v>1210</v>
      </c>
      <c r="M2330">
        <v>7.13</v>
      </c>
      <c r="N2330">
        <v>41.61</v>
      </c>
      <c r="O2330" t="s">
        <v>19</v>
      </c>
      <c r="P2330" t="s">
        <v>1267</v>
      </c>
      <c r="Q2330" t="s">
        <v>19</v>
      </c>
      <c r="R2330" t="str">
        <f>HYPERLINK("https://cfpub.epa.gov/ecotox/explore.cfm?ncbi=175120","Explore in ECOTOX")</f>
        <v>Explore in ECOTOX</v>
      </c>
    </row>
    <row r="2331" spans="1:18" x14ac:dyDescent="0.45">
      <c r="A2331" t="s">
        <v>1266</v>
      </c>
      <c r="B2331">
        <v>8</v>
      </c>
      <c r="C2331" t="str">
        <f>HYPERLINK("http://www.ncbi.nlm.nih.gov/protein/KAG8552708.1","KAG8552708.1")</f>
        <v>KAG8552708.1</v>
      </c>
      <c r="D2331">
        <v>64799</v>
      </c>
      <c r="E2331" t="str">
        <f>HYPERLINK("http://www.ncbi.nlm.nih.gov/Taxonomy/Browser/wwwtax.cgi?mode=Info&amp;id=76066&amp;lvl=3&amp;lin=f&amp;keep=1&amp;srchmode=1&amp;unlock","76066")</f>
        <v>76066</v>
      </c>
      <c r="F2331" t="s">
        <v>177</v>
      </c>
      <c r="G2331" t="str">
        <f>HYPERLINK("http://www.ncbi.nlm.nih.gov/Taxonomy/Browser/wwwtax.cgi?mode=Info&amp;id=76066&amp;lvl=3&amp;lin=f&amp;keep=1&amp;srchmode=1&amp;unlock","Engystomops pustulosus")</f>
        <v>Engystomops pustulosus</v>
      </c>
      <c r="H2331" t="s">
        <v>718</v>
      </c>
      <c r="I2331" t="str">
        <f>HYPERLINK("http://www.ncbi.nlm.nih.gov/protein/KAG8552708.1","hypothetical protein GDO81_003010")</f>
        <v>hypothetical protein GDO81_003010</v>
      </c>
      <c r="J2331">
        <v>4214.84</v>
      </c>
      <c r="K2331" t="s">
        <v>22</v>
      </c>
      <c r="L2331">
        <v>1210</v>
      </c>
      <c r="M2331">
        <v>7.13</v>
      </c>
      <c r="N2331">
        <v>41.07</v>
      </c>
      <c r="O2331" t="s">
        <v>19</v>
      </c>
      <c r="P2331" t="s">
        <v>1267</v>
      </c>
      <c r="Q2331" t="s">
        <v>19</v>
      </c>
      <c r="R2331" t="str">
        <f>HYPERLINK("https://cfpub.epa.gov/ecotox/explore.cfm?ncbi=76066","Explore in ECOTOX")</f>
        <v>Explore in ECOTOX</v>
      </c>
    </row>
    <row r="2332" spans="1:18" x14ac:dyDescent="0.45">
      <c r="A2332" t="s">
        <v>1266</v>
      </c>
      <c r="B2332">
        <v>8</v>
      </c>
      <c r="C2332" t="str">
        <f>HYPERLINK("http://www.ncbi.nlm.nih.gov/protein/GCB71703.1","GCB71703.1")</f>
        <v>GCB71703.1</v>
      </c>
      <c r="D2332">
        <v>27785</v>
      </c>
      <c r="E2332" t="str">
        <f>HYPERLINK("http://www.ncbi.nlm.nih.gov/Taxonomy/Browser/wwwtax.cgi?mode=Info&amp;id=75743&amp;lvl=3&amp;lin=f&amp;keep=1&amp;srchmode=1&amp;unlock","75743")</f>
        <v>75743</v>
      </c>
      <c r="F2332" t="s">
        <v>195</v>
      </c>
      <c r="G2332" t="str">
        <f>HYPERLINK("http://www.ncbi.nlm.nih.gov/Taxonomy/Browser/wwwtax.cgi?mode=Info&amp;id=75743&amp;lvl=3&amp;lin=f&amp;keep=1&amp;srchmode=1&amp;unlock","Scyliorhinus torazame")</f>
        <v>Scyliorhinus torazame</v>
      </c>
      <c r="H2332" t="s">
        <v>209</v>
      </c>
      <c r="I2332" t="str">
        <f>HYPERLINK("http://www.ncbi.nlm.nih.gov/protein/GCB71703.1","hypothetical protein")</f>
        <v>hypothetical protein</v>
      </c>
      <c r="J2332">
        <v>4213.3</v>
      </c>
      <c r="K2332" t="s">
        <v>22</v>
      </c>
      <c r="L2332">
        <v>1210</v>
      </c>
      <c r="M2332">
        <v>7.13</v>
      </c>
      <c r="N2332">
        <v>41.05</v>
      </c>
      <c r="O2332" t="s">
        <v>19</v>
      </c>
      <c r="P2332" t="s">
        <v>1267</v>
      </c>
      <c r="Q2332" t="s">
        <v>19</v>
      </c>
      <c r="R2332" t="str">
        <f>HYPERLINK("https://cfpub.epa.gov/ecotox/explore.cfm?ncbi=75743","Explore in ECOTOX")</f>
        <v>Explore in ECOTOX</v>
      </c>
    </row>
    <row r="2333" spans="1:18" x14ac:dyDescent="0.45">
      <c r="A2333" t="s">
        <v>1266</v>
      </c>
      <c r="B2333">
        <v>8</v>
      </c>
      <c r="C2333" t="str">
        <f>HYPERLINK("http://www.ncbi.nlm.nih.gov/protein/KAG9478221.1","KAG9478221.1")</f>
        <v>KAG9478221.1</v>
      </c>
      <c r="D2333">
        <v>34664</v>
      </c>
      <c r="E2333" t="str">
        <f>HYPERLINK("http://www.ncbi.nlm.nih.gov/Taxonomy/Browser/wwwtax.cgi?mode=Info&amp;id=57060&amp;lvl=3&amp;lin=f&amp;keep=1&amp;srchmode=1&amp;unlock","57060")</f>
        <v>57060</v>
      </c>
      <c r="F2333" t="s">
        <v>177</v>
      </c>
      <c r="G2333" t="str">
        <f>HYPERLINK("http://www.ncbi.nlm.nih.gov/Taxonomy/Browser/wwwtax.cgi?mode=Info&amp;id=57060&amp;lvl=3&amp;lin=f&amp;keep=1&amp;srchmode=1&amp;unlock","Eleutherodactylus coqui")</f>
        <v>Eleutherodactylus coqui</v>
      </c>
      <c r="H2333" t="s">
        <v>715</v>
      </c>
      <c r="I2333" t="str">
        <f>HYPERLINK("http://www.ncbi.nlm.nih.gov/protein/KAG9478221.1","hypothetical protein GDO78_013298")</f>
        <v>hypothetical protein GDO78_013298</v>
      </c>
      <c r="J2333">
        <v>4194.42</v>
      </c>
      <c r="K2333" t="s">
        <v>22</v>
      </c>
      <c r="L2333">
        <v>1210</v>
      </c>
      <c r="M2333">
        <v>7.13</v>
      </c>
      <c r="N2333">
        <v>40.869999999999997</v>
      </c>
      <c r="O2333" t="s">
        <v>19</v>
      </c>
      <c r="P2333" t="s">
        <v>1267</v>
      </c>
      <c r="Q2333" t="s">
        <v>19</v>
      </c>
      <c r="R2333" t="str">
        <f>HYPERLINK("https://cfpub.epa.gov/ecotox/explore.cfm?ncbi=57060","Explore in ECOTOX")</f>
        <v>Explore in ECOTOX</v>
      </c>
    </row>
    <row r="2334" spans="1:18" x14ac:dyDescent="0.45">
      <c r="A2334" t="s">
        <v>1266</v>
      </c>
      <c r="B2334">
        <v>8</v>
      </c>
      <c r="C2334" t="str">
        <f>HYPERLINK("http://www.ncbi.nlm.nih.gov/protein/XP_023378135.1","XP_023378135.1")</f>
        <v>XP_023378135.1</v>
      </c>
      <c r="D2334">
        <v>43884</v>
      </c>
      <c r="E2334" t="str">
        <f>HYPERLINK("http://www.ncbi.nlm.nih.gov/Taxonomy/Browser/wwwtax.cgi?mode=Info&amp;id=132908&amp;lvl=3&amp;lin=f&amp;keep=1&amp;srchmode=1&amp;unlock","132908")</f>
        <v>132908</v>
      </c>
      <c r="F2334" t="s">
        <v>96</v>
      </c>
      <c r="G2334" t="str">
        <f>HYPERLINK("http://www.ncbi.nlm.nih.gov/Taxonomy/Browser/wwwtax.cgi?mode=Info&amp;id=132908&amp;lvl=3&amp;lin=f&amp;keep=1&amp;srchmode=1&amp;unlock","Pteropus vampyrus")</f>
        <v>Pteropus vampyrus</v>
      </c>
      <c r="H2334" t="s">
        <v>783</v>
      </c>
      <c r="I2334" t="str">
        <f>HYPERLINK("http://www.ncbi.nlm.nih.gov/protein/XP_023378135.1","ryanodine receptor 2, partial")</f>
        <v>ryanodine receptor 2, partial</v>
      </c>
      <c r="J2334">
        <v>4189.03</v>
      </c>
      <c r="K2334" t="s">
        <v>19</v>
      </c>
      <c r="L2334">
        <v>1210</v>
      </c>
      <c r="M2334">
        <v>7.13</v>
      </c>
      <c r="N2334">
        <v>40.82</v>
      </c>
      <c r="O2334" t="s">
        <v>19</v>
      </c>
      <c r="P2334" t="s">
        <v>1267</v>
      </c>
      <c r="Q2334" t="s">
        <v>19</v>
      </c>
      <c r="R2334" t="str">
        <f>HYPERLINK("https://cfpub.epa.gov/ecotox/explore.cfm?ncbi=132908","Explore in ECOTOX")</f>
        <v>Explore in ECOTOX</v>
      </c>
    </row>
    <row r="2335" spans="1:18" x14ac:dyDescent="0.45">
      <c r="A2335" t="s">
        <v>1266</v>
      </c>
      <c r="B2335">
        <v>8</v>
      </c>
      <c r="C2335" t="str">
        <f>HYPERLINK("http://www.ncbi.nlm.nih.gov/protein/KAJ7416519.1","KAJ7416519.1")</f>
        <v>KAJ7416519.1</v>
      </c>
      <c r="D2335">
        <v>17517</v>
      </c>
      <c r="E2335" t="str">
        <f>HYPERLINK("http://www.ncbi.nlm.nih.gov/Taxonomy/Browser/wwwtax.cgi?mode=Info&amp;id=371930&amp;lvl=3&amp;lin=f&amp;keep=1&amp;srchmode=1&amp;unlock","371930")</f>
        <v>371930</v>
      </c>
      <c r="F2335" t="s">
        <v>241</v>
      </c>
      <c r="G2335" t="str">
        <f>HYPERLINK("http://www.ncbi.nlm.nih.gov/Taxonomy/Browser/wwwtax.cgi?mode=Info&amp;id=371930&amp;lvl=3&amp;lin=f&amp;keep=1&amp;srchmode=1&amp;unlock","Pitangus sulphuratus")</f>
        <v>Pitangus sulphuratus</v>
      </c>
      <c r="H2335" t="s">
        <v>435</v>
      </c>
      <c r="I2335" t="str">
        <f>HYPERLINK("http://www.ncbi.nlm.nih.gov/protein/KAJ7416519.1","hypothetical protein BTVI_35536")</f>
        <v>hypothetical protein BTVI_35536</v>
      </c>
      <c r="J2335">
        <v>4147.43</v>
      </c>
      <c r="K2335" t="s">
        <v>22</v>
      </c>
      <c r="L2335">
        <v>1210</v>
      </c>
      <c r="M2335">
        <v>7.13</v>
      </c>
      <c r="N2335">
        <v>40.409999999999997</v>
      </c>
      <c r="O2335" t="s">
        <v>19</v>
      </c>
      <c r="P2335" t="s">
        <v>1267</v>
      </c>
      <c r="Q2335" t="s">
        <v>19</v>
      </c>
      <c r="R2335" t="str">
        <f>HYPERLINK("https://cfpub.epa.gov/ecotox/explore.cfm?ncbi=371930","Explore in ECOTOX")</f>
        <v>Explore in ECOTOX</v>
      </c>
    </row>
    <row r="2336" spans="1:18" x14ac:dyDescent="0.45">
      <c r="A2336" t="s">
        <v>1266</v>
      </c>
      <c r="B2336">
        <v>8</v>
      </c>
      <c r="C2336" t="str">
        <f>HYPERLINK("http://www.ncbi.nlm.nih.gov/protein/AAB58117.1","AAB58117.1")</f>
        <v>AAB58117.1</v>
      </c>
      <c r="D2336">
        <v>199</v>
      </c>
      <c r="E2336" t="str">
        <f>HYPERLINK("http://www.ncbi.nlm.nih.gov/Taxonomy/Browser/wwwtax.cgi?mode=Info&amp;id=13604&amp;lvl=3&amp;lin=f&amp;keep=1&amp;srchmode=1&amp;unlock","13604")</f>
        <v>13604</v>
      </c>
      <c r="F2336" t="s">
        <v>17</v>
      </c>
      <c r="G2336" t="str">
        <f>HYPERLINK("http://www.ncbi.nlm.nih.gov/Taxonomy/Browser/wwwtax.cgi?mode=Info&amp;id=13604&amp;lvl=3&amp;lin=f&amp;keep=1&amp;srchmode=1&amp;unlock","Makaira nigricans")</f>
        <v>Makaira nigricans</v>
      </c>
      <c r="H2336" t="s">
        <v>154</v>
      </c>
      <c r="I2336" t="str">
        <f>HYPERLINK("http://www.ncbi.nlm.nih.gov/protein/AAB58117.1","ryanodine receptor RyR1 isoform")</f>
        <v>ryanodine receptor RyR1 isoform</v>
      </c>
      <c r="J2336">
        <v>4092.73</v>
      </c>
      <c r="K2336" t="s">
        <v>22</v>
      </c>
      <c r="L2336">
        <v>1210</v>
      </c>
      <c r="M2336">
        <v>7.13</v>
      </c>
      <c r="N2336">
        <v>39.880000000000003</v>
      </c>
      <c r="O2336" t="s">
        <v>19</v>
      </c>
      <c r="P2336" t="s">
        <v>1267</v>
      </c>
      <c r="Q2336" t="s">
        <v>19</v>
      </c>
      <c r="R2336" t="str">
        <f>HYPERLINK("https://cfpub.epa.gov/ecotox/explore.cfm?ncbi=13604","Explore in ECOTOX")</f>
        <v>Explore in ECOTOX</v>
      </c>
    </row>
    <row r="2337" spans="1:18" x14ac:dyDescent="0.45">
      <c r="A2337" t="s">
        <v>1266</v>
      </c>
      <c r="B2337">
        <v>8</v>
      </c>
      <c r="C2337" t="str">
        <f>HYPERLINK("http://www.ncbi.nlm.nih.gov/protein/NXQ89279.1","NXQ89279.1")</f>
        <v>NXQ89279.1</v>
      </c>
      <c r="D2337">
        <v>14112</v>
      </c>
      <c r="E2337" t="str">
        <f>HYPERLINK("http://www.ncbi.nlm.nih.gov/Taxonomy/Browser/wwwtax.cgi?mode=Info&amp;id=48427&amp;lvl=3&amp;lin=f&amp;keep=1&amp;srchmode=1&amp;unlock","48427")</f>
        <v>48427</v>
      </c>
      <c r="F2337" t="s">
        <v>241</v>
      </c>
      <c r="G2337" t="str">
        <f>HYPERLINK("http://www.ncbi.nlm.nih.gov/Taxonomy/Browser/wwwtax.cgi?mode=Info&amp;id=48427&amp;lvl=3&amp;lin=f&amp;keep=1&amp;srchmode=1&amp;unlock","Nyctibius grandis")</f>
        <v>Nyctibius grandis</v>
      </c>
      <c r="H2337" t="s">
        <v>687</v>
      </c>
      <c r="I2337" t="str">
        <f>HYPERLINK("http://www.ncbi.nlm.nih.gov/protein/NXQ89279.1","RYR3 protein")</f>
        <v>RYR3 protein</v>
      </c>
      <c r="J2337">
        <v>4092.35</v>
      </c>
      <c r="K2337" t="s">
        <v>22</v>
      </c>
      <c r="L2337">
        <v>1210</v>
      </c>
      <c r="M2337">
        <v>7.13</v>
      </c>
      <c r="N2337">
        <v>39.880000000000003</v>
      </c>
      <c r="O2337" t="s">
        <v>19</v>
      </c>
      <c r="P2337" t="s">
        <v>1267</v>
      </c>
      <c r="Q2337" t="s">
        <v>19</v>
      </c>
      <c r="R2337" t="str">
        <f>HYPERLINK("https://cfpub.epa.gov/ecotox/explore.cfm?ncbi=48427","Explore in ECOTOX")</f>
        <v>Explore in ECOTOX</v>
      </c>
    </row>
    <row r="2338" spans="1:18" x14ac:dyDescent="0.45">
      <c r="A2338" t="s">
        <v>1266</v>
      </c>
      <c r="B2338">
        <v>8</v>
      </c>
      <c r="C2338" t="str">
        <f>HYPERLINK("http://www.ncbi.nlm.nih.gov/protein/KAF3844751.1","KAF3844751.1")</f>
        <v>KAF3844751.1</v>
      </c>
      <c r="D2338">
        <v>29437</v>
      </c>
      <c r="E2338" t="str">
        <f>HYPERLINK("http://www.ncbi.nlm.nih.gov/Taxonomy/Browser/wwwtax.cgi?mode=Info&amp;id=36200&amp;lvl=3&amp;lin=f&amp;keep=1&amp;srchmode=1&amp;unlock","36200")</f>
        <v>36200</v>
      </c>
      <c r="F2338" t="s">
        <v>17</v>
      </c>
      <c r="G2338" t="str">
        <f>HYPERLINK("http://www.ncbi.nlm.nih.gov/Taxonomy/Browser/wwwtax.cgi?mode=Info&amp;id=36200&amp;lvl=3&amp;lin=f&amp;keep=1&amp;srchmode=1&amp;unlock","Dissostichus mawsoni")</f>
        <v>Dissostichus mawsoni</v>
      </c>
      <c r="H2338" t="s">
        <v>827</v>
      </c>
      <c r="I2338" t="str">
        <f>HYPERLINK("http://www.ncbi.nlm.nih.gov/protein/KAF3844751.1","hypothetical protein F7725_007914")</f>
        <v>hypothetical protein F7725_007914</v>
      </c>
      <c r="J2338">
        <v>4084.64</v>
      </c>
      <c r="K2338" t="s">
        <v>22</v>
      </c>
      <c r="L2338">
        <v>1210</v>
      </c>
      <c r="M2338">
        <v>7.13</v>
      </c>
      <c r="N2338">
        <v>39.799999999999997</v>
      </c>
      <c r="O2338" t="s">
        <v>19</v>
      </c>
      <c r="P2338" t="s">
        <v>1267</v>
      </c>
      <c r="Q2338" t="s">
        <v>19</v>
      </c>
      <c r="R2338" t="str">
        <f>HYPERLINK("https://cfpub.epa.gov/ecotox/explore.cfm?ncbi=36200","Explore in ECOTOX")</f>
        <v>Explore in ECOTOX</v>
      </c>
    </row>
    <row r="2339" spans="1:18" x14ac:dyDescent="0.45">
      <c r="A2339" t="s">
        <v>1266</v>
      </c>
      <c r="B2339">
        <v>8</v>
      </c>
      <c r="C2339" t="str">
        <f>HYPERLINK("http://www.ncbi.nlm.nih.gov/protein/CAH1263970.1","CAH1263970.1")</f>
        <v>CAH1263970.1</v>
      </c>
      <c r="D2339">
        <v>39938</v>
      </c>
      <c r="E2339" t="str">
        <f>HYPERLINK("http://www.ncbi.nlm.nih.gov/Taxonomy/Browser/wwwtax.cgi?mode=Info&amp;id=7740&amp;lvl=3&amp;lin=f&amp;keep=1&amp;srchmode=1&amp;unlock","7740")</f>
        <v>7740</v>
      </c>
      <c r="F2339" t="s">
        <v>788</v>
      </c>
      <c r="G2339" t="str">
        <f>HYPERLINK("http://www.ncbi.nlm.nih.gov/Taxonomy/Browser/wwwtax.cgi?mode=Info&amp;id=7740&amp;lvl=3&amp;lin=f&amp;keep=1&amp;srchmode=1&amp;unlock","Branchiostoma lanceolatum")</f>
        <v>Branchiostoma lanceolatum</v>
      </c>
      <c r="H2339" t="s">
        <v>789</v>
      </c>
      <c r="I2339" t="str">
        <f>HYPERLINK("http://www.ncbi.nlm.nih.gov/protein/CAH1263970.1","RYR2")</f>
        <v>RYR2</v>
      </c>
      <c r="J2339">
        <v>4080.02</v>
      </c>
      <c r="K2339" t="s">
        <v>19</v>
      </c>
      <c r="L2339">
        <v>1210</v>
      </c>
      <c r="M2339">
        <v>7.13</v>
      </c>
      <c r="N2339">
        <v>39.76</v>
      </c>
      <c r="O2339" t="s">
        <v>19</v>
      </c>
      <c r="P2339" t="s">
        <v>1267</v>
      </c>
      <c r="Q2339" t="s">
        <v>19</v>
      </c>
      <c r="R2339" t="str">
        <f>HYPERLINK("https://cfpub.epa.gov/ecotox/explore.cfm?ncbi=7740","Explore in ECOTOX")</f>
        <v>Explore in ECOTOX</v>
      </c>
    </row>
    <row r="2340" spans="1:18" x14ac:dyDescent="0.45">
      <c r="A2340" t="s">
        <v>1266</v>
      </c>
      <c r="B2340">
        <v>8</v>
      </c>
      <c r="C2340" t="str">
        <f>HYPERLINK("http://www.ncbi.nlm.nih.gov/protein/XP_009574679.1","XP_009574679.1")</f>
        <v>XP_009574679.1</v>
      </c>
      <c r="D2340">
        <v>28139</v>
      </c>
      <c r="E2340" t="str">
        <f>HYPERLINK("http://www.ncbi.nlm.nih.gov/Taxonomy/Browser/wwwtax.cgi?mode=Info&amp;id=30455&amp;lvl=3&amp;lin=f&amp;keep=1&amp;srchmode=1&amp;unlock","30455")</f>
        <v>30455</v>
      </c>
      <c r="F2340" t="s">
        <v>241</v>
      </c>
      <c r="G2340" t="str">
        <f>HYPERLINK("http://www.ncbi.nlm.nih.gov/Taxonomy/Browser/wwwtax.cgi?mode=Info&amp;id=30455&amp;lvl=3&amp;lin=f&amp;keep=1&amp;srchmode=1&amp;unlock","Fulmarus glacialis")</f>
        <v>Fulmarus glacialis</v>
      </c>
      <c r="H2340" t="s">
        <v>830</v>
      </c>
      <c r="I2340" t="str">
        <f>HYPERLINK("http://www.ncbi.nlm.nih.gov/protein/XP_009574679.1","PREDICTED: ryanodine receptor 2, partial")</f>
        <v>PREDICTED: ryanodine receptor 2, partial</v>
      </c>
      <c r="J2340">
        <v>4045.74</v>
      </c>
      <c r="K2340" t="s">
        <v>19</v>
      </c>
      <c r="L2340">
        <v>1210</v>
      </c>
      <c r="M2340">
        <v>7.13</v>
      </c>
      <c r="N2340">
        <v>39.42</v>
      </c>
      <c r="O2340" t="s">
        <v>19</v>
      </c>
      <c r="P2340" t="s">
        <v>1267</v>
      </c>
      <c r="Q2340" t="s">
        <v>19</v>
      </c>
      <c r="R2340" t="str">
        <f>HYPERLINK("https://cfpub.epa.gov/ecotox/explore.cfm?ncbi=30455","Explore in ECOTOX")</f>
        <v>Explore in ECOTOX</v>
      </c>
    </row>
    <row r="2341" spans="1:18" x14ac:dyDescent="0.45">
      <c r="A2341" t="s">
        <v>1266</v>
      </c>
      <c r="B2341">
        <v>8</v>
      </c>
      <c r="C2341" t="str">
        <f>HYPERLINK("http://www.ncbi.nlm.nih.gov/protein/XP_019616605.1","XP_019616605.1")</f>
        <v>XP_019616605.1</v>
      </c>
      <c r="D2341">
        <v>79871</v>
      </c>
      <c r="E2341" t="str">
        <f>HYPERLINK("http://www.ncbi.nlm.nih.gov/Taxonomy/Browser/wwwtax.cgi?mode=Info&amp;id=7741&amp;lvl=3&amp;lin=f&amp;keep=1&amp;srchmode=1&amp;unlock","7741")</f>
        <v>7741</v>
      </c>
      <c r="F2341" t="s">
        <v>788</v>
      </c>
      <c r="G2341" t="str">
        <f>HYPERLINK("http://www.ncbi.nlm.nih.gov/Taxonomy/Browser/wwwtax.cgi?mode=Info&amp;id=7741&amp;lvl=3&amp;lin=f&amp;keep=1&amp;srchmode=1&amp;unlock","Branchiostoma belcheri")</f>
        <v>Branchiostoma belcheri</v>
      </c>
      <c r="H2341" t="s">
        <v>793</v>
      </c>
      <c r="I2341" t="str">
        <f>HYPERLINK("http://www.ncbi.nlm.nih.gov/protein/XP_019616605.1","PREDICTED: LOW QUALITY PROTEIN: ryanodine receptor 3-like")</f>
        <v>PREDICTED: LOW QUALITY PROTEIN: ryanodine receptor 3-like</v>
      </c>
      <c r="J2341">
        <v>4028.02</v>
      </c>
      <c r="K2341" t="s">
        <v>19</v>
      </c>
      <c r="L2341">
        <v>1210</v>
      </c>
      <c r="M2341">
        <v>7.13</v>
      </c>
      <c r="N2341">
        <v>39.25</v>
      </c>
      <c r="O2341" t="s">
        <v>19</v>
      </c>
      <c r="P2341" t="s">
        <v>1267</v>
      </c>
      <c r="Q2341" t="s">
        <v>19</v>
      </c>
      <c r="R2341" t="str">
        <f>HYPERLINK("https://cfpub.epa.gov/ecotox/explore.cfm?ncbi=7741","Explore in ECOTOX")</f>
        <v>Explore in ECOTOX</v>
      </c>
    </row>
    <row r="2342" spans="1:18" x14ac:dyDescent="0.45">
      <c r="A2342" t="s">
        <v>1266</v>
      </c>
      <c r="B2342">
        <v>8</v>
      </c>
      <c r="C2342" t="str">
        <f>HYPERLINK("http://www.ncbi.nlm.nih.gov/protein/XP_035681467.1","XP_035681467.1")</f>
        <v>XP_035681467.1</v>
      </c>
      <c r="D2342">
        <v>44104</v>
      </c>
      <c r="E2342" t="str">
        <f>HYPERLINK("http://www.ncbi.nlm.nih.gov/Taxonomy/Browser/wwwtax.cgi?mode=Info&amp;id=7739&amp;lvl=3&amp;lin=f&amp;keep=1&amp;srchmode=1&amp;unlock","7739")</f>
        <v>7739</v>
      </c>
      <c r="F2342" t="s">
        <v>788</v>
      </c>
      <c r="G2342" t="str">
        <f>HYPERLINK("http://www.ncbi.nlm.nih.gov/Taxonomy/Browser/wwwtax.cgi?mode=Info&amp;id=7739&amp;lvl=3&amp;lin=f&amp;keep=1&amp;srchmode=1&amp;unlock","Branchiostoma floridae")</f>
        <v>Branchiostoma floridae</v>
      </c>
      <c r="H2342" t="s">
        <v>796</v>
      </c>
      <c r="I2342" t="str">
        <f>HYPERLINK("http://www.ncbi.nlm.nih.gov/protein/XP_035681467.1","ryanodine receptor 3-like")</f>
        <v>ryanodine receptor 3-like</v>
      </c>
      <c r="J2342">
        <v>4021.85</v>
      </c>
      <c r="K2342" t="s">
        <v>19</v>
      </c>
      <c r="L2342">
        <v>1210</v>
      </c>
      <c r="M2342">
        <v>7.13</v>
      </c>
      <c r="N2342">
        <v>39.19</v>
      </c>
      <c r="O2342" t="s">
        <v>19</v>
      </c>
      <c r="P2342" t="s">
        <v>1267</v>
      </c>
      <c r="Q2342" t="s">
        <v>19</v>
      </c>
      <c r="R2342" t="str">
        <f>HYPERLINK("https://cfpub.epa.gov/ecotox/explore.cfm?ncbi=7739","Explore in ECOTOX")</f>
        <v>Explore in ECOTOX</v>
      </c>
    </row>
    <row r="2343" spans="1:18" x14ac:dyDescent="0.45">
      <c r="A2343" t="s">
        <v>1266</v>
      </c>
      <c r="B2343">
        <v>8</v>
      </c>
      <c r="C2343" t="str">
        <f>HYPERLINK("http://www.ncbi.nlm.nih.gov/protein/XP_010079144.1","XP_010079144.1")</f>
        <v>XP_010079144.1</v>
      </c>
      <c r="D2343">
        <v>27073</v>
      </c>
      <c r="E2343" t="str">
        <f>HYPERLINK("http://www.ncbi.nlm.nih.gov/Taxonomy/Browser/wwwtax.cgi?mode=Info&amp;id=240206&amp;lvl=3&amp;lin=f&amp;keep=1&amp;srchmode=1&amp;unlock","240206")</f>
        <v>240206</v>
      </c>
      <c r="F2343" t="s">
        <v>241</v>
      </c>
      <c r="G2343" t="str">
        <f>HYPERLINK("http://www.ncbi.nlm.nih.gov/Taxonomy/Browser/wwwtax.cgi?mode=Info&amp;id=240206&amp;lvl=3&amp;lin=f&amp;keep=1&amp;srchmode=1&amp;unlock","Pterocles gutturalis")</f>
        <v>Pterocles gutturalis</v>
      </c>
      <c r="H2343" t="s">
        <v>784</v>
      </c>
      <c r="I2343" t="str">
        <f>HYPERLINK("http://www.ncbi.nlm.nih.gov/protein/XP_010079144.1","PREDICTED: LOW QUALITY PROTEIN: ryanodine receptor 3-like, partial")</f>
        <v>PREDICTED: LOW QUALITY PROTEIN: ryanodine receptor 3-like, partial</v>
      </c>
      <c r="J2343">
        <v>4008.37</v>
      </c>
      <c r="K2343" t="s">
        <v>22</v>
      </c>
      <c r="L2343">
        <v>1210</v>
      </c>
      <c r="M2343">
        <v>7.13</v>
      </c>
      <c r="N2343">
        <v>39.06</v>
      </c>
      <c r="O2343" t="s">
        <v>19</v>
      </c>
      <c r="P2343" t="s">
        <v>1267</v>
      </c>
      <c r="Q2343" t="s">
        <v>19</v>
      </c>
      <c r="R2343" t="str">
        <f>HYPERLINK("https://cfpub.epa.gov/ecotox/explore.cfm?ncbi=240206","Explore in ECOTOX")</f>
        <v>Explore in ECOTOX</v>
      </c>
    </row>
    <row r="2344" spans="1:18" x14ac:dyDescent="0.45">
      <c r="A2344" t="s">
        <v>1266</v>
      </c>
      <c r="B2344">
        <v>8</v>
      </c>
      <c r="C2344" t="str">
        <f>HYPERLINK("http://www.ncbi.nlm.nih.gov/protein/XP_010137660.1","XP_010137660.1")</f>
        <v>XP_010137660.1</v>
      </c>
      <c r="D2344">
        <v>27222</v>
      </c>
      <c r="E2344" t="str">
        <f>HYPERLINK("http://www.ncbi.nlm.nih.gov/Taxonomy/Browser/wwwtax.cgi?mode=Info&amp;id=175836&amp;lvl=3&amp;lin=f&amp;keep=1&amp;srchmode=1&amp;unlock","175836")</f>
        <v>175836</v>
      </c>
      <c r="F2344" t="s">
        <v>241</v>
      </c>
      <c r="G2344" t="str">
        <f>HYPERLINK("http://www.ncbi.nlm.nih.gov/Taxonomy/Browser/wwwtax.cgi?mode=Info&amp;id=175836&amp;lvl=3&amp;lin=f&amp;keep=1&amp;srchmode=1&amp;unlock","Buceros rhinoceros silvestris")</f>
        <v>Buceros rhinoceros silvestris</v>
      </c>
      <c r="H2344" t="s">
        <v>786</v>
      </c>
      <c r="I2344" t="str">
        <f>HYPERLINK("http://www.ncbi.nlm.nih.gov/protein/XP_010137660.1","PREDICTED: ryanodine receptor 3, partial")</f>
        <v>PREDICTED: ryanodine receptor 3, partial</v>
      </c>
      <c r="J2344">
        <v>3999.51</v>
      </c>
      <c r="K2344" t="s">
        <v>22</v>
      </c>
      <c r="L2344">
        <v>1210</v>
      </c>
      <c r="M2344">
        <v>7.13</v>
      </c>
      <c r="N2344">
        <v>38.97</v>
      </c>
      <c r="O2344" t="s">
        <v>19</v>
      </c>
      <c r="P2344" t="s">
        <v>1267</v>
      </c>
      <c r="Q2344" t="s">
        <v>19</v>
      </c>
      <c r="R2344" t="str">
        <f>HYPERLINK("https://cfpub.epa.gov/ecotox/explore.cfm?ncbi=175836","Explore in ECOTOX")</f>
        <v>Explore in ECOTOX</v>
      </c>
    </row>
    <row r="2345" spans="1:18" x14ac:dyDescent="0.45">
      <c r="A2345" t="s">
        <v>1266</v>
      </c>
      <c r="B2345">
        <v>8</v>
      </c>
      <c r="C2345" t="str">
        <f>HYPERLINK("http://www.ncbi.nlm.nih.gov/protein/XP_010795570.1","XP_010795570.1")</f>
        <v>XP_010795570.1</v>
      </c>
      <c r="D2345">
        <v>32366</v>
      </c>
      <c r="E2345" t="str">
        <f>HYPERLINK("http://www.ncbi.nlm.nih.gov/Taxonomy/Browser/wwwtax.cgi?mode=Info&amp;id=8208&amp;lvl=3&amp;lin=f&amp;keep=1&amp;srchmode=1&amp;unlock","8208")</f>
        <v>8208</v>
      </c>
      <c r="F2345" t="s">
        <v>17</v>
      </c>
      <c r="G2345" t="str">
        <f>HYPERLINK("http://www.ncbi.nlm.nih.gov/Taxonomy/Browser/wwwtax.cgi?mode=Info&amp;id=8208&amp;lvl=3&amp;lin=f&amp;keep=1&amp;srchmode=1&amp;unlock","Notothenia coriiceps")</f>
        <v>Notothenia coriiceps</v>
      </c>
      <c r="H2345" t="s">
        <v>171</v>
      </c>
      <c r="I2345" t="str">
        <f>HYPERLINK("http://www.ncbi.nlm.nih.gov/protein/XP_010795570.1","PREDICTED: ryanodine receptor 1, partial")</f>
        <v>PREDICTED: ryanodine receptor 1, partial</v>
      </c>
      <c r="J2345">
        <v>3989.5</v>
      </c>
      <c r="K2345" t="s">
        <v>22</v>
      </c>
      <c r="L2345">
        <v>1210</v>
      </c>
      <c r="M2345">
        <v>7.13</v>
      </c>
      <c r="N2345">
        <v>38.869999999999997</v>
      </c>
      <c r="O2345" t="s">
        <v>19</v>
      </c>
      <c r="P2345" t="s">
        <v>1267</v>
      </c>
      <c r="Q2345" t="s">
        <v>19</v>
      </c>
      <c r="R2345" t="str">
        <f>HYPERLINK("https://cfpub.epa.gov/ecotox/explore.cfm?ncbi=8208","Explore in ECOTOX")</f>
        <v>Explore in ECOTOX</v>
      </c>
    </row>
    <row r="2346" spans="1:18" x14ac:dyDescent="0.45">
      <c r="A2346" t="s">
        <v>1266</v>
      </c>
      <c r="B2346">
        <v>8</v>
      </c>
      <c r="C2346" t="str">
        <f>HYPERLINK("http://www.ncbi.nlm.nih.gov/protein/XP_023320281.1","XP_023320281.1")</f>
        <v>XP_023320281.1</v>
      </c>
      <c r="D2346">
        <v>30482</v>
      </c>
      <c r="E2346" t="str">
        <f>HYPERLINK("http://www.ncbi.nlm.nih.gov/Taxonomy/Browser/wwwtax.cgi?mode=Info&amp;id=1294199&amp;lvl=3&amp;lin=f&amp;keep=1&amp;srchmode=1&amp;unlock","1294199")</f>
        <v>1294199</v>
      </c>
      <c r="F2346" t="s">
        <v>794</v>
      </c>
      <c r="G2346" t="str">
        <f>HYPERLINK("http://www.ncbi.nlm.nih.gov/Taxonomy/Browser/wwwtax.cgi?mode=Info&amp;id=1294199&amp;lvl=3&amp;lin=f&amp;keep=1&amp;srchmode=1&amp;unlock","Eurytemora carolleeae")</f>
        <v>Eurytemora carolleeae</v>
      </c>
      <c r="H2346" t="s">
        <v>795</v>
      </c>
      <c r="I2346" t="str">
        <f>HYPERLINK("http://www.ncbi.nlm.nih.gov/protein/XP_023320281.1","ryanodine receptor isoform X4")</f>
        <v>ryanodine receptor isoform X4</v>
      </c>
      <c r="J2346">
        <v>3988.34</v>
      </c>
      <c r="K2346" t="s">
        <v>19</v>
      </c>
      <c r="L2346">
        <v>1210</v>
      </c>
      <c r="M2346">
        <v>7.13</v>
      </c>
      <c r="N2346">
        <v>38.86</v>
      </c>
      <c r="O2346" t="s">
        <v>19</v>
      </c>
      <c r="P2346" t="s">
        <v>1267</v>
      </c>
      <c r="Q2346" t="s">
        <v>19</v>
      </c>
      <c r="R2346" t="str">
        <f>HYPERLINK("https://cfpub.epa.gov/ecotox/explore.cfm?ncbi=1294199","Explore in ECOTOX")</f>
        <v>Explore in ECOTOX</v>
      </c>
    </row>
    <row r="2347" spans="1:18" x14ac:dyDescent="0.45">
      <c r="A2347" t="s">
        <v>1266</v>
      </c>
      <c r="B2347">
        <v>8</v>
      </c>
      <c r="C2347" t="str">
        <f>HYPERLINK("http://www.ncbi.nlm.nih.gov/protein/CAF1002469.1","CAF1002469.1")</f>
        <v>CAF1002469.1</v>
      </c>
      <c r="D2347">
        <v>412302</v>
      </c>
      <c r="E2347" t="str">
        <f>HYPERLINK("http://www.ncbi.nlm.nih.gov/Taxonomy/Browser/wwwtax.cgi?mode=Info&amp;id=433720&amp;lvl=3&amp;lin=f&amp;keep=1&amp;srchmode=1&amp;unlock","433720")</f>
        <v>433720</v>
      </c>
      <c r="F2347" t="s">
        <v>811</v>
      </c>
      <c r="G2347" t="str">
        <f>HYPERLINK("http://www.ncbi.nlm.nih.gov/Taxonomy/Browser/wwwtax.cgi?mode=Info&amp;id=433720&amp;lvl=3&amp;lin=f&amp;keep=1&amp;srchmode=1&amp;unlock","Adineta steineri")</f>
        <v>Adineta steineri</v>
      </c>
      <c r="H2347" t="s">
        <v>812</v>
      </c>
      <c r="I2347" t="str">
        <f>HYPERLINK("http://www.ncbi.nlm.nih.gov/protein/CAF1002469.1","unnamed protein product")</f>
        <v>unnamed protein product</v>
      </c>
      <c r="J2347">
        <v>3962.15</v>
      </c>
      <c r="K2347" t="s">
        <v>19</v>
      </c>
      <c r="L2347">
        <v>1210</v>
      </c>
      <c r="M2347">
        <v>7.13</v>
      </c>
      <c r="N2347">
        <v>38.61</v>
      </c>
      <c r="O2347" t="s">
        <v>19</v>
      </c>
      <c r="P2347" t="s">
        <v>1267</v>
      </c>
      <c r="Q2347" t="s">
        <v>19</v>
      </c>
      <c r="R2347" t="str">
        <f>HYPERLINK("https://cfpub.epa.gov/ecotox/explore.cfm?ncbi=433720","Explore in ECOTOX")</f>
        <v>Explore in ECOTOX</v>
      </c>
    </row>
    <row r="2348" spans="1:18" x14ac:dyDescent="0.45">
      <c r="A2348" t="s">
        <v>1266</v>
      </c>
      <c r="B2348">
        <v>8</v>
      </c>
      <c r="C2348" t="str">
        <f>HYPERLINK("http://www.ncbi.nlm.nih.gov/protein/KAK2531532.1","KAK2531532.1")</f>
        <v>KAK2531532.1</v>
      </c>
      <c r="D2348">
        <v>17823</v>
      </c>
      <c r="E2348" t="str">
        <f>HYPERLINK("http://www.ncbi.nlm.nih.gov/Taxonomy/Browser/wwwtax.cgi?mode=Info&amp;id=135627&amp;lvl=3&amp;lin=f&amp;keep=1&amp;srchmode=1&amp;unlock","135627")</f>
        <v>135627</v>
      </c>
      <c r="F2348" t="s">
        <v>241</v>
      </c>
      <c r="G2348" t="str">
        <f>HYPERLINK("http://www.ncbi.nlm.nih.gov/Taxonomy/Browser/wwwtax.cgi?mode=Info&amp;id=135627&amp;lvl=3&amp;lin=f&amp;keep=1&amp;srchmode=1&amp;unlock","Columba guinea")</f>
        <v>Columba guinea</v>
      </c>
      <c r="H2348" t="s">
        <v>1137</v>
      </c>
      <c r="I2348" t="str">
        <f>HYPERLINK("http://www.ncbi.nlm.nih.gov/protein/KAK2531532.1","Ryr2")</f>
        <v>Ryr2</v>
      </c>
      <c r="J2348">
        <v>3929.02</v>
      </c>
      <c r="K2348" t="s">
        <v>19</v>
      </c>
      <c r="L2348">
        <v>1210</v>
      </c>
      <c r="M2348">
        <v>7.13</v>
      </c>
      <c r="N2348">
        <v>38.28</v>
      </c>
      <c r="O2348" t="s">
        <v>19</v>
      </c>
      <c r="P2348" t="s">
        <v>1267</v>
      </c>
      <c r="Q2348" t="s">
        <v>19</v>
      </c>
      <c r="R2348" t="str">
        <f>HYPERLINK("https://cfpub.epa.gov/ecotox/explore.cfm?ncbi=135627","Explore in ECOTOX")</f>
        <v>Explore in ECOTOX</v>
      </c>
    </row>
    <row r="2349" spans="1:18" x14ac:dyDescent="0.45">
      <c r="A2349" t="s">
        <v>1266</v>
      </c>
      <c r="B2349">
        <v>8</v>
      </c>
      <c r="C2349" t="str">
        <f>HYPERLINK("http://www.ncbi.nlm.nih.gov/protein/CAF2046962.1","CAF2046962.1")</f>
        <v>CAF2046962.1</v>
      </c>
      <c r="D2349">
        <v>513812</v>
      </c>
      <c r="E2349" t="str">
        <f>HYPERLINK("http://www.ncbi.nlm.nih.gov/Taxonomy/Browser/wwwtax.cgi?mode=Info&amp;id=392030&amp;lvl=3&amp;lin=f&amp;keep=1&amp;srchmode=1&amp;unlock","392030")</f>
        <v>392030</v>
      </c>
      <c r="F2349" t="s">
        <v>811</v>
      </c>
      <c r="G2349" t="str">
        <f>HYPERLINK("http://www.ncbi.nlm.nih.gov/Taxonomy/Browser/wwwtax.cgi?mode=Info&amp;id=392030&amp;lvl=3&amp;lin=f&amp;keep=1&amp;srchmode=1&amp;unlock","Rotaria magnacalcarata")</f>
        <v>Rotaria magnacalcarata</v>
      </c>
      <c r="H2349" t="s">
        <v>812</v>
      </c>
      <c r="I2349" t="str">
        <f>HYPERLINK("http://www.ncbi.nlm.nih.gov/protein/CAF2046962.1","unnamed protein product")</f>
        <v>unnamed protein product</v>
      </c>
      <c r="J2349">
        <v>3924.4</v>
      </c>
      <c r="K2349" t="s">
        <v>19</v>
      </c>
      <c r="L2349">
        <v>1210</v>
      </c>
      <c r="M2349">
        <v>7.13</v>
      </c>
      <c r="N2349">
        <v>38.24</v>
      </c>
      <c r="O2349" t="s">
        <v>19</v>
      </c>
      <c r="P2349" t="s">
        <v>1267</v>
      </c>
      <c r="Q2349" t="s">
        <v>19</v>
      </c>
      <c r="R2349" t="str">
        <f>HYPERLINK("https://cfpub.epa.gov/ecotox/explore.cfm?ncbi=392030","Explore in ECOTOX")</f>
        <v>Explore in ECOTOX</v>
      </c>
    </row>
    <row r="2350" spans="1:18" x14ac:dyDescent="0.45">
      <c r="A2350" t="s">
        <v>1266</v>
      </c>
      <c r="B2350">
        <v>8</v>
      </c>
      <c r="C2350" t="str">
        <f>HYPERLINK("http://www.ncbi.nlm.nih.gov/protein/CAF4284507.1","CAF4284507.1")</f>
        <v>CAF4284507.1</v>
      </c>
      <c r="D2350">
        <v>331663</v>
      </c>
      <c r="E2350" t="str">
        <f>HYPERLINK("http://www.ncbi.nlm.nih.gov/Taxonomy/Browser/wwwtax.cgi?mode=Info&amp;id=392032&amp;lvl=3&amp;lin=f&amp;keep=1&amp;srchmode=1&amp;unlock","392032")</f>
        <v>392032</v>
      </c>
      <c r="F2350" t="s">
        <v>811</v>
      </c>
      <c r="G2350" t="str">
        <f>HYPERLINK("http://www.ncbi.nlm.nih.gov/Taxonomy/Browser/wwwtax.cgi?mode=Info&amp;id=392032&amp;lvl=3&amp;lin=f&amp;keep=1&amp;srchmode=1&amp;unlock","Rotaria socialis")</f>
        <v>Rotaria socialis</v>
      </c>
      <c r="H2350" t="s">
        <v>812</v>
      </c>
      <c r="I2350" t="str">
        <f>HYPERLINK("http://www.ncbi.nlm.nih.gov/protein/CAF4284507.1","unnamed protein product")</f>
        <v>unnamed protein product</v>
      </c>
      <c r="J2350">
        <v>3907.07</v>
      </c>
      <c r="K2350" t="s">
        <v>22</v>
      </c>
      <c r="L2350">
        <v>1210</v>
      </c>
      <c r="M2350">
        <v>7.13</v>
      </c>
      <c r="N2350">
        <v>38.07</v>
      </c>
      <c r="O2350" t="s">
        <v>19</v>
      </c>
      <c r="P2350" t="s">
        <v>1267</v>
      </c>
      <c r="Q2350" t="s">
        <v>19</v>
      </c>
      <c r="R2350" t="str">
        <f>HYPERLINK("https://cfpub.epa.gov/ecotox/explore.cfm?ncbi=392032","Explore in ECOTOX")</f>
        <v>Explore in ECOTOX</v>
      </c>
    </row>
    <row r="2351" spans="1:18" x14ac:dyDescent="0.45">
      <c r="A2351" t="s">
        <v>1266</v>
      </c>
      <c r="B2351">
        <v>8</v>
      </c>
      <c r="C2351" t="str">
        <f>HYPERLINK("http://www.ncbi.nlm.nih.gov/protein/CBY33379.1","CBY33379.1")</f>
        <v>CBY33379.1</v>
      </c>
      <c r="D2351">
        <v>50047</v>
      </c>
      <c r="E2351" t="str">
        <f>HYPERLINK("http://www.ncbi.nlm.nih.gov/Taxonomy/Browser/wwwtax.cgi?mode=Info&amp;id=34765&amp;lvl=3&amp;lin=f&amp;keep=1&amp;srchmode=1&amp;unlock","34765")</f>
        <v>34765</v>
      </c>
      <c r="F2351" t="s">
        <v>800</v>
      </c>
      <c r="G2351" t="str">
        <f>HYPERLINK("http://www.ncbi.nlm.nih.gov/Taxonomy/Browser/wwwtax.cgi?mode=Info&amp;id=34765&amp;lvl=3&amp;lin=f&amp;keep=1&amp;srchmode=1&amp;unlock","Oikopleura dioica")</f>
        <v>Oikopleura dioica</v>
      </c>
      <c r="H2351" t="s">
        <v>801</v>
      </c>
      <c r="I2351" t="str">
        <f>HYPERLINK("http://www.ncbi.nlm.nih.gov/protein/CBY33379.1","unnamed protein product")</f>
        <v>unnamed protein product</v>
      </c>
      <c r="J2351">
        <v>3851.21</v>
      </c>
      <c r="K2351" t="s">
        <v>19</v>
      </c>
      <c r="L2351">
        <v>1210</v>
      </c>
      <c r="M2351">
        <v>7.13</v>
      </c>
      <c r="N2351">
        <v>37.53</v>
      </c>
      <c r="O2351" t="s">
        <v>19</v>
      </c>
      <c r="P2351" t="s">
        <v>1267</v>
      </c>
      <c r="Q2351" t="s">
        <v>19</v>
      </c>
      <c r="R2351" t="str">
        <f>HYPERLINK("https://cfpub.epa.gov/ecotox/explore.cfm?ncbi=34765","Explore in ECOTOX")</f>
        <v>Explore in ECOTOX</v>
      </c>
    </row>
    <row r="2352" spans="1:18" x14ac:dyDescent="0.45">
      <c r="A2352" t="s">
        <v>1266</v>
      </c>
      <c r="B2352">
        <v>8</v>
      </c>
      <c r="C2352" t="str">
        <f>HYPERLINK("http://www.ncbi.nlm.nih.gov/protein/XP_010191529.1","XP_010191529.1")</f>
        <v>XP_010191529.1</v>
      </c>
      <c r="D2352">
        <v>29408</v>
      </c>
      <c r="E2352" t="str">
        <f>HYPERLINK("http://www.ncbi.nlm.nih.gov/Taxonomy/Browser/wwwtax.cgi?mode=Info&amp;id=54374&amp;lvl=3&amp;lin=f&amp;keep=1&amp;srchmode=1&amp;unlock","54374")</f>
        <v>54374</v>
      </c>
      <c r="F2352" t="s">
        <v>241</v>
      </c>
      <c r="G2352" t="str">
        <f>HYPERLINK("http://www.ncbi.nlm.nih.gov/Taxonomy/Browser/wwwtax.cgi?mode=Info&amp;id=54374&amp;lvl=3&amp;lin=f&amp;keep=1&amp;srchmode=1&amp;unlock","Mesitornis unicolor")</f>
        <v>Mesitornis unicolor</v>
      </c>
      <c r="H2352" t="s">
        <v>853</v>
      </c>
      <c r="I2352" t="str">
        <f>HYPERLINK("http://www.ncbi.nlm.nih.gov/protein/XP_010191529.1","PREDICTED: ryanodine receptor 2, partial")</f>
        <v>PREDICTED: ryanodine receptor 2, partial</v>
      </c>
      <c r="J2352">
        <v>3822.32</v>
      </c>
      <c r="K2352" t="s">
        <v>19</v>
      </c>
      <c r="L2352">
        <v>1210</v>
      </c>
      <c r="M2352">
        <v>7.13</v>
      </c>
      <c r="N2352">
        <v>37.24</v>
      </c>
      <c r="O2352" t="s">
        <v>19</v>
      </c>
      <c r="P2352" t="s">
        <v>1267</v>
      </c>
      <c r="Q2352" t="s">
        <v>19</v>
      </c>
      <c r="R2352" t="str">
        <f>HYPERLINK("https://cfpub.epa.gov/ecotox/explore.cfm?ncbi=54374","Explore in ECOTOX")</f>
        <v>Explore in ECOTOX</v>
      </c>
    </row>
    <row r="2353" spans="1:18" x14ac:dyDescent="0.45">
      <c r="A2353" t="s">
        <v>1266</v>
      </c>
      <c r="B2353">
        <v>8</v>
      </c>
      <c r="C2353" t="str">
        <f>HYPERLINK("http://www.ncbi.nlm.nih.gov/protein/XP_010199537.1","XP_010199537.1")</f>
        <v>XP_010199537.1</v>
      </c>
      <c r="D2353">
        <v>26934</v>
      </c>
      <c r="E2353" t="str">
        <f>HYPERLINK("http://www.ncbi.nlm.nih.gov/Taxonomy/Browser/wwwtax.cgi?mode=Info&amp;id=57412&amp;lvl=3&amp;lin=f&amp;keep=1&amp;srchmode=1&amp;unlock","57412")</f>
        <v>57412</v>
      </c>
      <c r="F2353" t="s">
        <v>241</v>
      </c>
      <c r="G2353" t="str">
        <f>HYPERLINK("http://www.ncbi.nlm.nih.gov/Taxonomy/Browser/wwwtax.cgi?mode=Info&amp;id=57412&amp;lvl=3&amp;lin=f&amp;keep=1&amp;srchmode=1&amp;unlock","Colius striatus")</f>
        <v>Colius striatus</v>
      </c>
      <c r="H2353" t="s">
        <v>914</v>
      </c>
      <c r="I2353" t="str">
        <f>HYPERLINK("http://www.ncbi.nlm.nih.gov/protein/XP_010199537.1","PREDICTED: ryanodine receptor 2, partial")</f>
        <v>PREDICTED: ryanodine receptor 2, partial</v>
      </c>
      <c r="J2353">
        <v>3776.87</v>
      </c>
      <c r="K2353" t="s">
        <v>19</v>
      </c>
      <c r="L2353">
        <v>1210</v>
      </c>
      <c r="M2353">
        <v>7.13</v>
      </c>
      <c r="N2353">
        <v>36.799999999999997</v>
      </c>
      <c r="O2353" t="s">
        <v>19</v>
      </c>
      <c r="P2353" t="s">
        <v>1267</v>
      </c>
      <c r="Q2353" t="s">
        <v>19</v>
      </c>
      <c r="R2353" t="str">
        <f>HYPERLINK("https://cfpub.epa.gov/ecotox/explore.cfm?ncbi=57412","Explore in ECOTOX")</f>
        <v>Explore in ECOTOX</v>
      </c>
    </row>
    <row r="2354" spans="1:18" x14ac:dyDescent="0.45">
      <c r="A2354" t="s">
        <v>1266</v>
      </c>
      <c r="B2354">
        <v>8</v>
      </c>
      <c r="C2354" t="str">
        <f>HYPERLINK("http://www.ncbi.nlm.nih.gov/protein/KQK77981.1","KQK77981.1")</f>
        <v>KQK77981.1</v>
      </c>
      <c r="D2354">
        <v>16224</v>
      </c>
      <c r="E2354" t="str">
        <f>HYPERLINK("http://www.ncbi.nlm.nih.gov/Taxonomy/Browser/wwwtax.cgi?mode=Info&amp;id=12930&amp;lvl=3&amp;lin=f&amp;keep=1&amp;srchmode=1&amp;unlock","12930")</f>
        <v>12930</v>
      </c>
      <c r="F2354" t="s">
        <v>241</v>
      </c>
      <c r="G2354" t="str">
        <f>HYPERLINK("http://www.ncbi.nlm.nih.gov/Taxonomy/Browser/wwwtax.cgi?mode=Info&amp;id=12930&amp;lvl=3&amp;lin=f&amp;keep=1&amp;srchmode=1&amp;unlock","Amazona aestiva")</f>
        <v>Amazona aestiva</v>
      </c>
      <c r="H2354" t="s">
        <v>964</v>
      </c>
      <c r="I2354" t="str">
        <f>HYPERLINK("http://www.ncbi.nlm.nih.gov/protein/KQK77981.1","hypothetical protein AAES_119655")</f>
        <v>hypothetical protein AAES_119655</v>
      </c>
      <c r="J2354">
        <v>3678.64</v>
      </c>
      <c r="K2354" t="s">
        <v>22</v>
      </c>
      <c r="L2354">
        <v>1210</v>
      </c>
      <c r="M2354">
        <v>7.13</v>
      </c>
      <c r="N2354">
        <v>35.840000000000003</v>
      </c>
      <c r="O2354" t="s">
        <v>19</v>
      </c>
      <c r="P2354" t="s">
        <v>1267</v>
      </c>
      <c r="Q2354" t="s">
        <v>19</v>
      </c>
      <c r="R2354" t="str">
        <f>HYPERLINK("https://cfpub.epa.gov/ecotox/explore.cfm?ncbi=12930","Explore in ECOTOX")</f>
        <v>Explore in ECOTOX</v>
      </c>
    </row>
    <row r="2355" spans="1:18" x14ac:dyDescent="0.45">
      <c r="A2355" t="s">
        <v>1266</v>
      </c>
      <c r="B2355">
        <v>8</v>
      </c>
      <c r="C2355" t="str">
        <f>HYPERLINK("http://www.ncbi.nlm.nih.gov/protein/KAJ8780551.1","KAJ8780551.1")</f>
        <v>KAJ8780551.1</v>
      </c>
      <c r="D2355">
        <v>34482</v>
      </c>
      <c r="E2355" t="str">
        <f>HYPERLINK("http://www.ncbi.nlm.nih.gov/Taxonomy/Browser/wwwtax.cgi?mode=Info&amp;id=9764&amp;lvl=3&amp;lin=f&amp;keep=1&amp;srchmode=1&amp;unlock","9764")</f>
        <v>9764</v>
      </c>
      <c r="F2355" t="s">
        <v>96</v>
      </c>
      <c r="G2355" t="str">
        <f>HYPERLINK("http://www.ncbi.nlm.nih.gov/Taxonomy/Browser/wwwtax.cgi?mode=Info&amp;id=9764&amp;lvl=3&amp;lin=f&amp;keep=1&amp;srchmode=1&amp;unlock","Eschrichtius robustus")</f>
        <v>Eschrichtius robustus</v>
      </c>
      <c r="H2355" t="s">
        <v>820</v>
      </c>
      <c r="I2355" t="str">
        <f>HYPERLINK("http://www.ncbi.nlm.nih.gov/protein/KAJ8780551.1","hypothetical protein J1605_011466")</f>
        <v>hypothetical protein J1605_011466</v>
      </c>
      <c r="J2355">
        <v>3634.34</v>
      </c>
      <c r="K2355" t="s">
        <v>22</v>
      </c>
      <c r="L2355">
        <v>1210</v>
      </c>
      <c r="M2355">
        <v>7.13</v>
      </c>
      <c r="N2355">
        <v>35.409999999999997</v>
      </c>
      <c r="O2355" t="s">
        <v>19</v>
      </c>
      <c r="P2355" t="s">
        <v>1267</v>
      </c>
      <c r="Q2355" t="s">
        <v>19</v>
      </c>
      <c r="R2355" t="str">
        <f>HYPERLINK("https://cfpub.epa.gov/ecotox/explore.cfm?ncbi=9764","Explore in ECOTOX")</f>
        <v>Explore in ECOTOX</v>
      </c>
    </row>
    <row r="2356" spans="1:18" x14ac:dyDescent="0.45">
      <c r="A2356" t="s">
        <v>1266</v>
      </c>
      <c r="B2356">
        <v>8</v>
      </c>
      <c r="C2356" t="str">
        <f>HYPERLINK("http://www.ncbi.nlm.nih.gov/protein/XP_028942056.1","XP_028942056.1")</f>
        <v>XP_028942056.1</v>
      </c>
      <c r="D2356">
        <v>29269</v>
      </c>
      <c r="E2356" t="str">
        <f>HYPERLINK("http://www.ncbi.nlm.nih.gov/Taxonomy/Browser/wwwtax.cgi?mode=Info&amp;id=279965&amp;lvl=3&amp;lin=f&amp;keep=1&amp;srchmode=1&amp;unlock","279965")</f>
        <v>279965</v>
      </c>
      <c r="F2356" t="s">
        <v>241</v>
      </c>
      <c r="G2356" t="str">
        <f>HYPERLINK("http://www.ncbi.nlm.nih.gov/Taxonomy/Browser/wwwtax.cgi?mode=Info&amp;id=279965&amp;lvl=3&amp;lin=f&amp;keep=1&amp;srchmode=1&amp;unlock","Antrostomus carolinensis")</f>
        <v>Antrostomus carolinensis</v>
      </c>
      <c r="H2356" t="s">
        <v>945</v>
      </c>
      <c r="I2356" t="str">
        <f>HYPERLINK("http://www.ncbi.nlm.nih.gov/protein/XP_028942056.1","ryanodine receptor 2, partial")</f>
        <v>ryanodine receptor 2, partial</v>
      </c>
      <c r="J2356">
        <v>3607.38</v>
      </c>
      <c r="K2356" t="s">
        <v>19</v>
      </c>
      <c r="L2356">
        <v>1210</v>
      </c>
      <c r="M2356">
        <v>7.13</v>
      </c>
      <c r="N2356">
        <v>35.15</v>
      </c>
      <c r="O2356" t="s">
        <v>19</v>
      </c>
      <c r="P2356" t="s">
        <v>1267</v>
      </c>
      <c r="Q2356" t="s">
        <v>19</v>
      </c>
      <c r="R2356" t="str">
        <f>HYPERLINK("https://cfpub.epa.gov/ecotox/explore.cfm?ncbi=279965","Explore in ECOTOX")</f>
        <v>Explore in ECOTOX</v>
      </c>
    </row>
    <row r="2357" spans="1:18" x14ac:dyDescent="0.45">
      <c r="A2357" t="s">
        <v>1266</v>
      </c>
      <c r="B2357">
        <v>8</v>
      </c>
      <c r="C2357" t="str">
        <f>HYPERLINK("http://www.ncbi.nlm.nih.gov/protein/XP_010016644.1","XP_010016644.1")</f>
        <v>XP_010016644.1</v>
      </c>
      <c r="D2357">
        <v>27838</v>
      </c>
      <c r="E2357" t="str">
        <f>HYPERLINK("http://www.ncbi.nlm.nih.gov/Taxonomy/Browser/wwwtax.cgi?mode=Info&amp;id=176057&amp;lvl=3&amp;lin=f&amp;keep=1&amp;srchmode=1&amp;unlock","176057")</f>
        <v>176057</v>
      </c>
      <c r="F2357" t="s">
        <v>241</v>
      </c>
      <c r="G2357" t="str">
        <f>HYPERLINK("http://www.ncbi.nlm.nih.gov/Taxonomy/Browser/wwwtax.cgi?mode=Info&amp;id=176057&amp;lvl=3&amp;lin=f&amp;keep=1&amp;srchmode=1&amp;unlock","Nestor notabilis")</f>
        <v>Nestor notabilis</v>
      </c>
      <c r="H2357" t="s">
        <v>823</v>
      </c>
      <c r="I2357" t="str">
        <f>HYPERLINK("http://www.ncbi.nlm.nih.gov/protein/XP_010016644.1","PREDICTED: ryanodine receptor 3, partial")</f>
        <v>PREDICTED: ryanodine receptor 3, partial</v>
      </c>
      <c r="J2357">
        <v>3439.82</v>
      </c>
      <c r="K2357" t="s">
        <v>22</v>
      </c>
      <c r="L2357">
        <v>1210</v>
      </c>
      <c r="M2357">
        <v>7.13</v>
      </c>
      <c r="N2357">
        <v>33.520000000000003</v>
      </c>
      <c r="O2357" t="s">
        <v>19</v>
      </c>
      <c r="P2357" t="s">
        <v>1267</v>
      </c>
      <c r="Q2357" t="s">
        <v>19</v>
      </c>
      <c r="R2357" t="str">
        <f>HYPERLINK("https://cfpub.epa.gov/ecotox/explore.cfm?ncbi=176057","Explore in ECOTOX")</f>
        <v>Explore in ECOTOX</v>
      </c>
    </row>
    <row r="2358" spans="1:18" x14ac:dyDescent="0.45">
      <c r="A2358" t="s">
        <v>1266</v>
      </c>
      <c r="B2358">
        <v>8</v>
      </c>
      <c r="C2358" t="str">
        <f>HYPERLINK("http://www.ncbi.nlm.nih.gov/protein/CAG10072.1","CAG10072.1")</f>
        <v>CAG10072.1</v>
      </c>
      <c r="D2358">
        <v>28644</v>
      </c>
      <c r="E2358" t="str">
        <f>HYPERLINK("http://www.ncbi.nlm.nih.gov/Taxonomy/Browser/wwwtax.cgi?mode=Info&amp;id=99883&amp;lvl=3&amp;lin=f&amp;keep=1&amp;srchmode=1&amp;unlock","99883")</f>
        <v>99883</v>
      </c>
      <c r="F2358" t="s">
        <v>17</v>
      </c>
      <c r="G2358" t="str">
        <f>HYPERLINK("http://www.ncbi.nlm.nih.gov/Taxonomy/Browser/wwwtax.cgi?mode=Info&amp;id=99883&amp;lvl=3&amp;lin=f&amp;keep=1&amp;srchmode=1&amp;unlock","Tetraodon nigroviridis")</f>
        <v>Tetraodon nigroviridis</v>
      </c>
      <c r="H2358" t="s">
        <v>426</v>
      </c>
      <c r="I2358" t="str">
        <f>HYPERLINK("http://www.ncbi.nlm.nih.gov/protein/CAG10072.1","unnamed protein product, partial")</f>
        <v>unnamed protein product, partial</v>
      </c>
      <c r="J2358">
        <v>3397.83</v>
      </c>
      <c r="K2358" t="s">
        <v>22</v>
      </c>
      <c r="L2358">
        <v>1210</v>
      </c>
      <c r="M2358">
        <v>7.13</v>
      </c>
      <c r="N2358">
        <v>33.11</v>
      </c>
      <c r="O2358" t="s">
        <v>19</v>
      </c>
      <c r="P2358" t="s">
        <v>1267</v>
      </c>
      <c r="Q2358" t="s">
        <v>19</v>
      </c>
      <c r="R2358" t="str">
        <f>HYPERLINK("https://cfpub.epa.gov/ecotox/explore.cfm?ncbi=99883","Explore in ECOTOX")</f>
        <v>Explore in ECOTOX</v>
      </c>
    </row>
    <row r="2359" spans="1:18" x14ac:dyDescent="0.45">
      <c r="A2359" t="s">
        <v>1266</v>
      </c>
      <c r="B2359">
        <v>8</v>
      </c>
      <c r="C2359" t="str">
        <f>HYPERLINK("http://www.ncbi.nlm.nih.gov/protein/XP_019489386.1","XP_019489386.1")</f>
        <v>XP_019489386.1</v>
      </c>
      <c r="D2359">
        <v>46105</v>
      </c>
      <c r="E2359" t="str">
        <f>HYPERLINK("http://www.ncbi.nlm.nih.gov/Taxonomy/Browser/wwwtax.cgi?mode=Info&amp;id=186990&amp;lvl=3&amp;lin=f&amp;keep=1&amp;srchmode=1&amp;unlock","186990")</f>
        <v>186990</v>
      </c>
      <c r="F2359" t="s">
        <v>96</v>
      </c>
      <c r="G2359" t="str">
        <f>HYPERLINK("http://www.ncbi.nlm.nih.gov/Taxonomy/Browser/wwwtax.cgi?mode=Info&amp;id=186990&amp;lvl=3&amp;lin=f&amp;keep=1&amp;srchmode=1&amp;unlock","Hipposideros armiger")</f>
        <v>Hipposideros armiger</v>
      </c>
      <c r="H2359" t="s">
        <v>939</v>
      </c>
      <c r="I2359" t="str">
        <f>HYPERLINK("http://www.ncbi.nlm.nih.gov/protein/XP_019489386.1","PREDICTED: ryanodine receptor 2")</f>
        <v>PREDICTED: ryanodine receptor 2</v>
      </c>
      <c r="J2359">
        <v>3390.51</v>
      </c>
      <c r="K2359" t="s">
        <v>19</v>
      </c>
      <c r="L2359">
        <v>1210</v>
      </c>
      <c r="M2359">
        <v>7.13</v>
      </c>
      <c r="N2359">
        <v>33.04</v>
      </c>
      <c r="O2359" t="s">
        <v>19</v>
      </c>
      <c r="P2359" t="s">
        <v>1267</v>
      </c>
      <c r="Q2359" t="s">
        <v>19</v>
      </c>
      <c r="R2359" t="str">
        <f>HYPERLINK("https://cfpub.epa.gov/ecotox/explore.cfm?ncbi=186990","Explore in ECOTOX")</f>
        <v>Explore in ECOTOX</v>
      </c>
    </row>
    <row r="2360" spans="1:18" x14ac:dyDescent="0.45">
      <c r="A2360" t="s">
        <v>1266</v>
      </c>
      <c r="B2360">
        <v>8</v>
      </c>
      <c r="C2360" t="str">
        <f>HYPERLINK("http://www.ncbi.nlm.nih.gov/protein/KAI4555582.1","KAI4555582.1")</f>
        <v>KAI4555582.1</v>
      </c>
      <c r="D2360">
        <v>40310</v>
      </c>
      <c r="E2360" t="str">
        <f>HYPERLINK("http://www.ncbi.nlm.nih.gov/Taxonomy/Browser/wwwtax.cgi?mode=Info&amp;id=2918886&amp;lvl=3&amp;lin=f&amp;keep=1&amp;srchmode=1&amp;unlock","2918886")</f>
        <v>2918886</v>
      </c>
      <c r="F2360" t="s">
        <v>96</v>
      </c>
      <c r="G2360" t="str">
        <f>HYPERLINK("http://www.ncbi.nlm.nih.gov/Taxonomy/Browser/wwwtax.cgi?mode=Info&amp;id=2918886&amp;lvl=3&amp;lin=f&amp;keep=1&amp;srchmode=1&amp;unlock","Ovis ammon polii x Ovis aries")</f>
        <v>Ovis ammon polii x Ovis aries</v>
      </c>
      <c r="H2360" t="s">
        <v>1005</v>
      </c>
      <c r="I2360" t="str">
        <f>HYPERLINK("http://www.ncbi.nlm.nih.gov/protein/KAI4555582.1","hypothetical protein MJG53_019272, partial")</f>
        <v>hypothetical protein MJG53_019272, partial</v>
      </c>
      <c r="J2360">
        <v>3327.34</v>
      </c>
      <c r="K2360" t="s">
        <v>19</v>
      </c>
      <c r="L2360">
        <v>1210</v>
      </c>
      <c r="M2360">
        <v>7.13</v>
      </c>
      <c r="N2360">
        <v>32.42</v>
      </c>
      <c r="O2360" t="s">
        <v>19</v>
      </c>
      <c r="P2360" t="s">
        <v>1267</v>
      </c>
      <c r="Q2360" t="s">
        <v>19</v>
      </c>
      <c r="R2360" t="str">
        <f>HYPERLINK("https://cfpub.epa.gov/ecotox/explore.cfm?ncbi=2918886","Explore in ECOTOX")</f>
        <v>Explore in ECOTOX</v>
      </c>
    </row>
    <row r="2361" spans="1:18" x14ac:dyDescent="0.45">
      <c r="A2361" t="s">
        <v>1266</v>
      </c>
      <c r="B2361">
        <v>8</v>
      </c>
      <c r="C2361" t="str">
        <f>HYPERLINK("http://www.ncbi.nlm.nih.gov/protein/XP_025103913.1","XP_025103913.1")</f>
        <v>XP_025103913.1</v>
      </c>
      <c r="D2361">
        <v>62313</v>
      </c>
      <c r="E2361" t="str">
        <f>HYPERLINK("http://www.ncbi.nlm.nih.gov/Taxonomy/Browser/wwwtax.cgi?mode=Info&amp;id=400727&amp;lvl=3&amp;lin=f&amp;keep=1&amp;srchmode=1&amp;unlock","400727")</f>
        <v>400727</v>
      </c>
      <c r="F2361" t="s">
        <v>757</v>
      </c>
      <c r="G2361" t="str">
        <f>HYPERLINK("http://www.ncbi.nlm.nih.gov/Taxonomy/Browser/wwwtax.cgi?mode=Info&amp;id=400727&amp;lvl=3&amp;lin=f&amp;keep=1&amp;srchmode=1&amp;unlock","Pomacea canaliculata")</f>
        <v>Pomacea canaliculata</v>
      </c>
      <c r="H2361" t="s">
        <v>832</v>
      </c>
      <c r="I2361" t="str">
        <f>HYPERLINK("http://www.ncbi.nlm.nih.gov/protein/XP_025103913.1","ryanodine receptor-like isoform X7")</f>
        <v>ryanodine receptor-like isoform X7</v>
      </c>
      <c r="J2361">
        <v>3323.87</v>
      </c>
      <c r="K2361" t="s">
        <v>19</v>
      </c>
      <c r="L2361">
        <v>1210</v>
      </c>
      <c r="M2361">
        <v>7.13</v>
      </c>
      <c r="N2361">
        <v>32.39</v>
      </c>
      <c r="O2361" t="s">
        <v>19</v>
      </c>
      <c r="P2361" t="s">
        <v>1267</v>
      </c>
      <c r="Q2361" t="s">
        <v>19</v>
      </c>
      <c r="R2361" t="str">
        <f>HYPERLINK("https://cfpub.epa.gov/ecotox/explore.cfm?ncbi=400727","Explore in ECOTOX")</f>
        <v>Explore in ECOTOX</v>
      </c>
    </row>
    <row r="2362" spans="1:18" x14ac:dyDescent="0.45">
      <c r="A2362" t="s">
        <v>1266</v>
      </c>
      <c r="B2362">
        <v>8</v>
      </c>
      <c r="C2362" t="str">
        <f>HYPERLINK("http://www.ncbi.nlm.nih.gov/protein/XP_059086487.1","XP_059086487.1")</f>
        <v>XP_059086487.1</v>
      </c>
      <c r="D2362">
        <v>37877</v>
      </c>
      <c r="E2362" t="str">
        <f>HYPERLINK("http://www.ncbi.nlm.nih.gov/Taxonomy/Browser/wwwtax.cgi?mode=Info&amp;id=6832&amp;lvl=3&amp;lin=f&amp;keep=1&amp;srchmode=1&amp;unlock","6832")</f>
        <v>6832</v>
      </c>
      <c r="F2362" t="s">
        <v>794</v>
      </c>
      <c r="G2362" t="str">
        <f>HYPERLINK("http://www.ncbi.nlm.nih.gov/Taxonomy/Browser/wwwtax.cgi?mode=Info&amp;id=6832&amp;lvl=3&amp;lin=f&amp;keep=1&amp;srchmode=1&amp;unlock","Tigriopus californicus")</f>
        <v>Tigriopus californicus</v>
      </c>
      <c r="H2362" t="s">
        <v>829</v>
      </c>
      <c r="I2362" t="str">
        <f>HYPERLINK("http://www.ncbi.nlm.nih.gov/protein/XP_059086487.1","ryanodine receptor-like")</f>
        <v>ryanodine receptor-like</v>
      </c>
      <c r="J2362">
        <v>3317.32</v>
      </c>
      <c r="K2362" t="s">
        <v>19</v>
      </c>
      <c r="L2362">
        <v>1210</v>
      </c>
      <c r="M2362">
        <v>7.13</v>
      </c>
      <c r="N2362">
        <v>32.32</v>
      </c>
      <c r="O2362" t="s">
        <v>19</v>
      </c>
      <c r="P2362" t="s">
        <v>1267</v>
      </c>
      <c r="Q2362" t="s">
        <v>19</v>
      </c>
      <c r="R2362" t="str">
        <f>HYPERLINK("https://cfpub.epa.gov/ecotox/explore.cfm?ncbi=6832","Explore in ECOTOX")</f>
        <v>Explore in ECOTOX</v>
      </c>
    </row>
    <row r="2363" spans="1:18" x14ac:dyDescent="0.45">
      <c r="A2363" t="s">
        <v>1266</v>
      </c>
      <c r="B2363">
        <v>8</v>
      </c>
      <c r="C2363" t="str">
        <f>HYPERLINK("http://www.ncbi.nlm.nih.gov/protein/XP_010301948.1","XP_010301948.1")</f>
        <v>XP_010301948.1</v>
      </c>
      <c r="D2363">
        <v>27939</v>
      </c>
      <c r="E2363" t="str">
        <f>HYPERLINK("http://www.ncbi.nlm.nih.gov/Taxonomy/Browser/wwwtax.cgi?mode=Info&amp;id=100784&amp;lvl=3&amp;lin=f&amp;keep=1&amp;srchmode=1&amp;unlock","100784")</f>
        <v>100784</v>
      </c>
      <c r="F2363" t="s">
        <v>241</v>
      </c>
      <c r="G2363" t="str">
        <f>HYPERLINK("http://www.ncbi.nlm.nih.gov/Taxonomy/Browser/wwwtax.cgi?mode=Info&amp;id=100784&amp;lvl=3&amp;lin=f&amp;keep=1&amp;srchmode=1&amp;unlock","Balearica regulorum gibbericeps")</f>
        <v>Balearica regulorum gibbericeps</v>
      </c>
      <c r="H2363" t="s">
        <v>1014</v>
      </c>
      <c r="I2363" t="str">
        <f>HYPERLINK("http://www.ncbi.nlm.nih.gov/protein/XP_010301948.1","PREDICTED: ryanodine receptor 2, partial")</f>
        <v>PREDICTED: ryanodine receptor 2, partial</v>
      </c>
      <c r="J2363">
        <v>3280.73</v>
      </c>
      <c r="K2363" t="s">
        <v>19</v>
      </c>
      <c r="L2363">
        <v>1210</v>
      </c>
      <c r="M2363">
        <v>7.13</v>
      </c>
      <c r="N2363">
        <v>31.97</v>
      </c>
      <c r="O2363" t="s">
        <v>19</v>
      </c>
      <c r="P2363" t="s">
        <v>1267</v>
      </c>
      <c r="Q2363" t="s">
        <v>19</v>
      </c>
      <c r="R2363" t="str">
        <f>HYPERLINK("https://cfpub.epa.gov/ecotox/explore.cfm?ncbi=100784","Explore in ECOTOX")</f>
        <v>Explore in ECOTOX</v>
      </c>
    </row>
    <row r="2364" spans="1:18" x14ac:dyDescent="0.45">
      <c r="A2364" t="s">
        <v>1266</v>
      </c>
      <c r="B2364">
        <v>8</v>
      </c>
      <c r="C2364" t="str">
        <f>HYPERLINK("http://www.ncbi.nlm.nih.gov/protein/KAK0046902.1","KAK0046902.1")</f>
        <v>KAK0046902.1</v>
      </c>
      <c r="D2364">
        <v>31133</v>
      </c>
      <c r="E2364" t="str">
        <f>HYPERLINK("http://www.ncbi.nlm.nih.gov/Taxonomy/Browser/wwwtax.cgi?mode=Info&amp;id=112525&amp;lvl=3&amp;lin=f&amp;keep=1&amp;srchmode=1&amp;unlock","112525")</f>
        <v>112525</v>
      </c>
      <c r="F2364" t="s">
        <v>757</v>
      </c>
      <c r="G2364" t="str">
        <f>HYPERLINK("http://www.ncbi.nlm.nih.gov/Taxonomy/Browser/wwwtax.cgi?mode=Info&amp;id=112525&amp;lvl=3&amp;lin=f&amp;keep=1&amp;srchmode=1&amp;unlock","Biomphalaria pfeifferi")</f>
        <v>Biomphalaria pfeifferi</v>
      </c>
      <c r="H2364" t="s">
        <v>832</v>
      </c>
      <c r="I2364" t="str">
        <f>HYPERLINK("http://www.ncbi.nlm.nih.gov/protein/KAK0046902.1","ryanodine receptor 44F, partial")</f>
        <v>ryanodine receptor 44F, partial</v>
      </c>
      <c r="J2364">
        <v>3271.1</v>
      </c>
      <c r="K2364" t="s">
        <v>19</v>
      </c>
      <c r="L2364">
        <v>1210</v>
      </c>
      <c r="M2364">
        <v>7.13</v>
      </c>
      <c r="N2364">
        <v>31.87</v>
      </c>
      <c r="O2364" t="s">
        <v>19</v>
      </c>
      <c r="P2364" t="s">
        <v>1267</v>
      </c>
      <c r="Q2364" t="s">
        <v>19</v>
      </c>
      <c r="R2364" t="str">
        <f>HYPERLINK("https://cfpub.epa.gov/ecotox/explore.cfm?ncbi=112525","Explore in ECOTOX")</f>
        <v>Explore in ECOTOX</v>
      </c>
    </row>
    <row r="2365" spans="1:18" x14ac:dyDescent="0.45">
      <c r="A2365" t="s">
        <v>1266</v>
      </c>
      <c r="B2365">
        <v>8</v>
      </c>
      <c r="C2365" t="str">
        <f>HYPERLINK("http://www.ncbi.nlm.nih.gov/protein/XP_060571013.1","XP_060571013.1")</f>
        <v>XP_060571013.1</v>
      </c>
      <c r="D2365">
        <v>58643</v>
      </c>
      <c r="E2365" t="str">
        <f>HYPERLINK("http://www.ncbi.nlm.nih.gov/Taxonomy/Browser/wwwtax.cgi?mode=Info&amp;id=129788&amp;lvl=3&amp;lin=f&amp;keep=1&amp;srchmode=1&amp;unlock","129788")</f>
        <v>129788</v>
      </c>
      <c r="F2365" t="s">
        <v>833</v>
      </c>
      <c r="G2365" t="str">
        <f>HYPERLINK("http://www.ncbi.nlm.nih.gov/Taxonomy/Browser/wwwtax.cgi?mode=Info&amp;id=129788&amp;lvl=3&amp;lin=f&amp;keep=1&amp;srchmode=1&amp;unlock","Ruditapes philippinarum")</f>
        <v>Ruditapes philippinarum</v>
      </c>
      <c r="H2365" t="s">
        <v>842</v>
      </c>
      <c r="I2365" t="str">
        <f>HYPERLINK("http://www.ncbi.nlm.nih.gov/protein/XP_060571013.1","ryanodine receptor-like isoform X5")</f>
        <v>ryanodine receptor-like isoform X5</v>
      </c>
      <c r="J2365">
        <v>3262.63</v>
      </c>
      <c r="K2365" t="s">
        <v>19</v>
      </c>
      <c r="L2365">
        <v>1210</v>
      </c>
      <c r="M2365">
        <v>7.13</v>
      </c>
      <c r="N2365">
        <v>31.79</v>
      </c>
      <c r="O2365" t="s">
        <v>19</v>
      </c>
      <c r="P2365" t="s">
        <v>1267</v>
      </c>
      <c r="Q2365" t="s">
        <v>19</v>
      </c>
      <c r="R2365" t="str">
        <f>HYPERLINK("https://cfpub.epa.gov/ecotox/explore.cfm?ncbi=129788","Explore in ECOTOX")</f>
        <v>Explore in ECOTOX</v>
      </c>
    </row>
    <row r="2366" spans="1:18" x14ac:dyDescent="0.45">
      <c r="A2366" t="s">
        <v>1266</v>
      </c>
      <c r="B2366">
        <v>8</v>
      </c>
      <c r="C2366" t="str">
        <f>HYPERLINK("http://www.ncbi.nlm.nih.gov/protein/XP_048259820.1","XP_048259820.1")</f>
        <v>XP_048259820.1</v>
      </c>
      <c r="D2366">
        <v>55859</v>
      </c>
      <c r="E2366" t="str">
        <f>HYPERLINK("http://www.ncbi.nlm.nih.gov/Taxonomy/Browser/wwwtax.cgi?mode=Info&amp;id=6454&amp;lvl=3&amp;lin=f&amp;keep=1&amp;srchmode=1&amp;unlock","6454")</f>
        <v>6454</v>
      </c>
      <c r="F2366" t="s">
        <v>757</v>
      </c>
      <c r="G2366" t="str">
        <f>HYPERLINK("http://www.ncbi.nlm.nih.gov/Taxonomy/Browser/wwwtax.cgi?mode=Info&amp;id=6454&amp;lvl=3&amp;lin=f&amp;keep=1&amp;srchmode=1&amp;unlock","Haliotis rufescens")</f>
        <v>Haliotis rufescens</v>
      </c>
      <c r="H2366" t="s">
        <v>844</v>
      </c>
      <c r="I2366" t="str">
        <f>HYPERLINK("http://www.ncbi.nlm.nih.gov/protein/XP_048259820.1","ryanodine receptor-like isoform X17")</f>
        <v>ryanodine receptor-like isoform X17</v>
      </c>
      <c r="J2366">
        <v>3258.77</v>
      </c>
      <c r="K2366" t="s">
        <v>19</v>
      </c>
      <c r="L2366">
        <v>1210</v>
      </c>
      <c r="M2366">
        <v>7.13</v>
      </c>
      <c r="N2366">
        <v>31.75</v>
      </c>
      <c r="O2366" t="s">
        <v>19</v>
      </c>
      <c r="P2366" t="s">
        <v>1267</v>
      </c>
      <c r="Q2366" t="s">
        <v>19</v>
      </c>
      <c r="R2366" t="str">
        <f>HYPERLINK("https://cfpub.epa.gov/ecotox/explore.cfm?ncbi=6454","Explore in ECOTOX")</f>
        <v>Explore in ECOTOX</v>
      </c>
    </row>
    <row r="2367" spans="1:18" x14ac:dyDescent="0.45">
      <c r="A2367" t="s">
        <v>1266</v>
      </c>
      <c r="B2367">
        <v>8</v>
      </c>
      <c r="C2367" t="str">
        <f>HYPERLINK("http://www.ncbi.nlm.nih.gov/protein/XP_059162225.1","XP_059162225.1")</f>
        <v>XP_059162225.1</v>
      </c>
      <c r="D2367">
        <v>41931</v>
      </c>
      <c r="E2367" t="str">
        <f>HYPERLINK("http://www.ncbi.nlm.nih.gov/Taxonomy/Browser/wwwtax.cgi?mode=Info&amp;id=109671&amp;lvl=3&amp;lin=f&amp;keep=1&amp;srchmode=1&amp;unlock","109671")</f>
        <v>109671</v>
      </c>
      <c r="F2367" t="s">
        <v>757</v>
      </c>
      <c r="G2367" t="str">
        <f>HYPERLINK("http://www.ncbi.nlm.nih.gov/Taxonomy/Browser/wwwtax.cgi?mode=Info&amp;id=109671&amp;lvl=3&amp;lin=f&amp;keep=1&amp;srchmode=1&amp;unlock","Physella acuta")</f>
        <v>Physella acuta</v>
      </c>
      <c r="H2367" t="s">
        <v>832</v>
      </c>
      <c r="I2367" t="str">
        <f>HYPERLINK("http://www.ncbi.nlm.nih.gov/protein/XP_059162225.1","ryanodine receptor-like")</f>
        <v>ryanodine receptor-like</v>
      </c>
      <c r="J2367">
        <v>3244.14</v>
      </c>
      <c r="K2367" t="s">
        <v>19</v>
      </c>
      <c r="L2367">
        <v>1210</v>
      </c>
      <c r="M2367">
        <v>7.13</v>
      </c>
      <c r="N2367">
        <v>31.61</v>
      </c>
      <c r="O2367" t="s">
        <v>19</v>
      </c>
      <c r="P2367" t="s">
        <v>1267</v>
      </c>
      <c r="Q2367" t="s">
        <v>19</v>
      </c>
      <c r="R2367" t="str">
        <f>HYPERLINK("https://cfpub.epa.gov/ecotox/explore.cfm?ncbi=109671","Explore in ECOTOX")</f>
        <v>Explore in ECOTOX</v>
      </c>
    </row>
    <row r="2368" spans="1:18" x14ac:dyDescent="0.45">
      <c r="A2368" t="s">
        <v>1266</v>
      </c>
      <c r="B2368">
        <v>8</v>
      </c>
      <c r="C2368" t="str">
        <f>HYPERLINK("http://www.ncbi.nlm.nih.gov/protein/XP_052768468.1","XP_052768468.1")</f>
        <v>XP_052768468.1</v>
      </c>
      <c r="D2368">
        <v>100629</v>
      </c>
      <c r="E2368" t="str">
        <f>HYPERLINK("http://www.ncbi.nlm.nih.gov/Taxonomy/Browser/wwwtax.cgi?mode=Info&amp;id=6604&amp;lvl=3&amp;lin=f&amp;keep=1&amp;srchmode=1&amp;unlock","6604")</f>
        <v>6604</v>
      </c>
      <c r="F2368" t="s">
        <v>833</v>
      </c>
      <c r="G2368" t="str">
        <f>HYPERLINK("http://www.ncbi.nlm.nih.gov/Taxonomy/Browser/wwwtax.cgi?mode=Info&amp;id=6604&amp;lvl=3&amp;lin=f&amp;keep=1&amp;srchmode=1&amp;unlock","Mya arenaria")</f>
        <v>Mya arenaria</v>
      </c>
      <c r="H2368" t="s">
        <v>839</v>
      </c>
      <c r="I2368" t="str">
        <f>HYPERLINK("http://www.ncbi.nlm.nih.gov/protein/XP_052768468.1","ryanodine receptor-like isoform X6")</f>
        <v>ryanodine receptor-like isoform X6</v>
      </c>
      <c r="J2368">
        <v>3234.51</v>
      </c>
      <c r="K2368" t="s">
        <v>19</v>
      </c>
      <c r="L2368">
        <v>1210</v>
      </c>
      <c r="M2368">
        <v>7.13</v>
      </c>
      <c r="N2368">
        <v>31.52</v>
      </c>
      <c r="O2368" t="s">
        <v>19</v>
      </c>
      <c r="P2368" t="s">
        <v>1267</v>
      </c>
      <c r="Q2368" t="s">
        <v>19</v>
      </c>
      <c r="R2368" t="str">
        <f>HYPERLINK("https://cfpub.epa.gov/ecotox/explore.cfm?ncbi=6604","Explore in ECOTOX")</f>
        <v>Explore in ECOTOX</v>
      </c>
    </row>
    <row r="2369" spans="1:18" x14ac:dyDescent="0.45">
      <c r="A2369" t="s">
        <v>1266</v>
      </c>
      <c r="B2369">
        <v>8</v>
      </c>
      <c r="C2369" t="str">
        <f>HYPERLINK("http://www.ncbi.nlm.nih.gov/protein/VCW66537.1","VCW66537.1")</f>
        <v>VCW66537.1</v>
      </c>
      <c r="D2369">
        <v>19856</v>
      </c>
      <c r="E2369" t="str">
        <f>HYPERLINK("http://www.ncbi.nlm.nih.gov/Taxonomy/Browser/wwwtax.cgi?mode=Info&amp;id=48420&amp;lvl=3&amp;lin=f&amp;keep=1&amp;srchmode=1&amp;unlock","48420")</f>
        <v>48420</v>
      </c>
      <c r="F2369" t="s">
        <v>96</v>
      </c>
      <c r="G2369" t="str">
        <f>HYPERLINK("http://www.ncbi.nlm.nih.gov/Taxonomy/Browser/wwwtax.cgi?mode=Info&amp;id=48420&amp;lvl=3&amp;lin=f&amp;keep=1&amp;srchmode=1&amp;unlock","Gulo gulo")</f>
        <v>Gulo gulo</v>
      </c>
      <c r="H2369" t="s">
        <v>797</v>
      </c>
      <c r="I2369" t="str">
        <f>HYPERLINK("http://www.ncbi.nlm.nih.gov/protein/VCW66537.1","unnamed protein product, partial")</f>
        <v>unnamed protein product, partial</v>
      </c>
      <c r="J2369">
        <v>3230.27</v>
      </c>
      <c r="K2369" t="s">
        <v>22</v>
      </c>
      <c r="L2369">
        <v>1210</v>
      </c>
      <c r="M2369">
        <v>7.13</v>
      </c>
      <c r="N2369">
        <v>31.48</v>
      </c>
      <c r="O2369" t="s">
        <v>19</v>
      </c>
      <c r="P2369" t="s">
        <v>1267</v>
      </c>
      <c r="Q2369" t="s">
        <v>19</v>
      </c>
      <c r="R2369" t="str">
        <f>HYPERLINK("https://cfpub.epa.gov/ecotox/explore.cfm?ncbi=48420","Explore in ECOTOX")</f>
        <v>Explore in ECOTOX</v>
      </c>
    </row>
    <row r="2370" spans="1:18" x14ac:dyDescent="0.45">
      <c r="A2370" t="s">
        <v>1266</v>
      </c>
      <c r="B2370">
        <v>8</v>
      </c>
      <c r="C2370" t="str">
        <f>HYPERLINK("http://www.ncbi.nlm.nih.gov/protein/XP_041353189.1","XP_041353189.1")</f>
        <v>XP_041353189.1</v>
      </c>
      <c r="D2370">
        <v>33296</v>
      </c>
      <c r="E2370" t="str">
        <f>HYPERLINK("http://www.ncbi.nlm.nih.gov/Taxonomy/Browser/wwwtax.cgi?mode=Info&amp;id=1735272&amp;lvl=3&amp;lin=f&amp;keep=1&amp;srchmode=1&amp;unlock","1735272")</f>
        <v>1735272</v>
      </c>
      <c r="F2370" t="s">
        <v>757</v>
      </c>
      <c r="G2370" t="str">
        <f>HYPERLINK("http://www.ncbi.nlm.nih.gov/Taxonomy/Browser/wwwtax.cgi?mode=Info&amp;id=1735272&amp;lvl=3&amp;lin=f&amp;keep=1&amp;srchmode=1&amp;unlock","Gigantopelta aegis")</f>
        <v>Gigantopelta aegis</v>
      </c>
      <c r="H2370" t="s">
        <v>832</v>
      </c>
      <c r="I2370" t="str">
        <f>HYPERLINK("http://www.ncbi.nlm.nih.gov/protein/XP_041353189.1","ryanodine receptor-like isoform X4")</f>
        <v>ryanodine receptor-like isoform X4</v>
      </c>
      <c r="J2370">
        <v>3227.96</v>
      </c>
      <c r="K2370" t="s">
        <v>19</v>
      </c>
      <c r="L2370">
        <v>1210</v>
      </c>
      <c r="M2370">
        <v>7.13</v>
      </c>
      <c r="N2370">
        <v>31.45</v>
      </c>
      <c r="O2370" t="s">
        <v>19</v>
      </c>
      <c r="P2370" t="s">
        <v>1267</v>
      </c>
      <c r="Q2370" t="s">
        <v>19</v>
      </c>
      <c r="R2370" t="str">
        <f>HYPERLINK("https://cfpub.epa.gov/ecotox/explore.cfm?ncbi=1735272","Explore in ECOTOX")</f>
        <v>Explore in ECOTOX</v>
      </c>
    </row>
    <row r="2371" spans="1:18" x14ac:dyDescent="0.45">
      <c r="A2371" t="s">
        <v>1266</v>
      </c>
      <c r="B2371">
        <v>8</v>
      </c>
      <c r="C2371" t="str">
        <f>HYPERLINK("http://www.ncbi.nlm.nih.gov/protein/XP_052269357.1","XP_052269357.1")</f>
        <v>XP_052269357.1</v>
      </c>
      <c r="D2371">
        <v>262975</v>
      </c>
      <c r="E2371" t="str">
        <f>HYPERLINK("http://www.ncbi.nlm.nih.gov/Taxonomy/Browser/wwwtax.cgi?mode=Info&amp;id=45954&amp;lvl=3&amp;lin=f&amp;keep=1&amp;srchmode=1&amp;unlock","45954")</f>
        <v>45954</v>
      </c>
      <c r="F2371" t="s">
        <v>833</v>
      </c>
      <c r="G2371" t="str">
        <f>HYPERLINK("http://www.ncbi.nlm.nih.gov/Taxonomy/Browser/wwwtax.cgi?mode=Info&amp;id=45954&amp;lvl=3&amp;lin=f&amp;keep=1&amp;srchmode=1&amp;unlock","Dreissena polymorpha")</f>
        <v>Dreissena polymorpha</v>
      </c>
      <c r="H2371" t="s">
        <v>1008</v>
      </c>
      <c r="I2371" t="str">
        <f>HYPERLINK("http://www.ncbi.nlm.nih.gov/protein/XP_052269357.1","ryanodine receptor-like")</f>
        <v>ryanodine receptor-like</v>
      </c>
      <c r="J2371">
        <v>3226.42</v>
      </c>
      <c r="K2371" t="s">
        <v>19</v>
      </c>
      <c r="L2371">
        <v>1210</v>
      </c>
      <c r="M2371">
        <v>7.13</v>
      </c>
      <c r="N2371">
        <v>31.44</v>
      </c>
      <c r="O2371" t="s">
        <v>19</v>
      </c>
      <c r="P2371" t="s">
        <v>1267</v>
      </c>
      <c r="Q2371" t="s">
        <v>19</v>
      </c>
      <c r="R2371" t="str">
        <f>HYPERLINK("https://cfpub.epa.gov/ecotox/explore.cfm?ncbi=45954","Explore in ECOTOX")</f>
        <v>Explore in ECOTOX</v>
      </c>
    </row>
    <row r="2372" spans="1:18" x14ac:dyDescent="0.45">
      <c r="A2372" t="s">
        <v>1266</v>
      </c>
      <c r="B2372">
        <v>8</v>
      </c>
      <c r="C2372" t="str">
        <f>HYPERLINK("http://www.ncbi.nlm.nih.gov/protein/XP_052699875.1","XP_052699875.1")</f>
        <v>XP_052699875.1</v>
      </c>
      <c r="D2372">
        <v>50190</v>
      </c>
      <c r="E2372" t="str">
        <f>HYPERLINK("http://www.ncbi.nlm.nih.gov/Taxonomy/Browser/wwwtax.cgi?mode=Info&amp;id=558553&amp;lvl=3&amp;lin=f&amp;keep=1&amp;srchmode=1&amp;unlock","558553")</f>
        <v>558553</v>
      </c>
      <c r="F2372" t="s">
        <v>833</v>
      </c>
      <c r="G2372" t="str">
        <f>HYPERLINK("http://www.ncbi.nlm.nih.gov/Taxonomy/Browser/wwwtax.cgi?mode=Info&amp;id=558553&amp;lvl=3&amp;lin=f&amp;keep=1&amp;srchmode=1&amp;unlock","Crassostrea angulata")</f>
        <v>Crassostrea angulata</v>
      </c>
      <c r="H2372" t="s">
        <v>841</v>
      </c>
      <c r="I2372" t="str">
        <f>HYPERLINK("http://www.ncbi.nlm.nih.gov/protein/XP_052699875.1","ryanodine receptor-like isoform X8")</f>
        <v>ryanodine receptor-like isoform X8</v>
      </c>
      <c r="J2372">
        <v>3221.8</v>
      </c>
      <c r="K2372" t="s">
        <v>19</v>
      </c>
      <c r="L2372">
        <v>1210</v>
      </c>
      <c r="M2372">
        <v>7.13</v>
      </c>
      <c r="N2372">
        <v>31.39</v>
      </c>
      <c r="O2372" t="s">
        <v>19</v>
      </c>
      <c r="P2372" t="s">
        <v>1267</v>
      </c>
      <c r="Q2372" t="s">
        <v>19</v>
      </c>
      <c r="R2372" t="str">
        <f>HYPERLINK("https://cfpub.epa.gov/ecotox/explore.cfm?ncbi=558553","Explore in ECOTOX")</f>
        <v>Explore in ECOTOX</v>
      </c>
    </row>
    <row r="2373" spans="1:18" x14ac:dyDescent="0.45">
      <c r="A2373" t="s">
        <v>1266</v>
      </c>
      <c r="B2373">
        <v>8</v>
      </c>
      <c r="C2373" t="str">
        <f>HYPERLINK("http://www.ncbi.nlm.nih.gov/protein/XP_022329873.1","XP_022329873.1")</f>
        <v>XP_022329873.1</v>
      </c>
      <c r="D2373">
        <v>60531</v>
      </c>
      <c r="E2373" t="str">
        <f>HYPERLINK("http://www.ncbi.nlm.nih.gov/Taxonomy/Browser/wwwtax.cgi?mode=Info&amp;id=6565&amp;lvl=3&amp;lin=f&amp;keep=1&amp;srchmode=1&amp;unlock","6565")</f>
        <v>6565</v>
      </c>
      <c r="F2373" t="s">
        <v>833</v>
      </c>
      <c r="G2373" t="str">
        <f>HYPERLINK("http://www.ncbi.nlm.nih.gov/Taxonomy/Browser/wwwtax.cgi?mode=Info&amp;id=6565&amp;lvl=3&amp;lin=f&amp;keep=1&amp;srchmode=1&amp;unlock","Crassostrea virginica")</f>
        <v>Crassostrea virginica</v>
      </c>
      <c r="H2373" t="s">
        <v>840</v>
      </c>
      <c r="I2373" t="str">
        <f>HYPERLINK("http://www.ncbi.nlm.nih.gov/protein/XP_022329873.1","ryanodine receptor-like")</f>
        <v>ryanodine receptor-like</v>
      </c>
      <c r="J2373">
        <v>3214.86</v>
      </c>
      <c r="K2373" t="s">
        <v>19</v>
      </c>
      <c r="L2373">
        <v>1210</v>
      </c>
      <c r="M2373">
        <v>7.13</v>
      </c>
      <c r="N2373">
        <v>31.33</v>
      </c>
      <c r="O2373" t="s">
        <v>19</v>
      </c>
      <c r="P2373" t="s">
        <v>1267</v>
      </c>
      <c r="Q2373" t="s">
        <v>19</v>
      </c>
      <c r="R2373" t="str">
        <f>HYPERLINK("https://cfpub.epa.gov/ecotox/explore.cfm?ncbi=6565","Explore in ECOTOX")</f>
        <v>Explore in ECOTOX</v>
      </c>
    </row>
    <row r="2374" spans="1:18" x14ac:dyDescent="0.45">
      <c r="A2374" t="s">
        <v>1266</v>
      </c>
      <c r="B2374">
        <v>8</v>
      </c>
      <c r="C2374" t="str">
        <f>HYPERLINK("http://www.ncbi.nlm.nih.gov/protein/XP_048731866.2","XP_048731866.2")</f>
        <v>XP_048731866.2</v>
      </c>
      <c r="D2374">
        <v>57629</v>
      </c>
      <c r="E2374" t="str">
        <f>HYPERLINK("http://www.ncbi.nlm.nih.gov/Taxonomy/Browser/wwwtax.cgi?mode=Info&amp;id=37623&amp;lvl=3&amp;lin=f&amp;keep=1&amp;srchmode=1&amp;unlock","37623")</f>
        <v>37623</v>
      </c>
      <c r="F2374" t="s">
        <v>833</v>
      </c>
      <c r="G2374" t="str">
        <f>HYPERLINK("http://www.ncbi.nlm.nih.gov/Taxonomy/Browser/wwwtax.cgi?mode=Info&amp;id=37623&amp;lvl=3&amp;lin=f&amp;keep=1&amp;srchmode=1&amp;unlock","Ostrea edulis")</f>
        <v>Ostrea edulis</v>
      </c>
      <c r="H2374" t="s">
        <v>834</v>
      </c>
      <c r="I2374" t="str">
        <f>HYPERLINK("http://www.ncbi.nlm.nih.gov/protein/XP_048731866.2","ryanodine receptor-like isoform X4")</f>
        <v>ryanodine receptor-like isoform X4</v>
      </c>
      <c r="J2374">
        <v>3204.85</v>
      </c>
      <c r="K2374" t="s">
        <v>19</v>
      </c>
      <c r="L2374">
        <v>1210</v>
      </c>
      <c r="M2374">
        <v>7.13</v>
      </c>
      <c r="N2374">
        <v>31.23</v>
      </c>
      <c r="O2374" t="s">
        <v>19</v>
      </c>
      <c r="P2374" t="s">
        <v>1267</v>
      </c>
      <c r="Q2374" t="s">
        <v>19</v>
      </c>
      <c r="R2374" t="str">
        <f>HYPERLINK("https://cfpub.epa.gov/ecotox/explore.cfm?ncbi=37623","Explore in ECOTOX")</f>
        <v>Explore in ECOTOX</v>
      </c>
    </row>
    <row r="2375" spans="1:18" x14ac:dyDescent="0.45">
      <c r="A2375" t="s">
        <v>1266</v>
      </c>
      <c r="B2375">
        <v>8</v>
      </c>
      <c r="C2375" t="str">
        <f>HYPERLINK("http://www.ncbi.nlm.nih.gov/protein/KAK3094056.1","KAK3094056.1")</f>
        <v>KAK3094056.1</v>
      </c>
      <c r="D2375">
        <v>25618</v>
      </c>
      <c r="E2375" t="str">
        <f>HYPERLINK("http://www.ncbi.nlm.nih.gov/Taxonomy/Browser/wwwtax.cgi?mode=Info&amp;id=66713&amp;lvl=3&amp;lin=f&amp;keep=1&amp;srchmode=1&amp;unlock","66713")</f>
        <v>66713</v>
      </c>
      <c r="F2375" t="s">
        <v>833</v>
      </c>
      <c r="G2375" t="str">
        <f>HYPERLINK("http://www.ncbi.nlm.nih.gov/Taxonomy/Browser/wwwtax.cgi?mode=Info&amp;id=66713&amp;lvl=3&amp;lin=f&amp;keep=1&amp;srchmode=1&amp;unlock","Pinctada imbricata")</f>
        <v>Pinctada imbricata</v>
      </c>
      <c r="H2375" t="s">
        <v>843</v>
      </c>
      <c r="I2375" t="str">
        <f>HYPERLINK("http://www.ncbi.nlm.nih.gov/protein/KAK3094056.1","hypothetical protein FSP39_023525")</f>
        <v>hypothetical protein FSP39_023525</v>
      </c>
      <c r="J2375">
        <v>3202.54</v>
      </c>
      <c r="K2375" t="s">
        <v>19</v>
      </c>
      <c r="L2375">
        <v>1210</v>
      </c>
      <c r="M2375">
        <v>7.13</v>
      </c>
      <c r="N2375">
        <v>31.21</v>
      </c>
      <c r="O2375" t="s">
        <v>19</v>
      </c>
      <c r="P2375" t="s">
        <v>1267</v>
      </c>
      <c r="Q2375" t="s">
        <v>19</v>
      </c>
      <c r="R2375" t="str">
        <f>HYPERLINK("https://cfpub.epa.gov/ecotox/explore.cfm?ncbi=66713","Explore in ECOTOX")</f>
        <v>Explore in ECOTOX</v>
      </c>
    </row>
    <row r="2376" spans="1:18" x14ac:dyDescent="0.45">
      <c r="A2376" t="s">
        <v>1266</v>
      </c>
      <c r="B2376">
        <v>8</v>
      </c>
      <c r="C2376" t="str">
        <f>HYPERLINK("http://www.ncbi.nlm.nih.gov/protein/KFP62263.1","KFP62263.1")</f>
        <v>KFP62263.1</v>
      </c>
      <c r="D2376">
        <v>27816</v>
      </c>
      <c r="E2376" t="str">
        <f>HYPERLINK("http://www.ncbi.nlm.nih.gov/Taxonomy/Browser/wwwtax.cgi?mode=Info&amp;id=54380&amp;lvl=3&amp;lin=f&amp;keep=1&amp;srchmode=1&amp;unlock","54380")</f>
        <v>54380</v>
      </c>
      <c r="F2376" t="s">
        <v>241</v>
      </c>
      <c r="G2376" t="str">
        <f>HYPERLINK("http://www.ncbi.nlm.nih.gov/Taxonomy/Browser/wwwtax.cgi?mode=Info&amp;id=54380&amp;lvl=3&amp;lin=f&amp;keep=1&amp;srchmode=1&amp;unlock","Cariama cristata")</f>
        <v>Cariama cristata</v>
      </c>
      <c r="H2376" t="s">
        <v>828</v>
      </c>
      <c r="I2376" t="str">
        <f>HYPERLINK("http://www.ncbi.nlm.nih.gov/protein/KFP62263.1","Ryanodine receptor 3, partial")</f>
        <v>Ryanodine receptor 3, partial</v>
      </c>
      <c r="J2376">
        <v>3180.58</v>
      </c>
      <c r="K2376" t="s">
        <v>22</v>
      </c>
      <c r="L2376">
        <v>1210</v>
      </c>
      <c r="M2376">
        <v>7.13</v>
      </c>
      <c r="N2376">
        <v>30.99</v>
      </c>
      <c r="O2376" t="s">
        <v>19</v>
      </c>
      <c r="P2376" t="s">
        <v>1267</v>
      </c>
      <c r="Q2376" t="s">
        <v>19</v>
      </c>
      <c r="R2376" t="str">
        <f>HYPERLINK("https://cfpub.epa.gov/ecotox/explore.cfm?ncbi=54380","Explore in ECOTOX")</f>
        <v>Explore in ECOTOX</v>
      </c>
    </row>
    <row r="2377" spans="1:18" x14ac:dyDescent="0.45">
      <c r="A2377" t="s">
        <v>1266</v>
      </c>
      <c r="B2377">
        <v>8</v>
      </c>
      <c r="C2377" t="str">
        <f>HYPERLINK("http://www.ncbi.nlm.nih.gov/protein/KAK3736857.1","KAK3736857.1")</f>
        <v>KAK3736857.1</v>
      </c>
      <c r="D2377">
        <v>70119</v>
      </c>
      <c r="E2377" t="str">
        <f>HYPERLINK("http://www.ncbi.nlm.nih.gov/Taxonomy/Browser/wwwtax.cgi?mode=Info&amp;id=231223&amp;lvl=3&amp;lin=f&amp;keep=1&amp;srchmode=1&amp;unlock","231223")</f>
        <v>231223</v>
      </c>
      <c r="F2377" t="s">
        <v>757</v>
      </c>
      <c r="G2377" t="str">
        <f>HYPERLINK("http://www.ncbi.nlm.nih.gov/Taxonomy/Browser/wwwtax.cgi?mode=Info&amp;id=231223&amp;lvl=3&amp;lin=f&amp;keep=1&amp;srchmode=1&amp;unlock","Elysia crispata")</f>
        <v>Elysia crispata</v>
      </c>
      <c r="H2377" t="s">
        <v>847</v>
      </c>
      <c r="I2377" t="str">
        <f>HYPERLINK("http://www.ncbi.nlm.nih.gov/protein/KAK3736857.1","hypothetical protein RRG08_000604")</f>
        <v>hypothetical protein RRG08_000604</v>
      </c>
      <c r="J2377">
        <v>3170.95</v>
      </c>
      <c r="K2377" t="s">
        <v>19</v>
      </c>
      <c r="L2377">
        <v>1210</v>
      </c>
      <c r="M2377">
        <v>7.13</v>
      </c>
      <c r="N2377">
        <v>30.9</v>
      </c>
      <c r="O2377" t="s">
        <v>19</v>
      </c>
      <c r="P2377" t="s">
        <v>1267</v>
      </c>
      <c r="Q2377" t="s">
        <v>19</v>
      </c>
      <c r="R2377" t="str">
        <f>HYPERLINK("https://cfpub.epa.gov/ecotox/explore.cfm?ncbi=231223","Explore in ECOTOX")</f>
        <v>Explore in ECOTOX</v>
      </c>
    </row>
    <row r="2378" spans="1:18" x14ac:dyDescent="0.45">
      <c r="A2378" t="s">
        <v>1266</v>
      </c>
      <c r="B2378">
        <v>8</v>
      </c>
      <c r="C2378" t="str">
        <f>HYPERLINK("http://www.ncbi.nlm.nih.gov/protein/XP_047108107.1","XP_047108107.1")</f>
        <v>XP_047108107.1</v>
      </c>
      <c r="D2378">
        <v>25762</v>
      </c>
      <c r="E2378" t="str">
        <f>HYPERLINK("http://www.ncbi.nlm.nih.gov/Taxonomy/Browser/wwwtax.cgi?mode=Info&amp;id=274613&amp;lvl=3&amp;lin=f&amp;keep=1&amp;srchmode=1&amp;unlock","274613")</f>
        <v>274613</v>
      </c>
      <c r="F2378" t="s">
        <v>760</v>
      </c>
      <c r="G2378" t="str">
        <f>HYPERLINK("http://www.ncbi.nlm.nih.gov/Taxonomy/Browser/wwwtax.cgi?mode=Info&amp;id=274613&amp;lvl=3&amp;lin=f&amp;keep=1&amp;srchmode=1&amp;unlock","Schistocerca piceifrons")</f>
        <v>Schistocerca piceifrons</v>
      </c>
      <c r="H2378" t="s">
        <v>1038</v>
      </c>
      <c r="I2378" t="str">
        <f>HYPERLINK("http://www.ncbi.nlm.nih.gov/protein/XP_047108107.1","ryanodine receptor")</f>
        <v>ryanodine receptor</v>
      </c>
      <c r="J2378">
        <v>3167.87</v>
      </c>
      <c r="K2378" t="s">
        <v>19</v>
      </c>
      <c r="L2378">
        <v>1210</v>
      </c>
      <c r="M2378">
        <v>7.13</v>
      </c>
      <c r="N2378">
        <v>30.87</v>
      </c>
      <c r="O2378" t="s">
        <v>19</v>
      </c>
      <c r="P2378" t="s">
        <v>1267</v>
      </c>
      <c r="Q2378" t="s">
        <v>19</v>
      </c>
      <c r="R2378" t="str">
        <f>HYPERLINK("https://cfpub.epa.gov/ecotox/explore.cfm?ncbi=274613","Explore in ECOTOX")</f>
        <v>Explore in ECOTOX</v>
      </c>
    </row>
    <row r="2379" spans="1:18" x14ac:dyDescent="0.45">
      <c r="A2379" t="s">
        <v>1266</v>
      </c>
      <c r="B2379">
        <v>8</v>
      </c>
      <c r="C2379" t="str">
        <f>HYPERLINK("http://www.ncbi.nlm.nih.gov/protein/XP_049800975.1","XP_049800975.1")</f>
        <v>XP_049800975.1</v>
      </c>
      <c r="D2379">
        <v>28534</v>
      </c>
      <c r="E2379" t="str">
        <f>HYPERLINK("http://www.ncbi.nlm.nih.gov/Taxonomy/Browser/wwwtax.cgi?mode=Info&amp;id=7011&amp;lvl=3&amp;lin=f&amp;keep=1&amp;srchmode=1&amp;unlock","7011")</f>
        <v>7011</v>
      </c>
      <c r="F2379" t="s">
        <v>760</v>
      </c>
      <c r="G2379" t="str">
        <f>HYPERLINK("http://www.ncbi.nlm.nih.gov/Taxonomy/Browser/wwwtax.cgi?mode=Info&amp;id=7011&amp;lvl=3&amp;lin=f&amp;keep=1&amp;srchmode=1&amp;unlock","Schistocerca nitens")</f>
        <v>Schistocerca nitens</v>
      </c>
      <c r="H2379" t="s">
        <v>1040</v>
      </c>
      <c r="I2379" t="str">
        <f>HYPERLINK("http://www.ncbi.nlm.nih.gov/protein/XP_049800975.1","ryanodine receptor")</f>
        <v>ryanodine receptor</v>
      </c>
      <c r="J2379">
        <v>3167.48</v>
      </c>
      <c r="K2379" t="s">
        <v>19</v>
      </c>
      <c r="L2379">
        <v>1210</v>
      </c>
      <c r="M2379">
        <v>7.13</v>
      </c>
      <c r="N2379">
        <v>30.86</v>
      </c>
      <c r="O2379" t="s">
        <v>19</v>
      </c>
      <c r="P2379" t="s">
        <v>1267</v>
      </c>
      <c r="Q2379" t="s">
        <v>19</v>
      </c>
      <c r="R2379" t="str">
        <f>HYPERLINK("https://cfpub.epa.gov/ecotox/explore.cfm?ncbi=7011","Explore in ECOTOX")</f>
        <v>Explore in ECOTOX</v>
      </c>
    </row>
    <row r="2380" spans="1:18" x14ac:dyDescent="0.45">
      <c r="A2380" t="s">
        <v>1266</v>
      </c>
      <c r="B2380">
        <v>8</v>
      </c>
      <c r="C2380" t="str">
        <f>HYPERLINK("http://www.ncbi.nlm.nih.gov/protein/XP_049951021.1","XP_049951021.1")</f>
        <v>XP_049951021.1</v>
      </c>
      <c r="D2380">
        <v>27698</v>
      </c>
      <c r="E2380" t="str">
        <f>HYPERLINK("http://www.ncbi.nlm.nih.gov/Taxonomy/Browser/wwwtax.cgi?mode=Info&amp;id=2023355&amp;lvl=3&amp;lin=f&amp;keep=1&amp;srchmode=1&amp;unlock","2023355")</f>
        <v>2023355</v>
      </c>
      <c r="F2380" t="s">
        <v>760</v>
      </c>
      <c r="G2380" t="str">
        <f>HYPERLINK("http://www.ncbi.nlm.nih.gov/Taxonomy/Browser/wwwtax.cgi?mode=Info&amp;id=2023355&amp;lvl=3&amp;lin=f&amp;keep=1&amp;srchmode=1&amp;unlock","Schistocerca serialis cubense")</f>
        <v>Schistocerca serialis cubense</v>
      </c>
      <c r="H2380" t="s">
        <v>1041</v>
      </c>
      <c r="I2380" t="str">
        <f>HYPERLINK("http://www.ncbi.nlm.nih.gov/protein/XP_049951021.1","ryanodine receptor")</f>
        <v>ryanodine receptor</v>
      </c>
      <c r="J2380">
        <v>3167.48</v>
      </c>
      <c r="K2380" t="s">
        <v>19</v>
      </c>
      <c r="L2380">
        <v>1210</v>
      </c>
      <c r="M2380">
        <v>7.13</v>
      </c>
      <c r="N2380">
        <v>30.86</v>
      </c>
      <c r="O2380" t="s">
        <v>19</v>
      </c>
      <c r="P2380" t="s">
        <v>1267</v>
      </c>
      <c r="Q2380" t="s">
        <v>19</v>
      </c>
      <c r="R2380" t="str">
        <f>HYPERLINK("https://cfpub.epa.gov/ecotox/explore.cfm?ncbi=2023355","Explore in ECOTOX")</f>
        <v>Explore in ECOTOX</v>
      </c>
    </row>
    <row r="2381" spans="1:18" x14ac:dyDescent="0.45">
      <c r="A2381" t="s">
        <v>1266</v>
      </c>
      <c r="B2381">
        <v>8</v>
      </c>
      <c r="C2381" t="str">
        <f>HYPERLINK("http://www.ncbi.nlm.nih.gov/protein/XP_049853810.1","XP_049853810.1")</f>
        <v>XP_049853810.1</v>
      </c>
      <c r="D2381">
        <v>38985</v>
      </c>
      <c r="E2381" t="str">
        <f>HYPERLINK("http://www.ncbi.nlm.nih.gov/Taxonomy/Browser/wwwtax.cgi?mode=Info&amp;id=7010&amp;lvl=3&amp;lin=f&amp;keep=1&amp;srchmode=1&amp;unlock","7010")</f>
        <v>7010</v>
      </c>
      <c r="F2381" t="s">
        <v>760</v>
      </c>
      <c r="G2381" t="str">
        <f>HYPERLINK("http://www.ncbi.nlm.nih.gov/Taxonomy/Browser/wwwtax.cgi?mode=Info&amp;id=7010&amp;lvl=3&amp;lin=f&amp;keep=1&amp;srchmode=1&amp;unlock","Schistocerca gregaria")</f>
        <v>Schistocerca gregaria</v>
      </c>
      <c r="H2381" t="s">
        <v>1034</v>
      </c>
      <c r="I2381" t="str">
        <f>HYPERLINK("http://www.ncbi.nlm.nih.gov/protein/XP_049853810.1","ryanodine receptor isoform X6")</f>
        <v>ryanodine receptor isoform X6</v>
      </c>
      <c r="J2381">
        <v>3167.48</v>
      </c>
      <c r="K2381" t="s">
        <v>19</v>
      </c>
      <c r="L2381">
        <v>1210</v>
      </c>
      <c r="M2381">
        <v>7.13</v>
      </c>
      <c r="N2381">
        <v>30.86</v>
      </c>
      <c r="O2381" t="s">
        <v>19</v>
      </c>
      <c r="P2381" t="s">
        <v>1267</v>
      </c>
      <c r="Q2381" t="s">
        <v>19</v>
      </c>
      <c r="R2381" t="str">
        <f>HYPERLINK("https://cfpub.epa.gov/ecotox/explore.cfm?ncbi=7010","Explore in ECOTOX")</f>
        <v>Explore in ECOTOX</v>
      </c>
    </row>
    <row r="2382" spans="1:18" x14ac:dyDescent="0.45">
      <c r="A2382" t="s">
        <v>1266</v>
      </c>
      <c r="B2382">
        <v>8</v>
      </c>
      <c r="C2382" t="str">
        <f>HYPERLINK("http://www.ncbi.nlm.nih.gov/protein/XP_049775985.1","XP_049775985.1")</f>
        <v>XP_049775985.1</v>
      </c>
      <c r="D2382">
        <v>26383</v>
      </c>
      <c r="E2382" t="str">
        <f>HYPERLINK("http://www.ncbi.nlm.nih.gov/Taxonomy/Browser/wwwtax.cgi?mode=Info&amp;id=274614&amp;lvl=3&amp;lin=f&amp;keep=1&amp;srchmode=1&amp;unlock","274614")</f>
        <v>274614</v>
      </c>
      <c r="F2382" t="s">
        <v>760</v>
      </c>
      <c r="G2382" t="str">
        <f>HYPERLINK("http://www.ncbi.nlm.nih.gov/Taxonomy/Browser/wwwtax.cgi?mode=Info&amp;id=274614&amp;lvl=3&amp;lin=f&amp;keep=1&amp;srchmode=1&amp;unlock","Schistocerca cancellata")</f>
        <v>Schistocerca cancellata</v>
      </c>
      <c r="H2382" t="s">
        <v>1035</v>
      </c>
      <c r="I2382" t="str">
        <f>HYPERLINK("http://www.ncbi.nlm.nih.gov/protein/XP_049775985.1","ryanodine receptor")</f>
        <v>ryanodine receptor</v>
      </c>
      <c r="J2382">
        <v>3165.94</v>
      </c>
      <c r="K2382" t="s">
        <v>19</v>
      </c>
      <c r="L2382">
        <v>1210</v>
      </c>
      <c r="M2382">
        <v>7.13</v>
      </c>
      <c r="N2382">
        <v>30.85</v>
      </c>
      <c r="O2382" t="s">
        <v>19</v>
      </c>
      <c r="P2382" t="s">
        <v>1267</v>
      </c>
      <c r="Q2382" t="s">
        <v>19</v>
      </c>
      <c r="R2382" t="str">
        <f>HYPERLINK("https://cfpub.epa.gov/ecotox/explore.cfm?ncbi=274614","Explore in ECOTOX")</f>
        <v>Explore in ECOTOX</v>
      </c>
    </row>
    <row r="2383" spans="1:18" x14ac:dyDescent="0.45">
      <c r="A2383" t="s">
        <v>1266</v>
      </c>
      <c r="B2383">
        <v>8</v>
      </c>
      <c r="C2383" t="str">
        <f>HYPERLINK("http://www.ncbi.nlm.nih.gov/protein/XP_046990544.1","XP_046990544.1")</f>
        <v>XP_046990544.1</v>
      </c>
      <c r="D2383">
        <v>26426</v>
      </c>
      <c r="E2383" t="str">
        <f>HYPERLINK("http://www.ncbi.nlm.nih.gov/Taxonomy/Browser/wwwtax.cgi?mode=Info&amp;id=7009&amp;lvl=3&amp;lin=f&amp;keep=1&amp;srchmode=1&amp;unlock","7009")</f>
        <v>7009</v>
      </c>
      <c r="F2383" t="s">
        <v>760</v>
      </c>
      <c r="G2383" t="str">
        <f>HYPERLINK("http://www.ncbi.nlm.nih.gov/Taxonomy/Browser/wwwtax.cgi?mode=Info&amp;id=7009&amp;lvl=3&amp;lin=f&amp;keep=1&amp;srchmode=1&amp;unlock","Schistocerca americana")</f>
        <v>Schistocerca americana</v>
      </c>
      <c r="H2383" t="s">
        <v>1036</v>
      </c>
      <c r="I2383" t="str">
        <f>HYPERLINK("http://www.ncbi.nlm.nih.gov/protein/XP_046990544.1","ryanodine receptor")</f>
        <v>ryanodine receptor</v>
      </c>
      <c r="J2383">
        <v>3165.17</v>
      </c>
      <c r="K2383" t="s">
        <v>19</v>
      </c>
      <c r="L2383">
        <v>1210</v>
      </c>
      <c r="M2383">
        <v>7.13</v>
      </c>
      <c r="N2383">
        <v>30.84</v>
      </c>
      <c r="O2383" t="s">
        <v>19</v>
      </c>
      <c r="P2383" t="s">
        <v>1267</v>
      </c>
      <c r="Q2383" t="s">
        <v>19</v>
      </c>
      <c r="R2383" t="str">
        <f>HYPERLINK("https://cfpub.epa.gov/ecotox/explore.cfm?ncbi=7009","Explore in ECOTOX")</f>
        <v>Explore in ECOTOX</v>
      </c>
    </row>
    <row r="2384" spans="1:18" x14ac:dyDescent="0.45">
      <c r="A2384" t="s">
        <v>1266</v>
      </c>
      <c r="B2384">
        <v>8</v>
      </c>
      <c r="C2384" t="str">
        <f>HYPERLINK("http://www.ncbi.nlm.nih.gov/protein/XP_041469246.1","XP_041469246.1")</f>
        <v>XP_041469246.1</v>
      </c>
      <c r="D2384">
        <v>33902</v>
      </c>
      <c r="E2384" t="str">
        <f>HYPERLINK("http://www.ncbi.nlm.nih.gov/Taxonomy/Browser/wwwtax.cgi?mode=Info&amp;id=7654&amp;lvl=3&amp;lin=f&amp;keep=1&amp;srchmode=1&amp;unlock","7654")</f>
        <v>7654</v>
      </c>
      <c r="F2384" t="s">
        <v>1020</v>
      </c>
      <c r="G2384" t="str">
        <f>HYPERLINK("http://www.ncbi.nlm.nih.gov/Taxonomy/Browser/wwwtax.cgi?mode=Info&amp;id=7654&amp;lvl=3&amp;lin=f&amp;keep=1&amp;srchmode=1&amp;unlock","Lytechinus variegatus")</f>
        <v>Lytechinus variegatus</v>
      </c>
      <c r="H2384" t="s">
        <v>1026</v>
      </c>
      <c r="I2384" t="str">
        <f>HYPERLINK("http://www.ncbi.nlm.nih.gov/protein/XP_041469246.1","ryanodine receptor 2-like isoform X2")</f>
        <v>ryanodine receptor 2-like isoform X2</v>
      </c>
      <c r="J2384">
        <v>3163.24</v>
      </c>
      <c r="K2384" t="s">
        <v>19</v>
      </c>
      <c r="L2384">
        <v>1210</v>
      </c>
      <c r="M2384">
        <v>7.13</v>
      </c>
      <c r="N2384">
        <v>30.82</v>
      </c>
      <c r="O2384" t="s">
        <v>19</v>
      </c>
      <c r="P2384" t="s">
        <v>1267</v>
      </c>
      <c r="Q2384" t="s">
        <v>19</v>
      </c>
      <c r="R2384" t="str">
        <f>HYPERLINK("https://cfpub.epa.gov/ecotox/explore.cfm?ncbi=7654","Explore in ECOTOX")</f>
        <v>Explore in ECOTOX</v>
      </c>
    </row>
    <row r="2385" spans="1:18" x14ac:dyDescent="0.45">
      <c r="A2385" t="s">
        <v>1266</v>
      </c>
      <c r="B2385">
        <v>8</v>
      </c>
      <c r="C2385" t="str">
        <f>HYPERLINK("http://www.ncbi.nlm.nih.gov/protein/XP_052106421.1","XP_052106421.1")</f>
        <v>XP_052106421.1</v>
      </c>
      <c r="D2385">
        <v>50240</v>
      </c>
      <c r="E2385" t="str">
        <f>HYPERLINK("http://www.ncbi.nlm.nih.gov/Taxonomy/Browser/wwwtax.cgi?mode=Info&amp;id=6549&amp;lvl=3&amp;lin=f&amp;keep=1&amp;srchmode=1&amp;unlock","6549")</f>
        <v>6549</v>
      </c>
      <c r="F2385" t="s">
        <v>833</v>
      </c>
      <c r="G2385" t="str">
        <f>HYPERLINK("http://www.ncbi.nlm.nih.gov/Taxonomy/Browser/wwwtax.cgi?mode=Info&amp;id=6549&amp;lvl=3&amp;lin=f&amp;keep=1&amp;srchmode=1&amp;unlock","Mytilus californianus")</f>
        <v>Mytilus californianus</v>
      </c>
      <c r="H2385" t="s">
        <v>1028</v>
      </c>
      <c r="I2385" t="str">
        <f>HYPERLINK("http://www.ncbi.nlm.nih.gov/protein/XP_052106421.1","ryanodine receptor-like")</f>
        <v>ryanodine receptor-like</v>
      </c>
      <c r="J2385">
        <v>3157.47</v>
      </c>
      <c r="K2385" t="s">
        <v>19</v>
      </c>
      <c r="L2385">
        <v>1210</v>
      </c>
      <c r="M2385">
        <v>7.13</v>
      </c>
      <c r="N2385">
        <v>30.77</v>
      </c>
      <c r="O2385" t="s">
        <v>19</v>
      </c>
      <c r="P2385" t="s">
        <v>1267</v>
      </c>
      <c r="Q2385" t="s">
        <v>19</v>
      </c>
      <c r="R2385" t="str">
        <f>HYPERLINK("https://cfpub.epa.gov/ecotox/explore.cfm?ncbi=6549","Explore in ECOTOX")</f>
        <v>Explore in ECOTOX</v>
      </c>
    </row>
    <row r="2386" spans="1:18" x14ac:dyDescent="0.45">
      <c r="A2386" t="s">
        <v>1266</v>
      </c>
      <c r="B2386">
        <v>8</v>
      </c>
      <c r="C2386" t="str">
        <f>HYPERLINK("http://www.ncbi.nlm.nih.gov/protein/XP_052827807.1","XP_052827807.1")</f>
        <v>XP_052827807.1</v>
      </c>
      <c r="D2386">
        <v>29154</v>
      </c>
      <c r="E2386" t="str">
        <f>HYPERLINK("http://www.ncbi.nlm.nih.gov/Taxonomy/Browser/wwwtax.cgi?mode=Info&amp;id=37653&amp;lvl=3&amp;lin=f&amp;keep=1&amp;srchmode=1&amp;unlock","37653")</f>
        <v>37653</v>
      </c>
      <c r="F2386" t="s">
        <v>1010</v>
      </c>
      <c r="G2386" t="str">
        <f>HYPERLINK("http://www.ncbi.nlm.nih.gov/Taxonomy/Browser/wwwtax.cgi?mode=Info&amp;id=37653&amp;lvl=3&amp;lin=f&amp;keep=1&amp;srchmode=1&amp;unlock","Octopus bimaculoides")</f>
        <v>Octopus bimaculoides</v>
      </c>
      <c r="H2386" t="s">
        <v>1011</v>
      </c>
      <c r="I2386" t="str">
        <f>HYPERLINK("http://www.ncbi.nlm.nih.gov/protein/XP_052827807.1","ryanodine receptor 2 isoform X12")</f>
        <v>ryanodine receptor 2 isoform X12</v>
      </c>
      <c r="J2386">
        <v>3155.54</v>
      </c>
      <c r="K2386" t="s">
        <v>19</v>
      </c>
      <c r="L2386">
        <v>1210</v>
      </c>
      <c r="M2386">
        <v>7.13</v>
      </c>
      <c r="N2386">
        <v>30.75</v>
      </c>
      <c r="O2386" t="s">
        <v>19</v>
      </c>
      <c r="P2386" t="s">
        <v>1267</v>
      </c>
      <c r="Q2386" t="s">
        <v>19</v>
      </c>
      <c r="R2386" t="str">
        <f>HYPERLINK("https://cfpub.epa.gov/ecotox/explore.cfm?ncbi=37653","Explore in ECOTOX")</f>
        <v>Explore in ECOTOX</v>
      </c>
    </row>
    <row r="2387" spans="1:18" x14ac:dyDescent="0.45">
      <c r="A2387" t="s">
        <v>1266</v>
      </c>
      <c r="B2387">
        <v>8</v>
      </c>
      <c r="C2387" t="str">
        <f>HYPERLINK("http://www.ncbi.nlm.nih.gov/protein/XP_009059256.1","XP_009059256.1")</f>
        <v>XP_009059256.1</v>
      </c>
      <c r="D2387">
        <v>47715</v>
      </c>
      <c r="E2387" t="str">
        <f>HYPERLINK("http://www.ncbi.nlm.nih.gov/Taxonomy/Browser/wwwtax.cgi?mode=Info&amp;id=225164&amp;lvl=3&amp;lin=f&amp;keep=1&amp;srchmode=1&amp;unlock","225164")</f>
        <v>225164</v>
      </c>
      <c r="F2387" t="s">
        <v>757</v>
      </c>
      <c r="G2387" t="str">
        <f>HYPERLINK("http://www.ncbi.nlm.nih.gov/Taxonomy/Browser/wwwtax.cgi?mode=Info&amp;id=225164&amp;lvl=3&amp;lin=f&amp;keep=1&amp;srchmode=1&amp;unlock","Lottia gigantea")</f>
        <v>Lottia gigantea</v>
      </c>
      <c r="H2387" t="s">
        <v>851</v>
      </c>
      <c r="I2387" t="str">
        <f>HYPERLINK("http://www.ncbi.nlm.nih.gov/protein/XP_009059256.1","hypothetical protein LOTGIDRAFT_123762")</f>
        <v>hypothetical protein LOTGIDRAFT_123762</v>
      </c>
      <c r="J2387">
        <v>3154</v>
      </c>
      <c r="K2387" t="s">
        <v>19</v>
      </c>
      <c r="L2387">
        <v>1210</v>
      </c>
      <c r="M2387">
        <v>7.13</v>
      </c>
      <c r="N2387">
        <v>30.73</v>
      </c>
      <c r="O2387" t="s">
        <v>19</v>
      </c>
      <c r="P2387" t="s">
        <v>1267</v>
      </c>
      <c r="Q2387" t="s">
        <v>19</v>
      </c>
      <c r="R2387" t="str">
        <f>HYPERLINK("https://cfpub.epa.gov/ecotox/explore.cfm?ncbi=225164","Explore in ECOTOX")</f>
        <v>Explore in ECOTOX</v>
      </c>
    </row>
    <row r="2388" spans="1:18" x14ac:dyDescent="0.45">
      <c r="A2388" t="s">
        <v>1266</v>
      </c>
      <c r="B2388">
        <v>8</v>
      </c>
      <c r="C2388" t="str">
        <f>HYPERLINK("http://www.ncbi.nlm.nih.gov/protein/XP_010156211.1","XP_010156211.1")</f>
        <v>XP_010156211.1</v>
      </c>
      <c r="D2388">
        <v>27322</v>
      </c>
      <c r="E2388" t="str">
        <f>HYPERLINK("http://www.ncbi.nlm.nih.gov/Taxonomy/Browser/wwwtax.cgi?mode=Info&amp;id=54383&amp;lvl=3&amp;lin=f&amp;keep=1&amp;srchmode=1&amp;unlock","54383")</f>
        <v>54383</v>
      </c>
      <c r="F2388" t="s">
        <v>241</v>
      </c>
      <c r="G2388" t="str">
        <f>HYPERLINK("http://www.ncbi.nlm.nih.gov/Taxonomy/Browser/wwwtax.cgi?mode=Info&amp;id=54383&amp;lvl=3&amp;lin=f&amp;keep=1&amp;srchmode=1&amp;unlock","Eurypyga helias")</f>
        <v>Eurypyga helias</v>
      </c>
      <c r="H2388" t="s">
        <v>846</v>
      </c>
      <c r="I2388" t="str">
        <f>HYPERLINK("http://www.ncbi.nlm.nih.gov/protein/XP_010156211.1","PREDICTED: ryanodine receptor 2, partial")</f>
        <v>PREDICTED: ryanodine receptor 2, partial</v>
      </c>
      <c r="J2388">
        <v>3147.07</v>
      </c>
      <c r="K2388" t="s">
        <v>19</v>
      </c>
      <c r="L2388">
        <v>1210</v>
      </c>
      <c r="M2388">
        <v>7.13</v>
      </c>
      <c r="N2388">
        <v>30.66</v>
      </c>
      <c r="O2388" t="s">
        <v>19</v>
      </c>
      <c r="P2388" t="s">
        <v>1267</v>
      </c>
      <c r="Q2388" t="s">
        <v>19</v>
      </c>
      <c r="R2388" t="str">
        <f>HYPERLINK("https://cfpub.epa.gov/ecotox/explore.cfm?ncbi=54383","Explore in ECOTOX")</f>
        <v>Explore in ECOTOX</v>
      </c>
    </row>
    <row r="2389" spans="1:18" x14ac:dyDescent="0.45">
      <c r="A2389" t="s">
        <v>1266</v>
      </c>
      <c r="B2389">
        <v>8</v>
      </c>
      <c r="C2389" t="str">
        <f>HYPERLINK("http://www.ncbi.nlm.nih.gov/protein/XP_060079078.1","XP_060079078.1")</f>
        <v>XP_060079078.1</v>
      </c>
      <c r="D2389">
        <v>24066</v>
      </c>
      <c r="E2389" t="str">
        <f>HYPERLINK("http://www.ncbi.nlm.nih.gov/Taxonomy/Browser/wwwtax.cgi?mode=Info&amp;id=509963&amp;lvl=3&amp;lin=f&amp;keep=1&amp;srchmode=1&amp;unlock","509963")</f>
        <v>509963</v>
      </c>
      <c r="F2389" t="s">
        <v>833</v>
      </c>
      <c r="G2389" t="str">
        <f>HYPERLINK("http://www.ncbi.nlm.nih.gov/Taxonomy/Browser/wwwtax.cgi?mode=Info&amp;id=509963&amp;lvl=3&amp;lin=f&amp;keep=1&amp;srchmode=1&amp;unlock","Ylistrum balloti")</f>
        <v>Ylistrum balloti</v>
      </c>
      <c r="H2389" t="s">
        <v>849</v>
      </c>
      <c r="I2389" t="str">
        <f>HYPERLINK("http://www.ncbi.nlm.nih.gov/protein/XP_060079078.1","LOW QUALITY PROTEIN: ryanodine receptor 2-like")</f>
        <v>LOW QUALITY PROTEIN: ryanodine receptor 2-like</v>
      </c>
      <c r="J2389">
        <v>3146.68</v>
      </c>
      <c r="K2389" t="s">
        <v>19</v>
      </c>
      <c r="L2389">
        <v>1210</v>
      </c>
      <c r="M2389">
        <v>7.13</v>
      </c>
      <c r="N2389">
        <v>30.66</v>
      </c>
      <c r="O2389" t="s">
        <v>19</v>
      </c>
      <c r="P2389" t="s">
        <v>1267</v>
      </c>
      <c r="Q2389" t="s">
        <v>19</v>
      </c>
      <c r="R2389" t="str">
        <f>HYPERLINK("https://cfpub.epa.gov/ecotox/explore.cfm?ncbi=509963","Explore in ECOTOX")</f>
        <v>Explore in ECOTOX</v>
      </c>
    </row>
    <row r="2390" spans="1:18" x14ac:dyDescent="0.45">
      <c r="A2390" t="s">
        <v>1266</v>
      </c>
      <c r="B2390">
        <v>8</v>
      </c>
      <c r="C2390" t="str">
        <f>HYPERLINK("http://www.ncbi.nlm.nih.gov/protein/WCC58829.1","WCC58829.1")</f>
        <v>WCC58829.1</v>
      </c>
      <c r="D2390">
        <v>157</v>
      </c>
      <c r="E2390" t="str">
        <f>HYPERLINK("http://www.ncbi.nlm.nih.gov/Taxonomy/Browser/wwwtax.cgi?mode=Info&amp;id=1651263&amp;lvl=3&amp;lin=f&amp;keep=1&amp;srchmode=1&amp;unlock","1651263")</f>
        <v>1651263</v>
      </c>
      <c r="F2390" t="s">
        <v>760</v>
      </c>
      <c r="G2390" t="str">
        <f>HYPERLINK("http://www.ncbi.nlm.nih.gov/Taxonomy/Browser/wwwtax.cgi?mode=Info&amp;id=1651263&amp;lvl=3&amp;lin=f&amp;keep=1&amp;srchmode=1&amp;unlock","Galeruca daurica")</f>
        <v>Galeruca daurica</v>
      </c>
      <c r="H2390" t="s">
        <v>876</v>
      </c>
      <c r="I2390" t="str">
        <f>HYPERLINK("http://www.ncbi.nlm.nih.gov/protein/WCC58829.1","ryanodine receptor")</f>
        <v>ryanodine receptor</v>
      </c>
      <c r="J2390">
        <v>3142.06</v>
      </c>
      <c r="K2390" t="s">
        <v>19</v>
      </c>
      <c r="L2390">
        <v>1210</v>
      </c>
      <c r="M2390">
        <v>7.13</v>
      </c>
      <c r="N2390">
        <v>30.62</v>
      </c>
      <c r="O2390" t="s">
        <v>19</v>
      </c>
      <c r="P2390" t="s">
        <v>1267</v>
      </c>
      <c r="Q2390" t="s">
        <v>19</v>
      </c>
      <c r="R2390" t="str">
        <f>HYPERLINK("https://cfpub.epa.gov/ecotox/explore.cfm?ncbi=1651263","Explore in ECOTOX")</f>
        <v>Explore in ECOTOX</v>
      </c>
    </row>
    <row r="2391" spans="1:18" x14ac:dyDescent="0.45">
      <c r="A2391" t="s">
        <v>1266</v>
      </c>
      <c r="B2391">
        <v>8</v>
      </c>
      <c r="C2391" t="str">
        <f>HYPERLINK("http://www.ncbi.nlm.nih.gov/protein/XP_023711459.1","XP_023711459.1")</f>
        <v>XP_023711459.1</v>
      </c>
      <c r="D2391">
        <v>59777</v>
      </c>
      <c r="E2391" t="str">
        <f>HYPERLINK("http://www.ncbi.nlm.nih.gov/Taxonomy/Browser/wwwtax.cgi?mode=Info&amp;id=105785&amp;lvl=3&amp;lin=f&amp;keep=1&amp;srchmode=1&amp;unlock","105785")</f>
        <v>105785</v>
      </c>
      <c r="F2391" t="s">
        <v>760</v>
      </c>
      <c r="G2391" t="str">
        <f>HYPERLINK("http://www.ncbi.nlm.nih.gov/Taxonomy/Browser/wwwtax.cgi?mode=Info&amp;id=105785&amp;lvl=3&amp;lin=f&amp;keep=1&amp;srchmode=1&amp;unlock","Cryptotermes secundus")</f>
        <v>Cryptotermes secundus</v>
      </c>
      <c r="H2391" t="s">
        <v>850</v>
      </c>
      <c r="I2391" t="str">
        <f>HYPERLINK("http://www.ncbi.nlm.nih.gov/protein/XP_023711459.1","ryanodine receptor isoform X4")</f>
        <v>ryanodine receptor isoform X4</v>
      </c>
      <c r="J2391">
        <v>3138.59</v>
      </c>
      <c r="K2391" t="s">
        <v>22</v>
      </c>
      <c r="L2391">
        <v>1210</v>
      </c>
      <c r="M2391">
        <v>7.13</v>
      </c>
      <c r="N2391">
        <v>30.58</v>
      </c>
      <c r="O2391" t="s">
        <v>19</v>
      </c>
      <c r="P2391" t="s">
        <v>1267</v>
      </c>
      <c r="Q2391" t="s">
        <v>19</v>
      </c>
      <c r="R2391" t="str">
        <f>HYPERLINK("https://cfpub.epa.gov/ecotox/explore.cfm?ncbi=105785","Explore in ECOTOX")</f>
        <v>Explore in ECOTOX</v>
      </c>
    </row>
    <row r="2392" spans="1:18" x14ac:dyDescent="0.45">
      <c r="A2392" t="s">
        <v>1266</v>
      </c>
      <c r="B2392">
        <v>8</v>
      </c>
      <c r="C2392" t="str">
        <f>HYPERLINK("http://www.ncbi.nlm.nih.gov/protein/AQR59331.1","AQR59331.1")</f>
        <v>AQR59331.1</v>
      </c>
      <c r="D2392">
        <v>48191</v>
      </c>
      <c r="E2392" t="str">
        <f>HYPERLINK("http://www.ncbi.nlm.nih.gov/Taxonomy/Browser/wwwtax.cgi?mode=Info&amp;id=7038&amp;lvl=3&amp;lin=f&amp;keep=1&amp;srchmode=1&amp;unlock","7038")</f>
        <v>7038</v>
      </c>
      <c r="F2392" t="s">
        <v>760</v>
      </c>
      <c r="G2392" t="str">
        <f>HYPERLINK("http://www.ncbi.nlm.nih.gov/Taxonomy/Browser/wwwtax.cgi?mode=Info&amp;id=7038&amp;lvl=3&amp;lin=f&amp;keep=1&amp;srchmode=1&amp;unlock","Bemisia tabaci")</f>
        <v>Bemisia tabaci</v>
      </c>
      <c r="H2392" t="s">
        <v>852</v>
      </c>
      <c r="I2392" t="str">
        <f>HYPERLINK("http://www.ncbi.nlm.nih.gov/protein/AQR59331.1","ryanodine receptor")</f>
        <v>ryanodine receptor</v>
      </c>
      <c r="J2392">
        <v>3135.51</v>
      </c>
      <c r="K2392" t="s">
        <v>22</v>
      </c>
      <c r="L2392">
        <v>1210</v>
      </c>
      <c r="M2392">
        <v>7.13</v>
      </c>
      <c r="N2392">
        <v>30.55</v>
      </c>
      <c r="O2392" t="s">
        <v>19</v>
      </c>
      <c r="P2392" t="s">
        <v>1267</v>
      </c>
      <c r="Q2392" t="s">
        <v>19</v>
      </c>
      <c r="R2392" t="str">
        <f>HYPERLINK("https://cfpub.epa.gov/ecotox/explore.cfm?ncbi=7038","Explore in ECOTOX")</f>
        <v>Explore in ECOTOX</v>
      </c>
    </row>
    <row r="2393" spans="1:18" x14ac:dyDescent="0.45">
      <c r="A2393" t="s">
        <v>1266</v>
      </c>
      <c r="B2393">
        <v>8</v>
      </c>
      <c r="C2393" t="str">
        <f>HYPERLINK("http://www.ncbi.nlm.nih.gov/protein/XP_046400097.1","XP_046400097.1")</f>
        <v>XP_046400097.1</v>
      </c>
      <c r="D2393">
        <v>27290</v>
      </c>
      <c r="E2393" t="str">
        <f>HYPERLINK("http://www.ncbi.nlm.nih.gov/Taxonomy/Browser/wwwtax.cgi?mode=Info&amp;id=197161&amp;lvl=3&amp;lin=f&amp;keep=1&amp;srchmode=1&amp;unlock","197161")</f>
        <v>197161</v>
      </c>
      <c r="F2393" t="s">
        <v>760</v>
      </c>
      <c r="G2393" t="str">
        <f>HYPERLINK("http://www.ncbi.nlm.nih.gov/Taxonomy/Browser/wwwtax.cgi?mode=Info&amp;id=197161&amp;lvl=3&amp;lin=f&amp;keep=1&amp;srchmode=1&amp;unlock","Ischnura elegans")</f>
        <v>Ischnura elegans</v>
      </c>
      <c r="H2393" t="s">
        <v>848</v>
      </c>
      <c r="I2393" t="str">
        <f>HYPERLINK("http://www.ncbi.nlm.nih.gov/protein/XP_046400097.1","ryanodine receptor isoform X2")</f>
        <v>ryanodine receptor isoform X2</v>
      </c>
      <c r="J2393">
        <v>3134.74</v>
      </c>
      <c r="K2393" t="s">
        <v>19</v>
      </c>
      <c r="L2393">
        <v>1210</v>
      </c>
      <c r="M2393">
        <v>7.13</v>
      </c>
      <c r="N2393">
        <v>30.54</v>
      </c>
      <c r="O2393" t="s">
        <v>19</v>
      </c>
      <c r="P2393" t="s">
        <v>1267</v>
      </c>
      <c r="Q2393" t="s">
        <v>19</v>
      </c>
      <c r="R2393" t="str">
        <f>HYPERLINK("https://cfpub.epa.gov/ecotox/explore.cfm?ncbi=197161","Explore in ECOTOX")</f>
        <v>Explore in ECOTOX</v>
      </c>
    </row>
    <row r="2394" spans="1:18" x14ac:dyDescent="0.45">
      <c r="A2394" t="s">
        <v>1266</v>
      </c>
      <c r="B2394">
        <v>8</v>
      </c>
      <c r="C2394" t="str">
        <f>HYPERLINK("http://www.ncbi.nlm.nih.gov/protein/VVC24076.1","VVC24076.1")</f>
        <v>VVC24076.1</v>
      </c>
      <c r="D2394">
        <v>22249</v>
      </c>
      <c r="E2394" t="str">
        <f>HYPERLINK("http://www.ncbi.nlm.nih.gov/Taxonomy/Browser/wwwtax.cgi?mode=Info&amp;id=506608&amp;lvl=3&amp;lin=f&amp;keep=1&amp;srchmode=1&amp;unlock","506608")</f>
        <v>506608</v>
      </c>
      <c r="F2394" t="s">
        <v>760</v>
      </c>
      <c r="G2394" t="str">
        <f>HYPERLINK("http://www.ncbi.nlm.nih.gov/Taxonomy/Browser/wwwtax.cgi?mode=Info&amp;id=506608&amp;lvl=3&amp;lin=f&amp;keep=1&amp;srchmode=1&amp;unlock","Cinara cedri")</f>
        <v>Cinara cedri</v>
      </c>
      <c r="H2394" t="s">
        <v>854</v>
      </c>
      <c r="I2394" t="str">
        <f>HYPERLINK("http://www.ncbi.nlm.nih.gov/protein/VVC24076.1","Concanavalin A-like lectin/glucanase domain,RIH (RyR and IP3R Homology) domain,RyR/IP3R Homology")</f>
        <v>Concanavalin A-like lectin/glucanase domain,RIH (RyR and IP3R Homology) domain,RyR/IP3R Homology</v>
      </c>
      <c r="J2394">
        <v>3134.35</v>
      </c>
      <c r="K2394" t="s">
        <v>19</v>
      </c>
      <c r="L2394">
        <v>1210</v>
      </c>
      <c r="M2394">
        <v>7.13</v>
      </c>
      <c r="N2394">
        <v>30.54</v>
      </c>
      <c r="O2394" t="s">
        <v>19</v>
      </c>
      <c r="P2394" t="s">
        <v>1267</v>
      </c>
      <c r="Q2394" t="s">
        <v>19</v>
      </c>
      <c r="R2394" t="str">
        <f>HYPERLINK("https://cfpub.epa.gov/ecotox/explore.cfm?ncbi=506608","Explore in ECOTOX")</f>
        <v>Explore in ECOTOX</v>
      </c>
    </row>
    <row r="2395" spans="1:18" x14ac:dyDescent="0.45">
      <c r="A2395" t="s">
        <v>1266</v>
      </c>
      <c r="B2395">
        <v>8</v>
      </c>
      <c r="C2395" t="str">
        <f>HYPERLINK("http://www.ncbi.nlm.nih.gov/protein/NP_001308588.1","NP_001308588.1")</f>
        <v>NP_001308588.1</v>
      </c>
      <c r="D2395">
        <v>42420</v>
      </c>
      <c r="E2395" t="str">
        <f>HYPERLINK("http://www.ncbi.nlm.nih.gov/Taxonomy/Browser/wwwtax.cgi?mode=Info&amp;id=7070&amp;lvl=3&amp;lin=f&amp;keep=1&amp;srchmode=1&amp;unlock","7070")</f>
        <v>7070</v>
      </c>
      <c r="F2395" t="s">
        <v>760</v>
      </c>
      <c r="G2395" t="str">
        <f>HYPERLINK("http://www.ncbi.nlm.nih.gov/Taxonomy/Browser/wwwtax.cgi?mode=Info&amp;id=7070&amp;lvl=3&amp;lin=f&amp;keep=1&amp;srchmode=1&amp;unlock","Tribolium castaneum")</f>
        <v>Tribolium castaneum</v>
      </c>
      <c r="H2395" t="s">
        <v>884</v>
      </c>
      <c r="I2395" t="str">
        <f>HYPERLINK("http://www.ncbi.nlm.nih.gov/protein/NP_001308588.1","ryanodine receptor")</f>
        <v>ryanodine receptor</v>
      </c>
      <c r="J2395">
        <v>3133.58</v>
      </c>
      <c r="K2395" t="s">
        <v>19</v>
      </c>
      <c r="L2395">
        <v>1210</v>
      </c>
      <c r="M2395">
        <v>7.13</v>
      </c>
      <c r="N2395">
        <v>30.53</v>
      </c>
      <c r="O2395" t="s">
        <v>19</v>
      </c>
      <c r="P2395" t="s">
        <v>1267</v>
      </c>
      <c r="Q2395" t="s">
        <v>19</v>
      </c>
      <c r="R2395" t="str">
        <f>HYPERLINK("https://cfpub.epa.gov/ecotox/explore.cfm?ncbi=7070","Explore in ECOTOX")</f>
        <v>Explore in ECOTOX</v>
      </c>
    </row>
    <row r="2396" spans="1:18" x14ac:dyDescent="0.45">
      <c r="A2396" t="s">
        <v>1266</v>
      </c>
      <c r="B2396">
        <v>8</v>
      </c>
      <c r="C2396" t="str">
        <f>HYPERLINK("http://www.ncbi.nlm.nih.gov/protein/CAG4996270.1","CAG4996270.1")</f>
        <v>CAG4996270.1</v>
      </c>
      <c r="D2396">
        <v>30345</v>
      </c>
      <c r="E2396" t="str">
        <f>HYPERLINK("http://www.ncbi.nlm.nih.gov/Taxonomy/Browser/wwwtax.cgi?mode=Info&amp;id=110799&amp;lvl=3&amp;lin=f&amp;keep=1&amp;srchmode=1&amp;unlock","110799")</f>
        <v>110799</v>
      </c>
      <c r="F2396" t="s">
        <v>760</v>
      </c>
      <c r="G2396" t="str">
        <f>HYPERLINK("http://www.ncbi.nlm.nih.gov/Taxonomy/Browser/wwwtax.cgi?mode=Info&amp;id=110799&amp;lvl=3&amp;lin=f&amp;keep=1&amp;srchmode=1&amp;unlock","Parnassius apollo")</f>
        <v>Parnassius apollo</v>
      </c>
      <c r="H2396" t="s">
        <v>870</v>
      </c>
      <c r="I2396" t="str">
        <f>HYPERLINK("http://www.ncbi.nlm.nih.gov/protein/CAG4996270.1","unnamed protein product")</f>
        <v>unnamed protein product</v>
      </c>
      <c r="J2396">
        <v>3133.2</v>
      </c>
      <c r="K2396" t="s">
        <v>19</v>
      </c>
      <c r="L2396">
        <v>1210</v>
      </c>
      <c r="M2396">
        <v>7.13</v>
      </c>
      <c r="N2396">
        <v>30.53</v>
      </c>
      <c r="O2396" t="s">
        <v>19</v>
      </c>
      <c r="P2396" t="s">
        <v>1267</v>
      </c>
      <c r="Q2396" t="s">
        <v>19</v>
      </c>
      <c r="R2396" t="str">
        <f>HYPERLINK("https://cfpub.epa.gov/ecotox/explore.cfm?ncbi=110799","Explore in ECOTOX")</f>
        <v>Explore in ECOTOX</v>
      </c>
    </row>
    <row r="2397" spans="1:18" x14ac:dyDescent="0.45">
      <c r="A2397" t="s">
        <v>1266</v>
      </c>
      <c r="B2397">
        <v>8</v>
      </c>
      <c r="C2397" t="str">
        <f>HYPERLINK("http://www.ncbi.nlm.nih.gov/protein/XP_034837524.1","XP_034837524.1")</f>
        <v>XP_034837524.1</v>
      </c>
      <c r="D2397">
        <v>18114</v>
      </c>
      <c r="E2397" t="str">
        <f>HYPERLINK("http://www.ncbi.nlm.nih.gov/Taxonomy/Browser/wwwtax.cgi?mode=Info&amp;id=2795564&amp;lvl=3&amp;lin=f&amp;keep=1&amp;srchmode=1&amp;unlock","2795564")</f>
        <v>2795564</v>
      </c>
      <c r="F2397" t="s">
        <v>760</v>
      </c>
      <c r="G2397" t="str">
        <f>HYPERLINK("http://www.ncbi.nlm.nih.gov/Taxonomy/Browser/wwwtax.cgi?mode=Info&amp;id=2795564&amp;lvl=3&amp;lin=f&amp;keep=1&amp;srchmode=1&amp;unlock","Maniola hyperantus")</f>
        <v>Maniola hyperantus</v>
      </c>
      <c r="H2397" t="s">
        <v>872</v>
      </c>
      <c r="I2397" t="str">
        <f>HYPERLINK("http://www.ncbi.nlm.nih.gov/protein/XP_034837524.1","ryanodine receptor isoform X9")</f>
        <v>ryanodine receptor isoform X9</v>
      </c>
      <c r="J2397">
        <v>3132.43</v>
      </c>
      <c r="K2397" t="s">
        <v>19</v>
      </c>
      <c r="L2397">
        <v>1210</v>
      </c>
      <c r="M2397">
        <v>7.13</v>
      </c>
      <c r="N2397">
        <v>30.52</v>
      </c>
      <c r="O2397" t="s">
        <v>19</v>
      </c>
      <c r="P2397" t="s">
        <v>1267</v>
      </c>
      <c r="Q2397" t="s">
        <v>19</v>
      </c>
      <c r="R2397" t="str">
        <f>HYPERLINK("https://cfpub.epa.gov/ecotox/explore.cfm?ncbi=2795564","Explore in ECOTOX")</f>
        <v>Explore in ECOTOX</v>
      </c>
    </row>
    <row r="2398" spans="1:18" x14ac:dyDescent="0.45">
      <c r="A2398" t="s">
        <v>1266</v>
      </c>
      <c r="B2398">
        <v>8</v>
      </c>
      <c r="C2398" t="str">
        <f>HYPERLINK("http://www.ncbi.nlm.nih.gov/protein/XP_045780975.1","XP_045780975.1")</f>
        <v>XP_045780975.1</v>
      </c>
      <c r="D2398">
        <v>26205</v>
      </c>
      <c r="E2398" t="str">
        <f>HYPERLINK("http://www.ncbi.nlm.nih.gov/Taxonomy/Browser/wwwtax.cgi?mode=Info&amp;id=191418&amp;lvl=3&amp;lin=f&amp;keep=1&amp;srchmode=1&amp;unlock","191418")</f>
        <v>191418</v>
      </c>
      <c r="F2398" t="s">
        <v>760</v>
      </c>
      <c r="G2398" t="str">
        <f>HYPERLINK("http://www.ncbi.nlm.nih.gov/Taxonomy/Browser/wwwtax.cgi?mode=Info&amp;id=191418&amp;lvl=3&amp;lin=f&amp;keep=1&amp;srchmode=1&amp;unlock","Maniola jurtina")</f>
        <v>Maniola jurtina</v>
      </c>
      <c r="H2398" t="s">
        <v>761</v>
      </c>
      <c r="I2398" t="str">
        <f>HYPERLINK("http://www.ncbi.nlm.nih.gov/protein/XP_045780975.1","ryanodine receptor isoform X31")</f>
        <v>ryanodine receptor isoform X31</v>
      </c>
      <c r="J2398">
        <v>3132.04</v>
      </c>
      <c r="K2398" t="s">
        <v>19</v>
      </c>
      <c r="L2398">
        <v>1210</v>
      </c>
      <c r="M2398">
        <v>7.13</v>
      </c>
      <c r="N2398">
        <v>30.52</v>
      </c>
      <c r="O2398" t="s">
        <v>19</v>
      </c>
      <c r="P2398" t="s">
        <v>1267</v>
      </c>
      <c r="Q2398" t="s">
        <v>19</v>
      </c>
      <c r="R2398" t="str">
        <f>HYPERLINK("https://cfpub.epa.gov/ecotox/explore.cfm?ncbi=191418","Explore in ECOTOX")</f>
        <v>Explore in ECOTOX</v>
      </c>
    </row>
    <row r="2399" spans="1:18" x14ac:dyDescent="0.45">
      <c r="A2399" t="s">
        <v>1266</v>
      </c>
      <c r="B2399">
        <v>8</v>
      </c>
      <c r="C2399" t="str">
        <f>HYPERLINK("http://www.ncbi.nlm.nih.gov/protein/XP_025425821.1","XP_025425821.1")</f>
        <v>XP_025425821.1</v>
      </c>
      <c r="D2399">
        <v>21324</v>
      </c>
      <c r="E2399" t="str">
        <f>HYPERLINK("http://www.ncbi.nlm.nih.gov/Taxonomy/Browser/wwwtax.cgi?mode=Info&amp;id=143950&amp;lvl=3&amp;lin=f&amp;keep=1&amp;srchmode=1&amp;unlock","143950")</f>
        <v>143950</v>
      </c>
      <c r="F2399" t="s">
        <v>760</v>
      </c>
      <c r="G2399" t="str">
        <f>HYPERLINK("http://www.ncbi.nlm.nih.gov/Taxonomy/Browser/wwwtax.cgi?mode=Info&amp;id=143950&amp;lvl=3&amp;lin=f&amp;keep=1&amp;srchmode=1&amp;unlock","Sipha flava")</f>
        <v>Sipha flava</v>
      </c>
      <c r="H2399" t="s">
        <v>857</v>
      </c>
      <c r="I2399" t="str">
        <f>HYPERLINK("http://www.ncbi.nlm.nih.gov/protein/XP_025425821.1","ryanodine receptor")</f>
        <v>ryanodine receptor</v>
      </c>
      <c r="J2399">
        <v>3131.27</v>
      </c>
      <c r="K2399" t="s">
        <v>19</v>
      </c>
      <c r="L2399">
        <v>1210</v>
      </c>
      <c r="M2399">
        <v>7.13</v>
      </c>
      <c r="N2399">
        <v>30.51</v>
      </c>
      <c r="O2399" t="s">
        <v>19</v>
      </c>
      <c r="P2399" t="s">
        <v>1267</v>
      </c>
      <c r="Q2399" t="s">
        <v>19</v>
      </c>
      <c r="R2399" t="str">
        <f>HYPERLINK("https://cfpub.epa.gov/ecotox/explore.cfm?ncbi=143950","Explore in ECOTOX")</f>
        <v>Explore in ECOTOX</v>
      </c>
    </row>
    <row r="2400" spans="1:18" x14ac:dyDescent="0.45">
      <c r="A2400" t="s">
        <v>1266</v>
      </c>
      <c r="B2400">
        <v>8</v>
      </c>
      <c r="C2400" t="str">
        <f>HYPERLINK("http://www.ncbi.nlm.nih.gov/protein/XP_023020685.1","XP_023020685.1")</f>
        <v>XP_023020685.1</v>
      </c>
      <c r="D2400">
        <v>20165</v>
      </c>
      <c r="E2400" t="str">
        <f>HYPERLINK("http://www.ncbi.nlm.nih.gov/Taxonomy/Browser/wwwtax.cgi?mode=Info&amp;id=7539&amp;lvl=3&amp;lin=f&amp;keep=1&amp;srchmode=1&amp;unlock","7539")</f>
        <v>7539</v>
      </c>
      <c r="F2400" t="s">
        <v>760</v>
      </c>
      <c r="G2400" t="str">
        <f>HYPERLINK("http://www.ncbi.nlm.nih.gov/Taxonomy/Browser/wwwtax.cgi?mode=Info&amp;id=7539&amp;lvl=3&amp;lin=f&amp;keep=1&amp;srchmode=1&amp;unlock","Leptinotarsa decemlineata")</f>
        <v>Leptinotarsa decemlineata</v>
      </c>
      <c r="H2400" t="s">
        <v>865</v>
      </c>
      <c r="I2400" t="str">
        <f>HYPERLINK("http://www.ncbi.nlm.nih.gov/protein/XP_023020685.1","ryanodine receptor")</f>
        <v>ryanodine receptor</v>
      </c>
      <c r="J2400">
        <v>3130.89</v>
      </c>
      <c r="K2400" t="s">
        <v>19</v>
      </c>
      <c r="L2400">
        <v>1210</v>
      </c>
      <c r="M2400">
        <v>7.13</v>
      </c>
      <c r="N2400">
        <v>30.51</v>
      </c>
      <c r="O2400" t="s">
        <v>19</v>
      </c>
      <c r="P2400" t="s">
        <v>1267</v>
      </c>
      <c r="Q2400" t="s">
        <v>19</v>
      </c>
      <c r="R2400" t="str">
        <f>HYPERLINK("https://cfpub.epa.gov/ecotox/explore.cfm?ncbi=7539","Explore in ECOTOX")</f>
        <v>Explore in ECOTOX</v>
      </c>
    </row>
    <row r="2401" spans="1:18" x14ac:dyDescent="0.45">
      <c r="A2401" t="s">
        <v>1266</v>
      </c>
      <c r="B2401">
        <v>8</v>
      </c>
      <c r="C2401" t="str">
        <f>HYPERLINK("http://www.ncbi.nlm.nih.gov/protein/XP_024217614.1","XP_024217614.1")</f>
        <v>XP_024217614.1</v>
      </c>
      <c r="D2401">
        <v>26509</v>
      </c>
      <c r="E2401" t="str">
        <f>HYPERLINK("http://www.ncbi.nlm.nih.gov/Taxonomy/Browser/wwwtax.cgi?mode=Info&amp;id=286706&amp;lvl=3&amp;lin=f&amp;keep=1&amp;srchmode=1&amp;unlock","286706")</f>
        <v>286706</v>
      </c>
      <c r="F2401" t="s">
        <v>760</v>
      </c>
      <c r="G2401" t="str">
        <f>HYPERLINK("http://www.ncbi.nlm.nih.gov/Taxonomy/Browser/wwwtax.cgi?mode=Info&amp;id=286706&amp;lvl=3&amp;lin=f&amp;keep=1&amp;srchmode=1&amp;unlock","Halyomorpha halys")</f>
        <v>Halyomorpha halys</v>
      </c>
      <c r="H2401" t="s">
        <v>855</v>
      </c>
      <c r="I2401" t="str">
        <f>HYPERLINK("http://www.ncbi.nlm.nih.gov/protein/XP_024217614.1","ryanodine receptor")</f>
        <v>ryanodine receptor</v>
      </c>
      <c r="J2401">
        <v>3130.5</v>
      </c>
      <c r="K2401" t="s">
        <v>22</v>
      </c>
      <c r="L2401">
        <v>1210</v>
      </c>
      <c r="M2401">
        <v>7.13</v>
      </c>
      <c r="N2401">
        <v>30.5</v>
      </c>
      <c r="O2401" t="s">
        <v>19</v>
      </c>
      <c r="P2401" t="s">
        <v>1267</v>
      </c>
      <c r="Q2401" t="s">
        <v>19</v>
      </c>
      <c r="R2401" t="str">
        <f>HYPERLINK("https://cfpub.epa.gov/ecotox/explore.cfm?ncbi=286706","Explore in ECOTOX")</f>
        <v>Explore in ECOTOX</v>
      </c>
    </row>
    <row r="2402" spans="1:18" x14ac:dyDescent="0.45">
      <c r="A2402" t="s">
        <v>1266</v>
      </c>
      <c r="B2402">
        <v>8</v>
      </c>
      <c r="C2402" t="str">
        <f>HYPERLINK("http://www.ncbi.nlm.nih.gov/protein/XP_044271251.1","XP_044271251.1")</f>
        <v>XP_044271251.1</v>
      </c>
      <c r="D2402">
        <v>20584</v>
      </c>
      <c r="E2402" t="str">
        <f>HYPERLINK("http://www.ncbi.nlm.nih.gov/Taxonomy/Browser/wwwtax.cgi?mode=Info&amp;id=41895&amp;lvl=3&amp;lin=f&amp;keep=1&amp;srchmode=1&amp;unlock","41895")</f>
        <v>41895</v>
      </c>
      <c r="F2402" t="s">
        <v>760</v>
      </c>
      <c r="G2402" t="str">
        <f>HYPERLINK("http://www.ncbi.nlm.nih.gov/Taxonomy/Browser/wwwtax.cgi?mode=Info&amp;id=41895&amp;lvl=3&amp;lin=f&amp;keep=1&amp;srchmode=1&amp;unlock","Tribolium madens")</f>
        <v>Tribolium madens</v>
      </c>
      <c r="H2402" t="s">
        <v>877</v>
      </c>
      <c r="I2402" t="str">
        <f>HYPERLINK("http://www.ncbi.nlm.nih.gov/protein/XP_044271251.1","ryanodine receptor isoform X3")</f>
        <v>ryanodine receptor isoform X3</v>
      </c>
      <c r="J2402">
        <v>3128.19</v>
      </c>
      <c r="K2402" t="s">
        <v>19</v>
      </c>
      <c r="L2402">
        <v>1210</v>
      </c>
      <c r="M2402">
        <v>7.13</v>
      </c>
      <c r="N2402">
        <v>30.48</v>
      </c>
      <c r="O2402" t="s">
        <v>19</v>
      </c>
      <c r="P2402" t="s">
        <v>1267</v>
      </c>
      <c r="Q2402" t="s">
        <v>19</v>
      </c>
      <c r="R2402" t="str">
        <f>HYPERLINK("https://cfpub.epa.gov/ecotox/explore.cfm?ncbi=41895","Explore in ECOTOX")</f>
        <v>Explore in ECOTOX</v>
      </c>
    </row>
    <row r="2403" spans="1:18" x14ac:dyDescent="0.45">
      <c r="A2403" t="s">
        <v>1266</v>
      </c>
      <c r="B2403">
        <v>8</v>
      </c>
      <c r="C2403" t="str">
        <f>HYPERLINK("http://www.ncbi.nlm.nih.gov/protein/XP_009871259.1","XP_009871259.1")</f>
        <v>XP_009871259.1</v>
      </c>
      <c r="D2403">
        <v>26531</v>
      </c>
      <c r="E2403" t="str">
        <f>HYPERLINK("http://www.ncbi.nlm.nih.gov/Taxonomy/Browser/wwwtax.cgi?mode=Info&amp;id=57397&amp;lvl=3&amp;lin=f&amp;keep=1&amp;srchmode=1&amp;unlock","57397")</f>
        <v>57397</v>
      </c>
      <c r="F2403" t="s">
        <v>241</v>
      </c>
      <c r="G2403" t="str">
        <f>HYPERLINK("http://www.ncbi.nlm.nih.gov/Taxonomy/Browser/wwwtax.cgi?mode=Info&amp;id=57397&amp;lvl=3&amp;lin=f&amp;keep=1&amp;srchmode=1&amp;unlock","Apaloderma vittatum")</f>
        <v>Apaloderma vittatum</v>
      </c>
      <c r="H2403" t="s">
        <v>1015</v>
      </c>
      <c r="I2403" t="str">
        <f>HYPERLINK("http://www.ncbi.nlm.nih.gov/protein/XP_009871259.1","PREDICTED: ryanodine receptor 2, partial")</f>
        <v>PREDICTED: ryanodine receptor 2, partial</v>
      </c>
      <c r="J2403">
        <v>3127.42</v>
      </c>
      <c r="K2403" t="s">
        <v>19</v>
      </c>
      <c r="L2403">
        <v>1210</v>
      </c>
      <c r="M2403">
        <v>7.13</v>
      </c>
      <c r="N2403">
        <v>30.47</v>
      </c>
      <c r="O2403" t="s">
        <v>19</v>
      </c>
      <c r="P2403" t="s">
        <v>1267</v>
      </c>
      <c r="Q2403" t="s">
        <v>19</v>
      </c>
      <c r="R2403" t="str">
        <f>HYPERLINK("https://cfpub.epa.gov/ecotox/explore.cfm?ncbi=57397","Explore in ECOTOX")</f>
        <v>Explore in ECOTOX</v>
      </c>
    </row>
    <row r="2404" spans="1:18" x14ac:dyDescent="0.45">
      <c r="A2404" t="s">
        <v>1266</v>
      </c>
      <c r="B2404">
        <v>8</v>
      </c>
      <c r="C2404" t="str">
        <f>HYPERLINK("http://www.ncbi.nlm.nih.gov/protein/XP_026469278.1","XP_026469278.1")</f>
        <v>XP_026469278.1</v>
      </c>
      <c r="D2404">
        <v>22320</v>
      </c>
      <c r="E2404" t="str">
        <f>HYPERLINK("http://www.ncbi.nlm.nih.gov/Taxonomy/Browser/wwwtax.cgi?mode=Info&amp;id=7515&amp;lvl=3&amp;lin=f&amp;keep=1&amp;srchmode=1&amp;unlock","7515")</f>
        <v>7515</v>
      </c>
      <c r="F2404" t="s">
        <v>760</v>
      </c>
      <c r="G2404" t="str">
        <f>HYPERLINK("http://www.ncbi.nlm.nih.gov/Taxonomy/Browser/wwwtax.cgi?mode=Info&amp;id=7515&amp;lvl=3&amp;lin=f&amp;keep=1&amp;srchmode=1&amp;unlock","Ctenocephalides felis")</f>
        <v>Ctenocephalides felis</v>
      </c>
      <c r="H2404" t="s">
        <v>764</v>
      </c>
      <c r="I2404" t="str">
        <f>HYPERLINK("http://www.ncbi.nlm.nih.gov/protein/XP_026469278.1","LOW QUALITY PROTEIN: ryanodine receptor-like")</f>
        <v>LOW QUALITY PROTEIN: ryanodine receptor-like</v>
      </c>
      <c r="J2404">
        <v>3127.04</v>
      </c>
      <c r="K2404" t="s">
        <v>22</v>
      </c>
      <c r="L2404">
        <v>1210</v>
      </c>
      <c r="M2404">
        <v>7.13</v>
      </c>
      <c r="N2404">
        <v>30.47</v>
      </c>
      <c r="O2404" t="s">
        <v>19</v>
      </c>
      <c r="P2404" t="s">
        <v>1267</v>
      </c>
      <c r="Q2404" t="s">
        <v>19</v>
      </c>
      <c r="R2404" t="str">
        <f>HYPERLINK("https://cfpub.epa.gov/ecotox/explore.cfm?ncbi=7515","Explore in ECOTOX")</f>
        <v>Explore in ECOTOX</v>
      </c>
    </row>
    <row r="2405" spans="1:18" x14ac:dyDescent="0.45">
      <c r="A2405" t="s">
        <v>1266</v>
      </c>
      <c r="B2405">
        <v>8</v>
      </c>
      <c r="C2405" t="str">
        <f>HYPERLINK("http://www.ncbi.nlm.nih.gov/protein/CAH0718466.1","CAH0718466.1")</f>
        <v>CAH0718466.1</v>
      </c>
      <c r="D2405">
        <v>19712</v>
      </c>
      <c r="E2405" t="str">
        <f>HYPERLINK("http://www.ncbi.nlm.nih.gov/Taxonomy/Browser/wwwtax.cgi?mode=Info&amp;id=405034&amp;lvl=3&amp;lin=f&amp;keep=1&amp;srchmode=1&amp;unlock","405034")</f>
        <v>405034</v>
      </c>
      <c r="F2405" t="s">
        <v>760</v>
      </c>
      <c r="G2405" t="str">
        <f>HYPERLINK("http://www.ncbi.nlm.nih.gov/Taxonomy/Browser/wwwtax.cgi?mode=Info&amp;id=405034&amp;lvl=3&amp;lin=f&amp;keep=1&amp;srchmode=1&amp;unlock","Brenthis ino")</f>
        <v>Brenthis ino</v>
      </c>
      <c r="H2405" t="s">
        <v>802</v>
      </c>
      <c r="I2405" t="str">
        <f>HYPERLINK("http://www.ncbi.nlm.nih.gov/protein/CAH0718466.1","unnamed protein product, partial")</f>
        <v>unnamed protein product, partial</v>
      </c>
      <c r="J2405">
        <v>3127.04</v>
      </c>
      <c r="K2405" t="s">
        <v>19</v>
      </c>
      <c r="L2405">
        <v>1210</v>
      </c>
      <c r="M2405">
        <v>7.13</v>
      </c>
      <c r="N2405">
        <v>30.47</v>
      </c>
      <c r="O2405" t="s">
        <v>19</v>
      </c>
      <c r="P2405" t="s">
        <v>1267</v>
      </c>
      <c r="Q2405" t="s">
        <v>19</v>
      </c>
      <c r="R2405" t="str">
        <f>HYPERLINK("https://cfpub.epa.gov/ecotox/explore.cfm?ncbi=405034","Explore in ECOTOX")</f>
        <v>Explore in ECOTOX</v>
      </c>
    </row>
    <row r="2406" spans="1:18" x14ac:dyDescent="0.45">
      <c r="A2406" t="s">
        <v>1266</v>
      </c>
      <c r="B2406">
        <v>8</v>
      </c>
      <c r="C2406" t="str">
        <f>HYPERLINK("http://www.ncbi.nlm.nih.gov/protein/CAG4975031.1","CAG4975031.1")</f>
        <v>CAG4975031.1</v>
      </c>
      <c r="D2406">
        <v>18219</v>
      </c>
      <c r="E2406" t="str">
        <f>HYPERLINK("http://www.ncbi.nlm.nih.gov/Taxonomy/Browser/wwwtax.cgi?mode=Info&amp;id=42296&amp;lvl=3&amp;lin=f&amp;keep=1&amp;srchmode=1&amp;unlock","42296")</f>
        <v>42296</v>
      </c>
      <c r="F2406" t="s">
        <v>760</v>
      </c>
      <c r="G2406" t="str">
        <f>HYPERLINK("http://www.ncbi.nlm.nih.gov/Taxonomy/Browser/wwwtax.cgi?mode=Info&amp;id=42296&amp;lvl=3&amp;lin=f&amp;keep=1&amp;srchmode=1&amp;unlock","Colias eurytheme")</f>
        <v>Colias eurytheme</v>
      </c>
      <c r="H2406" t="s">
        <v>871</v>
      </c>
      <c r="I2406" t="str">
        <f>HYPERLINK("http://www.ncbi.nlm.nih.gov/protein/CAG4975031.1","unnamed protein product")</f>
        <v>unnamed protein product</v>
      </c>
      <c r="J2406">
        <v>3124.72</v>
      </c>
      <c r="K2406" t="s">
        <v>19</v>
      </c>
      <c r="L2406">
        <v>1210</v>
      </c>
      <c r="M2406">
        <v>7.13</v>
      </c>
      <c r="N2406">
        <v>30.45</v>
      </c>
      <c r="O2406" t="s">
        <v>19</v>
      </c>
      <c r="P2406" t="s">
        <v>1267</v>
      </c>
      <c r="Q2406" t="s">
        <v>19</v>
      </c>
      <c r="R2406" t="str">
        <f>HYPERLINK("https://cfpub.epa.gov/ecotox/explore.cfm?ncbi=42296","Explore in ECOTOX")</f>
        <v>Explore in ECOTOX</v>
      </c>
    </row>
    <row r="2407" spans="1:18" x14ac:dyDescent="0.45">
      <c r="A2407" t="s">
        <v>1266</v>
      </c>
      <c r="B2407">
        <v>8</v>
      </c>
      <c r="C2407" t="str">
        <f>HYPERLINK("http://www.ncbi.nlm.nih.gov/protein/XP_056631706.1","XP_056631706.1")</f>
        <v>XP_056631706.1</v>
      </c>
      <c r="D2407">
        <v>19716</v>
      </c>
      <c r="E2407" t="str">
        <f>HYPERLINK("http://www.ncbi.nlm.nih.gov/Taxonomy/Browser/wwwtax.cgi?mode=Info&amp;id=1163346&amp;lvl=3&amp;lin=f&amp;keep=1&amp;srchmode=1&amp;unlock","1163346")</f>
        <v>1163346</v>
      </c>
      <c r="F2407" t="s">
        <v>760</v>
      </c>
      <c r="G2407" t="str">
        <f>HYPERLINK("http://www.ncbi.nlm.nih.gov/Taxonomy/Browser/wwwtax.cgi?mode=Info&amp;id=1163346&amp;lvl=3&amp;lin=f&amp;keep=1&amp;srchmode=1&amp;unlock","Diorhabda sublineata")</f>
        <v>Diorhabda sublineata</v>
      </c>
      <c r="H2407" t="s">
        <v>876</v>
      </c>
      <c r="I2407" t="str">
        <f>HYPERLINK("http://www.ncbi.nlm.nih.gov/protein/XP_056631706.1","ryanodine receptor isoform X5")</f>
        <v>ryanodine receptor isoform X5</v>
      </c>
      <c r="J2407">
        <v>3121.26</v>
      </c>
      <c r="K2407" t="s">
        <v>19</v>
      </c>
      <c r="L2407">
        <v>1210</v>
      </c>
      <c r="M2407">
        <v>7.13</v>
      </c>
      <c r="N2407">
        <v>30.41</v>
      </c>
      <c r="O2407" t="s">
        <v>19</v>
      </c>
      <c r="P2407" t="s">
        <v>1267</v>
      </c>
      <c r="Q2407" t="s">
        <v>19</v>
      </c>
      <c r="R2407" t="str">
        <f>HYPERLINK("https://cfpub.epa.gov/ecotox/explore.cfm?ncbi=1163346","Explore in ECOTOX")</f>
        <v>Explore in ECOTOX</v>
      </c>
    </row>
    <row r="2408" spans="1:18" x14ac:dyDescent="0.45">
      <c r="A2408" t="s">
        <v>1266</v>
      </c>
      <c r="B2408">
        <v>8</v>
      </c>
      <c r="C2408" t="str">
        <f>HYPERLINK("http://www.ncbi.nlm.nih.gov/protein/XP_057661311.1","XP_057661311.1")</f>
        <v>XP_057661311.1</v>
      </c>
      <c r="D2408">
        <v>22127</v>
      </c>
      <c r="E2408" t="str">
        <f>HYPERLINK("http://www.ncbi.nlm.nih.gov/Taxonomy/Browser/wwwtax.cgi?mode=Info&amp;id=1163345&amp;lvl=3&amp;lin=f&amp;keep=1&amp;srchmode=1&amp;unlock","1163345")</f>
        <v>1163345</v>
      </c>
      <c r="F2408" t="s">
        <v>760</v>
      </c>
      <c r="G2408" t="str">
        <f>HYPERLINK("http://www.ncbi.nlm.nih.gov/Taxonomy/Browser/wwwtax.cgi?mode=Info&amp;id=1163345&amp;lvl=3&amp;lin=f&amp;keep=1&amp;srchmode=1&amp;unlock","Diorhabda carinulata")</f>
        <v>Diorhabda carinulata</v>
      </c>
      <c r="H2408" t="s">
        <v>876</v>
      </c>
      <c r="I2408" t="str">
        <f>HYPERLINK("http://www.ncbi.nlm.nih.gov/protein/XP_057661311.1","ryanodine receptor isoform X6")</f>
        <v>ryanodine receptor isoform X6</v>
      </c>
      <c r="J2408">
        <v>3120.87</v>
      </c>
      <c r="K2408" t="s">
        <v>19</v>
      </c>
      <c r="L2408">
        <v>1210</v>
      </c>
      <c r="M2408">
        <v>7.13</v>
      </c>
      <c r="N2408">
        <v>30.41</v>
      </c>
      <c r="O2408" t="s">
        <v>19</v>
      </c>
      <c r="P2408" t="s">
        <v>1267</v>
      </c>
      <c r="Q2408" t="s">
        <v>19</v>
      </c>
      <c r="R2408" t="str">
        <f>HYPERLINK("https://cfpub.epa.gov/ecotox/explore.cfm?ncbi=1163345","Explore in ECOTOX")</f>
        <v>Explore in ECOTOX</v>
      </c>
    </row>
    <row r="2409" spans="1:18" x14ac:dyDescent="0.45">
      <c r="A2409" t="s">
        <v>1266</v>
      </c>
      <c r="B2409">
        <v>8</v>
      </c>
      <c r="C2409" t="str">
        <f>HYPERLINK("http://www.ncbi.nlm.nih.gov/protein/KAG7271671.1","KAG7271671.1")</f>
        <v>KAG7271671.1</v>
      </c>
      <c r="D2409">
        <v>38868</v>
      </c>
      <c r="E2409" t="str">
        <f>HYPERLINK("http://www.ncbi.nlm.nih.gov/Taxonomy/Browser/wwwtax.cgi?mode=Info&amp;id=163118&amp;lvl=3&amp;lin=f&amp;keep=1&amp;srchmode=1&amp;unlock","163118")</f>
        <v>163118</v>
      </c>
      <c r="F2409" t="s">
        <v>17</v>
      </c>
      <c r="G2409" t="str">
        <f>HYPERLINK("http://www.ncbi.nlm.nih.gov/Taxonomy/Browser/wwwtax.cgi?mode=Info&amp;id=163118&amp;lvl=3&amp;lin=f&amp;keep=1&amp;srchmode=1&amp;unlock","Coryphaenoides rupestris")</f>
        <v>Coryphaenoides rupestris</v>
      </c>
      <c r="H2409" t="s">
        <v>765</v>
      </c>
      <c r="I2409" t="str">
        <f>HYPERLINK("http://www.ncbi.nlm.nih.gov/protein/KAG7271671.1","hypothetical protein CRUP_022288, partial")</f>
        <v>hypothetical protein CRUP_022288, partial</v>
      </c>
      <c r="J2409">
        <v>3120.49</v>
      </c>
      <c r="K2409" t="s">
        <v>22</v>
      </c>
      <c r="L2409">
        <v>1210</v>
      </c>
      <c r="M2409">
        <v>7.13</v>
      </c>
      <c r="N2409">
        <v>30.41</v>
      </c>
      <c r="O2409" t="s">
        <v>19</v>
      </c>
      <c r="P2409" t="s">
        <v>1267</v>
      </c>
      <c r="Q2409" t="s">
        <v>19</v>
      </c>
      <c r="R2409" t="str">
        <f>HYPERLINK("https://cfpub.epa.gov/ecotox/explore.cfm?ncbi=163118","Explore in ECOTOX")</f>
        <v>Explore in ECOTOX</v>
      </c>
    </row>
    <row r="2410" spans="1:18" x14ac:dyDescent="0.45">
      <c r="A2410" t="s">
        <v>1266</v>
      </c>
      <c r="B2410">
        <v>8</v>
      </c>
      <c r="C2410" t="str">
        <f>HYPERLINK("http://www.ncbi.nlm.nih.gov/protein/XP_018566921.1","XP_018566921.1")</f>
        <v>XP_018566921.1</v>
      </c>
      <c r="D2410">
        <v>21062</v>
      </c>
      <c r="E2410" t="str">
        <f>HYPERLINK("http://www.ncbi.nlm.nih.gov/Taxonomy/Browser/wwwtax.cgi?mode=Info&amp;id=217634&amp;lvl=3&amp;lin=f&amp;keep=1&amp;srchmode=1&amp;unlock","217634")</f>
        <v>217634</v>
      </c>
      <c r="F2410" t="s">
        <v>760</v>
      </c>
      <c r="G2410" t="str">
        <f>HYPERLINK("http://www.ncbi.nlm.nih.gov/Taxonomy/Browser/wwwtax.cgi?mode=Info&amp;id=217634&amp;lvl=3&amp;lin=f&amp;keep=1&amp;srchmode=1&amp;unlock","Anoplophora glabripennis")</f>
        <v>Anoplophora glabripennis</v>
      </c>
      <c r="H2410" t="s">
        <v>897</v>
      </c>
      <c r="I2410" t="str">
        <f>HYPERLINK("http://www.ncbi.nlm.nih.gov/protein/XP_018566921.1","ryanodine receptor isoform X2")</f>
        <v>ryanodine receptor isoform X2</v>
      </c>
      <c r="J2410">
        <v>3119.72</v>
      </c>
      <c r="K2410" t="s">
        <v>19</v>
      </c>
      <c r="L2410">
        <v>1210</v>
      </c>
      <c r="M2410">
        <v>7.13</v>
      </c>
      <c r="N2410">
        <v>30.4</v>
      </c>
      <c r="O2410" t="s">
        <v>19</v>
      </c>
      <c r="P2410" t="s">
        <v>1267</v>
      </c>
      <c r="Q2410" t="s">
        <v>19</v>
      </c>
      <c r="R2410" t="str">
        <f>HYPERLINK("https://cfpub.epa.gov/ecotox/explore.cfm?ncbi=217634","Explore in ECOTOX")</f>
        <v>Explore in ECOTOX</v>
      </c>
    </row>
    <row r="2411" spans="1:18" x14ac:dyDescent="0.45">
      <c r="A2411" t="s">
        <v>1266</v>
      </c>
      <c r="B2411">
        <v>8</v>
      </c>
      <c r="C2411" t="str">
        <f>HYPERLINK("http://www.ncbi.nlm.nih.gov/protein/CAG9789968.1","CAG9789968.1")</f>
        <v>CAG9789968.1</v>
      </c>
      <c r="D2411">
        <v>16352</v>
      </c>
      <c r="E2411" t="str">
        <f>HYPERLINK("http://www.ncbi.nlm.nih.gov/Taxonomy/Browser/wwwtax.cgi?mode=Info&amp;id=40085&amp;lvl=3&amp;lin=f&amp;keep=1&amp;srchmode=1&amp;unlock","40085")</f>
        <v>40085</v>
      </c>
      <c r="F2411" t="s">
        <v>760</v>
      </c>
      <c r="G2411" t="str">
        <f>HYPERLINK("http://www.ncbi.nlm.nih.gov/Taxonomy/Browser/wwwtax.cgi?mode=Info&amp;id=40085&amp;lvl=3&amp;lin=f&amp;keep=1&amp;srchmode=1&amp;unlock","Diatraea saccharalis")</f>
        <v>Diatraea saccharalis</v>
      </c>
      <c r="H2411" t="s">
        <v>899</v>
      </c>
      <c r="I2411" t="str">
        <f>HYPERLINK("http://www.ncbi.nlm.nih.gov/protein/CAG9789968.1","unnamed protein product")</f>
        <v>unnamed protein product</v>
      </c>
      <c r="J2411">
        <v>3119.72</v>
      </c>
      <c r="K2411" t="s">
        <v>19</v>
      </c>
      <c r="L2411">
        <v>1210</v>
      </c>
      <c r="M2411">
        <v>7.13</v>
      </c>
      <c r="N2411">
        <v>30.4</v>
      </c>
      <c r="O2411" t="s">
        <v>19</v>
      </c>
      <c r="P2411" t="s">
        <v>1267</v>
      </c>
      <c r="Q2411" t="s">
        <v>19</v>
      </c>
      <c r="R2411" t="str">
        <f>HYPERLINK("https://cfpub.epa.gov/ecotox/explore.cfm?ncbi=40085","Explore in ECOTOX")</f>
        <v>Explore in ECOTOX</v>
      </c>
    </row>
    <row r="2412" spans="1:18" x14ac:dyDescent="0.45">
      <c r="A2412" t="s">
        <v>1266</v>
      </c>
      <c r="B2412">
        <v>8</v>
      </c>
      <c r="C2412" t="str">
        <f>HYPERLINK("http://www.ncbi.nlm.nih.gov/protein/XP_049819565.1","XP_049819565.1")</f>
        <v>XP_049819565.1</v>
      </c>
      <c r="D2412">
        <v>21592</v>
      </c>
      <c r="E2412" t="str">
        <f>HYPERLINK("http://www.ncbi.nlm.nih.gov/Taxonomy/Browser/wwwtax.cgi?mode=Info&amp;id=116153&amp;lvl=3&amp;lin=f&amp;keep=1&amp;srchmode=1&amp;unlock","116153")</f>
        <v>116153</v>
      </c>
      <c r="F2412" t="s">
        <v>760</v>
      </c>
      <c r="G2412" t="str">
        <f>HYPERLINK("http://www.ncbi.nlm.nih.gov/Taxonomy/Browser/wwwtax.cgi?mode=Info&amp;id=116153&amp;lvl=3&amp;lin=f&amp;keep=1&amp;srchmode=1&amp;unlock","Aethina tumida")</f>
        <v>Aethina tumida</v>
      </c>
      <c r="H2412" t="s">
        <v>896</v>
      </c>
      <c r="I2412" t="str">
        <f>HYPERLINK("http://www.ncbi.nlm.nih.gov/protein/XP_049819565.1","ryanodine receptor")</f>
        <v>ryanodine receptor</v>
      </c>
      <c r="J2412">
        <v>3119.72</v>
      </c>
      <c r="K2412" t="s">
        <v>19</v>
      </c>
      <c r="L2412">
        <v>1210</v>
      </c>
      <c r="M2412">
        <v>7.13</v>
      </c>
      <c r="N2412">
        <v>30.4</v>
      </c>
      <c r="O2412" t="s">
        <v>19</v>
      </c>
      <c r="P2412" t="s">
        <v>1267</v>
      </c>
      <c r="Q2412" t="s">
        <v>19</v>
      </c>
      <c r="R2412" t="str">
        <f>HYPERLINK("https://cfpub.epa.gov/ecotox/explore.cfm?ncbi=116153","Explore in ECOTOX")</f>
        <v>Explore in ECOTOX</v>
      </c>
    </row>
    <row r="2413" spans="1:18" x14ac:dyDescent="0.45">
      <c r="A2413" t="s">
        <v>1266</v>
      </c>
      <c r="B2413">
        <v>8</v>
      </c>
      <c r="C2413" t="str">
        <f>HYPERLINK("http://www.ncbi.nlm.nih.gov/protein/XP_039761391.1","XP_039761391.1")</f>
        <v>XP_039761391.1</v>
      </c>
      <c r="D2413">
        <v>21135</v>
      </c>
      <c r="E2413" t="str">
        <f>HYPERLINK("http://www.ncbi.nlm.nih.gov/Taxonomy/Browser/wwwtax.cgi?mode=Info&amp;id=116150&amp;lvl=3&amp;lin=f&amp;keep=1&amp;srchmode=1&amp;unlock","116150")</f>
        <v>116150</v>
      </c>
      <c r="F2413" t="s">
        <v>760</v>
      </c>
      <c r="G2413" t="str">
        <f>HYPERLINK("http://www.ncbi.nlm.nih.gov/Taxonomy/Browser/wwwtax.cgi?mode=Info&amp;id=116150&amp;lvl=3&amp;lin=f&amp;keep=1&amp;srchmode=1&amp;unlock","Pararge aegeria")</f>
        <v>Pararge aegeria</v>
      </c>
      <c r="H2413" t="s">
        <v>894</v>
      </c>
      <c r="I2413" t="str">
        <f>HYPERLINK("http://www.ncbi.nlm.nih.gov/protein/XP_039761391.1","ryanodine receptor isoform X9")</f>
        <v>ryanodine receptor isoform X9</v>
      </c>
      <c r="J2413">
        <v>3119.33</v>
      </c>
      <c r="K2413" t="s">
        <v>19</v>
      </c>
      <c r="L2413">
        <v>1210</v>
      </c>
      <c r="M2413">
        <v>7.13</v>
      </c>
      <c r="N2413">
        <v>30.39</v>
      </c>
      <c r="O2413" t="s">
        <v>19</v>
      </c>
      <c r="P2413" t="s">
        <v>1267</v>
      </c>
      <c r="Q2413" t="s">
        <v>19</v>
      </c>
      <c r="R2413" t="str">
        <f>HYPERLINK("https://cfpub.epa.gov/ecotox/explore.cfm?ncbi=116150","Explore in ECOTOX")</f>
        <v>Explore in ECOTOX</v>
      </c>
    </row>
    <row r="2414" spans="1:18" x14ac:dyDescent="0.45">
      <c r="A2414" t="s">
        <v>1266</v>
      </c>
      <c r="B2414">
        <v>8</v>
      </c>
      <c r="C2414" t="str">
        <f>HYPERLINK("http://www.ncbi.nlm.nih.gov/protein/XP_041985699.1","XP_041985699.1")</f>
        <v>XP_041985699.1</v>
      </c>
      <c r="D2414">
        <v>21792</v>
      </c>
      <c r="E2414" t="str">
        <f>HYPERLINK("http://www.ncbi.nlm.nih.gov/Taxonomy/Browser/wwwtax.cgi?mode=Info&amp;id=91739&amp;lvl=3&amp;lin=f&amp;keep=1&amp;srchmode=1&amp;unlock","91739")</f>
        <v>91739</v>
      </c>
      <c r="F2414" t="s">
        <v>760</v>
      </c>
      <c r="G2414" t="str">
        <f>HYPERLINK("http://www.ncbi.nlm.nih.gov/Taxonomy/Browser/wwwtax.cgi?mode=Info&amp;id=91739&amp;lvl=3&amp;lin=f&amp;keep=1&amp;srchmode=1&amp;unlock","Aricia agestis")</f>
        <v>Aricia agestis</v>
      </c>
      <c r="H2414" t="s">
        <v>768</v>
      </c>
      <c r="I2414" t="str">
        <f>HYPERLINK("http://www.ncbi.nlm.nih.gov/protein/XP_041985699.1","ryanodine receptor isoform X18")</f>
        <v>ryanodine receptor isoform X18</v>
      </c>
      <c r="J2414">
        <v>3118.95</v>
      </c>
      <c r="K2414" t="s">
        <v>19</v>
      </c>
      <c r="L2414">
        <v>1210</v>
      </c>
      <c r="M2414">
        <v>7.13</v>
      </c>
      <c r="N2414">
        <v>30.39</v>
      </c>
      <c r="O2414" t="s">
        <v>19</v>
      </c>
      <c r="P2414" t="s">
        <v>1267</v>
      </c>
      <c r="Q2414" t="s">
        <v>19</v>
      </c>
      <c r="R2414" t="str">
        <f>HYPERLINK("https://cfpub.epa.gov/ecotox/explore.cfm?ncbi=91739","Explore in ECOTOX")</f>
        <v>Explore in ECOTOX</v>
      </c>
    </row>
    <row r="2415" spans="1:18" x14ac:dyDescent="0.45">
      <c r="A2415" t="s">
        <v>1266</v>
      </c>
      <c r="B2415">
        <v>8</v>
      </c>
      <c r="C2415" t="str">
        <f>HYPERLINK("http://www.ncbi.nlm.nih.gov/protein/CAH2015684.1","CAH2015684.1")</f>
        <v>CAH2015684.1</v>
      </c>
      <c r="D2415">
        <v>115963</v>
      </c>
      <c r="E2415" t="str">
        <f>HYPERLINK("http://www.ncbi.nlm.nih.gov/Taxonomy/Browser/wwwtax.cgi?mode=Info&amp;id=200917&amp;lvl=3&amp;lin=f&amp;keep=1&amp;srchmode=1&amp;unlock","200917")</f>
        <v>200917</v>
      </c>
      <c r="F2415" t="s">
        <v>760</v>
      </c>
      <c r="G2415" t="str">
        <f>HYPERLINK("http://www.ncbi.nlm.nih.gov/Taxonomy/Browser/wwwtax.cgi?mode=Info&amp;id=200917&amp;lvl=3&amp;lin=f&amp;keep=1&amp;srchmode=1&amp;unlock","Acanthoscelides obtectus")</f>
        <v>Acanthoscelides obtectus</v>
      </c>
      <c r="H2415" t="s">
        <v>910</v>
      </c>
      <c r="I2415" t="str">
        <f>HYPERLINK("http://www.ncbi.nlm.nih.gov/protein/CAH2015684.1","unnamed protein product")</f>
        <v>unnamed protein product</v>
      </c>
      <c r="J2415">
        <v>3118.56</v>
      </c>
      <c r="K2415" t="s">
        <v>19</v>
      </c>
      <c r="L2415">
        <v>1210</v>
      </c>
      <c r="M2415">
        <v>7.13</v>
      </c>
      <c r="N2415">
        <v>30.39</v>
      </c>
      <c r="O2415" t="s">
        <v>19</v>
      </c>
      <c r="P2415" t="s">
        <v>1267</v>
      </c>
      <c r="Q2415" t="s">
        <v>19</v>
      </c>
      <c r="R2415" t="str">
        <f>HYPERLINK("https://cfpub.epa.gov/ecotox/explore.cfm?ncbi=200917","Explore in ECOTOX")</f>
        <v>Explore in ECOTOX</v>
      </c>
    </row>
    <row r="2416" spans="1:18" x14ac:dyDescent="0.45">
      <c r="A2416" t="s">
        <v>1266</v>
      </c>
      <c r="B2416">
        <v>8</v>
      </c>
      <c r="C2416" t="str">
        <f>HYPERLINK("http://www.ncbi.nlm.nih.gov/protein/XP_045540762.1","XP_045540762.1")</f>
        <v>XP_045540762.1</v>
      </c>
      <c r="D2416">
        <v>33909</v>
      </c>
      <c r="E2416" t="str">
        <f>HYPERLINK("http://www.ncbi.nlm.nih.gov/Taxonomy/Browser/wwwtax.cgi?mode=Info&amp;id=76193&amp;lvl=3&amp;lin=f&amp;keep=1&amp;srchmode=1&amp;unlock","76193")</f>
        <v>76193</v>
      </c>
      <c r="F2416" t="s">
        <v>760</v>
      </c>
      <c r="G2416" t="str">
        <f>HYPERLINK("http://www.ncbi.nlm.nih.gov/Taxonomy/Browser/wwwtax.cgi?mode=Info&amp;id=76193&amp;lvl=3&amp;lin=f&amp;keep=1&amp;srchmode=1&amp;unlock","Papilio machaon")</f>
        <v>Papilio machaon</v>
      </c>
      <c r="H2416" t="s">
        <v>895</v>
      </c>
      <c r="I2416" t="str">
        <f>HYPERLINK("http://www.ncbi.nlm.nih.gov/protein/XP_045540762.1","ryanodine receptor isoform X14")</f>
        <v>ryanodine receptor isoform X14</v>
      </c>
      <c r="J2416">
        <v>3118.18</v>
      </c>
      <c r="K2416" t="s">
        <v>19</v>
      </c>
      <c r="L2416">
        <v>1210</v>
      </c>
      <c r="M2416">
        <v>7.13</v>
      </c>
      <c r="N2416">
        <v>30.38</v>
      </c>
      <c r="O2416" t="s">
        <v>19</v>
      </c>
      <c r="P2416" t="s">
        <v>1267</v>
      </c>
      <c r="Q2416" t="s">
        <v>19</v>
      </c>
      <c r="R2416" t="str">
        <f>HYPERLINK("https://cfpub.epa.gov/ecotox/explore.cfm?ncbi=76193","Explore in ECOTOX")</f>
        <v>Explore in ECOTOX</v>
      </c>
    </row>
    <row r="2417" spans="1:18" x14ac:dyDescent="0.45">
      <c r="A2417" t="s">
        <v>1266</v>
      </c>
      <c r="B2417">
        <v>8</v>
      </c>
      <c r="C2417" t="str">
        <f>HYPERLINK("http://www.ncbi.nlm.nih.gov/protein/CAH0403750.1","CAH0403750.1")</f>
        <v>CAH0403750.1</v>
      </c>
      <c r="D2417">
        <v>29557</v>
      </c>
      <c r="E2417" t="str">
        <f>HYPERLINK("http://www.ncbi.nlm.nih.gov/Taxonomy/Browser/wwwtax.cgi?mode=Info&amp;id=168631&amp;lvl=3&amp;lin=f&amp;keep=1&amp;srchmode=1&amp;unlock","168631")</f>
        <v>168631</v>
      </c>
      <c r="F2417" t="s">
        <v>760</v>
      </c>
      <c r="G2417" t="str">
        <f>HYPERLINK("http://www.ncbi.nlm.nih.gov/Taxonomy/Browser/wwwtax.cgi?mode=Info&amp;id=168631&amp;lvl=3&amp;lin=f&amp;keep=1&amp;srchmode=1&amp;unlock","Chilo suppressalis")</f>
        <v>Chilo suppressalis</v>
      </c>
      <c r="H2417" t="s">
        <v>898</v>
      </c>
      <c r="I2417" t="str">
        <f>HYPERLINK("http://www.ncbi.nlm.nih.gov/protein/CAH0403750.1","unnamed protein product")</f>
        <v>unnamed protein product</v>
      </c>
      <c r="J2417">
        <v>3117.41</v>
      </c>
      <c r="K2417" t="s">
        <v>19</v>
      </c>
      <c r="L2417">
        <v>1210</v>
      </c>
      <c r="M2417">
        <v>7.13</v>
      </c>
      <c r="N2417">
        <v>30.38</v>
      </c>
      <c r="O2417" t="s">
        <v>19</v>
      </c>
      <c r="P2417" t="s">
        <v>1267</v>
      </c>
      <c r="Q2417" t="s">
        <v>19</v>
      </c>
      <c r="R2417" t="str">
        <f>HYPERLINK("https://cfpub.epa.gov/ecotox/explore.cfm?ncbi=168631","Explore in ECOTOX")</f>
        <v>Explore in ECOTOX</v>
      </c>
    </row>
    <row r="2418" spans="1:18" x14ac:dyDescent="0.45">
      <c r="A2418" t="s">
        <v>1266</v>
      </c>
      <c r="B2418">
        <v>8</v>
      </c>
      <c r="C2418" t="str">
        <f>HYPERLINK("http://www.ncbi.nlm.nih.gov/protein/CAD7424343.1","CAD7424343.1")</f>
        <v>CAD7424343.1</v>
      </c>
      <c r="D2418">
        <v>13140</v>
      </c>
      <c r="E2418" t="str">
        <f>HYPERLINK("http://www.ncbi.nlm.nih.gov/Taxonomy/Browser/wwwtax.cgi?mode=Info&amp;id=170555&amp;lvl=3&amp;lin=f&amp;keep=1&amp;srchmode=1&amp;unlock","170555")</f>
        <v>170555</v>
      </c>
      <c r="F2418" t="s">
        <v>760</v>
      </c>
      <c r="G2418" t="str">
        <f>HYPERLINK("http://www.ncbi.nlm.nih.gov/Taxonomy/Browser/wwwtax.cgi?mode=Info&amp;id=170555&amp;lvl=3&amp;lin=f&amp;keep=1&amp;srchmode=1&amp;unlock","Timema monikensis")</f>
        <v>Timema monikensis</v>
      </c>
      <c r="H2418" t="s">
        <v>1039</v>
      </c>
      <c r="I2418" t="str">
        <f>HYPERLINK("http://www.ncbi.nlm.nih.gov/protein/CAD7424343.1","unnamed protein product")</f>
        <v>unnamed protein product</v>
      </c>
      <c r="J2418">
        <v>3116.64</v>
      </c>
      <c r="K2418" t="s">
        <v>19</v>
      </c>
      <c r="L2418">
        <v>1210</v>
      </c>
      <c r="M2418">
        <v>7.13</v>
      </c>
      <c r="N2418">
        <v>30.37</v>
      </c>
      <c r="O2418" t="s">
        <v>19</v>
      </c>
      <c r="P2418" t="s">
        <v>1267</v>
      </c>
      <c r="Q2418" t="s">
        <v>19</v>
      </c>
      <c r="R2418" t="str">
        <f>HYPERLINK("https://cfpub.epa.gov/ecotox/explore.cfm?ncbi=170555","Explore in ECOTOX")</f>
        <v>Explore in ECOTOX</v>
      </c>
    </row>
    <row r="2419" spans="1:18" x14ac:dyDescent="0.45">
      <c r="A2419" t="s">
        <v>1266</v>
      </c>
      <c r="B2419">
        <v>8</v>
      </c>
      <c r="C2419" t="str">
        <f>HYPERLINK("http://www.ncbi.nlm.nih.gov/protein/KAG6444103.1","KAG6444103.1")</f>
        <v>KAG6444103.1</v>
      </c>
      <c r="D2419">
        <v>53080</v>
      </c>
      <c r="E2419" t="str">
        <f>HYPERLINK("http://www.ncbi.nlm.nih.gov/Taxonomy/Browser/wwwtax.cgi?mode=Info&amp;id=7130&amp;lvl=3&amp;lin=f&amp;keep=1&amp;srchmode=1&amp;unlock","7130")</f>
        <v>7130</v>
      </c>
      <c r="F2419" t="s">
        <v>760</v>
      </c>
      <c r="G2419" t="str">
        <f>HYPERLINK("http://www.ncbi.nlm.nih.gov/Taxonomy/Browser/wwwtax.cgi?mode=Info&amp;id=7130&amp;lvl=3&amp;lin=f&amp;keep=1&amp;srchmode=1&amp;unlock","Manduca sexta")</f>
        <v>Manduca sexta</v>
      </c>
      <c r="H2419" t="s">
        <v>885</v>
      </c>
      <c r="I2419" t="str">
        <f>HYPERLINK("http://www.ncbi.nlm.nih.gov/protein/KAG6444103.1","hypothetical protein O3G_MSEX003225")</f>
        <v>hypothetical protein O3G_MSEX003225</v>
      </c>
      <c r="J2419">
        <v>3115.48</v>
      </c>
      <c r="K2419" t="s">
        <v>19</v>
      </c>
      <c r="L2419">
        <v>1210</v>
      </c>
      <c r="M2419">
        <v>7.13</v>
      </c>
      <c r="N2419">
        <v>30.36</v>
      </c>
      <c r="O2419" t="s">
        <v>19</v>
      </c>
      <c r="P2419" t="s">
        <v>1267</v>
      </c>
      <c r="Q2419" t="s">
        <v>19</v>
      </c>
      <c r="R2419" t="str">
        <f>HYPERLINK("https://cfpub.epa.gov/ecotox/explore.cfm?ncbi=7130","Explore in ECOTOX")</f>
        <v>Explore in ECOTOX</v>
      </c>
    </row>
    <row r="2420" spans="1:18" x14ac:dyDescent="0.45">
      <c r="A2420" t="s">
        <v>1266</v>
      </c>
      <c r="B2420">
        <v>8</v>
      </c>
      <c r="C2420" t="str">
        <f>HYPERLINK("http://www.ncbi.nlm.nih.gov/protein/CAG9853862.1","CAG9853862.1")</f>
        <v>CAG9853862.1</v>
      </c>
      <c r="D2420">
        <v>12584</v>
      </c>
      <c r="E2420" t="str">
        <f>HYPERLINK("http://www.ncbi.nlm.nih.gov/Taxonomy/Browser/wwwtax.cgi?mode=Info&amp;id=444603&amp;lvl=3&amp;lin=f&amp;keep=1&amp;srchmode=1&amp;unlock","444603")</f>
        <v>444603</v>
      </c>
      <c r="F2420" t="s">
        <v>760</v>
      </c>
      <c r="G2420" t="str">
        <f>HYPERLINK("http://www.ncbi.nlm.nih.gov/Taxonomy/Browser/wwwtax.cgi?mode=Info&amp;id=444603&amp;lvl=3&amp;lin=f&amp;keep=1&amp;srchmode=1&amp;unlock","Phyllotreta striolata")</f>
        <v>Phyllotreta striolata</v>
      </c>
      <c r="H2420" t="s">
        <v>900</v>
      </c>
      <c r="I2420" t="str">
        <f>HYPERLINK("http://www.ncbi.nlm.nih.gov/protein/CAG9853862.1","unnamed protein product")</f>
        <v>unnamed protein product</v>
      </c>
      <c r="J2420">
        <v>3115.48</v>
      </c>
      <c r="K2420" t="s">
        <v>19</v>
      </c>
      <c r="L2420">
        <v>1210</v>
      </c>
      <c r="M2420">
        <v>7.13</v>
      </c>
      <c r="N2420">
        <v>30.36</v>
      </c>
      <c r="O2420" t="s">
        <v>19</v>
      </c>
      <c r="P2420" t="s">
        <v>1267</v>
      </c>
      <c r="Q2420" t="s">
        <v>19</v>
      </c>
      <c r="R2420" t="str">
        <f>HYPERLINK("https://cfpub.epa.gov/ecotox/explore.cfm?ncbi=444603","Explore in ECOTOX")</f>
        <v>Explore in ECOTOX</v>
      </c>
    </row>
    <row r="2421" spans="1:18" x14ac:dyDescent="0.45">
      <c r="A2421" t="s">
        <v>1266</v>
      </c>
      <c r="B2421">
        <v>8</v>
      </c>
      <c r="C2421" t="str">
        <f>HYPERLINK("http://www.ncbi.nlm.nih.gov/protein/QCQ29110.1","QCQ29110.1")</f>
        <v>QCQ29110.1</v>
      </c>
      <c r="D2421">
        <v>53818</v>
      </c>
      <c r="E2421" t="str">
        <f>HYPERLINK("http://www.ncbi.nlm.nih.gov/Taxonomy/Browser/wwwtax.cgi?mode=Info&amp;id=7108&amp;lvl=3&amp;lin=f&amp;keep=1&amp;srchmode=1&amp;unlock","7108")</f>
        <v>7108</v>
      </c>
      <c r="F2421" t="s">
        <v>760</v>
      </c>
      <c r="G2421" t="str">
        <f>HYPERLINK("http://www.ncbi.nlm.nih.gov/Taxonomy/Browser/wwwtax.cgi?mode=Info&amp;id=7108&amp;lvl=3&amp;lin=f&amp;keep=1&amp;srchmode=1&amp;unlock","Spodoptera frugiperda")</f>
        <v>Spodoptera frugiperda</v>
      </c>
      <c r="H2421" t="s">
        <v>859</v>
      </c>
      <c r="I2421" t="str">
        <f>HYPERLINK("http://www.ncbi.nlm.nih.gov/protein/QCQ29110.1","ryanodine receptor")</f>
        <v>ryanodine receptor</v>
      </c>
      <c r="J2421">
        <v>3115.09</v>
      </c>
      <c r="K2421" t="s">
        <v>19</v>
      </c>
      <c r="L2421">
        <v>1210</v>
      </c>
      <c r="M2421">
        <v>7.13</v>
      </c>
      <c r="N2421">
        <v>30.35</v>
      </c>
      <c r="O2421" t="s">
        <v>19</v>
      </c>
      <c r="P2421" t="s">
        <v>1267</v>
      </c>
      <c r="Q2421" t="s">
        <v>19</v>
      </c>
      <c r="R2421" t="str">
        <f>HYPERLINK("https://cfpub.epa.gov/ecotox/explore.cfm?ncbi=7108","Explore in ECOTOX")</f>
        <v>Explore in ECOTOX</v>
      </c>
    </row>
    <row r="2422" spans="1:18" x14ac:dyDescent="0.45">
      <c r="A2422" t="s">
        <v>1266</v>
      </c>
      <c r="B2422">
        <v>8</v>
      </c>
      <c r="C2422" t="str">
        <f>HYPERLINK("http://www.ncbi.nlm.nih.gov/protein/XP_013178493.1","XP_013178493.1")</f>
        <v>XP_013178493.1</v>
      </c>
      <c r="D2422">
        <v>37671</v>
      </c>
      <c r="E2422" t="str">
        <f>HYPERLINK("http://www.ncbi.nlm.nih.gov/Taxonomy/Browser/wwwtax.cgi?mode=Info&amp;id=66420&amp;lvl=3&amp;lin=f&amp;keep=1&amp;srchmode=1&amp;unlock","66420")</f>
        <v>66420</v>
      </c>
      <c r="F2422" t="s">
        <v>760</v>
      </c>
      <c r="G2422" t="str">
        <f>HYPERLINK("http://www.ncbi.nlm.nih.gov/Taxonomy/Browser/wwwtax.cgi?mode=Info&amp;id=66420&amp;lvl=3&amp;lin=f&amp;keep=1&amp;srchmode=1&amp;unlock","Papilio xuthus")</f>
        <v>Papilio xuthus</v>
      </c>
      <c r="H2422" t="s">
        <v>907</v>
      </c>
      <c r="I2422" t="str">
        <f>HYPERLINK("http://www.ncbi.nlm.nih.gov/protein/XP_013178493.1","PREDICTED: ryanodine receptor 44F isoform X1")</f>
        <v>PREDICTED: ryanodine receptor 44F isoform X1</v>
      </c>
      <c r="J2422">
        <v>3115.09</v>
      </c>
      <c r="K2422" t="s">
        <v>19</v>
      </c>
      <c r="L2422">
        <v>1210</v>
      </c>
      <c r="M2422">
        <v>7.13</v>
      </c>
      <c r="N2422">
        <v>30.35</v>
      </c>
      <c r="O2422" t="s">
        <v>19</v>
      </c>
      <c r="P2422" t="s">
        <v>1267</v>
      </c>
      <c r="Q2422" t="s">
        <v>19</v>
      </c>
      <c r="R2422" t="str">
        <f>HYPERLINK("https://cfpub.epa.gov/ecotox/explore.cfm?ncbi=66420","Explore in ECOTOX")</f>
        <v>Explore in ECOTOX</v>
      </c>
    </row>
    <row r="2423" spans="1:18" x14ac:dyDescent="0.45">
      <c r="A2423" t="s">
        <v>1266</v>
      </c>
      <c r="B2423">
        <v>8</v>
      </c>
      <c r="C2423" t="str">
        <f>HYPERLINK("http://www.ncbi.nlm.nih.gov/protein/KAG5899237.1","KAG5899237.1")</f>
        <v>KAG5899237.1</v>
      </c>
      <c r="D2423">
        <v>40594</v>
      </c>
      <c r="E2423" t="str">
        <f>HYPERLINK("http://www.ncbi.nlm.nih.gov/Taxonomy/Browser/wwwtax.cgi?mode=Info&amp;id=63699&amp;lvl=3&amp;lin=f&amp;keep=1&amp;srchmode=1&amp;unlock","63699")</f>
        <v>63699</v>
      </c>
      <c r="F2423" t="s">
        <v>760</v>
      </c>
      <c r="G2423" t="str">
        <f>HYPERLINK("http://www.ncbi.nlm.nih.gov/Taxonomy/Browser/wwwtax.cgi?mode=Info&amp;id=63699&amp;lvl=3&amp;lin=f&amp;keep=1&amp;srchmode=1&amp;unlock","Gonioctena quinquepunctata")</f>
        <v>Gonioctena quinquepunctata</v>
      </c>
      <c r="H2423" t="s">
        <v>876</v>
      </c>
      <c r="I2423" t="str">
        <f>HYPERLINK("http://www.ncbi.nlm.nih.gov/protein/KAG5899237.1","hypothetical protein JTB14_035422")</f>
        <v>hypothetical protein JTB14_035422</v>
      </c>
      <c r="J2423">
        <v>3115.09</v>
      </c>
      <c r="K2423" t="s">
        <v>19</v>
      </c>
      <c r="L2423">
        <v>1210</v>
      </c>
      <c r="M2423">
        <v>7.13</v>
      </c>
      <c r="N2423">
        <v>30.35</v>
      </c>
      <c r="O2423" t="s">
        <v>19</v>
      </c>
      <c r="P2423" t="s">
        <v>1267</v>
      </c>
      <c r="Q2423" t="s">
        <v>19</v>
      </c>
      <c r="R2423" t="str">
        <f>HYPERLINK("https://cfpub.epa.gov/ecotox/explore.cfm?ncbi=63699","Explore in ECOTOX")</f>
        <v>Explore in ECOTOX</v>
      </c>
    </row>
    <row r="2424" spans="1:18" x14ac:dyDescent="0.45">
      <c r="A2424" t="s">
        <v>1266</v>
      </c>
      <c r="B2424">
        <v>8</v>
      </c>
      <c r="C2424" t="str">
        <f>HYPERLINK("http://www.ncbi.nlm.nih.gov/protein/XP_050444131.1","XP_050444131.1")</f>
        <v>XP_050444131.1</v>
      </c>
      <c r="D2424">
        <v>25067</v>
      </c>
      <c r="E2424" t="str">
        <f>HYPERLINK("http://www.ncbi.nlm.nih.gov/Taxonomy/Browser/wwwtax.cgi?mode=Info&amp;id=133065&amp;lvl=3&amp;lin=f&amp;keep=1&amp;srchmode=1&amp;unlock","133065")</f>
        <v>133065</v>
      </c>
      <c r="F2424" t="s">
        <v>760</v>
      </c>
      <c r="G2424" t="str">
        <f>HYPERLINK("http://www.ncbi.nlm.nih.gov/Taxonomy/Browser/wwwtax.cgi?mode=Info&amp;id=133065&amp;lvl=3&amp;lin=f&amp;keep=1&amp;srchmode=1&amp;unlock","Adelges cooleyi")</f>
        <v>Adelges cooleyi</v>
      </c>
      <c r="H2424" t="s">
        <v>858</v>
      </c>
      <c r="I2424" t="str">
        <f>HYPERLINK("http://www.ncbi.nlm.nih.gov/protein/XP_050444131.1","ryanodine receptor")</f>
        <v>ryanodine receptor</v>
      </c>
      <c r="J2424">
        <v>3114.71</v>
      </c>
      <c r="K2424" t="s">
        <v>22</v>
      </c>
      <c r="L2424">
        <v>1210</v>
      </c>
      <c r="M2424">
        <v>7.13</v>
      </c>
      <c r="N2424">
        <v>30.35</v>
      </c>
      <c r="O2424" t="s">
        <v>19</v>
      </c>
      <c r="P2424" t="s">
        <v>1267</v>
      </c>
      <c r="Q2424" t="s">
        <v>19</v>
      </c>
      <c r="R2424" t="str">
        <f>HYPERLINK("https://cfpub.epa.gov/ecotox/explore.cfm?ncbi=133065","Explore in ECOTOX")</f>
        <v>Explore in ECOTOX</v>
      </c>
    </row>
    <row r="2425" spans="1:18" x14ac:dyDescent="0.45">
      <c r="A2425" t="s">
        <v>1266</v>
      </c>
      <c r="B2425">
        <v>8</v>
      </c>
      <c r="C2425" t="str">
        <f>HYPERLINK("http://www.ncbi.nlm.nih.gov/protein/AGH68757.1","AGH68757.1")</f>
        <v>AGH68757.1</v>
      </c>
      <c r="D2425">
        <v>24807</v>
      </c>
      <c r="E2425" t="str">
        <f>HYPERLINK("http://www.ncbi.nlm.nih.gov/Taxonomy/Browser/wwwtax.cgi?mode=Info&amp;id=93504&amp;lvl=3&amp;lin=f&amp;keep=1&amp;srchmode=1&amp;unlock","93504")</f>
        <v>93504</v>
      </c>
      <c r="F2425" t="s">
        <v>760</v>
      </c>
      <c r="G2425" t="str">
        <f>HYPERLINK("http://www.ncbi.nlm.nih.gov/Taxonomy/Browser/wwwtax.cgi?mode=Info&amp;id=93504&amp;lvl=3&amp;lin=f&amp;keep=1&amp;srchmode=1&amp;unlock","Ostrinia furnacalis")</f>
        <v>Ostrinia furnacalis</v>
      </c>
      <c r="H2425" t="s">
        <v>886</v>
      </c>
      <c r="I2425" t="str">
        <f>HYPERLINK("http://www.ncbi.nlm.nih.gov/protein/AGH68757.1","ryanodine receptor")</f>
        <v>ryanodine receptor</v>
      </c>
      <c r="J2425">
        <v>3114.71</v>
      </c>
      <c r="K2425" t="s">
        <v>19</v>
      </c>
      <c r="L2425">
        <v>1210</v>
      </c>
      <c r="M2425">
        <v>7.13</v>
      </c>
      <c r="N2425">
        <v>30.35</v>
      </c>
      <c r="O2425" t="s">
        <v>19</v>
      </c>
      <c r="P2425" t="s">
        <v>1267</v>
      </c>
      <c r="Q2425" t="s">
        <v>19</v>
      </c>
      <c r="R2425" t="str">
        <f>HYPERLINK("https://cfpub.epa.gov/ecotox/explore.cfm?ncbi=93504","Explore in ECOTOX")</f>
        <v>Explore in ECOTOX</v>
      </c>
    </row>
    <row r="2426" spans="1:18" x14ac:dyDescent="0.45">
      <c r="A2426" t="s">
        <v>1266</v>
      </c>
      <c r="B2426">
        <v>8</v>
      </c>
      <c r="C2426" t="str">
        <f>HYPERLINK("http://www.ncbi.nlm.nih.gov/protein/XP_058129519.1","XP_058129519.1")</f>
        <v>XP_058129519.1</v>
      </c>
      <c r="D2426">
        <v>15116</v>
      </c>
      <c r="E2426" t="str">
        <f>HYPERLINK("http://www.ncbi.nlm.nih.gov/Taxonomy/Browser/wwwtax.cgi?mode=Info&amp;id=139045&amp;lvl=3&amp;lin=f&amp;keep=1&amp;srchmode=1&amp;unlock","139045")</f>
        <v>139045</v>
      </c>
      <c r="F2426" t="s">
        <v>760</v>
      </c>
      <c r="G2426" t="str">
        <f>HYPERLINK("http://www.ncbi.nlm.nih.gov/Taxonomy/Browser/wwwtax.cgi?mode=Info&amp;id=139045&amp;lvl=3&amp;lin=f&amp;keep=1&amp;srchmode=1&amp;unlock","Anopheles coustani")</f>
        <v>Anopheles coustani</v>
      </c>
      <c r="H2426" t="s">
        <v>917</v>
      </c>
      <c r="I2426" t="str">
        <f>HYPERLINK("http://www.ncbi.nlm.nih.gov/protein/XP_058129519.1","ryanodine receptor isoform X3")</f>
        <v>ryanodine receptor isoform X3</v>
      </c>
      <c r="J2426">
        <v>3113.94</v>
      </c>
      <c r="K2426" t="s">
        <v>19</v>
      </c>
      <c r="L2426">
        <v>1210</v>
      </c>
      <c r="M2426">
        <v>7.13</v>
      </c>
      <c r="N2426">
        <v>30.34</v>
      </c>
      <c r="O2426" t="s">
        <v>19</v>
      </c>
      <c r="P2426" t="s">
        <v>1267</v>
      </c>
      <c r="Q2426" t="s">
        <v>19</v>
      </c>
      <c r="R2426" t="str">
        <f>HYPERLINK("https://cfpub.epa.gov/ecotox/explore.cfm?ncbi=139045","Explore in ECOTOX")</f>
        <v>Explore in ECOTOX</v>
      </c>
    </row>
    <row r="2427" spans="1:18" x14ac:dyDescent="0.45">
      <c r="A2427" t="s">
        <v>1266</v>
      </c>
      <c r="B2427">
        <v>8</v>
      </c>
      <c r="C2427" t="str">
        <f>HYPERLINK("http://www.ncbi.nlm.nih.gov/protein/APC65631.1","APC65631.1")</f>
        <v>APC65631.1</v>
      </c>
      <c r="D2427">
        <v>18279</v>
      </c>
      <c r="E2427" t="str">
        <f>HYPERLINK("http://www.ncbi.nlm.nih.gov/Taxonomy/Browser/wwwtax.cgi?mode=Info&amp;id=702717&amp;lvl=3&amp;lin=f&amp;keep=1&amp;srchmode=1&amp;unlock","702717")</f>
        <v>702717</v>
      </c>
      <c r="F2427" t="s">
        <v>760</v>
      </c>
      <c r="G2427" t="str">
        <f>HYPERLINK("http://www.ncbi.nlm.nih.gov/Taxonomy/Browser/wwwtax.cgi?mode=Info&amp;id=702717&amp;lvl=3&amp;lin=f&amp;keep=1&amp;srchmode=1&amp;unlock","Tuta absoluta")</f>
        <v>Tuta absoluta</v>
      </c>
      <c r="H2427" t="s">
        <v>903</v>
      </c>
      <c r="I2427" t="str">
        <f>HYPERLINK("http://www.ncbi.nlm.nih.gov/protein/APC65631.1","ryanodine receptor")</f>
        <v>ryanodine receptor</v>
      </c>
      <c r="J2427">
        <v>3113.55</v>
      </c>
      <c r="K2427" t="s">
        <v>19</v>
      </c>
      <c r="L2427">
        <v>1210</v>
      </c>
      <c r="M2427">
        <v>7.13</v>
      </c>
      <c r="N2427">
        <v>30.34</v>
      </c>
      <c r="O2427" t="s">
        <v>19</v>
      </c>
      <c r="P2427" t="s">
        <v>1267</v>
      </c>
      <c r="Q2427" t="s">
        <v>19</v>
      </c>
      <c r="R2427" t="str">
        <f>HYPERLINK("https://cfpub.epa.gov/ecotox/explore.cfm?ncbi=702717","Explore in ECOTOX")</f>
        <v>Explore in ECOTOX</v>
      </c>
    </row>
    <row r="2428" spans="1:18" x14ac:dyDescent="0.45">
      <c r="A2428" t="s">
        <v>1266</v>
      </c>
      <c r="B2428">
        <v>8</v>
      </c>
      <c r="C2428" t="str">
        <f>HYPERLINK("http://www.ncbi.nlm.nih.gov/protein/CAH1642165.1","CAH1642165.1")</f>
        <v>CAH1642165.1</v>
      </c>
      <c r="D2428">
        <v>26484</v>
      </c>
      <c r="E2428" t="str">
        <f>HYPERLINK("http://www.ncbi.nlm.nih.gov/Taxonomy/Browser/wwwtax.cgi?mode=Info&amp;id=7109&amp;lvl=3&amp;lin=f&amp;keep=1&amp;srchmode=1&amp;unlock","7109")</f>
        <v>7109</v>
      </c>
      <c r="F2428" t="s">
        <v>760</v>
      </c>
      <c r="G2428" t="str">
        <f>HYPERLINK("http://www.ncbi.nlm.nih.gov/Taxonomy/Browser/wwwtax.cgi?mode=Info&amp;id=7109&amp;lvl=3&amp;lin=f&amp;keep=1&amp;srchmode=1&amp;unlock","Spodoptera littoralis")</f>
        <v>Spodoptera littoralis</v>
      </c>
      <c r="H2428" t="s">
        <v>866</v>
      </c>
      <c r="I2428" t="str">
        <f>HYPERLINK("http://www.ncbi.nlm.nih.gov/protein/CAH1642165.1","unnamed protein product")</f>
        <v>unnamed protein product</v>
      </c>
      <c r="J2428">
        <v>3112.78</v>
      </c>
      <c r="K2428" t="s">
        <v>19</v>
      </c>
      <c r="L2428">
        <v>1210</v>
      </c>
      <c r="M2428">
        <v>7.13</v>
      </c>
      <c r="N2428">
        <v>30.33</v>
      </c>
      <c r="O2428" t="s">
        <v>19</v>
      </c>
      <c r="P2428" t="s">
        <v>1267</v>
      </c>
      <c r="Q2428" t="s">
        <v>19</v>
      </c>
      <c r="R2428" t="str">
        <f>HYPERLINK("https://cfpub.epa.gov/ecotox/explore.cfm?ncbi=7109","Explore in ECOTOX")</f>
        <v>Explore in ECOTOX</v>
      </c>
    </row>
    <row r="2429" spans="1:18" x14ac:dyDescent="0.45">
      <c r="A2429" t="s">
        <v>1266</v>
      </c>
      <c r="B2429">
        <v>8</v>
      </c>
      <c r="C2429" t="str">
        <f>HYPERLINK("http://www.ncbi.nlm.nih.gov/protein/XP_046974314.1","XP_046974314.1")</f>
        <v>XP_046974314.1</v>
      </c>
      <c r="D2429">
        <v>19970</v>
      </c>
      <c r="E2429" t="str">
        <f>HYPERLINK("http://www.ncbi.nlm.nih.gov/Taxonomy/Browser/wwwtax.cgi?mode=Info&amp;id=171605&amp;lvl=3&amp;lin=f&amp;keep=1&amp;srchmode=1&amp;unlock","171605")</f>
        <v>171605</v>
      </c>
      <c r="F2429" t="s">
        <v>760</v>
      </c>
      <c r="G2429" t="str">
        <f>HYPERLINK("http://www.ncbi.nlm.nih.gov/Taxonomy/Browser/wwwtax.cgi?mode=Info&amp;id=171605&amp;lvl=3&amp;lin=f&amp;keep=1&amp;srchmode=1&amp;unlock","Vanessa cardui")</f>
        <v>Vanessa cardui</v>
      </c>
      <c r="H2429" t="s">
        <v>868</v>
      </c>
      <c r="I2429" t="str">
        <f>HYPERLINK("http://www.ncbi.nlm.nih.gov/protein/XP_046974314.1","ryanodine receptor")</f>
        <v>ryanodine receptor</v>
      </c>
      <c r="J2429">
        <v>3112.78</v>
      </c>
      <c r="K2429" t="s">
        <v>19</v>
      </c>
      <c r="L2429">
        <v>1210</v>
      </c>
      <c r="M2429">
        <v>7.13</v>
      </c>
      <c r="N2429">
        <v>30.33</v>
      </c>
      <c r="O2429" t="s">
        <v>19</v>
      </c>
      <c r="P2429" t="s">
        <v>1267</v>
      </c>
      <c r="Q2429" t="s">
        <v>19</v>
      </c>
      <c r="R2429" t="str">
        <f>HYPERLINK("https://cfpub.epa.gov/ecotox/explore.cfm?ncbi=171605","Explore in ECOTOX")</f>
        <v>Explore in ECOTOX</v>
      </c>
    </row>
    <row r="2430" spans="1:18" x14ac:dyDescent="0.45">
      <c r="A2430" t="s">
        <v>1266</v>
      </c>
      <c r="B2430">
        <v>8</v>
      </c>
      <c r="C2430" t="str">
        <f>HYPERLINK("http://www.ncbi.nlm.nih.gov/protein/XP_059045907.1","XP_059045907.1")</f>
        <v>XP_059045907.1</v>
      </c>
      <c r="D2430">
        <v>18269</v>
      </c>
      <c r="E2430" t="str">
        <f>HYPERLINK("http://www.ncbi.nlm.nih.gov/Taxonomy/Browser/wwwtax.cgi?mode=Info&amp;id=688607&amp;lvl=3&amp;lin=f&amp;keep=1&amp;srchmode=1&amp;unlock","688607")</f>
        <v>688607</v>
      </c>
      <c r="F2430" t="s">
        <v>760</v>
      </c>
      <c r="G2430" t="str">
        <f>HYPERLINK("http://www.ncbi.nlm.nih.gov/Taxonomy/Browser/wwwtax.cgi?mode=Info&amp;id=688607&amp;lvl=3&amp;lin=f&amp;keep=1&amp;srchmode=1&amp;unlock","Achroia grisella")</f>
        <v>Achroia grisella</v>
      </c>
      <c r="H2430" t="s">
        <v>879</v>
      </c>
      <c r="I2430" t="str">
        <f>HYPERLINK("http://www.ncbi.nlm.nih.gov/protein/XP_059045907.1","ryanodine receptor")</f>
        <v>ryanodine receptor</v>
      </c>
      <c r="J2430">
        <v>3112.01</v>
      </c>
      <c r="K2430" t="s">
        <v>19</v>
      </c>
      <c r="L2430">
        <v>1210</v>
      </c>
      <c r="M2430">
        <v>7.13</v>
      </c>
      <c r="N2430">
        <v>30.32</v>
      </c>
      <c r="O2430" t="s">
        <v>19</v>
      </c>
      <c r="P2430" t="s">
        <v>1267</v>
      </c>
      <c r="Q2430" t="s">
        <v>19</v>
      </c>
      <c r="R2430" t="str">
        <f>HYPERLINK("https://cfpub.epa.gov/ecotox/explore.cfm?ncbi=688607","Explore in ECOTOX")</f>
        <v>Explore in ECOTOX</v>
      </c>
    </row>
    <row r="2431" spans="1:18" x14ac:dyDescent="0.45">
      <c r="A2431" t="s">
        <v>1266</v>
      </c>
      <c r="B2431">
        <v>8</v>
      </c>
      <c r="C2431" t="str">
        <f>HYPERLINK("http://www.ncbi.nlm.nih.gov/protein/XP_031764088.1","XP_031764088.1")</f>
        <v>XP_031764088.1</v>
      </c>
      <c r="D2431">
        <v>23842</v>
      </c>
      <c r="E2431" t="str">
        <f>HYPERLINK("http://www.ncbi.nlm.nih.gov/Taxonomy/Browser/wwwtax.cgi?mode=Info&amp;id=7137&amp;lvl=3&amp;lin=f&amp;keep=1&amp;srchmode=1&amp;unlock","7137")</f>
        <v>7137</v>
      </c>
      <c r="F2431" t="s">
        <v>760</v>
      </c>
      <c r="G2431" t="str">
        <f>HYPERLINK("http://www.ncbi.nlm.nih.gov/Taxonomy/Browser/wwwtax.cgi?mode=Info&amp;id=7137&amp;lvl=3&amp;lin=f&amp;keep=1&amp;srchmode=1&amp;unlock","Galleria mellonella")</f>
        <v>Galleria mellonella</v>
      </c>
      <c r="H2431" t="s">
        <v>803</v>
      </c>
      <c r="I2431" t="str">
        <f>HYPERLINK("http://www.ncbi.nlm.nih.gov/protein/XP_031764088.1","ryanodine receptor isoform X23")</f>
        <v>ryanodine receptor isoform X23</v>
      </c>
      <c r="J2431">
        <v>3111.63</v>
      </c>
      <c r="K2431" t="s">
        <v>19</v>
      </c>
      <c r="L2431">
        <v>1210</v>
      </c>
      <c r="M2431">
        <v>7.13</v>
      </c>
      <c r="N2431">
        <v>30.32</v>
      </c>
      <c r="O2431" t="s">
        <v>19</v>
      </c>
      <c r="P2431" t="s">
        <v>1267</v>
      </c>
      <c r="Q2431" t="s">
        <v>19</v>
      </c>
      <c r="R2431" t="str">
        <f>HYPERLINK("https://cfpub.epa.gov/ecotox/explore.cfm?ncbi=7137","Explore in ECOTOX")</f>
        <v>Explore in ECOTOX</v>
      </c>
    </row>
    <row r="2432" spans="1:18" x14ac:dyDescent="0.45">
      <c r="A2432" t="s">
        <v>1266</v>
      </c>
      <c r="B2432">
        <v>8</v>
      </c>
      <c r="C2432" t="str">
        <f>HYPERLINK("http://www.ncbi.nlm.nih.gov/protein/XP_049707623.1","XP_049707623.1")</f>
        <v>XP_049707623.1</v>
      </c>
      <c r="D2432">
        <v>47394</v>
      </c>
      <c r="E2432" t="str">
        <f>HYPERLINK("http://www.ncbi.nlm.nih.gov/Taxonomy/Browser/wwwtax.cgi?mode=Info&amp;id=29058&amp;lvl=3&amp;lin=f&amp;keep=1&amp;srchmode=1&amp;unlock","29058")</f>
        <v>29058</v>
      </c>
      <c r="F2432" t="s">
        <v>760</v>
      </c>
      <c r="G2432" t="str">
        <f>HYPERLINK("http://www.ncbi.nlm.nih.gov/Taxonomy/Browser/wwwtax.cgi?mode=Info&amp;id=29058&amp;lvl=3&amp;lin=f&amp;keep=1&amp;srchmode=1&amp;unlock","Helicoverpa armigera")</f>
        <v>Helicoverpa armigera</v>
      </c>
      <c r="H2432" t="s">
        <v>763</v>
      </c>
      <c r="I2432" t="str">
        <f>HYPERLINK("http://www.ncbi.nlm.nih.gov/protein/XP_049707623.1","ryanodine receptor isoform X36")</f>
        <v>ryanodine receptor isoform X36</v>
      </c>
      <c r="J2432">
        <v>3111.24</v>
      </c>
      <c r="K2432" t="s">
        <v>19</v>
      </c>
      <c r="L2432">
        <v>1210</v>
      </c>
      <c r="M2432">
        <v>7.13</v>
      </c>
      <c r="N2432">
        <v>30.32</v>
      </c>
      <c r="O2432" t="s">
        <v>19</v>
      </c>
      <c r="P2432" t="s">
        <v>1267</v>
      </c>
      <c r="Q2432" t="s">
        <v>19</v>
      </c>
      <c r="R2432" t="str">
        <f>HYPERLINK("https://cfpub.epa.gov/ecotox/explore.cfm?ncbi=29058","Explore in ECOTOX")</f>
        <v>Explore in ECOTOX</v>
      </c>
    </row>
    <row r="2433" spans="1:18" x14ac:dyDescent="0.45">
      <c r="A2433" t="s">
        <v>1266</v>
      </c>
      <c r="B2433">
        <v>8</v>
      </c>
      <c r="C2433" t="str">
        <f>HYPERLINK("http://www.ncbi.nlm.nih.gov/protein/XP_060808040.1","XP_060808040.1")</f>
        <v>XP_060808040.1</v>
      </c>
      <c r="D2433">
        <v>21222</v>
      </c>
      <c r="E2433" t="str">
        <f>HYPERLINK("http://www.ncbi.nlm.nih.gov/Taxonomy/Browser/wwwtax.cgi?mode=Info&amp;id=680683&amp;lvl=3&amp;lin=f&amp;keep=1&amp;srchmode=1&amp;unlock","680683")</f>
        <v>680683</v>
      </c>
      <c r="F2433" t="s">
        <v>760</v>
      </c>
      <c r="G2433" t="str">
        <f>HYPERLINK("http://www.ncbi.nlm.nih.gov/Taxonomy/Browser/wwwtax.cgi?mode=Info&amp;id=680683&amp;lvl=3&amp;lin=f&amp;keep=1&amp;srchmode=1&amp;unlock","Amyelois transitella")</f>
        <v>Amyelois transitella</v>
      </c>
      <c r="H2433" t="s">
        <v>879</v>
      </c>
      <c r="I2433" t="str">
        <f>HYPERLINK("http://www.ncbi.nlm.nih.gov/protein/XP_060808040.1","ryanodine receptor isoform X3")</f>
        <v>ryanodine receptor isoform X3</v>
      </c>
      <c r="J2433">
        <v>3111.24</v>
      </c>
      <c r="K2433" t="s">
        <v>19</v>
      </c>
      <c r="L2433">
        <v>1210</v>
      </c>
      <c r="M2433">
        <v>7.13</v>
      </c>
      <c r="N2433">
        <v>30.32</v>
      </c>
      <c r="O2433" t="s">
        <v>19</v>
      </c>
      <c r="P2433" t="s">
        <v>1267</v>
      </c>
      <c r="Q2433" t="s">
        <v>19</v>
      </c>
      <c r="R2433" t="str">
        <f>HYPERLINK("https://cfpub.epa.gov/ecotox/explore.cfm?ncbi=680683","Explore in ECOTOX")</f>
        <v>Explore in ECOTOX</v>
      </c>
    </row>
    <row r="2434" spans="1:18" x14ac:dyDescent="0.45">
      <c r="A2434" t="s">
        <v>1266</v>
      </c>
      <c r="B2434">
        <v>8</v>
      </c>
      <c r="C2434" t="str">
        <f>HYPERLINK("http://www.ncbi.nlm.nih.gov/protein/XP_047541192.1","XP_047541192.1")</f>
        <v>XP_047541192.1</v>
      </c>
      <c r="D2434">
        <v>20161</v>
      </c>
      <c r="E2434" t="str">
        <f>HYPERLINK("http://www.ncbi.nlm.nih.gov/Taxonomy/Browser/wwwtax.cgi?mode=Info&amp;id=42275&amp;lvl=3&amp;lin=f&amp;keep=1&amp;srchmode=1&amp;unlock","42275")</f>
        <v>42275</v>
      </c>
      <c r="F2434" t="s">
        <v>760</v>
      </c>
      <c r="G2434" t="str">
        <f>HYPERLINK("http://www.ncbi.nlm.nih.gov/Taxonomy/Browser/wwwtax.cgi?mode=Info&amp;id=42275&amp;lvl=3&amp;lin=f&amp;keep=1&amp;srchmode=1&amp;unlock","Vanessa atalanta")</f>
        <v>Vanessa atalanta</v>
      </c>
      <c r="H2434" t="s">
        <v>864</v>
      </c>
      <c r="I2434" t="str">
        <f>HYPERLINK("http://www.ncbi.nlm.nih.gov/protein/XP_047541192.1","ryanodine receptor isoform X11")</f>
        <v>ryanodine receptor isoform X11</v>
      </c>
      <c r="J2434">
        <v>3111.24</v>
      </c>
      <c r="K2434" t="s">
        <v>19</v>
      </c>
      <c r="L2434">
        <v>1210</v>
      </c>
      <c r="M2434">
        <v>7.13</v>
      </c>
      <c r="N2434">
        <v>30.32</v>
      </c>
      <c r="O2434" t="s">
        <v>19</v>
      </c>
      <c r="P2434" t="s">
        <v>1267</v>
      </c>
      <c r="Q2434" t="s">
        <v>19</v>
      </c>
      <c r="R2434" t="str">
        <f>HYPERLINK("https://cfpub.epa.gov/ecotox/explore.cfm?ncbi=42275","Explore in ECOTOX")</f>
        <v>Explore in ECOTOX</v>
      </c>
    </row>
    <row r="2435" spans="1:18" x14ac:dyDescent="0.45">
      <c r="A2435" t="s">
        <v>1266</v>
      </c>
      <c r="B2435">
        <v>8</v>
      </c>
      <c r="C2435" t="str">
        <f>HYPERLINK("http://www.ncbi.nlm.nih.gov/protein/XP_052743055.1","XP_052743055.1")</f>
        <v>XP_052743055.1</v>
      </c>
      <c r="D2435">
        <v>22148</v>
      </c>
      <c r="E2435" t="str">
        <f>HYPERLINK("http://www.ncbi.nlm.nih.gov/Taxonomy/Browser/wwwtax.cgi?mode=Info&amp;id=110368&amp;lvl=3&amp;lin=f&amp;keep=1&amp;srchmode=1&amp;unlock","110368")</f>
        <v>110368</v>
      </c>
      <c r="F2435" t="s">
        <v>760</v>
      </c>
      <c r="G2435" t="str">
        <f>HYPERLINK("http://www.ncbi.nlm.nih.gov/Taxonomy/Browser/wwwtax.cgi?mode=Info&amp;id=110368&amp;lvl=3&amp;lin=f&amp;keep=1&amp;srchmode=1&amp;unlock","Bicyclus anynana")</f>
        <v>Bicyclus anynana</v>
      </c>
      <c r="H2435" t="s">
        <v>767</v>
      </c>
      <c r="I2435" t="str">
        <f>HYPERLINK("http://www.ncbi.nlm.nih.gov/protein/XP_052743055.1","ryanodine receptor isoform X7")</f>
        <v>ryanodine receptor isoform X7</v>
      </c>
      <c r="J2435">
        <v>3110.86</v>
      </c>
      <c r="K2435" t="s">
        <v>19</v>
      </c>
      <c r="L2435">
        <v>1210</v>
      </c>
      <c r="M2435">
        <v>7.13</v>
      </c>
      <c r="N2435">
        <v>30.31</v>
      </c>
      <c r="O2435" t="s">
        <v>19</v>
      </c>
      <c r="P2435" t="s">
        <v>1267</v>
      </c>
      <c r="Q2435" t="s">
        <v>19</v>
      </c>
      <c r="R2435" t="str">
        <f>HYPERLINK("https://cfpub.epa.gov/ecotox/explore.cfm?ncbi=110368","Explore in ECOTOX")</f>
        <v>Explore in ECOTOX</v>
      </c>
    </row>
    <row r="2436" spans="1:18" x14ac:dyDescent="0.45">
      <c r="A2436" t="s">
        <v>1266</v>
      </c>
      <c r="B2436">
        <v>8</v>
      </c>
      <c r="C2436" t="str">
        <f>HYPERLINK("http://www.ncbi.nlm.nih.gov/protein/XP_026484127.1","XP_026484127.1")</f>
        <v>XP_026484127.1</v>
      </c>
      <c r="D2436">
        <v>18776</v>
      </c>
      <c r="E2436" t="str">
        <f>HYPERLINK("http://www.ncbi.nlm.nih.gov/Taxonomy/Browser/wwwtax.cgi?mode=Info&amp;id=334116&amp;lvl=3&amp;lin=f&amp;keep=1&amp;srchmode=1&amp;unlock","334116")</f>
        <v>334116</v>
      </c>
      <c r="F2436" t="s">
        <v>760</v>
      </c>
      <c r="G2436" t="str">
        <f>HYPERLINK("http://www.ncbi.nlm.nih.gov/Taxonomy/Browser/wwwtax.cgi?mode=Info&amp;id=334116&amp;lvl=3&amp;lin=f&amp;keep=1&amp;srchmode=1&amp;unlock","Vanessa tameamea")</f>
        <v>Vanessa tameamea</v>
      </c>
      <c r="H2436" t="s">
        <v>874</v>
      </c>
      <c r="I2436" t="str">
        <f>HYPERLINK("http://www.ncbi.nlm.nih.gov/protein/XP_026484127.1","ryanodine receptor isoform X36")</f>
        <v>ryanodine receptor isoform X36</v>
      </c>
      <c r="J2436">
        <v>3110.86</v>
      </c>
      <c r="K2436" t="s">
        <v>19</v>
      </c>
      <c r="L2436">
        <v>1210</v>
      </c>
      <c r="M2436">
        <v>7.13</v>
      </c>
      <c r="N2436">
        <v>30.31</v>
      </c>
      <c r="O2436" t="s">
        <v>19</v>
      </c>
      <c r="P2436" t="s">
        <v>1267</v>
      </c>
      <c r="Q2436" t="s">
        <v>19</v>
      </c>
      <c r="R2436" t="str">
        <f>HYPERLINK("https://cfpub.epa.gov/ecotox/explore.cfm?ncbi=334116","Explore in ECOTOX")</f>
        <v>Explore in ECOTOX</v>
      </c>
    </row>
    <row r="2437" spans="1:18" x14ac:dyDescent="0.45">
      <c r="A2437" t="s">
        <v>1266</v>
      </c>
      <c r="B2437">
        <v>8</v>
      </c>
      <c r="C2437" t="str">
        <f>HYPERLINK("http://www.ncbi.nlm.nih.gov/protein/XP_050357856.1","XP_050357856.1")</f>
        <v>XP_050357856.1</v>
      </c>
      <c r="D2437">
        <v>21491</v>
      </c>
      <c r="E2437" t="str">
        <f>HYPERLINK("http://www.ncbi.nlm.nih.gov/Taxonomy/Browser/wwwtax.cgi?mode=Info&amp;id=171585&amp;lvl=3&amp;lin=f&amp;keep=1&amp;srchmode=1&amp;unlock","171585")</f>
        <v>171585</v>
      </c>
      <c r="F2437" t="s">
        <v>760</v>
      </c>
      <c r="G2437" t="str">
        <f>HYPERLINK("http://www.ncbi.nlm.nih.gov/Taxonomy/Browser/wwwtax.cgi?mode=Info&amp;id=171585&amp;lvl=3&amp;lin=f&amp;keep=1&amp;srchmode=1&amp;unlock","Nymphalis io")</f>
        <v>Nymphalis io</v>
      </c>
      <c r="H2437" t="s">
        <v>875</v>
      </c>
      <c r="I2437" t="str">
        <f>HYPERLINK("http://www.ncbi.nlm.nih.gov/protein/XP_050357856.1","ryanodine receptor isoform X3")</f>
        <v>ryanodine receptor isoform X3</v>
      </c>
      <c r="J2437">
        <v>3110.47</v>
      </c>
      <c r="K2437" t="s">
        <v>19</v>
      </c>
      <c r="L2437">
        <v>1210</v>
      </c>
      <c r="M2437">
        <v>7.13</v>
      </c>
      <c r="N2437">
        <v>30.31</v>
      </c>
      <c r="O2437" t="s">
        <v>19</v>
      </c>
      <c r="P2437" t="s">
        <v>1267</v>
      </c>
      <c r="Q2437" t="s">
        <v>19</v>
      </c>
      <c r="R2437" t="str">
        <f>HYPERLINK("https://cfpub.epa.gov/ecotox/explore.cfm?ncbi=171585","Explore in ECOTOX")</f>
        <v>Explore in ECOTOX</v>
      </c>
    </row>
    <row r="2438" spans="1:18" x14ac:dyDescent="0.45">
      <c r="A2438" t="s">
        <v>1266</v>
      </c>
      <c r="B2438">
        <v>8</v>
      </c>
      <c r="C2438" t="str">
        <f>HYPERLINK("http://www.ncbi.nlm.nih.gov/protein/XP_061381021.1","XP_061381021.1")</f>
        <v>XP_061381021.1</v>
      </c>
      <c r="D2438">
        <v>21701</v>
      </c>
      <c r="E2438" t="str">
        <f>HYPERLINK("http://www.ncbi.nlm.nih.gov/Taxonomy/Browser/wwwtax.cgi?mode=Info&amp;id=13037&amp;lvl=3&amp;lin=f&amp;keep=1&amp;srchmode=1&amp;unlock","13037")</f>
        <v>13037</v>
      </c>
      <c r="F2438" t="s">
        <v>760</v>
      </c>
      <c r="G2438" t="str">
        <f>HYPERLINK("http://www.ncbi.nlm.nih.gov/Taxonomy/Browser/wwwtax.cgi?mode=Info&amp;id=13037&amp;lvl=3&amp;lin=f&amp;keep=1&amp;srchmode=1&amp;unlock","Danaus plexippus")</f>
        <v>Danaus plexippus</v>
      </c>
      <c r="H2438" t="s">
        <v>892</v>
      </c>
      <c r="I2438" t="str">
        <f>HYPERLINK("http://www.ncbi.nlm.nih.gov/protein/XP_061381021.1","ryanodine receptor isoform X8")</f>
        <v>ryanodine receptor isoform X8</v>
      </c>
      <c r="J2438">
        <v>3110.09</v>
      </c>
      <c r="K2438" t="s">
        <v>19</v>
      </c>
      <c r="L2438">
        <v>1210</v>
      </c>
      <c r="M2438">
        <v>7.13</v>
      </c>
      <c r="N2438">
        <v>30.3</v>
      </c>
      <c r="O2438" t="s">
        <v>19</v>
      </c>
      <c r="P2438" t="s">
        <v>1267</v>
      </c>
      <c r="Q2438" t="s">
        <v>19</v>
      </c>
      <c r="R2438" t="str">
        <f>HYPERLINK("https://cfpub.epa.gov/ecotox/explore.cfm?ncbi=13037","Explore in ECOTOX")</f>
        <v>Explore in ECOTOX</v>
      </c>
    </row>
    <row r="2439" spans="1:18" x14ac:dyDescent="0.45">
      <c r="A2439" t="s">
        <v>1266</v>
      </c>
      <c r="B2439">
        <v>8</v>
      </c>
      <c r="C2439" t="str">
        <f>HYPERLINK("http://www.ncbi.nlm.nih.gov/protein/XP_050531213.1","XP_050531213.1")</f>
        <v>XP_050531213.1</v>
      </c>
      <c r="D2439">
        <v>29825</v>
      </c>
      <c r="E2439" t="str">
        <f>HYPERLINK("http://www.ncbi.nlm.nih.gov/Taxonomy/Browser/wwwtax.cgi?mode=Info&amp;id=58002&amp;lvl=3&amp;lin=f&amp;keep=1&amp;srchmode=1&amp;unlock","58002")</f>
        <v>58002</v>
      </c>
      <c r="F2439" t="s">
        <v>760</v>
      </c>
      <c r="G2439" t="str">
        <f>HYPERLINK("http://www.ncbi.nlm.nih.gov/Taxonomy/Browser/wwwtax.cgi?mode=Info&amp;id=58002&amp;lvl=3&amp;lin=f&amp;keep=1&amp;srchmode=1&amp;unlock","Daktulosphaira vitifoliae")</f>
        <v>Daktulosphaira vitifoliae</v>
      </c>
      <c r="H2439" t="s">
        <v>856</v>
      </c>
      <c r="I2439" t="str">
        <f>HYPERLINK("http://www.ncbi.nlm.nih.gov/protein/XP_050531213.1","ryanodine receptor isoform X1")</f>
        <v>ryanodine receptor isoform X1</v>
      </c>
      <c r="J2439">
        <v>3109.32</v>
      </c>
      <c r="K2439" t="s">
        <v>19</v>
      </c>
      <c r="L2439">
        <v>1210</v>
      </c>
      <c r="M2439">
        <v>7.13</v>
      </c>
      <c r="N2439">
        <v>30.3</v>
      </c>
      <c r="O2439" t="s">
        <v>19</v>
      </c>
      <c r="P2439" t="s">
        <v>1267</v>
      </c>
      <c r="Q2439" t="s">
        <v>19</v>
      </c>
      <c r="R2439" t="str">
        <f>HYPERLINK("https://cfpub.epa.gov/ecotox/explore.cfm?ncbi=58002","Explore in ECOTOX")</f>
        <v>Explore in ECOTOX</v>
      </c>
    </row>
    <row r="2440" spans="1:18" x14ac:dyDescent="0.45">
      <c r="A2440" t="s">
        <v>1266</v>
      </c>
      <c r="B2440">
        <v>8</v>
      </c>
      <c r="C2440" t="str">
        <f>HYPERLINK("http://www.ncbi.nlm.nih.gov/protein/CAH1366395.1","CAH1366395.1")</f>
        <v>CAH1366395.1</v>
      </c>
      <c r="D2440">
        <v>58483</v>
      </c>
      <c r="E2440" t="str">
        <f>HYPERLINK("http://www.ncbi.nlm.nih.gov/Taxonomy/Browser/wwwtax.cgi?mode=Info&amp;id=7067&amp;lvl=3&amp;lin=f&amp;keep=1&amp;srchmode=1&amp;unlock","7067")</f>
        <v>7067</v>
      </c>
      <c r="F2440" t="s">
        <v>760</v>
      </c>
      <c r="G2440" t="str">
        <f>HYPERLINK("http://www.ncbi.nlm.nih.gov/Taxonomy/Browser/wwwtax.cgi?mode=Info&amp;id=7067&amp;lvl=3&amp;lin=f&amp;keep=1&amp;srchmode=1&amp;unlock","Tenebrio molitor")</f>
        <v>Tenebrio molitor</v>
      </c>
      <c r="H2440" t="s">
        <v>902</v>
      </c>
      <c r="I2440" t="str">
        <f>HYPERLINK("http://www.ncbi.nlm.nih.gov/protein/CAH1366395.1","unnamed protein product")</f>
        <v>unnamed protein product</v>
      </c>
      <c r="J2440">
        <v>3109.32</v>
      </c>
      <c r="K2440" t="s">
        <v>19</v>
      </c>
      <c r="L2440">
        <v>1210</v>
      </c>
      <c r="M2440">
        <v>7.13</v>
      </c>
      <c r="N2440">
        <v>30.3</v>
      </c>
      <c r="O2440" t="s">
        <v>19</v>
      </c>
      <c r="P2440" t="s">
        <v>1267</v>
      </c>
      <c r="Q2440" t="s">
        <v>19</v>
      </c>
      <c r="R2440" t="str">
        <f>HYPERLINK("https://cfpub.epa.gov/ecotox/explore.cfm?ncbi=7067","Explore in ECOTOX")</f>
        <v>Explore in ECOTOX</v>
      </c>
    </row>
    <row r="2441" spans="1:18" x14ac:dyDescent="0.45">
      <c r="A2441" t="s">
        <v>1266</v>
      </c>
      <c r="B2441">
        <v>8</v>
      </c>
      <c r="C2441" t="str">
        <f>HYPERLINK("http://www.ncbi.nlm.nih.gov/protein/XP_038217154.1","XP_038217154.1")</f>
        <v>XP_038217154.1</v>
      </c>
      <c r="D2441">
        <v>17837</v>
      </c>
      <c r="E2441" t="str">
        <f>HYPERLINK("http://www.ncbi.nlm.nih.gov/Taxonomy/Browser/wwwtax.cgi?mode=Info&amp;id=33412&amp;lvl=3&amp;lin=f&amp;keep=1&amp;srchmode=1&amp;unlock","33412")</f>
        <v>33412</v>
      </c>
      <c r="F2441" t="s">
        <v>760</v>
      </c>
      <c r="G2441" t="str">
        <f>HYPERLINK("http://www.ncbi.nlm.nih.gov/Taxonomy/Browser/wwwtax.cgi?mode=Info&amp;id=33412&amp;lvl=3&amp;lin=f&amp;keep=1&amp;srchmode=1&amp;unlock","Zerene cesonia")</f>
        <v>Zerene cesonia</v>
      </c>
      <c r="H2441" t="s">
        <v>890</v>
      </c>
      <c r="I2441" t="str">
        <f>HYPERLINK("http://www.ncbi.nlm.nih.gov/protein/XP_038217154.1","ryanodine receptor isoform X19")</f>
        <v>ryanodine receptor isoform X19</v>
      </c>
      <c r="J2441">
        <v>3108.55</v>
      </c>
      <c r="K2441" t="s">
        <v>19</v>
      </c>
      <c r="L2441">
        <v>1210</v>
      </c>
      <c r="M2441">
        <v>7.13</v>
      </c>
      <c r="N2441">
        <v>30.29</v>
      </c>
      <c r="O2441" t="s">
        <v>19</v>
      </c>
      <c r="P2441" t="s">
        <v>1267</v>
      </c>
      <c r="Q2441" t="s">
        <v>19</v>
      </c>
      <c r="R2441" t="str">
        <f>HYPERLINK("https://cfpub.epa.gov/ecotox/explore.cfm?ncbi=33412","Explore in ECOTOX")</f>
        <v>Explore in ECOTOX</v>
      </c>
    </row>
    <row r="2442" spans="1:18" x14ac:dyDescent="0.45">
      <c r="A2442" t="s">
        <v>1266</v>
      </c>
      <c r="B2442">
        <v>8</v>
      </c>
      <c r="C2442" t="str">
        <f>HYPERLINK("http://www.ncbi.nlm.nih.gov/protein/XP_021370589.1","XP_021370589.1")</f>
        <v>XP_021370589.1</v>
      </c>
      <c r="D2442">
        <v>64389</v>
      </c>
      <c r="E2442" t="str">
        <f>HYPERLINK("http://www.ncbi.nlm.nih.gov/Taxonomy/Browser/wwwtax.cgi?mode=Info&amp;id=6573&amp;lvl=3&amp;lin=f&amp;keep=1&amp;srchmode=1&amp;unlock","6573")</f>
        <v>6573</v>
      </c>
      <c r="F2442" t="s">
        <v>833</v>
      </c>
      <c r="G2442" t="str">
        <f>HYPERLINK("http://www.ncbi.nlm.nih.gov/Taxonomy/Browser/wwwtax.cgi?mode=Info&amp;id=6573&amp;lvl=3&amp;lin=f&amp;keep=1&amp;srchmode=1&amp;unlock","Mizuhopecten yessoensis")</f>
        <v>Mizuhopecten yessoensis</v>
      </c>
      <c r="H2442" t="s">
        <v>960</v>
      </c>
      <c r="I2442" t="str">
        <f>HYPERLINK("http://www.ncbi.nlm.nih.gov/protein/XP_021370589.1","ryanodine receptor 2-like")</f>
        <v>ryanodine receptor 2-like</v>
      </c>
      <c r="J2442">
        <v>3108.16</v>
      </c>
      <c r="K2442" t="s">
        <v>19</v>
      </c>
      <c r="L2442">
        <v>1210</v>
      </c>
      <c r="M2442">
        <v>7.13</v>
      </c>
      <c r="N2442">
        <v>30.29</v>
      </c>
      <c r="O2442" t="s">
        <v>19</v>
      </c>
      <c r="P2442" t="s">
        <v>1267</v>
      </c>
      <c r="Q2442" t="s">
        <v>19</v>
      </c>
      <c r="R2442" t="str">
        <f>HYPERLINK("https://cfpub.epa.gov/ecotox/explore.cfm?ncbi=6573","Explore in ECOTOX")</f>
        <v>Explore in ECOTOX</v>
      </c>
    </row>
    <row r="2443" spans="1:18" x14ac:dyDescent="0.45">
      <c r="A2443" t="s">
        <v>1266</v>
      </c>
      <c r="B2443">
        <v>8</v>
      </c>
      <c r="C2443" t="str">
        <f>HYPERLINK("http://www.ncbi.nlm.nih.gov/protein/XP_050679269.1","XP_050679269.1")</f>
        <v>XP_050679269.1</v>
      </c>
      <c r="D2443">
        <v>42365</v>
      </c>
      <c r="E2443" t="str">
        <f>HYPERLINK("http://www.ncbi.nlm.nih.gov/Taxonomy/Browser/wwwtax.cgi?mode=Info&amp;id=189913&amp;lvl=3&amp;lin=f&amp;keep=1&amp;srchmode=1&amp;unlock","189913")</f>
        <v>189913</v>
      </c>
      <c r="F2443" t="s">
        <v>760</v>
      </c>
      <c r="G2443" t="str">
        <f>HYPERLINK("http://www.ncbi.nlm.nih.gov/Taxonomy/Browser/wwwtax.cgi?mode=Info&amp;id=189913&amp;lvl=3&amp;lin=f&amp;keep=1&amp;srchmode=1&amp;unlock","Leptidea sinapis")</f>
        <v>Leptidea sinapis</v>
      </c>
      <c r="H2443" t="s">
        <v>869</v>
      </c>
      <c r="I2443" t="str">
        <f>HYPERLINK("http://www.ncbi.nlm.nih.gov/protein/XP_050679269.1","ryanodine receptor isoform X3")</f>
        <v>ryanodine receptor isoform X3</v>
      </c>
      <c r="J2443">
        <v>3107.78</v>
      </c>
      <c r="K2443" t="s">
        <v>19</v>
      </c>
      <c r="L2443">
        <v>1210</v>
      </c>
      <c r="M2443">
        <v>7.13</v>
      </c>
      <c r="N2443">
        <v>30.28</v>
      </c>
      <c r="O2443" t="s">
        <v>19</v>
      </c>
      <c r="P2443" t="s">
        <v>1267</v>
      </c>
      <c r="Q2443" t="s">
        <v>19</v>
      </c>
      <c r="R2443" t="str">
        <f>HYPERLINK("https://cfpub.epa.gov/ecotox/explore.cfm?ncbi=189913","Explore in ECOTOX")</f>
        <v>Explore in ECOTOX</v>
      </c>
    </row>
    <row r="2444" spans="1:18" x14ac:dyDescent="0.45">
      <c r="A2444" t="s">
        <v>1266</v>
      </c>
      <c r="B2444">
        <v>8</v>
      </c>
      <c r="C2444" t="str">
        <f>HYPERLINK("http://www.ncbi.nlm.nih.gov/protein/XP_047037537.1","XP_047037537.1")</f>
        <v>XP_047037537.1</v>
      </c>
      <c r="D2444">
        <v>24038</v>
      </c>
      <c r="E2444" t="str">
        <f>HYPERLINK("http://www.ncbi.nlm.nih.gov/Taxonomy/Browser/wwwtax.cgi?mode=Info&amp;id=7113&amp;lvl=3&amp;lin=f&amp;keep=1&amp;srchmode=1&amp;unlock","7113")</f>
        <v>7113</v>
      </c>
      <c r="F2444" t="s">
        <v>760</v>
      </c>
      <c r="G2444" t="str">
        <f>HYPERLINK("http://www.ncbi.nlm.nih.gov/Taxonomy/Browser/wwwtax.cgi?mode=Info&amp;id=7113&amp;lvl=3&amp;lin=f&amp;keep=1&amp;srchmode=1&amp;unlock","Helicoverpa zea")</f>
        <v>Helicoverpa zea</v>
      </c>
      <c r="H2444" t="s">
        <v>762</v>
      </c>
      <c r="I2444" t="str">
        <f>HYPERLINK("http://www.ncbi.nlm.nih.gov/protein/XP_047037537.1","ryanodine receptor isoform X11")</f>
        <v>ryanodine receptor isoform X11</v>
      </c>
      <c r="J2444">
        <v>3107.39</v>
      </c>
      <c r="K2444" t="s">
        <v>19</v>
      </c>
      <c r="L2444">
        <v>1210</v>
      </c>
      <c r="M2444">
        <v>7.13</v>
      </c>
      <c r="N2444">
        <v>30.28</v>
      </c>
      <c r="O2444" t="s">
        <v>19</v>
      </c>
      <c r="P2444" t="s">
        <v>1267</v>
      </c>
      <c r="Q2444" t="s">
        <v>19</v>
      </c>
      <c r="R2444" t="str">
        <f>HYPERLINK("https://cfpub.epa.gov/ecotox/explore.cfm?ncbi=7113","Explore in ECOTOX")</f>
        <v>Explore in ECOTOX</v>
      </c>
    </row>
    <row r="2445" spans="1:18" x14ac:dyDescent="0.45">
      <c r="A2445" t="s">
        <v>1266</v>
      </c>
      <c r="B2445">
        <v>8</v>
      </c>
      <c r="C2445" t="str">
        <f>HYPERLINK("http://www.ncbi.nlm.nih.gov/protein/AKP49172.1","AKP49172.1")</f>
        <v>AKP49172.1</v>
      </c>
      <c r="D2445">
        <v>306</v>
      </c>
      <c r="E2445" t="str">
        <f>HYPERLINK("http://www.ncbi.nlm.nih.gov/Taxonomy/Browser/wwwtax.cgi?mode=Info&amp;id=252295&amp;lvl=3&amp;lin=f&amp;keep=1&amp;srchmode=1&amp;unlock","252295")</f>
        <v>252295</v>
      </c>
      <c r="F2445" t="s">
        <v>760</v>
      </c>
      <c r="G2445" t="str">
        <f>HYPERLINK("http://www.ncbi.nlm.nih.gov/Taxonomy/Browser/wwwtax.cgi?mode=Info&amp;id=252295&amp;lvl=3&amp;lin=f&amp;keep=1&amp;srchmode=1&amp;unlock","Carposina sasakii")</f>
        <v>Carposina sasakii</v>
      </c>
      <c r="H2445" t="s">
        <v>961</v>
      </c>
      <c r="I2445" t="str">
        <f>HYPERLINK("http://www.ncbi.nlm.nih.gov/protein/AKP49172.1","ryanodine receptor")</f>
        <v>ryanodine receptor</v>
      </c>
      <c r="J2445">
        <v>3107.39</v>
      </c>
      <c r="K2445" t="s">
        <v>19</v>
      </c>
      <c r="L2445">
        <v>1210</v>
      </c>
      <c r="M2445">
        <v>7.13</v>
      </c>
      <c r="N2445">
        <v>30.28</v>
      </c>
      <c r="O2445" t="s">
        <v>19</v>
      </c>
      <c r="P2445" t="s">
        <v>1267</v>
      </c>
      <c r="Q2445" t="s">
        <v>19</v>
      </c>
      <c r="R2445" t="str">
        <f>HYPERLINK("https://cfpub.epa.gov/ecotox/explore.cfm?ncbi=252295","Explore in ECOTOX")</f>
        <v>Explore in ECOTOX</v>
      </c>
    </row>
    <row r="2446" spans="1:18" x14ac:dyDescent="0.45">
      <c r="A2446" t="s">
        <v>1266</v>
      </c>
      <c r="B2446">
        <v>8</v>
      </c>
      <c r="C2446" t="str">
        <f>HYPERLINK("http://www.ncbi.nlm.nih.gov/protein/XP_035793574.1","XP_035793574.1")</f>
        <v>XP_035793574.1</v>
      </c>
      <c r="D2446">
        <v>24185</v>
      </c>
      <c r="E2446" t="str">
        <f>HYPERLINK("http://www.ncbi.nlm.nih.gov/Taxonomy/Browser/wwwtax.cgi?mode=Info&amp;id=7167&amp;lvl=3&amp;lin=f&amp;keep=1&amp;srchmode=1&amp;unlock","7167")</f>
        <v>7167</v>
      </c>
      <c r="F2446" t="s">
        <v>760</v>
      </c>
      <c r="G2446" t="str">
        <f>HYPERLINK("http://www.ncbi.nlm.nih.gov/Taxonomy/Browser/wwwtax.cgi?mode=Info&amp;id=7167&amp;lvl=3&amp;lin=f&amp;keep=1&amp;srchmode=1&amp;unlock","Anopheles albimanus")</f>
        <v>Anopheles albimanus</v>
      </c>
      <c r="H2446" t="s">
        <v>917</v>
      </c>
      <c r="I2446" t="str">
        <f>HYPERLINK("http://www.ncbi.nlm.nih.gov/protein/XP_035793574.1","ryanodine receptor-like isoform X14")</f>
        <v>ryanodine receptor-like isoform X14</v>
      </c>
      <c r="J2446">
        <v>3107.39</v>
      </c>
      <c r="K2446" t="s">
        <v>19</v>
      </c>
      <c r="L2446">
        <v>1210</v>
      </c>
      <c r="M2446">
        <v>7.13</v>
      </c>
      <c r="N2446">
        <v>30.28</v>
      </c>
      <c r="O2446" t="s">
        <v>19</v>
      </c>
      <c r="P2446" t="s">
        <v>1267</v>
      </c>
      <c r="Q2446" t="s">
        <v>19</v>
      </c>
      <c r="R2446" t="str">
        <f>HYPERLINK("https://cfpub.epa.gov/ecotox/explore.cfm?ncbi=7167","Explore in ECOTOX")</f>
        <v>Explore in ECOTOX</v>
      </c>
    </row>
    <row r="2447" spans="1:18" x14ac:dyDescent="0.45">
      <c r="A2447" t="s">
        <v>1266</v>
      </c>
      <c r="B2447">
        <v>8</v>
      </c>
      <c r="C2447" t="str">
        <f>HYPERLINK("http://www.ncbi.nlm.nih.gov/protein/CAH4037533.1","CAH4037533.1")</f>
        <v>CAH4037533.1</v>
      </c>
      <c r="D2447">
        <v>38704</v>
      </c>
      <c r="E2447" t="str">
        <f>HYPERLINK("http://www.ncbi.nlm.nih.gov/Taxonomy/Browser/wwwtax.cgi?mode=Info&amp;id=7116&amp;lvl=3&amp;lin=f&amp;keep=1&amp;srchmode=1&amp;unlock","7116")</f>
        <v>7116</v>
      </c>
      <c r="F2447" t="s">
        <v>760</v>
      </c>
      <c r="G2447" t="str">
        <f>HYPERLINK("http://www.ncbi.nlm.nih.gov/Taxonomy/Browser/wwwtax.cgi?mode=Info&amp;id=7116&amp;lvl=3&amp;lin=f&amp;keep=1&amp;srchmode=1&amp;unlock","Pieris brassicae")</f>
        <v>Pieris brassicae</v>
      </c>
      <c r="H2447" t="s">
        <v>873</v>
      </c>
      <c r="I2447" t="str">
        <f>HYPERLINK("http://www.ncbi.nlm.nih.gov/protein/CAH4037533.1","unnamed protein product")</f>
        <v>unnamed protein product</v>
      </c>
      <c r="J2447">
        <v>3107.39</v>
      </c>
      <c r="K2447" t="s">
        <v>19</v>
      </c>
      <c r="L2447">
        <v>1210</v>
      </c>
      <c r="M2447">
        <v>7.13</v>
      </c>
      <c r="N2447">
        <v>30.28</v>
      </c>
      <c r="O2447" t="s">
        <v>19</v>
      </c>
      <c r="P2447" t="s">
        <v>1267</v>
      </c>
      <c r="Q2447" t="s">
        <v>19</v>
      </c>
      <c r="R2447" t="str">
        <f>HYPERLINK("https://cfpub.epa.gov/ecotox/explore.cfm?ncbi=7116","Explore in ECOTOX")</f>
        <v>Explore in ECOTOX</v>
      </c>
    </row>
    <row r="2448" spans="1:18" x14ac:dyDescent="0.45">
      <c r="A2448" t="s">
        <v>1266</v>
      </c>
      <c r="B2448">
        <v>8</v>
      </c>
      <c r="C2448" t="str">
        <f>HYPERLINK("http://www.ncbi.nlm.nih.gov/protein/XP_058173847.1","XP_058173847.1")</f>
        <v>XP_058173847.1</v>
      </c>
      <c r="D2448">
        <v>12920</v>
      </c>
      <c r="E2448" t="str">
        <f>HYPERLINK("http://www.ncbi.nlm.nih.gov/Taxonomy/Browser/wwwtax.cgi?mode=Info&amp;id=345580&amp;lvl=3&amp;lin=f&amp;keep=1&amp;srchmode=1&amp;unlock","345580")</f>
        <v>345580</v>
      </c>
      <c r="F2448" t="s">
        <v>760</v>
      </c>
      <c r="G2448" t="str">
        <f>HYPERLINK("http://www.ncbi.nlm.nih.gov/Taxonomy/Browser/wwwtax.cgi?mode=Info&amp;id=345580&amp;lvl=3&amp;lin=f&amp;keep=1&amp;srchmode=1&amp;unlock","Anopheles ziemanni")</f>
        <v>Anopheles ziemanni</v>
      </c>
      <c r="H2448" t="s">
        <v>917</v>
      </c>
      <c r="I2448" t="str">
        <f>HYPERLINK("http://www.ncbi.nlm.nih.gov/protein/XP_058173847.1","ryanodine receptor")</f>
        <v>ryanodine receptor</v>
      </c>
      <c r="J2448">
        <v>3106.62</v>
      </c>
      <c r="K2448" t="s">
        <v>19</v>
      </c>
      <c r="L2448">
        <v>1210</v>
      </c>
      <c r="M2448">
        <v>7.13</v>
      </c>
      <c r="N2448">
        <v>30.27</v>
      </c>
      <c r="O2448" t="s">
        <v>19</v>
      </c>
      <c r="P2448" t="s">
        <v>1267</v>
      </c>
      <c r="Q2448" t="s">
        <v>19</v>
      </c>
      <c r="R2448" t="str">
        <f>HYPERLINK("https://cfpub.epa.gov/ecotox/explore.cfm?ncbi=345580","Explore in ECOTOX")</f>
        <v>Explore in ECOTOX</v>
      </c>
    </row>
    <row r="2449" spans="1:18" x14ac:dyDescent="0.45">
      <c r="A2449" t="s">
        <v>1266</v>
      </c>
      <c r="B2449">
        <v>8</v>
      </c>
      <c r="C2449" t="str">
        <f>HYPERLINK("http://www.ncbi.nlm.nih.gov/protein/XP_058055052.1","XP_058055052.1")</f>
        <v>XP_058055052.1</v>
      </c>
      <c r="D2449">
        <v>14272</v>
      </c>
      <c r="E2449" t="str">
        <f>HYPERLINK("http://www.ncbi.nlm.nih.gov/Taxonomy/Browser/wwwtax.cgi?mode=Info&amp;id=139047&amp;lvl=3&amp;lin=f&amp;keep=1&amp;srchmode=1&amp;unlock","139047")</f>
        <v>139047</v>
      </c>
      <c r="F2449" t="s">
        <v>760</v>
      </c>
      <c r="G2449" t="str">
        <f>HYPERLINK("http://www.ncbi.nlm.nih.gov/Taxonomy/Browser/wwwtax.cgi?mode=Info&amp;id=139047&amp;lvl=3&amp;lin=f&amp;keep=1&amp;srchmode=1&amp;unlock","Anopheles bellator")</f>
        <v>Anopheles bellator</v>
      </c>
      <c r="H2449" t="s">
        <v>917</v>
      </c>
      <c r="I2449" t="str">
        <f>HYPERLINK("http://www.ncbi.nlm.nih.gov/protein/XP_058055052.1","ryanodine receptor isoform X2")</f>
        <v>ryanodine receptor isoform X2</v>
      </c>
      <c r="J2449">
        <v>3106.24</v>
      </c>
      <c r="K2449" t="s">
        <v>19</v>
      </c>
      <c r="L2449">
        <v>1210</v>
      </c>
      <c r="M2449">
        <v>7.13</v>
      </c>
      <c r="N2449">
        <v>30.27</v>
      </c>
      <c r="O2449" t="s">
        <v>19</v>
      </c>
      <c r="P2449" t="s">
        <v>1267</v>
      </c>
      <c r="Q2449" t="s">
        <v>19</v>
      </c>
      <c r="R2449" t="str">
        <f>HYPERLINK("https://cfpub.epa.gov/ecotox/explore.cfm?ncbi=139047","Explore in ECOTOX")</f>
        <v>Explore in ECOTOX</v>
      </c>
    </row>
    <row r="2450" spans="1:18" x14ac:dyDescent="0.45">
      <c r="A2450" t="s">
        <v>1266</v>
      </c>
      <c r="B2450">
        <v>8</v>
      </c>
      <c r="C2450" t="str">
        <f>HYPERLINK("http://www.ncbi.nlm.nih.gov/protein/AFC36359.1","AFC36359.1")</f>
        <v>AFC36359.1</v>
      </c>
      <c r="D2450">
        <v>48286</v>
      </c>
      <c r="E2450" t="str">
        <f>HYPERLINK("http://www.ncbi.nlm.nih.gov/Taxonomy/Browser/wwwtax.cgi?mode=Info&amp;id=7107&amp;lvl=3&amp;lin=f&amp;keep=1&amp;srchmode=1&amp;unlock","7107")</f>
        <v>7107</v>
      </c>
      <c r="F2450" t="s">
        <v>760</v>
      </c>
      <c r="G2450" t="str">
        <f>HYPERLINK("http://www.ncbi.nlm.nih.gov/Taxonomy/Browser/wwwtax.cgi?mode=Info&amp;id=7107&amp;lvl=3&amp;lin=f&amp;keep=1&amp;srchmode=1&amp;unlock","Spodoptera exigua")</f>
        <v>Spodoptera exigua</v>
      </c>
      <c r="H2450" t="s">
        <v>861</v>
      </c>
      <c r="I2450" t="str">
        <f>HYPERLINK("http://www.ncbi.nlm.nih.gov/protein/AFC36359.1","ryanodien receptor")</f>
        <v>ryanodien receptor</v>
      </c>
      <c r="J2450">
        <v>3106.24</v>
      </c>
      <c r="K2450" t="s">
        <v>19</v>
      </c>
      <c r="L2450">
        <v>1210</v>
      </c>
      <c r="M2450">
        <v>7.13</v>
      </c>
      <c r="N2450">
        <v>30.27</v>
      </c>
      <c r="O2450" t="s">
        <v>19</v>
      </c>
      <c r="P2450" t="s">
        <v>1267</v>
      </c>
      <c r="Q2450" t="s">
        <v>19</v>
      </c>
      <c r="R2450" t="str">
        <f>HYPERLINK("https://cfpub.epa.gov/ecotox/explore.cfm?ncbi=7107","Explore in ECOTOX")</f>
        <v>Explore in ECOTOX</v>
      </c>
    </row>
    <row r="2451" spans="1:18" x14ac:dyDescent="0.45">
      <c r="A2451" t="s">
        <v>1266</v>
      </c>
      <c r="B2451">
        <v>8</v>
      </c>
      <c r="C2451" t="str">
        <f>HYPERLINK("http://www.ncbi.nlm.nih.gov/protein/XP_045485476.1","XP_045485476.1")</f>
        <v>XP_045485476.1</v>
      </c>
      <c r="D2451">
        <v>21694</v>
      </c>
      <c r="E2451" t="str">
        <f>HYPERLINK("http://www.ncbi.nlm.nih.gov/Taxonomy/Browser/wwwtax.cgi?mode=Info&amp;id=64459&amp;lvl=3&amp;lin=f&amp;keep=1&amp;srchmode=1&amp;unlock","64459")</f>
        <v>64459</v>
      </c>
      <c r="F2451" t="s">
        <v>760</v>
      </c>
      <c r="G2451" t="str">
        <f>HYPERLINK("http://www.ncbi.nlm.nih.gov/Taxonomy/Browser/wwwtax.cgi?mode=Info&amp;id=64459&amp;lvl=3&amp;lin=f&amp;keep=1&amp;srchmode=1&amp;unlock","Pieris rapae")</f>
        <v>Pieris rapae</v>
      </c>
      <c r="H2451" t="s">
        <v>882</v>
      </c>
      <c r="I2451" t="str">
        <f>HYPERLINK("http://www.ncbi.nlm.nih.gov/protein/XP_045485476.1","ryanodine receptor isoform X5")</f>
        <v>ryanodine receptor isoform X5</v>
      </c>
      <c r="J2451">
        <v>3105.85</v>
      </c>
      <c r="K2451" t="s">
        <v>19</v>
      </c>
      <c r="L2451">
        <v>1210</v>
      </c>
      <c r="M2451">
        <v>7.13</v>
      </c>
      <c r="N2451">
        <v>30.26</v>
      </c>
      <c r="O2451" t="s">
        <v>19</v>
      </c>
      <c r="P2451" t="s">
        <v>1267</v>
      </c>
      <c r="Q2451" t="s">
        <v>19</v>
      </c>
      <c r="R2451" t="str">
        <f>HYPERLINK("https://cfpub.epa.gov/ecotox/explore.cfm?ncbi=64459","Explore in ECOTOX")</f>
        <v>Explore in ECOTOX</v>
      </c>
    </row>
    <row r="2452" spans="1:18" x14ac:dyDescent="0.45">
      <c r="A2452" t="s">
        <v>1266</v>
      </c>
      <c r="B2452">
        <v>8</v>
      </c>
      <c r="C2452" t="str">
        <f>HYPERLINK("http://www.ncbi.nlm.nih.gov/protein/XP_012544770.2","XP_012544770.2")</f>
        <v>XP_012544770.2</v>
      </c>
      <c r="D2452">
        <v>33461</v>
      </c>
      <c r="E2452" t="str">
        <f>HYPERLINK("http://www.ncbi.nlm.nih.gov/Taxonomy/Browser/wwwtax.cgi?mode=Info&amp;id=7091&amp;lvl=3&amp;lin=f&amp;keep=1&amp;srchmode=1&amp;unlock","7091")</f>
        <v>7091</v>
      </c>
      <c r="F2452" t="s">
        <v>760</v>
      </c>
      <c r="G2452" t="str">
        <f>HYPERLINK("http://www.ncbi.nlm.nih.gov/Taxonomy/Browser/wwwtax.cgi?mode=Info&amp;id=7091&amp;lvl=3&amp;lin=f&amp;keep=1&amp;srchmode=1&amp;unlock","Bombyx mori")</f>
        <v>Bombyx mori</v>
      </c>
      <c r="H2452" t="s">
        <v>880</v>
      </c>
      <c r="I2452" t="str">
        <f>HYPERLINK("http://www.ncbi.nlm.nih.gov/protein/XP_012544770.2","ryanodine receptor isoform X17")</f>
        <v>ryanodine receptor isoform X17</v>
      </c>
      <c r="J2452">
        <v>3105.08</v>
      </c>
      <c r="K2452" t="s">
        <v>19</v>
      </c>
      <c r="L2452">
        <v>1210</v>
      </c>
      <c r="M2452">
        <v>7.13</v>
      </c>
      <c r="N2452">
        <v>30.26</v>
      </c>
      <c r="O2452" t="s">
        <v>19</v>
      </c>
      <c r="P2452" t="s">
        <v>1267</v>
      </c>
      <c r="Q2452" t="s">
        <v>19</v>
      </c>
      <c r="R2452" t="str">
        <f>HYPERLINK("https://cfpub.epa.gov/ecotox/explore.cfm?ncbi=7091","Explore in ECOTOX")</f>
        <v>Explore in ECOTOX</v>
      </c>
    </row>
    <row r="2453" spans="1:18" x14ac:dyDescent="0.45">
      <c r="A2453" t="s">
        <v>1266</v>
      </c>
      <c r="B2453">
        <v>8</v>
      </c>
      <c r="C2453" t="str">
        <f>HYPERLINK("http://www.ncbi.nlm.nih.gov/protein/XP_026743410.1","XP_026743410.1")</f>
        <v>XP_026743410.1</v>
      </c>
      <c r="D2453">
        <v>24166</v>
      </c>
      <c r="E2453" t="str">
        <f>HYPERLINK("http://www.ncbi.nlm.nih.gov/Taxonomy/Browser/wwwtax.cgi?mode=Info&amp;id=7111&amp;lvl=3&amp;lin=f&amp;keep=1&amp;srchmode=1&amp;unlock","7111")</f>
        <v>7111</v>
      </c>
      <c r="F2453" t="s">
        <v>760</v>
      </c>
      <c r="G2453" t="str">
        <f>HYPERLINK("http://www.ncbi.nlm.nih.gov/Taxonomy/Browser/wwwtax.cgi?mode=Info&amp;id=7111&amp;lvl=3&amp;lin=f&amp;keep=1&amp;srchmode=1&amp;unlock","Trichoplusia ni")</f>
        <v>Trichoplusia ni</v>
      </c>
      <c r="H2453" t="s">
        <v>888</v>
      </c>
      <c r="I2453" t="str">
        <f>HYPERLINK("http://www.ncbi.nlm.nih.gov/protein/XP_026743410.1","LOW QUALITY PROTEIN: ryanodine receptor")</f>
        <v>LOW QUALITY PROTEIN: ryanodine receptor</v>
      </c>
      <c r="J2453">
        <v>3104.69</v>
      </c>
      <c r="K2453" t="s">
        <v>19</v>
      </c>
      <c r="L2453">
        <v>1210</v>
      </c>
      <c r="M2453">
        <v>7.13</v>
      </c>
      <c r="N2453">
        <v>30.25</v>
      </c>
      <c r="O2453" t="s">
        <v>19</v>
      </c>
      <c r="P2453" t="s">
        <v>1267</v>
      </c>
      <c r="Q2453" t="s">
        <v>19</v>
      </c>
      <c r="R2453" t="str">
        <f>HYPERLINK("https://cfpub.epa.gov/ecotox/explore.cfm?ncbi=7111","Explore in ECOTOX")</f>
        <v>Explore in ECOTOX</v>
      </c>
    </row>
    <row r="2454" spans="1:18" x14ac:dyDescent="0.45">
      <c r="A2454" t="s">
        <v>1266</v>
      </c>
      <c r="B2454">
        <v>8</v>
      </c>
      <c r="C2454" t="str">
        <f>HYPERLINK("http://www.ncbi.nlm.nih.gov/protein/CAH7756754.1","CAH7756754.1")</f>
        <v>CAH7756754.1</v>
      </c>
      <c r="D2454">
        <v>56145</v>
      </c>
      <c r="E2454" t="str">
        <f>HYPERLINK("http://www.ncbi.nlm.nih.gov/Taxonomy/Browser/wwwtax.cgi?mode=Info&amp;id=146774&amp;lvl=3&amp;lin=f&amp;keep=1&amp;srchmode=1&amp;unlock","146774")</f>
        <v>146774</v>
      </c>
      <c r="F2454" t="s">
        <v>760</v>
      </c>
      <c r="G2454" t="str">
        <f>HYPERLINK("http://www.ncbi.nlm.nih.gov/Taxonomy/Browser/wwwtax.cgi?mode=Info&amp;id=146774&amp;lvl=3&amp;lin=f&amp;keep=1&amp;srchmode=1&amp;unlock","Callosobruchus chinensis")</f>
        <v>Callosobruchus chinensis</v>
      </c>
      <c r="H2454" t="s">
        <v>912</v>
      </c>
      <c r="I2454" t="str">
        <f>HYPERLINK("http://www.ncbi.nlm.nih.gov/protein/CAH7756754.1","unnamed protein product")</f>
        <v>unnamed protein product</v>
      </c>
      <c r="J2454">
        <v>3103.15</v>
      </c>
      <c r="K2454" t="s">
        <v>19</v>
      </c>
      <c r="L2454">
        <v>1210</v>
      </c>
      <c r="M2454">
        <v>7.13</v>
      </c>
      <c r="N2454">
        <v>30.24</v>
      </c>
      <c r="O2454" t="s">
        <v>19</v>
      </c>
      <c r="P2454" t="s">
        <v>1267</v>
      </c>
      <c r="Q2454" t="s">
        <v>19</v>
      </c>
      <c r="R2454" t="str">
        <f>HYPERLINK("https://cfpub.epa.gov/ecotox/explore.cfm?ncbi=146774","Explore in ECOTOX")</f>
        <v>Explore in ECOTOX</v>
      </c>
    </row>
    <row r="2455" spans="1:18" x14ac:dyDescent="0.45">
      <c r="A2455" t="s">
        <v>1266</v>
      </c>
      <c r="B2455">
        <v>8</v>
      </c>
      <c r="C2455" t="str">
        <f>HYPERLINK("http://www.ncbi.nlm.nih.gov/protein/XP_047509555.1","XP_047509555.1")</f>
        <v>XP_047509555.1</v>
      </c>
      <c r="D2455">
        <v>23830</v>
      </c>
      <c r="E2455" t="str">
        <f>HYPERLINK("http://www.ncbi.nlm.nih.gov/Taxonomy/Browser/wwwtax.cgi?mode=Info&amp;id=78633&amp;lvl=3&amp;lin=f&amp;keep=1&amp;srchmode=1&amp;unlock","78633")</f>
        <v>78633</v>
      </c>
      <c r="F2455" t="s">
        <v>760</v>
      </c>
      <c r="G2455" t="str">
        <f>HYPERLINK("http://www.ncbi.nlm.nih.gov/Taxonomy/Browser/wwwtax.cgi?mode=Info&amp;id=78633&amp;lvl=3&amp;lin=f&amp;keep=1&amp;srchmode=1&amp;unlock","Pieris napi")</f>
        <v>Pieris napi</v>
      </c>
      <c r="H2455" t="s">
        <v>891</v>
      </c>
      <c r="I2455" t="str">
        <f>HYPERLINK("http://www.ncbi.nlm.nih.gov/protein/XP_047509555.1","ryanodine receptor isoform X1")</f>
        <v>ryanodine receptor isoform X1</v>
      </c>
      <c r="J2455">
        <v>3103.15</v>
      </c>
      <c r="K2455" t="s">
        <v>19</v>
      </c>
      <c r="L2455">
        <v>1210</v>
      </c>
      <c r="M2455">
        <v>7.13</v>
      </c>
      <c r="N2455">
        <v>30.24</v>
      </c>
      <c r="O2455" t="s">
        <v>19</v>
      </c>
      <c r="P2455" t="s">
        <v>1267</v>
      </c>
      <c r="Q2455" t="s">
        <v>19</v>
      </c>
      <c r="R2455" t="str">
        <f>HYPERLINK("https://cfpub.epa.gov/ecotox/explore.cfm?ncbi=78633","Explore in ECOTOX")</f>
        <v>Explore in ECOTOX</v>
      </c>
    </row>
    <row r="2456" spans="1:18" x14ac:dyDescent="0.45">
      <c r="A2456" t="s">
        <v>1266</v>
      </c>
      <c r="B2456">
        <v>8</v>
      </c>
      <c r="C2456" t="str">
        <f>HYPERLINK("http://www.ncbi.nlm.nih.gov/protein/KAJ8708052.1","KAJ8708052.1")</f>
        <v>KAJ8708052.1</v>
      </c>
      <c r="D2456">
        <v>16982</v>
      </c>
      <c r="E2456" t="str">
        <f>HYPERLINK("http://www.ncbi.nlm.nih.gov/Taxonomy/Browser/wwwtax.cgi?mode=Info&amp;id=667449&amp;lvl=3&amp;lin=f&amp;keep=1&amp;srchmode=1&amp;unlock","667449")</f>
        <v>667449</v>
      </c>
      <c r="F2456" t="s">
        <v>760</v>
      </c>
      <c r="G2456" t="str">
        <f>HYPERLINK("http://www.ncbi.nlm.nih.gov/Taxonomy/Browser/wwwtax.cgi?mode=Info&amp;id=667449&amp;lvl=3&amp;lin=f&amp;keep=1&amp;srchmode=1&amp;unlock","Mythimna loreyi")</f>
        <v>Mythimna loreyi</v>
      </c>
      <c r="H2456" t="s">
        <v>883</v>
      </c>
      <c r="I2456" t="str">
        <f>HYPERLINK("http://www.ncbi.nlm.nih.gov/protein/KAJ8708052.1","hypothetical protein PYW08_010418")</f>
        <v>hypothetical protein PYW08_010418</v>
      </c>
      <c r="J2456">
        <v>3102.38</v>
      </c>
      <c r="K2456" t="s">
        <v>19</v>
      </c>
      <c r="L2456">
        <v>1210</v>
      </c>
      <c r="M2456">
        <v>7.13</v>
      </c>
      <c r="N2456">
        <v>30.23</v>
      </c>
      <c r="O2456" t="s">
        <v>19</v>
      </c>
      <c r="P2456" t="s">
        <v>1267</v>
      </c>
      <c r="Q2456" t="s">
        <v>19</v>
      </c>
      <c r="R2456" t="str">
        <f>HYPERLINK("https://cfpub.epa.gov/ecotox/explore.cfm?ncbi=667449","Explore in ECOTOX")</f>
        <v>Explore in ECOTOX</v>
      </c>
    </row>
    <row r="2457" spans="1:18" x14ac:dyDescent="0.45">
      <c r="A2457" t="s">
        <v>1266</v>
      </c>
      <c r="B2457">
        <v>8</v>
      </c>
      <c r="C2457" t="str">
        <f>HYPERLINK("http://www.ncbi.nlm.nih.gov/protein/XP_035212318.1","XP_035212318.1")</f>
        <v>XP_035212318.1</v>
      </c>
      <c r="D2457">
        <v>29860</v>
      </c>
      <c r="E2457" t="str">
        <f>HYPERLINK("http://www.ncbi.nlm.nih.gov/Taxonomy/Browser/wwwtax.cgi?mode=Info&amp;id=202533&amp;lvl=3&amp;lin=f&amp;keep=1&amp;srchmode=1&amp;unlock","202533")</f>
        <v>202533</v>
      </c>
      <c r="F2457" t="s">
        <v>904</v>
      </c>
      <c r="G2457" t="str">
        <f>HYPERLINK("http://www.ncbi.nlm.nih.gov/Taxonomy/Browser/wwwtax.cgi?mode=Info&amp;id=202533&amp;lvl=3&amp;lin=f&amp;keep=1&amp;srchmode=1&amp;unlock","Stegodyphus dumicola")</f>
        <v>Stegodyphus dumicola</v>
      </c>
      <c r="H2457" t="s">
        <v>905</v>
      </c>
      <c r="I2457" t="str">
        <f>HYPERLINK("http://www.ncbi.nlm.nih.gov/protein/XP_035212318.1","ryanodine receptor-like isoform X2")</f>
        <v>ryanodine receptor-like isoform X2</v>
      </c>
      <c r="J2457">
        <v>3102</v>
      </c>
      <c r="K2457" t="s">
        <v>19</v>
      </c>
      <c r="L2457">
        <v>1210</v>
      </c>
      <c r="M2457">
        <v>7.13</v>
      </c>
      <c r="N2457">
        <v>30.23</v>
      </c>
      <c r="O2457" t="s">
        <v>19</v>
      </c>
      <c r="P2457" t="s">
        <v>1267</v>
      </c>
      <c r="Q2457" t="s">
        <v>19</v>
      </c>
      <c r="R2457" t="str">
        <f>HYPERLINK("https://cfpub.epa.gov/ecotox/explore.cfm?ncbi=202533","Explore in ECOTOX")</f>
        <v>Explore in ECOTOX</v>
      </c>
    </row>
    <row r="2458" spans="1:18" x14ac:dyDescent="0.45">
      <c r="A2458" t="s">
        <v>1266</v>
      </c>
      <c r="B2458">
        <v>8</v>
      </c>
      <c r="C2458" t="str">
        <f>HYPERLINK("http://www.ncbi.nlm.nih.gov/protein/XP_028040409.1","XP_028040409.1")</f>
        <v>XP_028040409.1</v>
      </c>
      <c r="D2458">
        <v>20036</v>
      </c>
      <c r="E2458" t="str">
        <f>HYPERLINK("http://www.ncbi.nlm.nih.gov/Taxonomy/Browser/wwwtax.cgi?mode=Info&amp;id=7092&amp;lvl=3&amp;lin=f&amp;keep=1&amp;srchmode=1&amp;unlock","7092")</f>
        <v>7092</v>
      </c>
      <c r="F2458" t="s">
        <v>760</v>
      </c>
      <c r="G2458" t="str">
        <f>HYPERLINK("http://www.ncbi.nlm.nih.gov/Taxonomy/Browser/wwwtax.cgi?mode=Info&amp;id=7092&amp;lvl=3&amp;lin=f&amp;keep=1&amp;srchmode=1&amp;unlock","Bombyx mandarina")</f>
        <v>Bombyx mandarina</v>
      </c>
      <c r="H2458" t="s">
        <v>878</v>
      </c>
      <c r="I2458" t="str">
        <f>HYPERLINK("http://www.ncbi.nlm.nih.gov/protein/XP_028040409.1","ryanodine receptor isoform X6")</f>
        <v>ryanodine receptor isoform X6</v>
      </c>
      <c r="J2458">
        <v>3101.23</v>
      </c>
      <c r="K2458" t="s">
        <v>19</v>
      </c>
      <c r="L2458">
        <v>1210</v>
      </c>
      <c r="M2458">
        <v>7.13</v>
      </c>
      <c r="N2458">
        <v>30.22</v>
      </c>
      <c r="O2458" t="s">
        <v>19</v>
      </c>
      <c r="P2458" t="s">
        <v>1267</v>
      </c>
      <c r="Q2458" t="s">
        <v>19</v>
      </c>
      <c r="R2458" t="str">
        <f>HYPERLINK("https://cfpub.epa.gov/ecotox/explore.cfm?ncbi=7092","Explore in ECOTOX")</f>
        <v>Explore in ECOTOX</v>
      </c>
    </row>
    <row r="2459" spans="1:18" x14ac:dyDescent="0.45">
      <c r="A2459" t="s">
        <v>1266</v>
      </c>
      <c r="B2459">
        <v>8</v>
      </c>
      <c r="C2459" t="str">
        <f>HYPERLINK("http://www.ncbi.nlm.nih.gov/protein/XP_040236881.2","XP_040236881.2")</f>
        <v>XP_040236881.2</v>
      </c>
      <c r="D2459">
        <v>25690</v>
      </c>
      <c r="E2459" t="str">
        <f>HYPERLINK("http://www.ncbi.nlm.nih.gov/Taxonomy/Browser/wwwtax.cgi?mode=Info&amp;id=1518534&amp;lvl=3&amp;lin=f&amp;keep=1&amp;srchmode=1&amp;unlock","1518534")</f>
        <v>1518534</v>
      </c>
      <c r="F2459" t="s">
        <v>760</v>
      </c>
      <c r="G2459" t="str">
        <f>HYPERLINK("http://www.ncbi.nlm.nih.gov/Taxonomy/Browser/wwwtax.cgi?mode=Info&amp;id=1518534&amp;lvl=3&amp;lin=f&amp;keep=1&amp;srchmode=1&amp;unlock","Anopheles coluzzii")</f>
        <v>Anopheles coluzzii</v>
      </c>
      <c r="H2459" t="s">
        <v>917</v>
      </c>
      <c r="I2459" t="str">
        <f>HYPERLINK("http://www.ncbi.nlm.nih.gov/protein/XP_040236881.2","ryanodine receptor isoform X7")</f>
        <v>ryanodine receptor isoform X7</v>
      </c>
      <c r="J2459">
        <v>3100.84</v>
      </c>
      <c r="K2459" t="s">
        <v>19</v>
      </c>
      <c r="L2459">
        <v>1210</v>
      </c>
      <c r="M2459">
        <v>7.13</v>
      </c>
      <c r="N2459">
        <v>30.21</v>
      </c>
      <c r="O2459" t="s">
        <v>19</v>
      </c>
      <c r="P2459" t="s">
        <v>1267</v>
      </c>
      <c r="Q2459" t="s">
        <v>19</v>
      </c>
      <c r="R2459" t="str">
        <f>HYPERLINK("https://cfpub.epa.gov/ecotox/explore.cfm?ncbi=1518534","Explore in ECOTOX")</f>
        <v>Explore in ECOTOX</v>
      </c>
    </row>
    <row r="2460" spans="1:18" x14ac:dyDescent="0.45">
      <c r="A2460" t="s">
        <v>1266</v>
      </c>
      <c r="B2460">
        <v>8</v>
      </c>
      <c r="C2460" t="str">
        <f>HYPERLINK("http://www.ncbi.nlm.nih.gov/protein/EAA13701.4","EAA13701.4")</f>
        <v>EAA13701.4</v>
      </c>
      <c r="D2460">
        <v>21058</v>
      </c>
      <c r="E2460" t="str">
        <f>HYPERLINK("http://www.ncbi.nlm.nih.gov/Taxonomy/Browser/wwwtax.cgi?mode=Info&amp;id=180454&amp;lvl=3&amp;lin=f&amp;keep=1&amp;srchmode=1&amp;unlock","180454")</f>
        <v>180454</v>
      </c>
      <c r="F2460" t="s">
        <v>760</v>
      </c>
      <c r="G2460" t="str">
        <f>HYPERLINK("http://www.ncbi.nlm.nih.gov/Taxonomy/Browser/wwwtax.cgi?mode=Info&amp;id=180454&amp;lvl=3&amp;lin=f&amp;keep=1&amp;srchmode=1&amp;unlock","Anopheles gambiae str. PEST")</f>
        <v>Anopheles gambiae str. PEST</v>
      </c>
      <c r="H2460" t="s">
        <v>940</v>
      </c>
      <c r="I2460" t="str">
        <f>HYPERLINK("http://www.ncbi.nlm.nih.gov/protein/EAA13701.4","AGAP010750-PA")</f>
        <v>AGAP010750-PA</v>
      </c>
      <c r="J2460">
        <v>3100.84</v>
      </c>
      <c r="K2460" t="s">
        <v>19</v>
      </c>
      <c r="L2460">
        <v>1210</v>
      </c>
      <c r="M2460">
        <v>7.13</v>
      </c>
      <c r="N2460">
        <v>30.21</v>
      </c>
      <c r="O2460" t="s">
        <v>19</v>
      </c>
      <c r="P2460" t="s">
        <v>1267</v>
      </c>
      <c r="Q2460" t="s">
        <v>19</v>
      </c>
      <c r="R2460" t="str">
        <f>HYPERLINK("https://cfpub.epa.gov/ecotox/explore.cfm?ncbi=180454","Explore in ECOTOX")</f>
        <v>Explore in ECOTOX</v>
      </c>
    </row>
    <row r="2461" spans="1:18" x14ac:dyDescent="0.45">
      <c r="A2461" t="s">
        <v>1266</v>
      </c>
      <c r="B2461">
        <v>8</v>
      </c>
      <c r="C2461" t="str">
        <f>HYPERLINK("http://www.ncbi.nlm.nih.gov/protein/XP_049543466.1","XP_049543466.1")</f>
        <v>XP_049543466.1</v>
      </c>
      <c r="D2461">
        <v>31177</v>
      </c>
      <c r="E2461" t="str">
        <f>HYPERLINK("http://www.ncbi.nlm.nih.gov/Taxonomy/Browser/wwwtax.cgi?mode=Info&amp;id=43151&amp;lvl=3&amp;lin=f&amp;keep=1&amp;srchmode=1&amp;unlock","43151")</f>
        <v>43151</v>
      </c>
      <c r="F2461" t="s">
        <v>760</v>
      </c>
      <c r="G2461" t="str">
        <f>HYPERLINK("http://www.ncbi.nlm.nih.gov/Taxonomy/Browser/wwwtax.cgi?mode=Info&amp;id=43151&amp;lvl=3&amp;lin=f&amp;keep=1&amp;srchmode=1&amp;unlock","Anopheles darlingi")</f>
        <v>Anopheles darlingi</v>
      </c>
      <c r="H2461" t="s">
        <v>950</v>
      </c>
      <c r="I2461" t="str">
        <f>HYPERLINK("http://www.ncbi.nlm.nih.gov/protein/XP_049543466.1","ryanodine receptor isoform X3")</f>
        <v>ryanodine receptor isoform X3</v>
      </c>
      <c r="J2461">
        <v>3100.84</v>
      </c>
      <c r="K2461" t="s">
        <v>19</v>
      </c>
      <c r="L2461">
        <v>1210</v>
      </c>
      <c r="M2461">
        <v>7.13</v>
      </c>
      <c r="N2461">
        <v>30.21</v>
      </c>
      <c r="O2461" t="s">
        <v>19</v>
      </c>
      <c r="P2461" t="s">
        <v>1267</v>
      </c>
      <c r="Q2461" t="s">
        <v>19</v>
      </c>
      <c r="R2461" t="str">
        <f>HYPERLINK("https://cfpub.epa.gov/ecotox/explore.cfm?ncbi=43151","Explore in ECOTOX")</f>
        <v>Explore in ECOTOX</v>
      </c>
    </row>
    <row r="2462" spans="1:18" x14ac:dyDescent="0.45">
      <c r="A2462" t="s">
        <v>1266</v>
      </c>
      <c r="B2462">
        <v>8</v>
      </c>
      <c r="C2462" t="str">
        <f>HYPERLINK("http://www.ncbi.nlm.nih.gov/protein/XP_053620691.1","XP_053620691.1")</f>
        <v>XP_053620691.1</v>
      </c>
      <c r="D2462">
        <v>26868</v>
      </c>
      <c r="E2462" t="str">
        <f>HYPERLINK("http://www.ncbi.nlm.nih.gov/Taxonomy/Browser/wwwtax.cgi?mode=Info&amp;id=58824&amp;lvl=3&amp;lin=f&amp;keep=1&amp;srchmode=1&amp;unlock","58824")</f>
        <v>58824</v>
      </c>
      <c r="F2462" t="s">
        <v>760</v>
      </c>
      <c r="G2462" t="str">
        <f>HYPERLINK("http://www.ncbi.nlm.nih.gov/Taxonomy/Browser/wwwtax.cgi?mode=Info&amp;id=58824&amp;lvl=3&amp;lin=f&amp;keep=1&amp;srchmode=1&amp;unlock","Plodia interpunctella")</f>
        <v>Plodia interpunctella</v>
      </c>
      <c r="H2462" t="s">
        <v>901</v>
      </c>
      <c r="I2462" t="str">
        <f>HYPERLINK("http://www.ncbi.nlm.nih.gov/protein/XP_053620691.1","ryanodine receptor isoform X3")</f>
        <v>ryanodine receptor isoform X3</v>
      </c>
      <c r="J2462">
        <v>3100.46</v>
      </c>
      <c r="K2462" t="s">
        <v>19</v>
      </c>
      <c r="L2462">
        <v>1210</v>
      </c>
      <c r="M2462">
        <v>7.13</v>
      </c>
      <c r="N2462">
        <v>30.21</v>
      </c>
      <c r="O2462" t="s">
        <v>19</v>
      </c>
      <c r="P2462" t="s">
        <v>1267</v>
      </c>
      <c r="Q2462" t="s">
        <v>19</v>
      </c>
      <c r="R2462" t="str">
        <f>HYPERLINK("https://cfpub.epa.gov/ecotox/explore.cfm?ncbi=58824","Explore in ECOTOX")</f>
        <v>Explore in ECOTOX</v>
      </c>
    </row>
    <row r="2463" spans="1:18" x14ac:dyDescent="0.45">
      <c r="A2463" t="s">
        <v>1266</v>
      </c>
      <c r="B2463">
        <v>8</v>
      </c>
      <c r="C2463" t="str">
        <f>HYPERLINK("http://www.ncbi.nlm.nih.gov/protein/XP_050304093.1","XP_050304093.1")</f>
        <v>XP_050304093.1</v>
      </c>
      <c r="D2463">
        <v>23731</v>
      </c>
      <c r="E2463" t="str">
        <f>HYPERLINK("http://www.ncbi.nlm.nih.gov/Taxonomy/Browser/wwwtax.cgi?mode=Info&amp;id=2921223&amp;lvl=3&amp;lin=f&amp;keep=1&amp;srchmode=1&amp;unlock","2921223")</f>
        <v>2921223</v>
      </c>
      <c r="F2463" t="s">
        <v>760</v>
      </c>
      <c r="G2463" t="str">
        <f>HYPERLINK("http://www.ncbi.nlm.nih.gov/Taxonomy/Browser/wwwtax.cgi?mode=Info&amp;id=2921223&amp;lvl=3&amp;lin=f&amp;keep=1&amp;srchmode=1&amp;unlock","Anthonomus grandis grandis")</f>
        <v>Anthonomus grandis grandis</v>
      </c>
      <c r="H2463" t="s">
        <v>1090</v>
      </c>
      <c r="I2463" t="str">
        <f>HYPERLINK("http://www.ncbi.nlm.nih.gov/protein/XP_050304093.1","ryanodine receptor")</f>
        <v>ryanodine receptor</v>
      </c>
      <c r="J2463">
        <v>3100.07</v>
      </c>
      <c r="K2463" t="s">
        <v>19</v>
      </c>
      <c r="L2463">
        <v>1210</v>
      </c>
      <c r="M2463">
        <v>7.13</v>
      </c>
      <c r="N2463">
        <v>30.21</v>
      </c>
      <c r="O2463" t="s">
        <v>19</v>
      </c>
      <c r="P2463" t="s">
        <v>1267</v>
      </c>
      <c r="Q2463" t="s">
        <v>19</v>
      </c>
      <c r="R2463" t="str">
        <f>HYPERLINK("https://cfpub.epa.gov/ecotox/explore.cfm?ncbi=2921223","Explore in ECOTOX")</f>
        <v>Explore in ECOTOX</v>
      </c>
    </row>
    <row r="2464" spans="1:18" x14ac:dyDescent="0.45">
      <c r="A2464" t="s">
        <v>1266</v>
      </c>
      <c r="B2464">
        <v>8</v>
      </c>
      <c r="C2464" t="str">
        <f>HYPERLINK("http://www.ncbi.nlm.nih.gov/protein/XP_061515387.1","XP_061515387.1")</f>
        <v>XP_061515387.1</v>
      </c>
      <c r="D2464">
        <v>40523</v>
      </c>
      <c r="E2464" t="str">
        <f>HYPERLINK("http://www.ncbi.nlm.nih.gov/Taxonomy/Browser/wwwtax.cgi?mode=Info&amp;id=7165&amp;lvl=3&amp;lin=f&amp;keep=1&amp;srchmode=1&amp;unlock","7165")</f>
        <v>7165</v>
      </c>
      <c r="F2464" t="s">
        <v>760</v>
      </c>
      <c r="G2464" t="str">
        <f>HYPERLINK("http://www.ncbi.nlm.nih.gov/Taxonomy/Browser/wwwtax.cgi?mode=Info&amp;id=7165&amp;lvl=3&amp;lin=f&amp;keep=1&amp;srchmode=1&amp;unlock","Anopheles gambiae")</f>
        <v>Anopheles gambiae</v>
      </c>
      <c r="H2464" t="s">
        <v>940</v>
      </c>
      <c r="I2464" t="str">
        <f>HYPERLINK("http://www.ncbi.nlm.nih.gov/protein/XP_061515387.1","ryanodine receptor isoform X7")</f>
        <v>ryanodine receptor isoform X7</v>
      </c>
      <c r="J2464">
        <v>3099.69</v>
      </c>
      <c r="K2464" t="s">
        <v>19</v>
      </c>
      <c r="L2464">
        <v>1210</v>
      </c>
      <c r="M2464">
        <v>7.13</v>
      </c>
      <c r="N2464">
        <v>30.2</v>
      </c>
      <c r="O2464" t="s">
        <v>19</v>
      </c>
      <c r="P2464" t="s">
        <v>1267</v>
      </c>
      <c r="Q2464" t="s">
        <v>19</v>
      </c>
      <c r="R2464" t="str">
        <f>HYPERLINK("https://cfpub.epa.gov/ecotox/explore.cfm?ncbi=7165","Explore in ECOTOX")</f>
        <v>Explore in ECOTOX</v>
      </c>
    </row>
    <row r="2465" spans="1:18" x14ac:dyDescent="0.45">
      <c r="A2465" t="s">
        <v>1266</v>
      </c>
      <c r="B2465">
        <v>8</v>
      </c>
      <c r="C2465" t="str">
        <f>HYPERLINK("http://www.ncbi.nlm.nih.gov/protein/XP_050081215.1","XP_050081215.1")</f>
        <v>XP_050081215.1</v>
      </c>
      <c r="D2465">
        <v>14441</v>
      </c>
      <c r="E2465" t="str">
        <f>HYPERLINK("http://www.ncbi.nlm.nih.gov/Taxonomy/Browser/wwwtax.cgi?mode=Info&amp;id=1496333&amp;lvl=3&amp;lin=f&amp;keep=1&amp;srchmode=1&amp;unlock","1496333")</f>
        <v>1496333</v>
      </c>
      <c r="F2465" t="s">
        <v>760</v>
      </c>
      <c r="G2465" t="str">
        <f>HYPERLINK("http://www.ncbi.nlm.nih.gov/Taxonomy/Browser/wwwtax.cgi?mode=Info&amp;id=1496333&amp;lvl=3&amp;lin=f&amp;keep=1&amp;srchmode=1&amp;unlock","Anopheles maculipalpis")</f>
        <v>Anopheles maculipalpis</v>
      </c>
      <c r="H2465" t="s">
        <v>917</v>
      </c>
      <c r="I2465" t="str">
        <f>HYPERLINK("http://www.ncbi.nlm.nih.gov/protein/XP_050081215.1","ryanodine receptor isoform X7")</f>
        <v>ryanodine receptor isoform X7</v>
      </c>
      <c r="J2465">
        <v>3099.3</v>
      </c>
      <c r="K2465" t="s">
        <v>19</v>
      </c>
      <c r="L2465">
        <v>1210</v>
      </c>
      <c r="M2465">
        <v>7.13</v>
      </c>
      <c r="N2465">
        <v>30.2</v>
      </c>
      <c r="O2465" t="s">
        <v>19</v>
      </c>
      <c r="P2465" t="s">
        <v>1267</v>
      </c>
      <c r="Q2465" t="s">
        <v>19</v>
      </c>
      <c r="R2465" t="str">
        <f>HYPERLINK("https://cfpub.epa.gov/ecotox/explore.cfm?ncbi=1496333","Explore in ECOTOX")</f>
        <v>Explore in ECOTOX</v>
      </c>
    </row>
    <row r="2466" spans="1:18" x14ac:dyDescent="0.45">
      <c r="A2466" t="s">
        <v>1266</v>
      </c>
      <c r="B2466">
        <v>8</v>
      </c>
      <c r="C2466" t="str">
        <f>HYPERLINK("http://www.ncbi.nlm.nih.gov/protein/AFI80904.1","AFI80904.1")</f>
        <v>AFI80904.1</v>
      </c>
      <c r="D2466">
        <v>423</v>
      </c>
      <c r="E2466" t="str">
        <f>HYPERLINK("http://www.ncbi.nlm.nih.gov/Taxonomy/Browser/wwwtax.cgi?mode=Info&amp;id=437488&amp;lvl=3&amp;lin=f&amp;keep=1&amp;srchmode=1&amp;unlock","437488")</f>
        <v>437488</v>
      </c>
      <c r="F2466" t="s">
        <v>760</v>
      </c>
      <c r="G2466" t="str">
        <f>HYPERLINK("http://www.ncbi.nlm.nih.gov/Taxonomy/Browser/wwwtax.cgi?mode=Info&amp;id=437488&amp;lvl=3&amp;lin=f&amp;keep=1&amp;srchmode=1&amp;unlock","Cnaphalocrocis medinalis")</f>
        <v>Cnaphalocrocis medinalis</v>
      </c>
      <c r="H2466" t="s">
        <v>893</v>
      </c>
      <c r="I2466" t="str">
        <f>HYPERLINK("http://www.ncbi.nlm.nih.gov/protein/AFI80904.1","ryanodine receptor")</f>
        <v>ryanodine receptor</v>
      </c>
      <c r="J2466">
        <v>3098.92</v>
      </c>
      <c r="K2466" t="s">
        <v>19</v>
      </c>
      <c r="L2466">
        <v>1210</v>
      </c>
      <c r="M2466">
        <v>7.13</v>
      </c>
      <c r="N2466">
        <v>30.2</v>
      </c>
      <c r="O2466" t="s">
        <v>19</v>
      </c>
      <c r="P2466" t="s">
        <v>1267</v>
      </c>
      <c r="Q2466" t="s">
        <v>19</v>
      </c>
      <c r="R2466" t="str">
        <f>HYPERLINK("https://cfpub.epa.gov/ecotox/explore.cfm?ncbi=437488","Explore in ECOTOX")</f>
        <v>Explore in ECOTOX</v>
      </c>
    </row>
    <row r="2467" spans="1:18" x14ac:dyDescent="0.45">
      <c r="A2467" t="s">
        <v>1266</v>
      </c>
      <c r="B2467">
        <v>8</v>
      </c>
      <c r="C2467" t="str">
        <f>HYPERLINK("http://www.ncbi.nlm.nih.gov/protein/QCQ73687.1","QCQ73687.1")</f>
        <v>QCQ73687.1</v>
      </c>
      <c r="D2467">
        <v>18032</v>
      </c>
      <c r="E2467" t="str">
        <f>HYPERLINK("http://www.ncbi.nlm.nih.gov/Taxonomy/Browser/wwwtax.cgi?mode=Info&amp;id=271217&amp;lvl=3&amp;lin=f&amp;keep=1&amp;srchmode=1&amp;unlock","271217")</f>
        <v>271217</v>
      </c>
      <c r="F2467" t="s">
        <v>760</v>
      </c>
      <c r="G2467" t="str">
        <f>HYPERLINK("http://www.ncbi.nlm.nih.gov/Taxonomy/Browser/wwwtax.cgi?mode=Info&amp;id=271217&amp;lvl=3&amp;lin=f&amp;keep=1&amp;srchmode=1&amp;unlock","Mythimna separata")</f>
        <v>Mythimna separata</v>
      </c>
      <c r="H2467" t="s">
        <v>889</v>
      </c>
      <c r="I2467" t="str">
        <f>HYPERLINK("http://www.ncbi.nlm.nih.gov/protein/QCQ73687.1","ryanodine receptor")</f>
        <v>ryanodine receptor</v>
      </c>
      <c r="J2467">
        <v>3098.53</v>
      </c>
      <c r="K2467" t="s">
        <v>19</v>
      </c>
      <c r="L2467">
        <v>1210</v>
      </c>
      <c r="M2467">
        <v>7.13</v>
      </c>
      <c r="N2467">
        <v>30.19</v>
      </c>
      <c r="O2467" t="s">
        <v>19</v>
      </c>
      <c r="P2467" t="s">
        <v>1267</v>
      </c>
      <c r="Q2467" t="s">
        <v>19</v>
      </c>
      <c r="R2467" t="str">
        <f>HYPERLINK("https://cfpub.epa.gov/ecotox/explore.cfm?ncbi=271217","Explore in ECOTOX")</f>
        <v>Explore in ECOTOX</v>
      </c>
    </row>
    <row r="2468" spans="1:18" x14ac:dyDescent="0.45">
      <c r="A2468" t="s">
        <v>1266</v>
      </c>
      <c r="B2468">
        <v>8</v>
      </c>
      <c r="C2468" t="str">
        <f>HYPERLINK("http://www.ncbi.nlm.nih.gov/protein/XP_044728216.1","XP_044728216.1")</f>
        <v>XP_044728216.1</v>
      </c>
      <c r="D2468">
        <v>17743</v>
      </c>
      <c r="E2468" t="str">
        <f>HYPERLINK("http://www.ncbi.nlm.nih.gov/Taxonomy/Browser/wwwtax.cgi?mode=Info&amp;id=189513&amp;lvl=3&amp;lin=f&amp;keep=1&amp;srchmode=1&amp;unlock","189513")</f>
        <v>189513</v>
      </c>
      <c r="F2468" t="s">
        <v>760</v>
      </c>
      <c r="G2468" t="str">
        <f>HYPERLINK("http://www.ncbi.nlm.nih.gov/Taxonomy/Browser/wwwtax.cgi?mode=Info&amp;id=189513&amp;lvl=3&amp;lin=f&amp;keep=1&amp;srchmode=1&amp;unlock","Chrysoperla carnea")</f>
        <v>Chrysoperla carnea</v>
      </c>
      <c r="H2468" t="s">
        <v>860</v>
      </c>
      <c r="I2468" t="str">
        <f>HYPERLINK("http://www.ncbi.nlm.nih.gov/protein/XP_044728216.1","ryanodine receptor")</f>
        <v>ryanodine receptor</v>
      </c>
      <c r="J2468">
        <v>3097.38</v>
      </c>
      <c r="K2468" t="s">
        <v>22</v>
      </c>
      <c r="L2468">
        <v>1210</v>
      </c>
      <c r="M2468">
        <v>7.13</v>
      </c>
      <c r="N2468">
        <v>30.18</v>
      </c>
      <c r="O2468" t="s">
        <v>19</v>
      </c>
      <c r="P2468" t="s">
        <v>1267</v>
      </c>
      <c r="Q2468" t="s">
        <v>19</v>
      </c>
      <c r="R2468" t="str">
        <f>HYPERLINK("https://cfpub.epa.gov/ecotox/explore.cfm?ncbi=189513","Explore in ECOTOX")</f>
        <v>Explore in ECOTOX</v>
      </c>
    </row>
    <row r="2469" spans="1:18" x14ac:dyDescent="0.45">
      <c r="A2469" t="s">
        <v>1266</v>
      </c>
      <c r="B2469">
        <v>8</v>
      </c>
      <c r="C2469" t="str">
        <f>HYPERLINK("http://www.ncbi.nlm.nih.gov/protein/XP_050093130.1","XP_050093130.1")</f>
        <v>XP_050093130.1</v>
      </c>
      <c r="D2469">
        <v>20334</v>
      </c>
      <c r="E2469" t="str">
        <f>HYPERLINK("http://www.ncbi.nlm.nih.gov/Taxonomy/Browser/wwwtax.cgi?mode=Info&amp;id=42839&amp;lvl=3&amp;lin=f&amp;keep=1&amp;srchmode=1&amp;unlock","42839")</f>
        <v>42839</v>
      </c>
      <c r="F2469" t="s">
        <v>760</v>
      </c>
      <c r="G2469" t="str">
        <f>HYPERLINK("http://www.ncbi.nlm.nih.gov/Taxonomy/Browser/wwwtax.cgi?mode=Info&amp;id=42839&amp;lvl=3&amp;lin=f&amp;keep=1&amp;srchmode=1&amp;unlock","Anopheles aquasalis")</f>
        <v>Anopheles aquasalis</v>
      </c>
      <c r="H2469" t="s">
        <v>917</v>
      </c>
      <c r="I2469" t="str">
        <f>HYPERLINK("http://www.ncbi.nlm.nih.gov/protein/XP_050093130.1","ryanodine receptor isoform X14")</f>
        <v>ryanodine receptor isoform X14</v>
      </c>
      <c r="J2469">
        <v>3096.99</v>
      </c>
      <c r="K2469" t="s">
        <v>19</v>
      </c>
      <c r="L2469">
        <v>1210</v>
      </c>
      <c r="M2469">
        <v>7.13</v>
      </c>
      <c r="N2469">
        <v>30.18</v>
      </c>
      <c r="O2469" t="s">
        <v>19</v>
      </c>
      <c r="P2469" t="s">
        <v>1267</v>
      </c>
      <c r="Q2469" t="s">
        <v>19</v>
      </c>
      <c r="R2469" t="str">
        <f>HYPERLINK("https://cfpub.epa.gov/ecotox/explore.cfm?ncbi=42839","Explore in ECOTOX")</f>
        <v>Explore in ECOTOX</v>
      </c>
    </row>
    <row r="2470" spans="1:18" x14ac:dyDescent="0.45">
      <c r="A2470" t="s">
        <v>1266</v>
      </c>
      <c r="B2470">
        <v>8</v>
      </c>
      <c r="C2470" t="str">
        <f>HYPERLINK("http://www.ncbi.nlm.nih.gov/protein/XP_030749977.1","XP_030749977.1")</f>
        <v>XP_030749977.1</v>
      </c>
      <c r="D2470">
        <v>23907</v>
      </c>
      <c r="E2470" t="str">
        <f>HYPERLINK("http://www.ncbi.nlm.nih.gov/Taxonomy/Browser/wwwtax.cgi?mode=Info&amp;id=7048&amp;lvl=3&amp;lin=f&amp;keep=1&amp;srchmode=1&amp;unlock","7048")</f>
        <v>7048</v>
      </c>
      <c r="F2470" t="s">
        <v>760</v>
      </c>
      <c r="G2470" t="str">
        <f>HYPERLINK("http://www.ncbi.nlm.nih.gov/Taxonomy/Browser/wwwtax.cgi?mode=Info&amp;id=7048&amp;lvl=3&amp;lin=f&amp;keep=1&amp;srchmode=1&amp;unlock","Sitophilus oryzae")</f>
        <v>Sitophilus oryzae</v>
      </c>
      <c r="H2470" t="s">
        <v>931</v>
      </c>
      <c r="I2470" t="str">
        <f>HYPERLINK("http://www.ncbi.nlm.nih.gov/protein/XP_030749977.1","ryanodine receptor isoform X3")</f>
        <v>ryanodine receptor isoform X3</v>
      </c>
      <c r="J2470">
        <v>3096.61</v>
      </c>
      <c r="K2470" t="s">
        <v>19</v>
      </c>
      <c r="L2470">
        <v>1210</v>
      </c>
      <c r="M2470">
        <v>7.13</v>
      </c>
      <c r="N2470">
        <v>30.17</v>
      </c>
      <c r="O2470" t="s">
        <v>19</v>
      </c>
      <c r="P2470" t="s">
        <v>1267</v>
      </c>
      <c r="Q2470" t="s">
        <v>19</v>
      </c>
      <c r="R2470" t="str">
        <f>HYPERLINK("https://cfpub.epa.gov/ecotox/explore.cfm?ncbi=7048","Explore in ECOTOX")</f>
        <v>Explore in ECOTOX</v>
      </c>
    </row>
    <row r="2471" spans="1:18" x14ac:dyDescent="0.45">
      <c r="A2471" t="s">
        <v>1266</v>
      </c>
      <c r="B2471">
        <v>8</v>
      </c>
      <c r="C2471" t="str">
        <f>HYPERLINK("http://www.ncbi.nlm.nih.gov/protein/XP_037955139.1","XP_037955139.1")</f>
        <v>XP_037955139.1</v>
      </c>
      <c r="D2471">
        <v>34229</v>
      </c>
      <c r="E2471" t="str">
        <f>HYPERLINK("http://www.ncbi.nlm.nih.gov/Taxonomy/Browser/wwwtax.cgi?mode=Info&amp;id=139649&amp;lvl=3&amp;lin=f&amp;keep=1&amp;srchmode=1&amp;unlock","139649")</f>
        <v>139649</v>
      </c>
      <c r="F2471" t="s">
        <v>760</v>
      </c>
      <c r="G2471" t="str">
        <f>HYPERLINK("http://www.ncbi.nlm.nih.gov/Taxonomy/Browser/wwwtax.cgi?mode=Info&amp;id=139649&amp;lvl=3&amp;lin=f&amp;keep=1&amp;srchmode=1&amp;unlock","Teleopsis dalmanni")</f>
        <v>Teleopsis dalmanni</v>
      </c>
      <c r="H2471" t="s">
        <v>921</v>
      </c>
      <c r="I2471" t="str">
        <f>HYPERLINK("http://www.ncbi.nlm.nih.gov/protein/XP_037955139.1","ryanodine receptor isoform X13")</f>
        <v>ryanodine receptor isoform X13</v>
      </c>
      <c r="J2471">
        <v>3095.83</v>
      </c>
      <c r="K2471" t="s">
        <v>19</v>
      </c>
      <c r="L2471">
        <v>1210</v>
      </c>
      <c r="M2471">
        <v>7.13</v>
      </c>
      <c r="N2471">
        <v>30.17</v>
      </c>
      <c r="O2471" t="s">
        <v>19</v>
      </c>
      <c r="P2471" t="s">
        <v>1267</v>
      </c>
      <c r="Q2471" t="s">
        <v>19</v>
      </c>
      <c r="R2471" t="str">
        <f>HYPERLINK("https://cfpub.epa.gov/ecotox/explore.cfm?ncbi=139649","Explore in ECOTOX")</f>
        <v>Explore in ECOTOX</v>
      </c>
    </row>
    <row r="2472" spans="1:18" x14ac:dyDescent="0.45">
      <c r="A2472" t="s">
        <v>1266</v>
      </c>
      <c r="B2472">
        <v>8</v>
      </c>
      <c r="C2472" t="str">
        <f>HYPERLINK("http://www.ncbi.nlm.nih.gov/protein/KFB47317.1","KFB47317.1")</f>
        <v>KFB47317.1</v>
      </c>
      <c r="D2472">
        <v>20026</v>
      </c>
      <c r="E2472" t="str">
        <f>HYPERLINK("http://www.ncbi.nlm.nih.gov/Taxonomy/Browser/wwwtax.cgi?mode=Info&amp;id=74873&amp;lvl=3&amp;lin=f&amp;keep=1&amp;srchmode=1&amp;unlock","74873")</f>
        <v>74873</v>
      </c>
      <c r="F2472" t="s">
        <v>760</v>
      </c>
      <c r="G2472" t="str">
        <f>HYPERLINK("http://www.ncbi.nlm.nih.gov/Taxonomy/Browser/wwwtax.cgi?mode=Info&amp;id=74873&amp;lvl=3&amp;lin=f&amp;keep=1&amp;srchmode=1&amp;unlock","Anopheles sinensis")</f>
        <v>Anopheles sinensis</v>
      </c>
      <c r="H2472" t="s">
        <v>917</v>
      </c>
      <c r="I2472" t="str">
        <f>HYPERLINK("http://www.ncbi.nlm.nih.gov/protein/KFB47317.1","AGAP010750-PA-like protein")</f>
        <v>AGAP010750-PA-like protein</v>
      </c>
      <c r="J2472">
        <v>3095.83</v>
      </c>
      <c r="K2472" t="s">
        <v>19</v>
      </c>
      <c r="L2472">
        <v>1210</v>
      </c>
      <c r="M2472">
        <v>7.13</v>
      </c>
      <c r="N2472">
        <v>30.17</v>
      </c>
      <c r="O2472" t="s">
        <v>19</v>
      </c>
      <c r="P2472" t="s">
        <v>1267</v>
      </c>
      <c r="Q2472" t="s">
        <v>19</v>
      </c>
      <c r="R2472" t="str">
        <f>HYPERLINK("https://cfpub.epa.gov/ecotox/explore.cfm?ncbi=74873","Explore in ECOTOX")</f>
        <v>Explore in ECOTOX</v>
      </c>
    </row>
    <row r="2473" spans="1:18" x14ac:dyDescent="0.45">
      <c r="A2473" t="s">
        <v>1266</v>
      </c>
      <c r="B2473">
        <v>8</v>
      </c>
      <c r="C2473" t="str">
        <f>HYPERLINK("http://www.ncbi.nlm.nih.gov/protein/CAD7194666.1","CAD7194666.1")</f>
        <v>CAD7194666.1</v>
      </c>
      <c r="D2473">
        <v>14103</v>
      </c>
      <c r="E2473" t="str">
        <f>HYPERLINK("http://www.ncbi.nlm.nih.gov/Taxonomy/Browser/wwwtax.cgi?mode=Info&amp;id=61478&amp;lvl=3&amp;lin=f&amp;keep=1&amp;srchmode=1&amp;unlock","61478")</f>
        <v>61478</v>
      </c>
      <c r="F2473" t="s">
        <v>760</v>
      </c>
      <c r="G2473" t="str">
        <f>HYPERLINK("http://www.ncbi.nlm.nih.gov/Taxonomy/Browser/wwwtax.cgi?mode=Info&amp;id=61478&amp;lvl=3&amp;lin=f&amp;keep=1&amp;srchmode=1&amp;unlock","Timema douglasi")</f>
        <v>Timema douglasi</v>
      </c>
      <c r="H2473" t="s">
        <v>1039</v>
      </c>
      <c r="I2473" t="str">
        <f>HYPERLINK("http://www.ncbi.nlm.nih.gov/protein/CAD7194666.1","unnamed protein product")</f>
        <v>unnamed protein product</v>
      </c>
      <c r="J2473">
        <v>3095.45</v>
      </c>
      <c r="K2473" t="s">
        <v>19</v>
      </c>
      <c r="L2473">
        <v>1210</v>
      </c>
      <c r="M2473">
        <v>7.13</v>
      </c>
      <c r="N2473">
        <v>30.16</v>
      </c>
      <c r="O2473" t="s">
        <v>19</v>
      </c>
      <c r="P2473" t="s">
        <v>1267</v>
      </c>
      <c r="Q2473" t="s">
        <v>19</v>
      </c>
      <c r="R2473" t="str">
        <f>HYPERLINK("https://cfpub.epa.gov/ecotox/explore.cfm?ncbi=61478","Explore in ECOTOX")</f>
        <v>Explore in ECOTOX</v>
      </c>
    </row>
    <row r="2474" spans="1:18" x14ac:dyDescent="0.45">
      <c r="A2474" t="s">
        <v>1266</v>
      </c>
      <c r="B2474">
        <v>8</v>
      </c>
      <c r="C2474" t="str">
        <f>HYPERLINK("http://www.ncbi.nlm.nih.gov/protein/XP_049881999.1","XP_049881999.1")</f>
        <v>XP_049881999.1</v>
      </c>
      <c r="D2474">
        <v>23810</v>
      </c>
      <c r="E2474" t="str">
        <f>HYPERLINK("http://www.ncbi.nlm.nih.gov/Taxonomy/Browser/wwwtax.cgi?mode=Info&amp;id=13191&amp;lvl=3&amp;lin=f&amp;keep=1&amp;srchmode=1&amp;unlock","13191")</f>
        <v>13191</v>
      </c>
      <c r="F2474" t="s">
        <v>760</v>
      </c>
      <c r="G2474" t="str">
        <f>HYPERLINK("http://www.ncbi.nlm.nih.gov/Taxonomy/Browser/wwwtax.cgi?mode=Info&amp;id=13191&amp;lvl=3&amp;lin=f&amp;keep=1&amp;srchmode=1&amp;unlock","Pectinophora gossypiella")</f>
        <v>Pectinophora gossypiella</v>
      </c>
      <c r="H2474" t="s">
        <v>911</v>
      </c>
      <c r="I2474" t="str">
        <f>HYPERLINK("http://www.ncbi.nlm.nih.gov/protein/XP_049881999.1","ryanodine receptor isoform X7")</f>
        <v>ryanodine receptor isoform X7</v>
      </c>
      <c r="J2474">
        <v>3095.06</v>
      </c>
      <c r="K2474" t="s">
        <v>19</v>
      </c>
      <c r="L2474">
        <v>1210</v>
      </c>
      <c r="M2474">
        <v>7.13</v>
      </c>
      <c r="N2474">
        <v>30.16</v>
      </c>
      <c r="O2474" t="s">
        <v>19</v>
      </c>
      <c r="P2474" t="s">
        <v>1267</v>
      </c>
      <c r="Q2474" t="s">
        <v>19</v>
      </c>
      <c r="R2474" t="str">
        <f>HYPERLINK("https://cfpub.epa.gov/ecotox/explore.cfm?ncbi=13191","Explore in ECOTOX")</f>
        <v>Explore in ECOTOX</v>
      </c>
    </row>
    <row r="2475" spans="1:18" x14ac:dyDescent="0.45">
      <c r="A2475" t="s">
        <v>1266</v>
      </c>
      <c r="B2475">
        <v>8</v>
      </c>
      <c r="C2475" t="str">
        <f>HYPERLINK("http://www.ncbi.nlm.nih.gov/protein/XP_048525321.1","XP_048525321.1")</f>
        <v>XP_048525321.1</v>
      </c>
      <c r="D2475">
        <v>82933</v>
      </c>
      <c r="E2475" t="str">
        <f>HYPERLINK("http://www.ncbi.nlm.nih.gov/Taxonomy/Browser/wwwtax.cgi?mode=Info&amp;id=77166&amp;lvl=3&amp;lin=f&amp;keep=1&amp;srchmode=1&amp;unlock","77166")</f>
        <v>77166</v>
      </c>
      <c r="F2475" t="s">
        <v>760</v>
      </c>
      <c r="G2475" t="str">
        <f>HYPERLINK("http://www.ncbi.nlm.nih.gov/Taxonomy/Browser/wwwtax.cgi?mode=Info&amp;id=77166&amp;lvl=3&amp;lin=f&amp;keep=1&amp;srchmode=1&amp;unlock","Dendroctonus ponderosae")</f>
        <v>Dendroctonus ponderosae</v>
      </c>
      <c r="H2475" t="s">
        <v>938</v>
      </c>
      <c r="I2475" t="str">
        <f>HYPERLINK("http://www.ncbi.nlm.nih.gov/protein/XP_048525321.1","ryanodine receptor isoform X1")</f>
        <v>ryanodine receptor isoform X1</v>
      </c>
      <c r="J2475">
        <v>3095.06</v>
      </c>
      <c r="K2475" t="s">
        <v>19</v>
      </c>
      <c r="L2475">
        <v>1210</v>
      </c>
      <c r="M2475">
        <v>7.13</v>
      </c>
      <c r="N2475">
        <v>30.16</v>
      </c>
      <c r="O2475" t="s">
        <v>19</v>
      </c>
      <c r="P2475" t="s">
        <v>1267</v>
      </c>
      <c r="Q2475" t="s">
        <v>19</v>
      </c>
      <c r="R2475" t="str">
        <f>HYPERLINK("https://cfpub.epa.gov/ecotox/explore.cfm?ncbi=77166","Explore in ECOTOX")</f>
        <v>Explore in ECOTOX</v>
      </c>
    </row>
    <row r="2476" spans="1:18" x14ac:dyDescent="0.45">
      <c r="A2476" t="s">
        <v>1266</v>
      </c>
      <c r="B2476">
        <v>8</v>
      </c>
      <c r="C2476" t="str">
        <f>HYPERLINK("http://www.ncbi.nlm.nih.gov/protein/XP_060521134.1","XP_060521134.1")</f>
        <v>XP_060521134.1</v>
      </c>
      <c r="D2476">
        <v>22096</v>
      </c>
      <c r="E2476" t="str">
        <f>HYPERLINK("http://www.ncbi.nlm.nih.gov/Taxonomy/Browser/wwwtax.cgi?mode=Info&amp;id=197179&amp;lvl=3&amp;lin=f&amp;keep=1&amp;srchmode=1&amp;unlock","197179")</f>
        <v>197179</v>
      </c>
      <c r="F2476" t="s">
        <v>760</v>
      </c>
      <c r="G2476" t="str">
        <f>HYPERLINK("http://www.ncbi.nlm.nih.gov/Taxonomy/Browser/wwwtax.cgi?mode=Info&amp;id=197179&amp;lvl=3&amp;lin=f&amp;keep=1&amp;srchmode=1&amp;unlock","Cylas formicarius")</f>
        <v>Cylas formicarius</v>
      </c>
      <c r="H2476" t="s">
        <v>918</v>
      </c>
      <c r="I2476" t="str">
        <f>HYPERLINK("http://www.ncbi.nlm.nih.gov/protein/XP_060521134.1","ryanodine receptor isoform X1")</f>
        <v>ryanodine receptor isoform X1</v>
      </c>
      <c r="J2476">
        <v>3094.68</v>
      </c>
      <c r="K2476" t="s">
        <v>19</v>
      </c>
      <c r="L2476">
        <v>1210</v>
      </c>
      <c r="M2476">
        <v>7.13</v>
      </c>
      <c r="N2476">
        <v>30.15</v>
      </c>
      <c r="O2476" t="s">
        <v>19</v>
      </c>
      <c r="P2476" t="s">
        <v>1267</v>
      </c>
      <c r="Q2476" t="s">
        <v>19</v>
      </c>
      <c r="R2476" t="str">
        <f>HYPERLINK("https://cfpub.epa.gov/ecotox/explore.cfm?ncbi=197179","Explore in ECOTOX")</f>
        <v>Explore in ECOTOX</v>
      </c>
    </row>
    <row r="2477" spans="1:18" x14ac:dyDescent="0.45">
      <c r="A2477" t="s">
        <v>1266</v>
      </c>
      <c r="B2477">
        <v>8</v>
      </c>
      <c r="C2477" t="str">
        <f>HYPERLINK("http://www.ncbi.nlm.nih.gov/protein/XP_035897929.1","XP_035897929.1")</f>
        <v>XP_035897929.1</v>
      </c>
      <c r="D2477">
        <v>30268</v>
      </c>
      <c r="E2477" t="str">
        <f>HYPERLINK("http://www.ncbi.nlm.nih.gov/Taxonomy/Browser/wwwtax.cgi?mode=Info&amp;id=30069&amp;lvl=3&amp;lin=f&amp;keep=1&amp;srchmode=1&amp;unlock","30069")</f>
        <v>30069</v>
      </c>
      <c r="F2477" t="s">
        <v>760</v>
      </c>
      <c r="G2477" t="str">
        <f>HYPERLINK("http://www.ncbi.nlm.nih.gov/Taxonomy/Browser/wwwtax.cgi?mode=Info&amp;id=30069&amp;lvl=3&amp;lin=f&amp;keep=1&amp;srchmode=1&amp;unlock","Anopheles stephensi")</f>
        <v>Anopheles stephensi</v>
      </c>
      <c r="H2477" t="s">
        <v>949</v>
      </c>
      <c r="I2477" t="str">
        <f>HYPERLINK("http://www.ncbi.nlm.nih.gov/protein/XP_035897929.1","ryanodine receptor isoform X9")</f>
        <v>ryanodine receptor isoform X9</v>
      </c>
      <c r="J2477">
        <v>3093.52</v>
      </c>
      <c r="K2477" t="s">
        <v>19</v>
      </c>
      <c r="L2477">
        <v>1210</v>
      </c>
      <c r="M2477">
        <v>7.13</v>
      </c>
      <c r="N2477">
        <v>30.14</v>
      </c>
      <c r="O2477" t="s">
        <v>19</v>
      </c>
      <c r="P2477" t="s">
        <v>1267</v>
      </c>
      <c r="Q2477" t="s">
        <v>19</v>
      </c>
      <c r="R2477" t="str">
        <f>HYPERLINK("https://cfpub.epa.gov/ecotox/explore.cfm?ncbi=30069","Explore in ECOTOX")</f>
        <v>Explore in ECOTOX</v>
      </c>
    </row>
    <row r="2478" spans="1:18" x14ac:dyDescent="0.45">
      <c r="A2478" t="s">
        <v>1266</v>
      </c>
      <c r="B2478">
        <v>8</v>
      </c>
      <c r="C2478" t="str">
        <f>HYPERLINK("http://www.ncbi.nlm.nih.gov/protein/WKU61905.1","WKU61905.1")</f>
        <v>WKU61905.1</v>
      </c>
      <c r="D2478">
        <v>14833</v>
      </c>
      <c r="E2478" t="str">
        <f>HYPERLINK("http://www.ncbi.nlm.nih.gov/Taxonomy/Browser/wwwtax.cgi?mode=Info&amp;id=689277&amp;lvl=3&amp;lin=f&amp;keep=1&amp;srchmode=1&amp;unlock","689277")</f>
        <v>689277</v>
      </c>
      <c r="F2478" t="s">
        <v>760</v>
      </c>
      <c r="G2478" t="str">
        <f>HYPERLINK("http://www.ncbi.nlm.nih.gov/Taxonomy/Browser/wwwtax.cgi?mode=Info&amp;id=689277&amp;lvl=3&amp;lin=f&amp;keep=1&amp;srchmode=1&amp;unlock","Chrysodeixis includens")</f>
        <v>Chrysodeixis includens</v>
      </c>
      <c r="H2478" t="s">
        <v>887</v>
      </c>
      <c r="I2478" t="str">
        <f>HYPERLINK("http://www.ncbi.nlm.nih.gov/protein/WKU61905.1","ryanodine receptor")</f>
        <v>ryanodine receptor</v>
      </c>
      <c r="J2478">
        <v>3093.52</v>
      </c>
      <c r="K2478" t="s">
        <v>19</v>
      </c>
      <c r="L2478">
        <v>1210</v>
      </c>
      <c r="M2478">
        <v>7.13</v>
      </c>
      <c r="N2478">
        <v>30.14</v>
      </c>
      <c r="O2478" t="s">
        <v>19</v>
      </c>
      <c r="P2478" t="s">
        <v>1267</v>
      </c>
      <c r="Q2478" t="s">
        <v>19</v>
      </c>
      <c r="R2478" t="str">
        <f>HYPERLINK("https://cfpub.epa.gov/ecotox/explore.cfm?ncbi=689277","Explore in ECOTOX")</f>
        <v>Explore in ECOTOX</v>
      </c>
    </row>
    <row r="2479" spans="1:18" x14ac:dyDescent="0.45">
      <c r="A2479" t="s">
        <v>1266</v>
      </c>
      <c r="B2479">
        <v>8</v>
      </c>
      <c r="C2479" t="str">
        <f>HYPERLINK("http://www.ncbi.nlm.nih.gov/protein/XP_052862913.1","XP_052862913.1")</f>
        <v>XP_052862913.1</v>
      </c>
      <c r="D2479">
        <v>14508</v>
      </c>
      <c r="E2479" t="str">
        <f>HYPERLINK("http://www.ncbi.nlm.nih.gov/Taxonomy/Browser/wwwtax.cgi?mode=Info&amp;id=68878&amp;lvl=3&amp;lin=f&amp;keep=1&amp;srchmode=1&amp;unlock","68878")</f>
        <v>68878</v>
      </c>
      <c r="F2479" t="s">
        <v>760</v>
      </c>
      <c r="G2479" t="str">
        <f>HYPERLINK("http://www.ncbi.nlm.nih.gov/Taxonomy/Browser/wwwtax.cgi?mode=Info&amp;id=68878&amp;lvl=3&amp;lin=f&amp;keep=1&amp;srchmode=1&amp;unlock","Anopheles cruzii")</f>
        <v>Anopheles cruzii</v>
      </c>
      <c r="H2479" t="s">
        <v>1055</v>
      </c>
      <c r="I2479" t="str">
        <f>HYPERLINK("http://www.ncbi.nlm.nih.gov/protein/XP_052862913.1","ryanodine receptor isoform X4")</f>
        <v>ryanodine receptor isoform X4</v>
      </c>
      <c r="J2479">
        <v>3093.52</v>
      </c>
      <c r="K2479" t="s">
        <v>19</v>
      </c>
      <c r="L2479">
        <v>1210</v>
      </c>
      <c r="M2479">
        <v>7.13</v>
      </c>
      <c r="N2479">
        <v>30.14</v>
      </c>
      <c r="O2479" t="s">
        <v>19</v>
      </c>
      <c r="P2479" t="s">
        <v>1267</v>
      </c>
      <c r="Q2479" t="s">
        <v>19</v>
      </c>
      <c r="R2479" t="str">
        <f>HYPERLINK("https://cfpub.epa.gov/ecotox/explore.cfm?ncbi=68878","Explore in ECOTOX")</f>
        <v>Explore in ECOTOX</v>
      </c>
    </row>
    <row r="2480" spans="1:18" x14ac:dyDescent="0.45">
      <c r="A2480" t="s">
        <v>1266</v>
      </c>
      <c r="B2480">
        <v>8</v>
      </c>
      <c r="C2480" t="str">
        <f>HYPERLINK("http://www.ncbi.nlm.nih.gov/protein/XP_021707523.1","XP_021707523.1")</f>
        <v>XP_021707523.1</v>
      </c>
      <c r="D2480">
        <v>50994</v>
      </c>
      <c r="E2480" t="str">
        <f>HYPERLINK("http://www.ncbi.nlm.nih.gov/Taxonomy/Browser/wwwtax.cgi?mode=Info&amp;id=7159&amp;lvl=3&amp;lin=f&amp;keep=1&amp;srchmode=1&amp;unlock","7159")</f>
        <v>7159</v>
      </c>
      <c r="F2480" t="s">
        <v>760</v>
      </c>
      <c r="G2480" t="str">
        <f>HYPERLINK("http://www.ncbi.nlm.nih.gov/Taxonomy/Browser/wwwtax.cgi?mode=Info&amp;id=7159&amp;lvl=3&amp;lin=f&amp;keep=1&amp;srchmode=1&amp;unlock","Aedes aegypti")</f>
        <v>Aedes aegypti</v>
      </c>
      <c r="H2480" t="s">
        <v>920</v>
      </c>
      <c r="I2480" t="str">
        <f>HYPERLINK("http://www.ncbi.nlm.nih.gov/protein/XP_021707523.1","ryanodine receptor isoform X11")</f>
        <v>ryanodine receptor isoform X11</v>
      </c>
      <c r="J2480">
        <v>3093.14</v>
      </c>
      <c r="K2480" t="s">
        <v>19</v>
      </c>
      <c r="L2480">
        <v>1210</v>
      </c>
      <c r="M2480">
        <v>7.13</v>
      </c>
      <c r="N2480">
        <v>30.14</v>
      </c>
      <c r="O2480" t="s">
        <v>19</v>
      </c>
      <c r="P2480" t="s">
        <v>1267</v>
      </c>
      <c r="Q2480" t="s">
        <v>19</v>
      </c>
      <c r="R2480" t="str">
        <f>HYPERLINK("https://cfpub.epa.gov/ecotox/explore.cfm?ncbi=7159","Explore in ECOTOX")</f>
        <v>Explore in ECOTOX</v>
      </c>
    </row>
    <row r="2481" spans="1:18" x14ac:dyDescent="0.45">
      <c r="A2481" t="s">
        <v>1266</v>
      </c>
      <c r="B2481">
        <v>8</v>
      </c>
      <c r="C2481" t="str">
        <f>HYPERLINK("http://www.ncbi.nlm.nih.gov/protein/CAI5848298.1","CAI5848298.1")</f>
        <v>CAI5848298.1</v>
      </c>
      <c r="D2481">
        <v>51282</v>
      </c>
      <c r="E2481" t="str">
        <f>HYPERLINK("http://www.ncbi.nlm.nih.gov/Taxonomy/Browser/wwwtax.cgi?mode=Info&amp;id=380381&amp;lvl=3&amp;lin=f&amp;keep=1&amp;srchmode=1&amp;unlock","380381")</f>
        <v>380381</v>
      </c>
      <c r="F2481" t="s">
        <v>760</v>
      </c>
      <c r="G2481" t="str">
        <f>HYPERLINK("http://www.ncbi.nlm.nih.gov/Taxonomy/Browser/wwwtax.cgi?mode=Info&amp;id=380381&amp;lvl=3&amp;lin=f&amp;keep=1&amp;srchmode=1&amp;unlock","Callosobruchus analis")</f>
        <v>Callosobruchus analis</v>
      </c>
      <c r="H2481" t="s">
        <v>910</v>
      </c>
      <c r="I2481" t="str">
        <f>HYPERLINK("http://www.ncbi.nlm.nih.gov/protein/CAI5848298.1","unnamed protein product")</f>
        <v>unnamed protein product</v>
      </c>
      <c r="J2481">
        <v>3092.75</v>
      </c>
      <c r="K2481" t="s">
        <v>19</v>
      </c>
      <c r="L2481">
        <v>1210</v>
      </c>
      <c r="M2481">
        <v>7.13</v>
      </c>
      <c r="N2481">
        <v>30.14</v>
      </c>
      <c r="O2481" t="s">
        <v>19</v>
      </c>
      <c r="P2481" t="s">
        <v>1267</v>
      </c>
      <c r="Q2481" t="s">
        <v>19</v>
      </c>
      <c r="R2481" t="str">
        <f>HYPERLINK("https://cfpub.epa.gov/ecotox/explore.cfm?ncbi=380381","Explore in ECOTOX")</f>
        <v>Explore in ECOTOX</v>
      </c>
    </row>
    <row r="2482" spans="1:18" x14ac:dyDescent="0.45">
      <c r="A2482" t="s">
        <v>1266</v>
      </c>
      <c r="B2482">
        <v>8</v>
      </c>
      <c r="C2482" t="str">
        <f>HYPERLINK("http://www.ncbi.nlm.nih.gov/protein/XP_055629094.1","XP_055629094.1")</f>
        <v>XP_055629094.1</v>
      </c>
      <c r="D2482">
        <v>30898</v>
      </c>
      <c r="E2482" t="str">
        <f>HYPERLINK("http://www.ncbi.nlm.nih.gov/Taxonomy/Browser/wwwtax.cgi?mode=Info&amp;id=329112&amp;lvl=3&amp;lin=f&amp;keep=1&amp;srchmode=1&amp;unlock","329112")</f>
        <v>329112</v>
      </c>
      <c r="F2482" t="s">
        <v>760</v>
      </c>
      <c r="G2482" t="str">
        <f>HYPERLINK("http://www.ncbi.nlm.nih.gov/Taxonomy/Browser/wwwtax.cgi?mode=Info&amp;id=329112&amp;lvl=3&amp;lin=f&amp;keep=1&amp;srchmode=1&amp;unlock","Toxorhynchites rutilus septentrionalis")</f>
        <v>Toxorhynchites rutilus septentrionalis</v>
      </c>
      <c r="H2482" t="s">
        <v>917</v>
      </c>
      <c r="I2482" t="str">
        <f>HYPERLINK("http://www.ncbi.nlm.nih.gov/protein/XP_055629094.1","ryanodine receptor isoform X20")</f>
        <v>ryanodine receptor isoform X20</v>
      </c>
      <c r="J2482">
        <v>3092.37</v>
      </c>
      <c r="K2482" t="s">
        <v>19</v>
      </c>
      <c r="L2482">
        <v>1210</v>
      </c>
      <c r="M2482">
        <v>7.13</v>
      </c>
      <c r="N2482">
        <v>30.13</v>
      </c>
      <c r="O2482" t="s">
        <v>19</v>
      </c>
      <c r="P2482" t="s">
        <v>1267</v>
      </c>
      <c r="Q2482" t="s">
        <v>19</v>
      </c>
      <c r="R2482" t="str">
        <f>HYPERLINK("https://cfpub.epa.gov/ecotox/explore.cfm?ncbi=329112","Explore in ECOTOX")</f>
        <v>Explore in ECOTOX</v>
      </c>
    </row>
    <row r="2483" spans="1:18" x14ac:dyDescent="0.45">
      <c r="A2483" t="s">
        <v>1266</v>
      </c>
      <c r="B2483">
        <v>8</v>
      </c>
      <c r="C2483" t="str">
        <f>HYPERLINK("http://www.ncbi.nlm.nih.gov/protein/ELT95828.1","ELT95828.1")</f>
        <v>ELT95828.1</v>
      </c>
      <c r="D2483">
        <v>32054</v>
      </c>
      <c r="E2483" t="str">
        <f>HYPERLINK("http://www.ncbi.nlm.nih.gov/Taxonomy/Browser/wwwtax.cgi?mode=Info&amp;id=283909&amp;lvl=3&amp;lin=f&amp;keep=1&amp;srchmode=1&amp;unlock","283909")</f>
        <v>283909</v>
      </c>
      <c r="F2483" t="s">
        <v>862</v>
      </c>
      <c r="G2483" t="str">
        <f>HYPERLINK("http://www.ncbi.nlm.nih.gov/Taxonomy/Browser/wwwtax.cgi?mode=Info&amp;id=283909&amp;lvl=3&amp;lin=f&amp;keep=1&amp;srchmode=1&amp;unlock","Capitella teleta")</f>
        <v>Capitella teleta</v>
      </c>
      <c r="H2483" t="s">
        <v>863</v>
      </c>
      <c r="I2483" t="str">
        <f>HYPERLINK("http://www.ncbi.nlm.nih.gov/protein/ELT95828.1","hypothetical protein CAPTEDRAFT_159249")</f>
        <v>hypothetical protein CAPTEDRAFT_159249</v>
      </c>
      <c r="J2483">
        <v>3091.98</v>
      </c>
      <c r="K2483" t="s">
        <v>19</v>
      </c>
      <c r="L2483">
        <v>1210</v>
      </c>
      <c r="M2483">
        <v>7.13</v>
      </c>
      <c r="N2483">
        <v>30.13</v>
      </c>
      <c r="O2483" t="s">
        <v>19</v>
      </c>
      <c r="P2483" t="s">
        <v>1267</v>
      </c>
      <c r="Q2483" t="s">
        <v>19</v>
      </c>
      <c r="R2483" t="str">
        <f>HYPERLINK("https://cfpub.epa.gov/ecotox/explore.cfm?ncbi=283909","Explore in ECOTOX")</f>
        <v>Explore in ECOTOX</v>
      </c>
    </row>
    <row r="2484" spans="1:18" x14ac:dyDescent="0.45">
      <c r="A2484" t="s">
        <v>1266</v>
      </c>
      <c r="B2484">
        <v>8</v>
      </c>
      <c r="C2484" t="str">
        <f>HYPERLINK("http://www.ncbi.nlm.nih.gov/protein/XP_015432418.1","XP_015432418.1")</f>
        <v>XP_015432418.1</v>
      </c>
      <c r="D2484">
        <v>23631</v>
      </c>
      <c r="E2484" t="str">
        <f>HYPERLINK("http://www.ncbi.nlm.nih.gov/Taxonomy/Browser/wwwtax.cgi?mode=Info&amp;id=178035&amp;lvl=3&amp;lin=f&amp;keep=1&amp;srchmode=1&amp;unlock","178035")</f>
        <v>178035</v>
      </c>
      <c r="F2484" t="s">
        <v>760</v>
      </c>
      <c r="G2484" t="str">
        <f>HYPERLINK("http://www.ncbi.nlm.nih.gov/Taxonomy/Browser/wwwtax.cgi?mode=Info&amp;id=178035&amp;lvl=3&amp;lin=f&amp;keep=1&amp;srchmode=1&amp;unlock","Dufourea novaeangliae")</f>
        <v>Dufourea novaeangliae</v>
      </c>
      <c r="H2484" t="s">
        <v>1050</v>
      </c>
      <c r="I2484" t="str">
        <f>HYPERLINK("http://www.ncbi.nlm.nih.gov/protein/XP_015432418.1","PREDICTED: LOW QUALITY PROTEIN: ryanodine receptor")</f>
        <v>PREDICTED: LOW QUALITY PROTEIN: ryanodine receptor</v>
      </c>
      <c r="J2484">
        <v>3089.67</v>
      </c>
      <c r="K2484" t="s">
        <v>19</v>
      </c>
      <c r="L2484">
        <v>1210</v>
      </c>
      <c r="M2484">
        <v>7.13</v>
      </c>
      <c r="N2484">
        <v>30.11</v>
      </c>
      <c r="O2484" t="s">
        <v>19</v>
      </c>
      <c r="P2484" t="s">
        <v>1267</v>
      </c>
      <c r="Q2484" t="s">
        <v>19</v>
      </c>
      <c r="R2484" t="str">
        <f>HYPERLINK("https://cfpub.epa.gov/ecotox/explore.cfm?ncbi=178035","Explore in ECOTOX")</f>
        <v>Explore in ECOTOX</v>
      </c>
    </row>
    <row r="2485" spans="1:18" x14ac:dyDescent="0.45">
      <c r="A2485" t="s">
        <v>1266</v>
      </c>
      <c r="B2485">
        <v>8</v>
      </c>
      <c r="C2485" t="str">
        <f>HYPERLINK("http://www.ncbi.nlm.nih.gov/protein/CAH0546152.1","CAH0546152.1")</f>
        <v>CAH0546152.1</v>
      </c>
      <c r="D2485">
        <v>16100</v>
      </c>
      <c r="E2485" t="str">
        <f>HYPERLINK("http://www.ncbi.nlm.nih.gov/Taxonomy/Browser/wwwtax.cgi?mode=Info&amp;id=1431903&amp;lvl=3&amp;lin=f&amp;keep=1&amp;srchmode=1&amp;unlock","1431903")</f>
        <v>1431903</v>
      </c>
      <c r="F2485" t="s">
        <v>760</v>
      </c>
      <c r="G2485" t="str">
        <f>HYPERLINK("http://www.ncbi.nlm.nih.gov/Taxonomy/Browser/wwwtax.cgi?mode=Info&amp;id=1431903&amp;lvl=3&amp;lin=f&amp;keep=1&amp;srchmode=1&amp;unlock","Brassicogethes aeneus")</f>
        <v>Brassicogethes aeneus</v>
      </c>
      <c r="H2485" t="s">
        <v>934</v>
      </c>
      <c r="I2485" t="str">
        <f>HYPERLINK("http://www.ncbi.nlm.nih.gov/protein/CAH0546152.1","unnamed protein product")</f>
        <v>unnamed protein product</v>
      </c>
      <c r="J2485">
        <v>3088.9</v>
      </c>
      <c r="K2485" t="s">
        <v>19</v>
      </c>
      <c r="L2485">
        <v>1210</v>
      </c>
      <c r="M2485">
        <v>7.13</v>
      </c>
      <c r="N2485">
        <v>30.1</v>
      </c>
      <c r="O2485" t="s">
        <v>19</v>
      </c>
      <c r="P2485" t="s">
        <v>1267</v>
      </c>
      <c r="Q2485" t="s">
        <v>19</v>
      </c>
      <c r="R2485" t="str">
        <f>HYPERLINK("https://cfpub.epa.gov/ecotox/explore.cfm?ncbi=1431903","Explore in ECOTOX")</f>
        <v>Explore in ECOTOX</v>
      </c>
    </row>
    <row r="2486" spans="1:18" x14ac:dyDescent="0.45">
      <c r="A2486" t="s">
        <v>1266</v>
      </c>
      <c r="B2486">
        <v>8</v>
      </c>
      <c r="C2486" t="str">
        <f>HYPERLINK("http://www.ncbi.nlm.nih.gov/protein/XP_053671893.1","XP_053671893.1")</f>
        <v>XP_053671893.1</v>
      </c>
      <c r="D2486">
        <v>11914</v>
      </c>
      <c r="E2486" t="str">
        <f>HYPERLINK("http://www.ncbi.nlm.nih.gov/Taxonomy/Browser/wwwtax.cgi?mode=Info&amp;id=185578&amp;lvl=3&amp;lin=f&amp;keep=1&amp;srchmode=1&amp;unlock","185578")</f>
        <v>185578</v>
      </c>
      <c r="F2486" t="s">
        <v>760</v>
      </c>
      <c r="G2486" t="str">
        <f>HYPERLINK("http://www.ncbi.nlm.nih.gov/Taxonomy/Browser/wwwtax.cgi?mode=Info&amp;id=185578&amp;lvl=3&amp;lin=f&amp;keep=1&amp;srchmode=1&amp;unlock","Anopheles nili")</f>
        <v>Anopheles nili</v>
      </c>
      <c r="H2486" t="s">
        <v>917</v>
      </c>
      <c r="I2486" t="str">
        <f>HYPERLINK("http://www.ncbi.nlm.nih.gov/protein/XP_053671893.1","ryanodine receptor isoform X3")</f>
        <v>ryanodine receptor isoform X3</v>
      </c>
      <c r="J2486">
        <v>3088.9</v>
      </c>
      <c r="K2486" t="s">
        <v>19</v>
      </c>
      <c r="L2486">
        <v>1210</v>
      </c>
      <c r="M2486">
        <v>7.13</v>
      </c>
      <c r="N2486">
        <v>30.1</v>
      </c>
      <c r="O2486" t="s">
        <v>19</v>
      </c>
      <c r="P2486" t="s">
        <v>1267</v>
      </c>
      <c r="Q2486" t="s">
        <v>19</v>
      </c>
      <c r="R2486" t="str">
        <f>HYPERLINK("https://cfpub.epa.gov/ecotox/explore.cfm?ncbi=185578","Explore in ECOTOX")</f>
        <v>Explore in ECOTOX</v>
      </c>
    </row>
    <row r="2487" spans="1:18" x14ac:dyDescent="0.45">
      <c r="A2487" t="s">
        <v>1266</v>
      </c>
      <c r="B2487">
        <v>8</v>
      </c>
      <c r="C2487" t="str">
        <f>HYPERLINK("http://www.ncbi.nlm.nih.gov/protein/XP_044760792.1","XP_044760792.1")</f>
        <v>XP_044760792.1</v>
      </c>
      <c r="D2487">
        <v>23389</v>
      </c>
      <c r="E2487" t="str">
        <f>HYPERLINK("http://www.ncbi.nlm.nih.gov/Taxonomy/Browser/wwwtax.cgi?mode=Info&amp;id=41139&amp;lvl=3&amp;lin=f&amp;keep=1&amp;srchmode=1&amp;unlock","41139")</f>
        <v>41139</v>
      </c>
      <c r="F2487" t="s">
        <v>760</v>
      </c>
      <c r="G2487" t="str">
        <f>HYPERLINK("http://www.ncbi.nlm.nih.gov/Taxonomy/Browser/wwwtax.cgi?mode=Info&amp;id=41139&amp;lvl=3&amp;lin=f&amp;keep=1&amp;srchmode=1&amp;unlock","Coccinella septempunctata")</f>
        <v>Coccinella septempunctata</v>
      </c>
      <c r="H2487" t="s">
        <v>909</v>
      </c>
      <c r="I2487" t="str">
        <f>HYPERLINK("http://www.ncbi.nlm.nih.gov/protein/XP_044760792.1","ryanodine receptor")</f>
        <v>ryanodine receptor</v>
      </c>
      <c r="J2487">
        <v>3088.52</v>
      </c>
      <c r="K2487" t="s">
        <v>19</v>
      </c>
      <c r="L2487">
        <v>1210</v>
      </c>
      <c r="M2487">
        <v>7.13</v>
      </c>
      <c r="N2487">
        <v>30.09</v>
      </c>
      <c r="O2487" t="s">
        <v>19</v>
      </c>
      <c r="P2487" t="s">
        <v>1267</v>
      </c>
      <c r="Q2487" t="s">
        <v>19</v>
      </c>
      <c r="R2487" t="str">
        <f>HYPERLINK("https://cfpub.epa.gov/ecotox/explore.cfm?ncbi=41139","Explore in ECOTOX")</f>
        <v>Explore in ECOTOX</v>
      </c>
    </row>
    <row r="2488" spans="1:18" x14ac:dyDescent="0.45">
      <c r="A2488" t="s">
        <v>1266</v>
      </c>
      <c r="B2488">
        <v>8</v>
      </c>
      <c r="C2488" t="str">
        <f>HYPERLINK("http://www.ncbi.nlm.nih.gov/protein/XP_014604700.1","XP_014604700.1")</f>
        <v>XP_014604700.1</v>
      </c>
      <c r="D2488">
        <v>19309</v>
      </c>
      <c r="E2488" t="str">
        <f>HYPERLINK("http://www.ncbi.nlm.nih.gov/Taxonomy/Browser/wwwtax.cgi?mode=Info&amp;id=91411&amp;lvl=3&amp;lin=f&amp;keep=1&amp;srchmode=1&amp;unlock","91411")</f>
        <v>91411</v>
      </c>
      <c r="F2488" t="s">
        <v>760</v>
      </c>
      <c r="G2488" t="str">
        <f>HYPERLINK("http://www.ncbi.nlm.nih.gov/Taxonomy/Browser/wwwtax.cgi?mode=Info&amp;id=91411&amp;lvl=3&amp;lin=f&amp;keep=1&amp;srchmode=1&amp;unlock","Polistes canadensis")</f>
        <v>Polistes canadensis</v>
      </c>
      <c r="H2488" t="s">
        <v>808</v>
      </c>
      <c r="I2488" t="str">
        <f>HYPERLINK("http://www.ncbi.nlm.nih.gov/protein/XP_014604700.1","PREDICTED: ryanodine receptor isoform X11")</f>
        <v>PREDICTED: ryanodine receptor isoform X11</v>
      </c>
      <c r="J2488">
        <v>3088.13</v>
      </c>
      <c r="K2488" t="s">
        <v>19</v>
      </c>
      <c r="L2488">
        <v>1210</v>
      </c>
      <c r="M2488">
        <v>7.13</v>
      </c>
      <c r="N2488">
        <v>30.09</v>
      </c>
      <c r="O2488" t="s">
        <v>19</v>
      </c>
      <c r="P2488" t="s">
        <v>1267</v>
      </c>
      <c r="Q2488" t="s">
        <v>19</v>
      </c>
      <c r="R2488" t="str">
        <f>HYPERLINK("https://cfpub.epa.gov/ecotox/explore.cfm?ncbi=91411","Explore in ECOTOX")</f>
        <v>Explore in ECOTOX</v>
      </c>
    </row>
    <row r="2489" spans="1:18" x14ac:dyDescent="0.45">
      <c r="A2489" t="s">
        <v>1266</v>
      </c>
      <c r="B2489">
        <v>8</v>
      </c>
      <c r="C2489" t="str">
        <f>HYPERLINK("http://www.ncbi.nlm.nih.gov/protein/XP_018052371.1","XP_018052371.1")</f>
        <v>XP_018052371.1</v>
      </c>
      <c r="D2489">
        <v>31101</v>
      </c>
      <c r="E2489" t="str">
        <f>HYPERLINK("http://www.ncbi.nlm.nih.gov/Taxonomy/Browser/wwwtax.cgi?mode=Info&amp;id=520822&amp;lvl=3&amp;lin=f&amp;keep=1&amp;srchmode=1&amp;unlock","520822")</f>
        <v>520822</v>
      </c>
      <c r="F2489" t="s">
        <v>760</v>
      </c>
      <c r="G2489" t="str">
        <f>HYPERLINK("http://www.ncbi.nlm.nih.gov/Taxonomy/Browser/wwwtax.cgi?mode=Info&amp;id=520822&amp;lvl=3&amp;lin=f&amp;keep=1&amp;srchmode=1&amp;unlock","Atta colombica")</f>
        <v>Atta colombica</v>
      </c>
      <c r="H2489" t="s">
        <v>809</v>
      </c>
      <c r="I2489" t="str">
        <f>HYPERLINK("http://www.ncbi.nlm.nih.gov/protein/XP_018052371.1","PREDICTED: ryanodine receptor isoform X8")</f>
        <v>PREDICTED: ryanodine receptor isoform X8</v>
      </c>
      <c r="J2489">
        <v>3086.2</v>
      </c>
      <c r="K2489" t="s">
        <v>19</v>
      </c>
      <c r="L2489">
        <v>1210</v>
      </c>
      <c r="M2489">
        <v>7.13</v>
      </c>
      <c r="N2489">
        <v>30.07</v>
      </c>
      <c r="O2489" t="s">
        <v>19</v>
      </c>
      <c r="P2489" t="s">
        <v>1267</v>
      </c>
      <c r="Q2489" t="s">
        <v>19</v>
      </c>
      <c r="R2489" t="str">
        <f>HYPERLINK("https://cfpub.epa.gov/ecotox/explore.cfm?ncbi=520822","Explore in ECOTOX")</f>
        <v>Explore in ECOTOX</v>
      </c>
    </row>
    <row r="2490" spans="1:18" x14ac:dyDescent="0.45">
      <c r="A2490" t="s">
        <v>1266</v>
      </c>
      <c r="B2490">
        <v>8</v>
      </c>
      <c r="C2490" t="str">
        <f>HYPERLINK("http://www.ncbi.nlm.nih.gov/protein/XP_053687055.1","XP_053687055.1")</f>
        <v>XP_053687055.1</v>
      </c>
      <c r="D2490">
        <v>17981</v>
      </c>
      <c r="E2490" t="str">
        <f>HYPERLINK("http://www.ncbi.nlm.nih.gov/Taxonomy/Browser/wwwtax.cgi?mode=Info&amp;id=53552&amp;lvl=3&amp;lin=f&amp;keep=1&amp;srchmode=1&amp;unlock","53552")</f>
        <v>53552</v>
      </c>
      <c r="F2490" t="s">
        <v>760</v>
      </c>
      <c r="G2490" t="str">
        <f>HYPERLINK("http://www.ncbi.nlm.nih.gov/Taxonomy/Browser/wwwtax.cgi?mode=Info&amp;id=53552&amp;lvl=3&amp;lin=f&amp;keep=1&amp;srchmode=1&amp;unlock","Sabethes cyaneus")</f>
        <v>Sabethes cyaneus</v>
      </c>
      <c r="H2490" t="s">
        <v>917</v>
      </c>
      <c r="I2490" t="str">
        <f>HYPERLINK("http://www.ncbi.nlm.nih.gov/protein/XP_053687055.1","ryanodine receptor")</f>
        <v>ryanodine receptor</v>
      </c>
      <c r="J2490">
        <v>3085.82</v>
      </c>
      <c r="K2490" t="s">
        <v>19</v>
      </c>
      <c r="L2490">
        <v>1210</v>
      </c>
      <c r="M2490">
        <v>7.13</v>
      </c>
      <c r="N2490">
        <v>30.07</v>
      </c>
      <c r="O2490" t="s">
        <v>19</v>
      </c>
      <c r="P2490" t="s">
        <v>1267</v>
      </c>
      <c r="Q2490" t="s">
        <v>19</v>
      </c>
      <c r="R2490" t="str">
        <f>HYPERLINK("https://cfpub.epa.gov/ecotox/explore.cfm?ncbi=53552","Explore in ECOTOX")</f>
        <v>Explore in ECOTOX</v>
      </c>
    </row>
    <row r="2491" spans="1:18" x14ac:dyDescent="0.45">
      <c r="A2491" t="s">
        <v>1266</v>
      </c>
      <c r="B2491">
        <v>8</v>
      </c>
      <c r="C2491" t="str">
        <f>HYPERLINK("http://www.ncbi.nlm.nih.gov/protein/XP_039428689.1","XP_039428689.1")</f>
        <v>XP_039428689.1</v>
      </c>
      <c r="D2491">
        <v>26172</v>
      </c>
      <c r="E2491" t="str">
        <f>HYPERLINK("http://www.ncbi.nlm.nih.gov/Taxonomy/Browser/wwwtax.cgi?mode=Info&amp;id=42434&amp;lvl=3&amp;lin=f&amp;keep=1&amp;srchmode=1&amp;unlock","42434")</f>
        <v>42434</v>
      </c>
      <c r="F2491" t="s">
        <v>760</v>
      </c>
      <c r="G2491" t="str">
        <f>HYPERLINK("http://www.ncbi.nlm.nih.gov/Taxonomy/Browser/wwwtax.cgi?mode=Info&amp;id=42434&amp;lvl=3&amp;lin=f&amp;keep=1&amp;srchmode=1&amp;unlock","Culex pipiens pallens")</f>
        <v>Culex pipiens pallens</v>
      </c>
      <c r="H2491" t="s">
        <v>930</v>
      </c>
      <c r="I2491" t="str">
        <f>HYPERLINK("http://www.ncbi.nlm.nih.gov/protein/XP_039428689.1","ryanodine receptor isoform X11")</f>
        <v>ryanodine receptor isoform X11</v>
      </c>
      <c r="J2491">
        <v>3085.43</v>
      </c>
      <c r="K2491" t="s">
        <v>19</v>
      </c>
      <c r="L2491">
        <v>1210</v>
      </c>
      <c r="M2491">
        <v>7.13</v>
      </c>
      <c r="N2491">
        <v>30.06</v>
      </c>
      <c r="O2491" t="s">
        <v>19</v>
      </c>
      <c r="P2491" t="s">
        <v>1267</v>
      </c>
      <c r="Q2491" t="s">
        <v>19</v>
      </c>
      <c r="R2491" t="str">
        <f>HYPERLINK("https://cfpub.epa.gov/ecotox/explore.cfm?ncbi=42434","Explore in ECOTOX")</f>
        <v>Explore in ECOTOX</v>
      </c>
    </row>
    <row r="2492" spans="1:18" x14ac:dyDescent="0.45">
      <c r="A2492" t="s">
        <v>1266</v>
      </c>
      <c r="B2492">
        <v>8</v>
      </c>
      <c r="C2492" t="str">
        <f>HYPERLINK("http://www.ncbi.nlm.nih.gov/protein/XP_038108321.1","XP_038108321.1")</f>
        <v>XP_038108321.1</v>
      </c>
      <c r="D2492">
        <v>44526</v>
      </c>
      <c r="E2492" t="str">
        <f>HYPERLINK("http://www.ncbi.nlm.nih.gov/Taxonomy/Browser/wwwtax.cgi?mode=Info&amp;id=7176&amp;lvl=3&amp;lin=f&amp;keep=1&amp;srchmode=1&amp;unlock","7176")</f>
        <v>7176</v>
      </c>
      <c r="F2492" t="s">
        <v>760</v>
      </c>
      <c r="G2492" t="str">
        <f>HYPERLINK("http://www.ncbi.nlm.nih.gov/Taxonomy/Browser/wwwtax.cgi?mode=Info&amp;id=7176&amp;lvl=3&amp;lin=f&amp;keep=1&amp;srchmode=1&amp;unlock","Culex quinquefasciatus")</f>
        <v>Culex quinquefasciatus</v>
      </c>
      <c r="H2492" t="s">
        <v>929</v>
      </c>
      <c r="I2492" t="str">
        <f>HYPERLINK("http://www.ncbi.nlm.nih.gov/protein/XP_038108321.1","ryanodine receptor isoform X9")</f>
        <v>ryanodine receptor isoform X9</v>
      </c>
      <c r="J2492">
        <v>3085.05</v>
      </c>
      <c r="K2492" t="s">
        <v>19</v>
      </c>
      <c r="L2492">
        <v>1210</v>
      </c>
      <c r="M2492">
        <v>7.13</v>
      </c>
      <c r="N2492">
        <v>30.06</v>
      </c>
      <c r="O2492" t="s">
        <v>19</v>
      </c>
      <c r="P2492" t="s">
        <v>1267</v>
      </c>
      <c r="Q2492" t="s">
        <v>19</v>
      </c>
      <c r="R2492" t="str">
        <f>HYPERLINK("https://cfpub.epa.gov/ecotox/explore.cfm?ncbi=7176","Explore in ECOTOX")</f>
        <v>Explore in ECOTOX</v>
      </c>
    </row>
    <row r="2493" spans="1:18" x14ac:dyDescent="0.45">
      <c r="A2493" t="s">
        <v>1266</v>
      </c>
      <c r="B2493">
        <v>8</v>
      </c>
      <c r="C2493" t="str">
        <f>HYPERLINK("http://www.ncbi.nlm.nih.gov/protein/XP_032524301.1","XP_032524301.1")</f>
        <v>XP_032524301.1</v>
      </c>
      <c r="D2493">
        <v>22764</v>
      </c>
      <c r="E2493" t="str">
        <f>HYPERLINK("http://www.ncbi.nlm.nih.gov/Taxonomy/Browser/wwwtax.cgi?mode=Info&amp;id=278856&amp;lvl=3&amp;lin=f&amp;keep=1&amp;srchmode=1&amp;unlock","278856")</f>
        <v>278856</v>
      </c>
      <c r="F2493" t="s">
        <v>760</v>
      </c>
      <c r="G2493" t="str">
        <f>HYPERLINK("http://www.ncbi.nlm.nih.gov/Taxonomy/Browser/wwwtax.cgi?mode=Info&amp;id=278856&amp;lvl=3&amp;lin=f&amp;keep=1&amp;srchmode=1&amp;unlock","Danaus plexippus plexippus")</f>
        <v>Danaus plexippus plexippus</v>
      </c>
      <c r="H2493" t="s">
        <v>892</v>
      </c>
      <c r="I2493" t="str">
        <f>HYPERLINK("http://www.ncbi.nlm.nih.gov/protein/XP_032524301.1","ryanodine receptor")</f>
        <v>ryanodine receptor</v>
      </c>
      <c r="J2493">
        <v>3083.12</v>
      </c>
      <c r="K2493" t="s">
        <v>19</v>
      </c>
      <c r="L2493">
        <v>1210</v>
      </c>
      <c r="M2493">
        <v>7.13</v>
      </c>
      <c r="N2493">
        <v>30.04</v>
      </c>
      <c r="O2493" t="s">
        <v>19</v>
      </c>
      <c r="P2493" t="s">
        <v>1267</v>
      </c>
      <c r="Q2493" t="s">
        <v>19</v>
      </c>
      <c r="R2493" t="str">
        <f>HYPERLINK("https://cfpub.epa.gov/ecotox/explore.cfm?ncbi=278856","Explore in ECOTOX")</f>
        <v>Explore in ECOTOX</v>
      </c>
    </row>
    <row r="2494" spans="1:18" x14ac:dyDescent="0.45">
      <c r="A2494" t="s">
        <v>1266</v>
      </c>
      <c r="B2494">
        <v>8</v>
      </c>
      <c r="C2494" t="str">
        <f>HYPERLINK("http://www.ncbi.nlm.nih.gov/protein/XP_015173057.1","XP_015173057.1")</f>
        <v>XP_015173057.1</v>
      </c>
      <c r="D2494">
        <v>20991</v>
      </c>
      <c r="E2494" t="str">
        <f>HYPERLINK("http://www.ncbi.nlm.nih.gov/Taxonomy/Browser/wwwtax.cgi?mode=Info&amp;id=743375&amp;lvl=3&amp;lin=f&amp;keep=1&amp;srchmode=1&amp;unlock","743375")</f>
        <v>743375</v>
      </c>
      <c r="F2494" t="s">
        <v>760</v>
      </c>
      <c r="G2494" t="str">
        <f>HYPERLINK("http://www.ncbi.nlm.nih.gov/Taxonomy/Browser/wwwtax.cgi?mode=Info&amp;id=743375&amp;lvl=3&amp;lin=f&amp;keep=1&amp;srchmode=1&amp;unlock","Polistes dominula")</f>
        <v>Polistes dominula</v>
      </c>
      <c r="H2494" t="s">
        <v>806</v>
      </c>
      <c r="I2494" t="str">
        <f>HYPERLINK("http://www.ncbi.nlm.nih.gov/protein/XP_015173057.1","PREDICTED: ryanodine receptor isoform X23")</f>
        <v>PREDICTED: ryanodine receptor isoform X23</v>
      </c>
      <c r="J2494">
        <v>3083.12</v>
      </c>
      <c r="K2494" t="s">
        <v>19</v>
      </c>
      <c r="L2494">
        <v>1210</v>
      </c>
      <c r="M2494">
        <v>7.13</v>
      </c>
      <c r="N2494">
        <v>30.04</v>
      </c>
      <c r="O2494" t="s">
        <v>19</v>
      </c>
      <c r="P2494" t="s">
        <v>1267</v>
      </c>
      <c r="Q2494" t="s">
        <v>19</v>
      </c>
      <c r="R2494" t="str">
        <f>HYPERLINK("https://cfpub.epa.gov/ecotox/explore.cfm?ncbi=743375","Explore in ECOTOX")</f>
        <v>Explore in ECOTOX</v>
      </c>
    </row>
    <row r="2495" spans="1:18" x14ac:dyDescent="0.45">
      <c r="A2495" t="s">
        <v>1266</v>
      </c>
      <c r="B2495">
        <v>8</v>
      </c>
      <c r="C2495" t="str">
        <f>HYPERLINK("http://www.ncbi.nlm.nih.gov/protein/XP_029731102.1","XP_029731102.1")</f>
        <v>XP_029731102.1</v>
      </c>
      <c r="D2495">
        <v>60125</v>
      </c>
      <c r="E2495" t="str">
        <f>HYPERLINK("http://www.ncbi.nlm.nih.gov/Taxonomy/Browser/wwwtax.cgi?mode=Info&amp;id=7160&amp;lvl=3&amp;lin=f&amp;keep=1&amp;srchmode=1&amp;unlock","7160")</f>
        <v>7160</v>
      </c>
      <c r="F2495" t="s">
        <v>760</v>
      </c>
      <c r="G2495" t="str">
        <f>HYPERLINK("http://www.ncbi.nlm.nih.gov/Taxonomy/Browser/wwwtax.cgi?mode=Info&amp;id=7160&amp;lvl=3&amp;lin=f&amp;keep=1&amp;srchmode=1&amp;unlock","Aedes albopictus")</f>
        <v>Aedes albopictus</v>
      </c>
      <c r="H2495" t="s">
        <v>925</v>
      </c>
      <c r="I2495" t="str">
        <f>HYPERLINK("http://www.ncbi.nlm.nih.gov/protein/XP_029731102.1","ryanodine receptor isoform X8")</f>
        <v>ryanodine receptor isoform X8</v>
      </c>
      <c r="J2495">
        <v>3081.97</v>
      </c>
      <c r="K2495" t="s">
        <v>19</v>
      </c>
      <c r="L2495">
        <v>1210</v>
      </c>
      <c r="M2495">
        <v>7.13</v>
      </c>
      <c r="N2495">
        <v>30.03</v>
      </c>
      <c r="O2495" t="s">
        <v>19</v>
      </c>
      <c r="P2495" t="s">
        <v>1267</v>
      </c>
      <c r="Q2495" t="s">
        <v>19</v>
      </c>
      <c r="R2495" t="str">
        <f>HYPERLINK("https://cfpub.epa.gov/ecotox/explore.cfm?ncbi=7160","Explore in ECOTOX")</f>
        <v>Explore in ECOTOX</v>
      </c>
    </row>
    <row r="2496" spans="1:18" x14ac:dyDescent="0.45">
      <c r="A2496" t="s">
        <v>1266</v>
      </c>
      <c r="B2496">
        <v>8</v>
      </c>
      <c r="C2496" t="str">
        <f>HYPERLINK("http://www.ncbi.nlm.nih.gov/protein/XP_022828487.1","XP_022828487.1")</f>
        <v>XP_022828487.1</v>
      </c>
      <c r="D2496">
        <v>24208</v>
      </c>
      <c r="E2496" t="str">
        <f>HYPERLINK("http://www.ncbi.nlm.nih.gov/Taxonomy/Browser/wwwtax.cgi?mode=Info&amp;id=69820&amp;lvl=3&amp;lin=f&amp;keep=1&amp;srchmode=1&amp;unlock","69820")</f>
        <v>69820</v>
      </c>
      <c r="F2496" t="s">
        <v>760</v>
      </c>
      <c r="G2496" t="str">
        <f>HYPERLINK("http://www.ncbi.nlm.nih.gov/Taxonomy/Browser/wwwtax.cgi?mode=Info&amp;id=69820&amp;lvl=3&amp;lin=f&amp;keep=1&amp;srchmode=1&amp;unlock","Spodoptera litura")</f>
        <v>Spodoptera litura</v>
      </c>
      <c r="H2496" t="s">
        <v>883</v>
      </c>
      <c r="I2496" t="str">
        <f>HYPERLINK("http://www.ncbi.nlm.nih.gov/protein/XP_022828487.1","ryanodine receptor")</f>
        <v>ryanodine receptor</v>
      </c>
      <c r="J2496">
        <v>3081.97</v>
      </c>
      <c r="K2496" t="s">
        <v>22</v>
      </c>
      <c r="L2496">
        <v>1210</v>
      </c>
      <c r="M2496">
        <v>7.13</v>
      </c>
      <c r="N2496">
        <v>30.03</v>
      </c>
      <c r="O2496" t="s">
        <v>19</v>
      </c>
      <c r="P2496" t="s">
        <v>1267</v>
      </c>
      <c r="Q2496" t="s">
        <v>19</v>
      </c>
      <c r="R2496" t="str">
        <f>HYPERLINK("https://cfpub.epa.gov/ecotox/explore.cfm?ncbi=69820","Explore in ECOTOX")</f>
        <v>Explore in ECOTOX</v>
      </c>
    </row>
    <row r="2497" spans="1:18" x14ac:dyDescent="0.45">
      <c r="A2497" t="s">
        <v>1266</v>
      </c>
      <c r="B2497">
        <v>8</v>
      </c>
      <c r="C2497" t="str">
        <f>HYPERLINK("http://www.ncbi.nlm.nih.gov/protein/XP_058462432.1","XP_058462432.1")</f>
        <v>XP_058462432.1</v>
      </c>
      <c r="D2497">
        <v>25649</v>
      </c>
      <c r="E2497" t="str">
        <f>HYPERLINK("http://www.ncbi.nlm.nih.gov/Taxonomy/Browser/wwwtax.cgi?mode=Info&amp;id=325434&amp;lvl=3&amp;lin=f&amp;keep=1&amp;srchmode=1&amp;unlock","325434")</f>
        <v>325434</v>
      </c>
      <c r="F2497" t="s">
        <v>760</v>
      </c>
      <c r="G2497" t="str">
        <f>HYPERLINK("http://www.ncbi.nlm.nih.gov/Taxonomy/Browser/wwwtax.cgi?mode=Info&amp;id=325434&amp;lvl=3&amp;lin=f&amp;keep=1&amp;srchmode=1&amp;unlock","Malaya genurostris")</f>
        <v>Malaya genurostris</v>
      </c>
      <c r="H2497" t="s">
        <v>917</v>
      </c>
      <c r="I2497" t="str">
        <f>HYPERLINK("http://www.ncbi.nlm.nih.gov/protein/XP_058462432.1","ryanodine receptor isoform X25")</f>
        <v>ryanodine receptor isoform X25</v>
      </c>
      <c r="J2497">
        <v>3080.81</v>
      </c>
      <c r="K2497" t="s">
        <v>19</v>
      </c>
      <c r="L2497">
        <v>1210</v>
      </c>
      <c r="M2497">
        <v>7.13</v>
      </c>
      <c r="N2497">
        <v>30.02</v>
      </c>
      <c r="O2497" t="s">
        <v>19</v>
      </c>
      <c r="P2497" t="s">
        <v>1267</v>
      </c>
      <c r="Q2497" t="s">
        <v>19</v>
      </c>
      <c r="R2497" t="str">
        <f>HYPERLINK("https://cfpub.epa.gov/ecotox/explore.cfm?ncbi=325434","Explore in ECOTOX")</f>
        <v>Explore in ECOTOX</v>
      </c>
    </row>
    <row r="2498" spans="1:18" x14ac:dyDescent="0.45">
      <c r="A2498" t="s">
        <v>1266</v>
      </c>
      <c r="B2498">
        <v>8</v>
      </c>
      <c r="C2498" t="str">
        <f>HYPERLINK("http://www.ncbi.nlm.nih.gov/protein/WAD71761.1","WAD71761.1")</f>
        <v>WAD71761.1</v>
      </c>
      <c r="D2498">
        <v>89962</v>
      </c>
      <c r="E2498" t="str">
        <f>HYPERLINK("http://www.ncbi.nlm.nih.gov/Taxonomy/Browser/wwwtax.cgi?mode=Info&amp;id=121845&amp;lvl=3&amp;lin=f&amp;keep=1&amp;srchmode=1&amp;unlock","121845")</f>
        <v>121845</v>
      </c>
      <c r="F2498" t="s">
        <v>760</v>
      </c>
      <c r="G2498" t="str">
        <f>HYPERLINK("http://www.ncbi.nlm.nih.gov/Taxonomy/Browser/wwwtax.cgi?mode=Info&amp;id=121845&amp;lvl=3&amp;lin=f&amp;keep=1&amp;srchmode=1&amp;unlock","Diaphorina citri")</f>
        <v>Diaphorina citri</v>
      </c>
      <c r="H2498" t="s">
        <v>915</v>
      </c>
      <c r="I2498" t="str">
        <f>HYPERLINK("http://www.ncbi.nlm.nih.gov/protein/WAD71761.1","ryanodine receptor")</f>
        <v>ryanodine receptor</v>
      </c>
      <c r="J2498">
        <v>3080.43</v>
      </c>
      <c r="K2498" t="s">
        <v>19</v>
      </c>
      <c r="L2498">
        <v>1210</v>
      </c>
      <c r="M2498">
        <v>7.13</v>
      </c>
      <c r="N2498">
        <v>30.02</v>
      </c>
      <c r="O2498" t="s">
        <v>19</v>
      </c>
      <c r="P2498" t="s">
        <v>1267</v>
      </c>
      <c r="Q2498" t="s">
        <v>19</v>
      </c>
      <c r="R2498" t="str">
        <f>HYPERLINK("https://cfpub.epa.gov/ecotox/explore.cfm?ncbi=121845","Explore in ECOTOX")</f>
        <v>Explore in ECOTOX</v>
      </c>
    </row>
    <row r="2499" spans="1:18" x14ac:dyDescent="0.45">
      <c r="A2499" t="s">
        <v>1266</v>
      </c>
      <c r="B2499">
        <v>8</v>
      </c>
      <c r="C2499" t="str">
        <f>HYPERLINK("http://www.ncbi.nlm.nih.gov/protein/KAK2581454.1","KAK2581454.1")</f>
        <v>KAK2581454.1</v>
      </c>
      <c r="D2499">
        <v>14711</v>
      </c>
      <c r="E2499" t="str">
        <f>HYPERLINK("http://www.ncbi.nlm.nih.gov/Taxonomy/Browser/wwwtax.cgi?mode=Info&amp;id=1348599&amp;lvl=3&amp;lin=f&amp;keep=1&amp;srchmode=1&amp;unlock","1348599")</f>
        <v>1348599</v>
      </c>
      <c r="F2499" t="s">
        <v>760</v>
      </c>
      <c r="G2499" t="str">
        <f>HYPERLINK("http://www.ncbi.nlm.nih.gov/Taxonomy/Browser/wwwtax.cgi?mode=Info&amp;id=1348599&amp;lvl=3&amp;lin=f&amp;keep=1&amp;srchmode=1&amp;unlock","Odynerus spinipes")</f>
        <v>Odynerus spinipes</v>
      </c>
      <c r="H2499" t="s">
        <v>1048</v>
      </c>
      <c r="I2499" t="str">
        <f>HYPERLINK("http://www.ncbi.nlm.nih.gov/protein/KAK2581454.1","hypothetical protein KPH14_005126")</f>
        <v>hypothetical protein KPH14_005126</v>
      </c>
      <c r="J2499">
        <v>3080.43</v>
      </c>
      <c r="K2499" t="s">
        <v>22</v>
      </c>
      <c r="L2499">
        <v>1210</v>
      </c>
      <c r="M2499">
        <v>7.13</v>
      </c>
      <c r="N2499">
        <v>30.02</v>
      </c>
      <c r="O2499" t="s">
        <v>19</v>
      </c>
      <c r="P2499" t="s">
        <v>1267</v>
      </c>
      <c r="Q2499" t="s">
        <v>19</v>
      </c>
      <c r="R2499" t="str">
        <f>HYPERLINK("https://cfpub.epa.gov/ecotox/explore.cfm?ncbi=1348599","Explore in ECOTOX")</f>
        <v>Explore in ECOTOX</v>
      </c>
    </row>
    <row r="2500" spans="1:18" x14ac:dyDescent="0.45">
      <c r="A2500" t="s">
        <v>1266</v>
      </c>
      <c r="B2500">
        <v>8</v>
      </c>
      <c r="C2500" t="str">
        <f>HYPERLINK("http://www.ncbi.nlm.nih.gov/protein/XP_045507768.1","XP_045507768.1")</f>
        <v>XP_045507768.1</v>
      </c>
      <c r="D2500">
        <v>21412</v>
      </c>
      <c r="E2500" t="str">
        <f>HYPERLINK("http://www.ncbi.nlm.nih.gov/Taxonomy/Browser/wwwtax.cgi?mode=Info&amp;id=72248&amp;lvl=3&amp;lin=f&amp;keep=1&amp;srchmode=1&amp;unlock","72248")</f>
        <v>72248</v>
      </c>
      <c r="F2500" t="s">
        <v>760</v>
      </c>
      <c r="G2500" t="str">
        <f>HYPERLINK("http://www.ncbi.nlm.nih.gov/Taxonomy/Browser/wwwtax.cgi?mode=Info&amp;id=72248&amp;lvl=3&amp;lin=f&amp;keep=1&amp;srchmode=1&amp;unlock","Colias croceus")</f>
        <v>Colias croceus</v>
      </c>
      <c r="H2500" t="s">
        <v>926</v>
      </c>
      <c r="I2500" t="str">
        <f>HYPERLINK("http://www.ncbi.nlm.nih.gov/protein/XP_045507768.1","LOW QUALITY PROTEIN: ryanodine receptor")</f>
        <v>LOW QUALITY PROTEIN: ryanodine receptor</v>
      </c>
      <c r="J2500">
        <v>3080.04</v>
      </c>
      <c r="K2500" t="s">
        <v>19</v>
      </c>
      <c r="L2500">
        <v>1210</v>
      </c>
      <c r="M2500">
        <v>7.13</v>
      </c>
      <c r="N2500">
        <v>30.01</v>
      </c>
      <c r="O2500" t="s">
        <v>19</v>
      </c>
      <c r="P2500" t="s">
        <v>1267</v>
      </c>
      <c r="Q2500" t="s">
        <v>19</v>
      </c>
      <c r="R2500" t="str">
        <f>HYPERLINK("https://cfpub.epa.gov/ecotox/explore.cfm?ncbi=72248","Explore in ECOTOX")</f>
        <v>Explore in ECOTOX</v>
      </c>
    </row>
    <row r="2501" spans="1:18" x14ac:dyDescent="0.45">
      <c r="A2501" t="s">
        <v>1266</v>
      </c>
      <c r="B2501">
        <v>8</v>
      </c>
      <c r="C2501" t="str">
        <f>HYPERLINK("http://www.ncbi.nlm.nih.gov/protein/XP_018343964.1","XP_018343964.1")</f>
        <v>XP_018343964.1</v>
      </c>
      <c r="D2501">
        <v>35615</v>
      </c>
      <c r="E2501" t="str">
        <f>HYPERLINK("http://www.ncbi.nlm.nih.gov/Taxonomy/Browser/wwwtax.cgi?mode=Info&amp;id=34720&amp;lvl=3&amp;lin=f&amp;keep=1&amp;srchmode=1&amp;unlock","34720")</f>
        <v>34720</v>
      </c>
      <c r="F2501" t="s">
        <v>760</v>
      </c>
      <c r="G2501" t="str">
        <f>HYPERLINK("http://www.ncbi.nlm.nih.gov/Taxonomy/Browser/wwwtax.cgi?mode=Info&amp;id=34720&amp;lvl=3&amp;lin=f&amp;keep=1&amp;srchmode=1&amp;unlock","Trachymyrmex septentrionalis")</f>
        <v>Trachymyrmex septentrionalis</v>
      </c>
      <c r="H2501" t="s">
        <v>769</v>
      </c>
      <c r="I2501" t="str">
        <f>HYPERLINK("http://www.ncbi.nlm.nih.gov/protein/XP_018343964.1","PREDICTED: ryanodine receptor")</f>
        <v>PREDICTED: ryanodine receptor</v>
      </c>
      <c r="J2501">
        <v>3079.66</v>
      </c>
      <c r="K2501" t="s">
        <v>19</v>
      </c>
      <c r="L2501">
        <v>1210</v>
      </c>
      <c r="M2501">
        <v>7.13</v>
      </c>
      <c r="N2501">
        <v>30.01</v>
      </c>
      <c r="O2501" t="s">
        <v>19</v>
      </c>
      <c r="P2501" t="s">
        <v>1267</v>
      </c>
      <c r="Q2501" t="s">
        <v>19</v>
      </c>
      <c r="R2501" t="str">
        <f>HYPERLINK("https://cfpub.epa.gov/ecotox/explore.cfm?ncbi=34720","Explore in ECOTOX")</f>
        <v>Explore in ECOTOX</v>
      </c>
    </row>
    <row r="2502" spans="1:18" x14ac:dyDescent="0.45">
      <c r="A2502" t="s">
        <v>1266</v>
      </c>
      <c r="B2502">
        <v>8</v>
      </c>
      <c r="C2502" t="str">
        <f>HYPERLINK("http://www.ncbi.nlm.nih.gov/protein/AXA98483.1","AXA98483.1")</f>
        <v>AXA98483.1</v>
      </c>
      <c r="D2502">
        <v>350</v>
      </c>
      <c r="E2502" t="str">
        <f>HYPERLINK("http://www.ncbi.nlm.nih.gov/Taxonomy/Browser/wwwtax.cgi?mode=Info&amp;id=492764&amp;lvl=3&amp;lin=f&amp;keep=1&amp;srchmode=1&amp;unlock","492764")</f>
        <v>492764</v>
      </c>
      <c r="F2502" t="s">
        <v>760</v>
      </c>
      <c r="G2502" t="str">
        <f>HYPERLINK("http://www.ncbi.nlm.nih.gov/Taxonomy/Browser/wwwtax.cgi?mode=Info&amp;id=492764&amp;lvl=3&amp;lin=f&amp;keep=1&amp;srchmode=1&amp;unlock","Sesamia inferens")</f>
        <v>Sesamia inferens</v>
      </c>
      <c r="H2502" t="s">
        <v>908</v>
      </c>
      <c r="I2502" t="str">
        <f>HYPERLINK("http://www.ncbi.nlm.nih.gov/protein/AXA98483.1","Ryanodine receptor")</f>
        <v>Ryanodine receptor</v>
      </c>
      <c r="J2502">
        <v>3079.27</v>
      </c>
      <c r="K2502" t="s">
        <v>22</v>
      </c>
      <c r="L2502">
        <v>1210</v>
      </c>
      <c r="M2502">
        <v>7.13</v>
      </c>
      <c r="N2502">
        <v>30</v>
      </c>
      <c r="O2502" t="s">
        <v>19</v>
      </c>
      <c r="P2502" t="s">
        <v>1267</v>
      </c>
      <c r="Q2502" t="s">
        <v>19</v>
      </c>
      <c r="R2502" t="str">
        <f>HYPERLINK("https://cfpub.epa.gov/ecotox/explore.cfm?ncbi=492764","Explore in ECOTOX")</f>
        <v>Explore in ECOTOX</v>
      </c>
    </row>
    <row r="2503" spans="1:18" x14ac:dyDescent="0.45">
      <c r="A2503" t="s">
        <v>1266</v>
      </c>
      <c r="B2503">
        <v>8</v>
      </c>
      <c r="C2503" t="str">
        <f>HYPERLINK("http://www.ncbi.nlm.nih.gov/protein/XP_011880153.1","XP_011880153.1")</f>
        <v>XP_011880153.1</v>
      </c>
      <c r="D2503">
        <v>26327</v>
      </c>
      <c r="E2503" t="str">
        <f>HYPERLINK("http://www.ncbi.nlm.nih.gov/Taxonomy/Browser/wwwtax.cgi?mode=Info&amp;id=411798&amp;lvl=3&amp;lin=f&amp;keep=1&amp;srchmode=1&amp;unlock","411798")</f>
        <v>411798</v>
      </c>
      <c r="F2503" t="s">
        <v>760</v>
      </c>
      <c r="G2503" t="str">
        <f>HYPERLINK("http://www.ncbi.nlm.nih.gov/Taxonomy/Browser/wwwtax.cgi?mode=Info&amp;id=411798&amp;lvl=3&amp;lin=f&amp;keep=1&amp;srchmode=1&amp;unlock","Vollenhovia emeryi")</f>
        <v>Vollenhovia emeryi</v>
      </c>
      <c r="H2503" t="s">
        <v>769</v>
      </c>
      <c r="I2503" t="str">
        <f>HYPERLINK("http://www.ncbi.nlm.nih.gov/protein/XP_011880153.1","PREDICTED: ryanodine receptor 44F isoform X3")</f>
        <v>PREDICTED: ryanodine receptor 44F isoform X3</v>
      </c>
      <c r="J2503">
        <v>3078.12</v>
      </c>
      <c r="K2503" t="s">
        <v>22</v>
      </c>
      <c r="L2503">
        <v>1210</v>
      </c>
      <c r="M2503">
        <v>7.13</v>
      </c>
      <c r="N2503">
        <v>29.99</v>
      </c>
      <c r="O2503" t="s">
        <v>19</v>
      </c>
      <c r="P2503" t="s">
        <v>1267</v>
      </c>
      <c r="Q2503" t="s">
        <v>19</v>
      </c>
      <c r="R2503" t="str">
        <f>HYPERLINK("https://cfpub.epa.gov/ecotox/explore.cfm?ncbi=411798","Explore in ECOTOX")</f>
        <v>Explore in ECOTOX</v>
      </c>
    </row>
    <row r="2504" spans="1:18" x14ac:dyDescent="0.45">
      <c r="A2504" t="s">
        <v>1266</v>
      </c>
      <c r="B2504">
        <v>8</v>
      </c>
      <c r="C2504" t="str">
        <f>HYPERLINK("http://www.ncbi.nlm.nih.gov/protein/XP_055596497.1","XP_055596497.1")</f>
        <v>XP_055596497.1</v>
      </c>
      <c r="D2504">
        <v>30080</v>
      </c>
      <c r="E2504" t="str">
        <f>HYPERLINK("http://www.ncbi.nlm.nih.gov/Taxonomy/Browser/wwwtax.cgi?mode=Info&amp;id=190385&amp;lvl=3&amp;lin=f&amp;keep=1&amp;srchmode=1&amp;unlock","190385")</f>
        <v>190385</v>
      </c>
      <c r="F2504" t="s">
        <v>760</v>
      </c>
      <c r="G2504" t="str">
        <f>HYPERLINK("http://www.ncbi.nlm.nih.gov/Taxonomy/Browser/wwwtax.cgi?mode=Info&amp;id=190385&amp;lvl=3&amp;lin=f&amp;keep=1&amp;srchmode=1&amp;unlock","Uranotaenia lowii")</f>
        <v>Uranotaenia lowii</v>
      </c>
      <c r="H2504" t="s">
        <v>917</v>
      </c>
      <c r="I2504" t="str">
        <f>HYPERLINK("http://www.ncbi.nlm.nih.gov/protein/XP_055596497.1","ryanodine receptor isoform X23")</f>
        <v>ryanodine receptor isoform X23</v>
      </c>
      <c r="J2504">
        <v>3077.73</v>
      </c>
      <c r="K2504" t="s">
        <v>19</v>
      </c>
      <c r="L2504">
        <v>1210</v>
      </c>
      <c r="M2504">
        <v>7.13</v>
      </c>
      <c r="N2504">
        <v>29.99</v>
      </c>
      <c r="O2504" t="s">
        <v>19</v>
      </c>
      <c r="P2504" t="s">
        <v>1267</v>
      </c>
      <c r="Q2504" t="s">
        <v>19</v>
      </c>
      <c r="R2504" t="str">
        <f>HYPERLINK("https://cfpub.epa.gov/ecotox/explore.cfm?ncbi=190385","Explore in ECOTOX")</f>
        <v>Explore in ECOTOX</v>
      </c>
    </row>
    <row r="2505" spans="1:18" x14ac:dyDescent="0.45">
      <c r="A2505" t="s">
        <v>1266</v>
      </c>
      <c r="B2505">
        <v>8</v>
      </c>
      <c r="C2505" t="str">
        <f>HYPERLINK("http://www.ncbi.nlm.nih.gov/protein/KAI4471407.1","KAI4471407.1")</f>
        <v>KAI4471407.1</v>
      </c>
      <c r="D2505">
        <v>19443</v>
      </c>
      <c r="E2505" t="str">
        <f>HYPERLINK("http://www.ncbi.nlm.nih.gov/Taxonomy/Browser/wwwtax.cgi?mode=Info&amp;id=644536&amp;lvl=3&amp;lin=f&amp;keep=1&amp;srchmode=1&amp;unlock","644536")</f>
        <v>644536</v>
      </c>
      <c r="F2505" t="s">
        <v>760</v>
      </c>
      <c r="G2505" t="str">
        <f>HYPERLINK("http://www.ncbi.nlm.nih.gov/Taxonomy/Browser/wwwtax.cgi?mode=Info&amp;id=644536&amp;lvl=3&amp;lin=f&amp;keep=1&amp;srchmode=1&amp;unlock","Holotrichia oblita")</f>
        <v>Holotrichia oblita</v>
      </c>
      <c r="H2505" t="s">
        <v>906</v>
      </c>
      <c r="I2505" t="str">
        <f>HYPERLINK("http://www.ncbi.nlm.nih.gov/protein/KAI4471407.1","ran binding protein 9-related")</f>
        <v>ran binding protein 9-related</v>
      </c>
      <c r="J2505">
        <v>3076.57</v>
      </c>
      <c r="K2505" t="s">
        <v>19</v>
      </c>
      <c r="L2505">
        <v>1210</v>
      </c>
      <c r="M2505">
        <v>7.13</v>
      </c>
      <c r="N2505">
        <v>29.98</v>
      </c>
      <c r="O2505" t="s">
        <v>19</v>
      </c>
      <c r="P2505" t="s">
        <v>1267</v>
      </c>
      <c r="Q2505" t="s">
        <v>19</v>
      </c>
      <c r="R2505" t="str">
        <f>HYPERLINK("https://cfpub.epa.gov/ecotox/explore.cfm?ncbi=644536","Explore in ECOTOX")</f>
        <v>Explore in ECOTOX</v>
      </c>
    </row>
    <row r="2506" spans="1:18" x14ac:dyDescent="0.45">
      <c r="A2506" t="s">
        <v>1266</v>
      </c>
      <c r="B2506">
        <v>8</v>
      </c>
      <c r="C2506" t="str">
        <f>HYPERLINK("http://www.ncbi.nlm.nih.gov/protein/XP_050517095.1","XP_050517095.1")</f>
        <v>XP_050517095.1</v>
      </c>
      <c r="D2506">
        <v>32503</v>
      </c>
      <c r="E2506" t="str">
        <f>HYPERLINK("http://www.ncbi.nlm.nih.gov/Taxonomy/Browser/wwwtax.cgi?mode=Info&amp;id=50390&amp;lvl=3&amp;lin=f&amp;keep=1&amp;srchmode=1&amp;unlock","50390")</f>
        <v>50390</v>
      </c>
      <c r="F2506" t="s">
        <v>760</v>
      </c>
      <c r="G2506" t="str">
        <f>HYPERLINK("http://www.ncbi.nlm.nih.gov/Taxonomy/Browser/wwwtax.cgi?mode=Info&amp;id=50390&amp;lvl=3&amp;lin=f&amp;keep=1&amp;srchmode=1&amp;unlock","Diabrotica virgifera virgifera")</f>
        <v>Diabrotica virgifera virgifera</v>
      </c>
      <c r="H2506" t="s">
        <v>937</v>
      </c>
      <c r="I2506" t="str">
        <f>HYPERLINK("http://www.ncbi.nlm.nih.gov/protein/XP_050517095.1","ryanodine receptor isoform X3")</f>
        <v>ryanodine receptor isoform X3</v>
      </c>
      <c r="J2506">
        <v>3075.8</v>
      </c>
      <c r="K2506" t="s">
        <v>19</v>
      </c>
      <c r="L2506">
        <v>1210</v>
      </c>
      <c r="M2506">
        <v>7.13</v>
      </c>
      <c r="N2506">
        <v>29.97</v>
      </c>
      <c r="O2506" t="s">
        <v>19</v>
      </c>
      <c r="P2506" t="s">
        <v>1267</v>
      </c>
      <c r="Q2506" t="s">
        <v>19</v>
      </c>
      <c r="R2506" t="str">
        <f>HYPERLINK("https://cfpub.epa.gov/ecotox/explore.cfm?ncbi=50390","Explore in ECOTOX")</f>
        <v>Explore in ECOTOX</v>
      </c>
    </row>
    <row r="2507" spans="1:18" x14ac:dyDescent="0.45">
      <c r="A2507" t="s">
        <v>1266</v>
      </c>
      <c r="B2507">
        <v>8</v>
      </c>
      <c r="C2507" t="str">
        <f>HYPERLINK("http://www.ncbi.nlm.nih.gov/protein/KAF7268962.1","KAF7268962.1")</f>
        <v>KAF7268962.1</v>
      </c>
      <c r="D2507">
        <v>25918</v>
      </c>
      <c r="E2507" t="str">
        <f>HYPERLINK("http://www.ncbi.nlm.nih.gov/Taxonomy/Browser/wwwtax.cgi?mode=Info&amp;id=354439&amp;lvl=3&amp;lin=f&amp;keep=1&amp;srchmode=1&amp;unlock","354439")</f>
        <v>354439</v>
      </c>
      <c r="F2507" t="s">
        <v>760</v>
      </c>
      <c r="G2507" t="str">
        <f>HYPERLINK("http://www.ncbi.nlm.nih.gov/Taxonomy/Browser/wwwtax.cgi?mode=Info&amp;id=354439&amp;lvl=3&amp;lin=f&amp;keep=1&amp;srchmode=1&amp;unlock","Rhynchophorus ferrugineus")</f>
        <v>Rhynchophorus ferrugineus</v>
      </c>
      <c r="H2507" t="s">
        <v>1098</v>
      </c>
      <c r="I2507" t="str">
        <f>HYPERLINK("http://www.ncbi.nlm.nih.gov/protein/KAF7268962.1","hypothetical protein GWI33_017947")</f>
        <v>hypothetical protein GWI33_017947</v>
      </c>
      <c r="J2507">
        <v>3075.8</v>
      </c>
      <c r="K2507" t="s">
        <v>19</v>
      </c>
      <c r="L2507">
        <v>1210</v>
      </c>
      <c r="M2507">
        <v>7.13</v>
      </c>
      <c r="N2507">
        <v>29.97</v>
      </c>
      <c r="O2507" t="s">
        <v>19</v>
      </c>
      <c r="P2507" t="s">
        <v>1267</v>
      </c>
      <c r="Q2507" t="s">
        <v>19</v>
      </c>
      <c r="R2507" t="str">
        <f>HYPERLINK("https://cfpub.epa.gov/ecotox/explore.cfm?ncbi=354439","Explore in ECOTOX")</f>
        <v>Explore in ECOTOX</v>
      </c>
    </row>
    <row r="2508" spans="1:18" x14ac:dyDescent="0.45">
      <c r="A2508" t="s">
        <v>1266</v>
      </c>
      <c r="B2508">
        <v>8</v>
      </c>
      <c r="C2508" t="str">
        <f>HYPERLINK("http://www.ncbi.nlm.nih.gov/protein/XP_018373269.1","XP_018373269.1")</f>
        <v>XP_018373269.1</v>
      </c>
      <c r="D2508">
        <v>40061</v>
      </c>
      <c r="E2508" t="str">
        <f>HYPERLINK("http://www.ncbi.nlm.nih.gov/Taxonomy/Browser/wwwtax.cgi?mode=Info&amp;id=471704&amp;lvl=3&amp;lin=f&amp;keep=1&amp;srchmode=1&amp;unlock","471704")</f>
        <v>471704</v>
      </c>
      <c r="F2508" t="s">
        <v>760</v>
      </c>
      <c r="G2508" t="str">
        <f>HYPERLINK("http://www.ncbi.nlm.nih.gov/Taxonomy/Browser/wwwtax.cgi?mode=Info&amp;id=471704&amp;lvl=3&amp;lin=f&amp;keep=1&amp;srchmode=1&amp;unlock","Trachymyrmex cornetzi")</f>
        <v>Trachymyrmex cornetzi</v>
      </c>
      <c r="H2508" t="s">
        <v>769</v>
      </c>
      <c r="I2508" t="str">
        <f>HYPERLINK("http://www.ncbi.nlm.nih.gov/protein/XP_018373269.1","PREDICTED: ryanodine receptor isoform X9")</f>
        <v>PREDICTED: ryanodine receptor isoform X9</v>
      </c>
      <c r="J2508">
        <v>3074.65</v>
      </c>
      <c r="K2508" t="s">
        <v>19</v>
      </c>
      <c r="L2508">
        <v>1210</v>
      </c>
      <c r="M2508">
        <v>7.13</v>
      </c>
      <c r="N2508">
        <v>29.96</v>
      </c>
      <c r="O2508" t="s">
        <v>19</v>
      </c>
      <c r="P2508" t="s">
        <v>1267</v>
      </c>
      <c r="Q2508" t="s">
        <v>19</v>
      </c>
      <c r="R2508" t="str">
        <f>HYPERLINK("https://cfpub.epa.gov/ecotox/explore.cfm?ncbi=471704","Explore in ECOTOX")</f>
        <v>Explore in ECOTOX</v>
      </c>
    </row>
    <row r="2509" spans="1:18" x14ac:dyDescent="0.45">
      <c r="A2509" t="s">
        <v>1266</v>
      </c>
      <c r="B2509">
        <v>8</v>
      </c>
      <c r="C2509" t="str">
        <f>HYPERLINK("http://www.ncbi.nlm.nih.gov/protein/KAI4492832.1","KAI4492832.1")</f>
        <v>KAI4492832.1</v>
      </c>
      <c r="D2509">
        <v>15634</v>
      </c>
      <c r="E2509" t="str">
        <f>HYPERLINK("http://www.ncbi.nlm.nih.gov/Taxonomy/Browser/wwwtax.cgi?mode=Info&amp;id=27506&amp;lvl=3&amp;lin=f&amp;keep=1&amp;srchmode=1&amp;unlock","27506")</f>
        <v>27506</v>
      </c>
      <c r="F2509" t="s">
        <v>760</v>
      </c>
      <c r="G2509" t="str">
        <f>HYPERLINK("http://www.ncbi.nlm.nih.gov/Taxonomy/Browser/wwwtax.cgi?mode=Info&amp;id=27506&amp;lvl=3&amp;lin=f&amp;keep=1&amp;srchmode=1&amp;unlock","Polistes exclamans")</f>
        <v>Polistes exclamans</v>
      </c>
      <c r="H2509" t="s">
        <v>808</v>
      </c>
      <c r="I2509" t="str">
        <f>HYPERLINK("http://www.ncbi.nlm.nih.gov/protein/KAI4492832.1","hypothetical protein M0804_002623")</f>
        <v>hypothetical protein M0804_002623</v>
      </c>
      <c r="J2509">
        <v>3073.88</v>
      </c>
      <c r="K2509" t="s">
        <v>19</v>
      </c>
      <c r="L2509">
        <v>1210</v>
      </c>
      <c r="M2509">
        <v>7.13</v>
      </c>
      <c r="N2509">
        <v>29.95</v>
      </c>
      <c r="O2509" t="s">
        <v>19</v>
      </c>
      <c r="P2509" t="s">
        <v>1267</v>
      </c>
      <c r="Q2509" t="s">
        <v>19</v>
      </c>
      <c r="R2509" t="str">
        <f>HYPERLINK("https://cfpub.epa.gov/ecotox/explore.cfm?ncbi=27506","Explore in ECOTOX")</f>
        <v>Explore in ECOTOX</v>
      </c>
    </row>
    <row r="2510" spans="1:18" x14ac:dyDescent="0.45">
      <c r="A2510" t="s">
        <v>1266</v>
      </c>
      <c r="B2510">
        <v>8</v>
      </c>
      <c r="C2510" t="str">
        <f>HYPERLINK("http://www.ncbi.nlm.nih.gov/protein/XP_025075380.1","XP_025075380.1")</f>
        <v>XP_025075380.1</v>
      </c>
      <c r="D2510">
        <v>19273</v>
      </c>
      <c r="E2510" t="str">
        <f>HYPERLINK("http://www.ncbi.nlm.nih.gov/Taxonomy/Browser/wwwtax.cgi?mode=Info&amp;id=144034&amp;lvl=3&amp;lin=f&amp;keep=1&amp;srchmode=1&amp;unlock","144034")</f>
        <v>144034</v>
      </c>
      <c r="F2510" t="s">
        <v>760</v>
      </c>
      <c r="G2510" t="str">
        <f>HYPERLINK("http://www.ncbi.nlm.nih.gov/Taxonomy/Browser/wwwtax.cgi?mode=Info&amp;id=144034&amp;lvl=3&amp;lin=f&amp;keep=1&amp;srchmode=1&amp;unlock","Pogonomyrmex barbatus")</f>
        <v>Pogonomyrmex barbatus</v>
      </c>
      <c r="H2510" t="s">
        <v>772</v>
      </c>
      <c r="I2510" t="str">
        <f>HYPERLINK("http://www.ncbi.nlm.nih.gov/protein/XP_025075380.1","ryanodine receptor isoform X2")</f>
        <v>ryanodine receptor isoform X2</v>
      </c>
      <c r="J2510">
        <v>3073.49</v>
      </c>
      <c r="K2510" t="s">
        <v>19</v>
      </c>
      <c r="L2510">
        <v>1210</v>
      </c>
      <c r="M2510">
        <v>7.13</v>
      </c>
      <c r="N2510">
        <v>29.95</v>
      </c>
      <c r="O2510" t="s">
        <v>19</v>
      </c>
      <c r="P2510" t="s">
        <v>1267</v>
      </c>
      <c r="Q2510" t="s">
        <v>19</v>
      </c>
      <c r="R2510" t="str">
        <f>HYPERLINK("https://cfpub.epa.gov/ecotox/explore.cfm?ncbi=144034","Explore in ECOTOX")</f>
        <v>Explore in ECOTOX</v>
      </c>
    </row>
    <row r="2511" spans="1:18" x14ac:dyDescent="0.45">
      <c r="A2511" t="s">
        <v>1266</v>
      </c>
      <c r="B2511">
        <v>8</v>
      </c>
      <c r="C2511" t="str">
        <f>HYPERLINK("http://www.ncbi.nlm.nih.gov/protein/XP_032680342.1","XP_032680342.1")</f>
        <v>XP_032680342.1</v>
      </c>
      <c r="D2511">
        <v>29198</v>
      </c>
      <c r="E2511" t="str">
        <f>HYPERLINK("http://www.ncbi.nlm.nih.gov/Taxonomy/Browser/wwwtax.cgi?mode=Info&amp;id=486640&amp;lvl=3&amp;lin=f&amp;keep=1&amp;srchmode=1&amp;unlock","486640")</f>
        <v>486640</v>
      </c>
      <c r="F2511" t="s">
        <v>760</v>
      </c>
      <c r="G2511" t="str">
        <f>HYPERLINK("http://www.ncbi.nlm.nih.gov/Taxonomy/Browser/wwwtax.cgi?mode=Info&amp;id=486640&amp;lvl=3&amp;lin=f&amp;keep=1&amp;srchmode=1&amp;unlock","Odontomachus brunneus")</f>
        <v>Odontomachus brunneus</v>
      </c>
      <c r="H2511" t="s">
        <v>769</v>
      </c>
      <c r="I2511" t="str">
        <f>HYPERLINK("http://www.ncbi.nlm.nih.gov/protein/XP_032680342.1","ryanodine receptor isoform X5")</f>
        <v>ryanodine receptor isoform X5</v>
      </c>
      <c r="J2511">
        <v>3073.11</v>
      </c>
      <c r="K2511" t="s">
        <v>19</v>
      </c>
      <c r="L2511">
        <v>1210</v>
      </c>
      <c r="M2511">
        <v>7.13</v>
      </c>
      <c r="N2511">
        <v>29.94</v>
      </c>
      <c r="O2511" t="s">
        <v>19</v>
      </c>
      <c r="P2511" t="s">
        <v>1267</v>
      </c>
      <c r="Q2511" t="s">
        <v>19</v>
      </c>
      <c r="R2511" t="str">
        <f>HYPERLINK("https://cfpub.epa.gov/ecotox/explore.cfm?ncbi=486640","Explore in ECOTOX")</f>
        <v>Explore in ECOTOX</v>
      </c>
    </row>
    <row r="2512" spans="1:18" x14ac:dyDescent="0.45">
      <c r="A2512" t="s">
        <v>1266</v>
      </c>
      <c r="B2512">
        <v>8</v>
      </c>
      <c r="C2512" t="str">
        <f>HYPERLINK("http://www.ncbi.nlm.nih.gov/protein/XP_036147379.1","XP_036147379.1")</f>
        <v>XP_036147379.1</v>
      </c>
      <c r="D2512">
        <v>29228</v>
      </c>
      <c r="E2512" t="str">
        <f>HYPERLINK("http://www.ncbi.nlm.nih.gov/Taxonomy/Browser/wwwtax.cgi?mode=Info&amp;id=307658&amp;lvl=3&amp;lin=f&amp;keep=1&amp;srchmode=1&amp;unlock","307658")</f>
        <v>307658</v>
      </c>
      <c r="F2512" t="s">
        <v>760</v>
      </c>
      <c r="G2512" t="str">
        <f>HYPERLINK("http://www.ncbi.nlm.nih.gov/Taxonomy/Browser/wwwtax.cgi?mode=Info&amp;id=307658&amp;lvl=3&amp;lin=f&amp;keep=1&amp;srchmode=1&amp;unlock","Monomorium pharaonis")</f>
        <v>Monomorium pharaonis</v>
      </c>
      <c r="H2512" t="s">
        <v>770</v>
      </c>
      <c r="I2512" t="str">
        <f>HYPERLINK("http://www.ncbi.nlm.nih.gov/protein/XP_036147379.1","ryanodine receptor isoform X10")</f>
        <v>ryanodine receptor isoform X10</v>
      </c>
      <c r="J2512">
        <v>3073.11</v>
      </c>
      <c r="K2512" t="s">
        <v>22</v>
      </c>
      <c r="L2512">
        <v>1210</v>
      </c>
      <c r="M2512">
        <v>7.13</v>
      </c>
      <c r="N2512">
        <v>29.94</v>
      </c>
      <c r="O2512" t="s">
        <v>19</v>
      </c>
      <c r="P2512" t="s">
        <v>1267</v>
      </c>
      <c r="Q2512" t="s">
        <v>19</v>
      </c>
      <c r="R2512" t="str">
        <f>HYPERLINK("https://cfpub.epa.gov/ecotox/explore.cfm?ncbi=307658","Explore in ECOTOX")</f>
        <v>Explore in ECOTOX</v>
      </c>
    </row>
    <row r="2513" spans="1:18" x14ac:dyDescent="0.45">
      <c r="A2513" t="s">
        <v>1266</v>
      </c>
      <c r="B2513">
        <v>8</v>
      </c>
      <c r="C2513" t="str">
        <f>HYPERLINK("http://www.ncbi.nlm.nih.gov/protein/XP_015367530.1","XP_015367530.1")</f>
        <v>XP_015367530.1</v>
      </c>
      <c r="D2513">
        <v>17638</v>
      </c>
      <c r="E2513" t="str">
        <f>HYPERLINK("http://www.ncbi.nlm.nih.gov/Taxonomy/Browser/wwwtax.cgi?mode=Info&amp;id=143948&amp;lvl=3&amp;lin=f&amp;keep=1&amp;srchmode=1&amp;unlock","143948")</f>
        <v>143948</v>
      </c>
      <c r="F2513" t="s">
        <v>760</v>
      </c>
      <c r="G2513" t="str">
        <f>HYPERLINK("http://www.ncbi.nlm.nih.gov/Taxonomy/Browser/wwwtax.cgi?mode=Info&amp;id=143948&amp;lvl=3&amp;lin=f&amp;keep=1&amp;srchmode=1&amp;unlock","Diuraphis noxia")</f>
        <v>Diuraphis noxia</v>
      </c>
      <c r="H2513" t="s">
        <v>913</v>
      </c>
      <c r="I2513" t="str">
        <f>HYPERLINK("http://www.ncbi.nlm.nih.gov/protein/XP_015367530.1","PREDICTED: ryanodine receptor")</f>
        <v>PREDICTED: ryanodine receptor</v>
      </c>
      <c r="J2513">
        <v>3072.34</v>
      </c>
      <c r="K2513" t="s">
        <v>19</v>
      </c>
      <c r="L2513">
        <v>1210</v>
      </c>
      <c r="M2513">
        <v>7.13</v>
      </c>
      <c r="N2513">
        <v>29.94</v>
      </c>
      <c r="O2513" t="s">
        <v>19</v>
      </c>
      <c r="P2513" t="s">
        <v>1267</v>
      </c>
      <c r="Q2513" t="s">
        <v>19</v>
      </c>
      <c r="R2513" t="str">
        <f>HYPERLINK("https://cfpub.epa.gov/ecotox/explore.cfm?ncbi=143948","Explore in ECOTOX")</f>
        <v>Explore in ECOTOX</v>
      </c>
    </row>
    <row r="2514" spans="1:18" x14ac:dyDescent="0.45">
      <c r="A2514" t="s">
        <v>1266</v>
      </c>
      <c r="B2514">
        <v>8</v>
      </c>
      <c r="C2514" t="str">
        <f>HYPERLINK("http://www.ncbi.nlm.nih.gov/protein/CAG9841016.1","CAG9841016.1")</f>
        <v>CAG9841016.1</v>
      </c>
      <c r="D2514">
        <v>15931</v>
      </c>
      <c r="E2514" t="str">
        <f>HYPERLINK("http://www.ncbi.nlm.nih.gov/Taxonomy/Browser/wwwtax.cgi?mode=Info&amp;id=107213&amp;lvl=3&amp;lin=f&amp;keep=1&amp;srchmode=1&amp;unlock","107213")</f>
        <v>107213</v>
      </c>
      <c r="F2514" t="s">
        <v>760</v>
      </c>
      <c r="G2514" t="str">
        <f>HYPERLINK("http://www.ncbi.nlm.nih.gov/Taxonomy/Browser/wwwtax.cgi?mode=Info&amp;id=107213&amp;lvl=3&amp;lin=f&amp;keep=1&amp;srchmode=1&amp;unlock","Diabrotica balteata")</f>
        <v>Diabrotica balteata</v>
      </c>
      <c r="H2514" t="s">
        <v>876</v>
      </c>
      <c r="I2514" t="str">
        <f>HYPERLINK("http://www.ncbi.nlm.nih.gov/protein/CAG9841016.1","unnamed protein product")</f>
        <v>unnamed protein product</v>
      </c>
      <c r="J2514">
        <v>3071.95</v>
      </c>
      <c r="K2514" t="s">
        <v>19</v>
      </c>
      <c r="L2514">
        <v>1210</v>
      </c>
      <c r="M2514">
        <v>7.13</v>
      </c>
      <c r="N2514">
        <v>29.93</v>
      </c>
      <c r="O2514" t="s">
        <v>19</v>
      </c>
      <c r="P2514" t="s">
        <v>1267</v>
      </c>
      <c r="Q2514" t="s">
        <v>19</v>
      </c>
      <c r="R2514" t="str">
        <f>HYPERLINK("https://cfpub.epa.gov/ecotox/explore.cfm?ncbi=107213","Explore in ECOTOX")</f>
        <v>Explore in ECOTOX</v>
      </c>
    </row>
    <row r="2515" spans="1:18" x14ac:dyDescent="0.45">
      <c r="A2515" t="s">
        <v>1266</v>
      </c>
      <c r="B2515">
        <v>8</v>
      </c>
      <c r="C2515" t="str">
        <f>HYPERLINK("http://www.ncbi.nlm.nih.gov/protein/XP_025158737.1","XP_025158737.1")</f>
        <v>XP_025158737.1</v>
      </c>
      <c r="D2515">
        <v>41853</v>
      </c>
      <c r="E2515" t="str">
        <f>HYPERLINK("http://www.ncbi.nlm.nih.gov/Taxonomy/Browser/wwwtax.cgi?mode=Info&amp;id=610380&amp;lvl=3&amp;lin=f&amp;keep=1&amp;srchmode=1&amp;unlock","610380")</f>
        <v>610380</v>
      </c>
      <c r="F2515" t="s">
        <v>760</v>
      </c>
      <c r="G2515" t="str">
        <f>HYPERLINK("http://www.ncbi.nlm.nih.gov/Taxonomy/Browser/wwwtax.cgi?mode=Info&amp;id=610380&amp;lvl=3&amp;lin=f&amp;keep=1&amp;srchmode=1&amp;unlock","Harpegnathos saltator")</f>
        <v>Harpegnathos saltator</v>
      </c>
      <c r="H2515" t="s">
        <v>774</v>
      </c>
      <c r="I2515" t="str">
        <f>HYPERLINK("http://www.ncbi.nlm.nih.gov/protein/XP_025158737.1","LOW QUALITY PROTEIN: ryanodine receptor")</f>
        <v>LOW QUALITY PROTEIN: ryanodine receptor</v>
      </c>
      <c r="J2515">
        <v>3070.41</v>
      </c>
      <c r="K2515" t="s">
        <v>19</v>
      </c>
      <c r="L2515">
        <v>1210</v>
      </c>
      <c r="M2515">
        <v>7.13</v>
      </c>
      <c r="N2515">
        <v>29.92</v>
      </c>
      <c r="O2515" t="s">
        <v>19</v>
      </c>
      <c r="P2515" t="s">
        <v>1267</v>
      </c>
      <c r="Q2515" t="s">
        <v>19</v>
      </c>
      <c r="R2515" t="str">
        <f>HYPERLINK("https://cfpub.epa.gov/ecotox/explore.cfm?ncbi=610380","Explore in ECOTOX")</f>
        <v>Explore in ECOTOX</v>
      </c>
    </row>
    <row r="2516" spans="1:18" x14ac:dyDescent="0.45">
      <c r="A2516" t="s">
        <v>1266</v>
      </c>
      <c r="B2516">
        <v>8</v>
      </c>
      <c r="C2516" t="str">
        <f>HYPERLINK("http://www.ncbi.nlm.nih.gov/protein/XP_026294831.1","XP_026294831.1")</f>
        <v>XP_026294831.1</v>
      </c>
      <c r="D2516">
        <v>27624</v>
      </c>
      <c r="E2516" t="str">
        <f>HYPERLINK("http://www.ncbi.nlm.nih.gov/Taxonomy/Browser/wwwtax.cgi?mode=Info&amp;id=7460&amp;lvl=3&amp;lin=f&amp;keep=1&amp;srchmode=1&amp;unlock","7460")</f>
        <v>7460</v>
      </c>
      <c r="F2516" t="s">
        <v>760</v>
      </c>
      <c r="G2516" t="str">
        <f>HYPERLINK("http://www.ncbi.nlm.nih.gov/Taxonomy/Browser/wwwtax.cgi?mode=Info&amp;id=7460&amp;lvl=3&amp;lin=f&amp;keep=1&amp;srchmode=1&amp;unlock","Apis mellifera")</f>
        <v>Apis mellifera</v>
      </c>
      <c r="H2516" t="s">
        <v>1064</v>
      </c>
      <c r="I2516" t="str">
        <f>HYPERLINK("http://www.ncbi.nlm.nih.gov/protein/XP_026294831.1","ryanodine receptor isoform X3")</f>
        <v>ryanodine receptor isoform X3</v>
      </c>
      <c r="J2516">
        <v>3070.41</v>
      </c>
      <c r="K2516" t="s">
        <v>19</v>
      </c>
      <c r="L2516">
        <v>1210</v>
      </c>
      <c r="M2516">
        <v>7.13</v>
      </c>
      <c r="N2516">
        <v>29.92</v>
      </c>
      <c r="O2516" t="s">
        <v>19</v>
      </c>
      <c r="P2516" t="s">
        <v>1267</v>
      </c>
      <c r="Q2516" t="s">
        <v>19</v>
      </c>
      <c r="R2516" t="str">
        <f>HYPERLINK("https://cfpub.epa.gov/ecotox/explore.cfm?ncbi=7460","Explore in ECOTOX")</f>
        <v>Explore in ECOTOX</v>
      </c>
    </row>
    <row r="2517" spans="1:18" x14ac:dyDescent="0.45">
      <c r="A2517" t="s">
        <v>1266</v>
      </c>
      <c r="B2517">
        <v>8</v>
      </c>
      <c r="C2517" t="str">
        <f>HYPERLINK("http://www.ncbi.nlm.nih.gov/protein/XP_055934796.1","XP_055934796.1")</f>
        <v>XP_055934796.1</v>
      </c>
      <c r="D2517">
        <v>56584</v>
      </c>
      <c r="E2517" t="str">
        <f>HYPERLINK("http://www.ncbi.nlm.nih.gov/Taxonomy/Browser/wwwtax.cgi?mode=Info&amp;id=94029&amp;lvl=3&amp;lin=f&amp;keep=1&amp;srchmode=1&amp;unlock","94029")</f>
        <v>94029</v>
      </c>
      <c r="F2517" t="s">
        <v>904</v>
      </c>
      <c r="G2517" t="str">
        <f>HYPERLINK("http://www.ncbi.nlm.nih.gov/Taxonomy/Browser/wwwtax.cgi?mode=Info&amp;id=94029&amp;lvl=3&amp;lin=f&amp;keep=1&amp;srchmode=1&amp;unlock","Argiope bruennichi")</f>
        <v>Argiope bruennichi</v>
      </c>
      <c r="H2517" t="s">
        <v>922</v>
      </c>
      <c r="I2517" t="str">
        <f>HYPERLINK("http://www.ncbi.nlm.nih.gov/protein/XP_055934796.1","ryanodine receptor-like isoform X2")</f>
        <v>ryanodine receptor-like isoform X2</v>
      </c>
      <c r="J2517">
        <v>3068.87</v>
      </c>
      <c r="K2517" t="s">
        <v>19</v>
      </c>
      <c r="L2517">
        <v>1210</v>
      </c>
      <c r="M2517">
        <v>7.13</v>
      </c>
      <c r="N2517">
        <v>29.9</v>
      </c>
      <c r="O2517" t="s">
        <v>19</v>
      </c>
      <c r="P2517" t="s">
        <v>1267</v>
      </c>
      <c r="Q2517" t="s">
        <v>19</v>
      </c>
      <c r="R2517" t="str">
        <f>HYPERLINK("https://cfpub.epa.gov/ecotox/explore.cfm?ncbi=94029","Explore in ECOTOX")</f>
        <v>Explore in ECOTOX</v>
      </c>
    </row>
    <row r="2518" spans="1:18" x14ac:dyDescent="0.45">
      <c r="A2518" t="s">
        <v>1266</v>
      </c>
      <c r="B2518">
        <v>8</v>
      </c>
      <c r="C2518" t="str">
        <f>HYPERLINK("http://www.ncbi.nlm.nih.gov/protein/XP_046142843.1","XP_046142843.1")</f>
        <v>XP_046142843.1</v>
      </c>
      <c r="D2518">
        <v>24291</v>
      </c>
      <c r="E2518" t="str">
        <f>HYPERLINK("http://www.ncbi.nlm.nih.gov/Taxonomy/Browser/wwwtax.cgi?mode=Info&amp;id=1437191&amp;lvl=3&amp;lin=f&amp;keep=1&amp;srchmode=1&amp;unlock","1437191")</f>
        <v>1437191</v>
      </c>
      <c r="F2518" t="s">
        <v>760</v>
      </c>
      <c r="G2518" t="str">
        <f>HYPERLINK("http://www.ncbi.nlm.nih.gov/Taxonomy/Browser/wwwtax.cgi?mode=Info&amp;id=1437191&amp;lvl=3&amp;lin=f&amp;keep=1&amp;srchmode=1&amp;unlock","Osmia bicornis bicornis")</f>
        <v>Osmia bicornis bicornis</v>
      </c>
      <c r="H2518" t="s">
        <v>771</v>
      </c>
      <c r="I2518" t="str">
        <f>HYPERLINK("http://www.ncbi.nlm.nih.gov/protein/XP_046142843.1","ryanodine receptor isoform X8")</f>
        <v>ryanodine receptor isoform X8</v>
      </c>
      <c r="J2518">
        <v>3068.49</v>
      </c>
      <c r="K2518" t="s">
        <v>19</v>
      </c>
      <c r="L2518">
        <v>1210</v>
      </c>
      <c r="M2518">
        <v>7.13</v>
      </c>
      <c r="N2518">
        <v>29.9</v>
      </c>
      <c r="O2518" t="s">
        <v>19</v>
      </c>
      <c r="P2518" t="s">
        <v>1267</v>
      </c>
      <c r="Q2518" t="s">
        <v>19</v>
      </c>
      <c r="R2518" t="str">
        <f>HYPERLINK("https://cfpub.epa.gov/ecotox/explore.cfm?ncbi=1437191","Explore in ECOTOX")</f>
        <v>Explore in ECOTOX</v>
      </c>
    </row>
    <row r="2519" spans="1:18" x14ac:dyDescent="0.45">
      <c r="A2519" t="s">
        <v>1266</v>
      </c>
      <c r="B2519">
        <v>8</v>
      </c>
      <c r="C2519" t="str">
        <f>HYPERLINK("http://www.ncbi.nlm.nih.gov/protein/XP_046751974.1","XP_046751974.1")</f>
        <v>XP_046751974.1</v>
      </c>
      <c r="D2519">
        <v>20474</v>
      </c>
      <c r="E2519" t="str">
        <f>HYPERLINK("http://www.ncbi.nlm.nih.gov/Taxonomy/Browser/wwwtax.cgi?mode=Info&amp;id=362088&amp;lvl=3&amp;lin=f&amp;keep=1&amp;srchmode=1&amp;unlock","362088")</f>
        <v>362088</v>
      </c>
      <c r="F2519" t="s">
        <v>760</v>
      </c>
      <c r="G2519" t="str">
        <f>HYPERLINK("http://www.ncbi.nlm.nih.gov/Taxonomy/Browser/wwwtax.cgi?mode=Info&amp;id=362088&amp;lvl=3&amp;lin=f&amp;keep=1&amp;srchmode=1&amp;unlock","Diprion similis")</f>
        <v>Diprion similis</v>
      </c>
      <c r="H2519" t="s">
        <v>1046</v>
      </c>
      <c r="I2519" t="str">
        <f>HYPERLINK("http://www.ncbi.nlm.nih.gov/protein/XP_046751974.1","ryanodine receptor isoform X17")</f>
        <v>ryanodine receptor isoform X17</v>
      </c>
      <c r="J2519">
        <v>3067.72</v>
      </c>
      <c r="K2519" t="s">
        <v>19</v>
      </c>
      <c r="L2519">
        <v>1210</v>
      </c>
      <c r="M2519">
        <v>7.13</v>
      </c>
      <c r="N2519">
        <v>29.89</v>
      </c>
      <c r="O2519" t="s">
        <v>19</v>
      </c>
      <c r="P2519" t="s">
        <v>1267</v>
      </c>
      <c r="Q2519" t="s">
        <v>19</v>
      </c>
      <c r="R2519" t="str">
        <f>HYPERLINK("https://cfpub.epa.gov/ecotox/explore.cfm?ncbi=362088","Explore in ECOTOX")</f>
        <v>Explore in ECOTOX</v>
      </c>
    </row>
    <row r="2520" spans="1:18" x14ac:dyDescent="0.45">
      <c r="A2520" t="s">
        <v>1266</v>
      </c>
      <c r="B2520">
        <v>8</v>
      </c>
      <c r="C2520" t="str">
        <f>HYPERLINK("http://www.ncbi.nlm.nih.gov/protein/XP_033302142.1","XP_033302142.1")</f>
        <v>XP_033302142.1</v>
      </c>
      <c r="D2520">
        <v>24041</v>
      </c>
      <c r="E2520" t="str">
        <f>HYPERLINK("http://www.ncbi.nlm.nih.gov/Taxonomy/Browser/wwwtax.cgi?mode=Info&amp;id=103933&amp;lvl=3&amp;lin=f&amp;keep=1&amp;srchmode=1&amp;unlock","103933")</f>
        <v>103933</v>
      </c>
      <c r="F2520" t="s">
        <v>760</v>
      </c>
      <c r="G2520" t="str">
        <f>HYPERLINK("http://www.ncbi.nlm.nih.gov/Taxonomy/Browser/wwwtax.cgi?mode=Info&amp;id=103933&amp;lvl=3&amp;lin=f&amp;keep=1&amp;srchmode=1&amp;unlock","Bombus bifarius")</f>
        <v>Bombus bifarius</v>
      </c>
      <c r="H2520" t="s">
        <v>928</v>
      </c>
      <c r="I2520" t="str">
        <f>HYPERLINK("http://www.ncbi.nlm.nih.gov/protein/XP_033302142.1","ryanodine receptor isoform X7")</f>
        <v>ryanodine receptor isoform X7</v>
      </c>
      <c r="J2520">
        <v>3067.72</v>
      </c>
      <c r="K2520" t="s">
        <v>19</v>
      </c>
      <c r="L2520">
        <v>1210</v>
      </c>
      <c r="M2520">
        <v>7.13</v>
      </c>
      <c r="N2520">
        <v>29.89</v>
      </c>
      <c r="O2520" t="s">
        <v>19</v>
      </c>
      <c r="P2520" t="s">
        <v>1267</v>
      </c>
      <c r="Q2520" t="s">
        <v>19</v>
      </c>
      <c r="R2520" t="str">
        <f>HYPERLINK("https://cfpub.epa.gov/ecotox/explore.cfm?ncbi=103933","Explore in ECOTOX")</f>
        <v>Explore in ECOTOX</v>
      </c>
    </row>
    <row r="2521" spans="1:18" x14ac:dyDescent="0.45">
      <c r="A2521" t="s">
        <v>1266</v>
      </c>
      <c r="B2521">
        <v>8</v>
      </c>
      <c r="C2521" t="str">
        <f>HYPERLINK("http://www.ncbi.nlm.nih.gov/protein/AER25355.1","AER25355.1")</f>
        <v>AER25355.1</v>
      </c>
      <c r="D2521">
        <v>59846</v>
      </c>
      <c r="E2521" t="str">
        <f>HYPERLINK("http://www.ncbi.nlm.nih.gov/Taxonomy/Browser/wwwtax.cgi?mode=Info&amp;id=51655&amp;lvl=3&amp;lin=f&amp;keep=1&amp;srchmode=1&amp;unlock","51655")</f>
        <v>51655</v>
      </c>
      <c r="F2521" t="s">
        <v>760</v>
      </c>
      <c r="G2521" t="str">
        <f>HYPERLINK("http://www.ncbi.nlm.nih.gov/Taxonomy/Browser/wwwtax.cgi?mode=Info&amp;id=51655&amp;lvl=3&amp;lin=f&amp;keep=1&amp;srchmode=1&amp;unlock","Plutella xylostella")</f>
        <v>Plutella xylostella</v>
      </c>
      <c r="H2521" t="s">
        <v>1047</v>
      </c>
      <c r="I2521" t="str">
        <f>HYPERLINK("http://www.ncbi.nlm.nih.gov/protein/AER25355.1","ryanodine receptor 2")</f>
        <v>ryanodine receptor 2</v>
      </c>
      <c r="J2521">
        <v>3067.33</v>
      </c>
      <c r="K2521" t="s">
        <v>19</v>
      </c>
      <c r="L2521">
        <v>1210</v>
      </c>
      <c r="M2521">
        <v>7.13</v>
      </c>
      <c r="N2521">
        <v>29.89</v>
      </c>
      <c r="O2521" t="s">
        <v>19</v>
      </c>
      <c r="P2521" t="s">
        <v>1267</v>
      </c>
      <c r="Q2521" t="s">
        <v>19</v>
      </c>
      <c r="R2521" t="str">
        <f>HYPERLINK("https://cfpub.epa.gov/ecotox/explore.cfm?ncbi=51655","Explore in ECOTOX")</f>
        <v>Explore in ECOTOX</v>
      </c>
    </row>
    <row r="2522" spans="1:18" x14ac:dyDescent="0.45">
      <c r="A2522" t="s">
        <v>1266</v>
      </c>
      <c r="B2522">
        <v>8</v>
      </c>
      <c r="C2522" t="str">
        <f>HYPERLINK("http://www.ncbi.nlm.nih.gov/protein/XP_054918296.1","XP_054918296.1")</f>
        <v>XP_054918296.1</v>
      </c>
      <c r="D2522">
        <v>36273</v>
      </c>
      <c r="E2522" t="str">
        <f>HYPERLINK("http://www.ncbi.nlm.nih.gov/Taxonomy/Browser/wwwtax.cgi?mode=Info&amp;id=34620&amp;lvl=3&amp;lin=f&amp;keep=1&amp;srchmode=1&amp;unlock","34620")</f>
        <v>34620</v>
      </c>
      <c r="F2522" t="s">
        <v>904</v>
      </c>
      <c r="G2522" t="str">
        <f>HYPERLINK("http://www.ncbi.nlm.nih.gov/Taxonomy/Browser/wwwtax.cgi?mode=Info&amp;id=34620&amp;lvl=3&amp;lin=f&amp;keep=1&amp;srchmode=1&amp;unlock","Dermacentor andersoni")</f>
        <v>Dermacentor andersoni</v>
      </c>
      <c r="H2522" t="s">
        <v>951</v>
      </c>
      <c r="I2522" t="str">
        <f>HYPERLINK("http://www.ncbi.nlm.nih.gov/protein/XP_054918296.1","ryanodine receptor-like isoform X1")</f>
        <v>ryanodine receptor-like isoform X1</v>
      </c>
      <c r="J2522">
        <v>3066.56</v>
      </c>
      <c r="K2522" t="s">
        <v>19</v>
      </c>
      <c r="L2522">
        <v>1210</v>
      </c>
      <c r="M2522">
        <v>7.13</v>
      </c>
      <c r="N2522">
        <v>29.88</v>
      </c>
      <c r="O2522" t="s">
        <v>19</v>
      </c>
      <c r="P2522" t="s">
        <v>1267</v>
      </c>
      <c r="Q2522" t="s">
        <v>19</v>
      </c>
      <c r="R2522" t="str">
        <f>HYPERLINK("https://cfpub.epa.gov/ecotox/explore.cfm?ncbi=34620","Explore in ECOTOX")</f>
        <v>Explore in ECOTOX</v>
      </c>
    </row>
    <row r="2523" spans="1:18" x14ac:dyDescent="0.45">
      <c r="A2523" t="s">
        <v>1266</v>
      </c>
      <c r="B2523">
        <v>8</v>
      </c>
      <c r="C2523" t="str">
        <f>HYPERLINK("http://www.ncbi.nlm.nih.gov/protein/XP_048270120.1","XP_048270120.1")</f>
        <v>XP_048270120.1</v>
      </c>
      <c r="D2523">
        <v>26461</v>
      </c>
      <c r="E2523" t="str">
        <f>HYPERLINK("http://www.ncbi.nlm.nih.gov/Taxonomy/Browser/wwwtax.cgi?mode=Info&amp;id=30195&amp;lvl=3&amp;lin=f&amp;keep=1&amp;srchmode=1&amp;unlock","30195")</f>
        <v>30195</v>
      </c>
      <c r="F2523" t="s">
        <v>760</v>
      </c>
      <c r="G2523" t="str">
        <f>HYPERLINK("http://www.ncbi.nlm.nih.gov/Taxonomy/Browser/wwwtax.cgi?mode=Info&amp;id=30195&amp;lvl=3&amp;lin=f&amp;keep=1&amp;srchmode=1&amp;unlock","Bombus terrestris")</f>
        <v>Bombus terrestris</v>
      </c>
      <c r="H2523" t="s">
        <v>927</v>
      </c>
      <c r="I2523" t="str">
        <f>HYPERLINK("http://www.ncbi.nlm.nih.gov/protein/XP_048270120.1","ryanodine receptor isoform X6")</f>
        <v>ryanodine receptor isoform X6</v>
      </c>
      <c r="J2523">
        <v>3066.17</v>
      </c>
      <c r="K2523" t="s">
        <v>19</v>
      </c>
      <c r="L2523">
        <v>1210</v>
      </c>
      <c r="M2523">
        <v>7.13</v>
      </c>
      <c r="N2523">
        <v>29.88</v>
      </c>
      <c r="O2523" t="s">
        <v>19</v>
      </c>
      <c r="P2523" t="s">
        <v>1267</v>
      </c>
      <c r="Q2523" t="s">
        <v>19</v>
      </c>
      <c r="R2523" t="str">
        <f>HYPERLINK("https://cfpub.epa.gov/ecotox/explore.cfm?ncbi=30195","Explore in ECOTOX")</f>
        <v>Explore in ECOTOX</v>
      </c>
    </row>
    <row r="2524" spans="1:18" x14ac:dyDescent="0.45">
      <c r="A2524" t="s">
        <v>1266</v>
      </c>
      <c r="B2524">
        <v>8</v>
      </c>
      <c r="C2524" t="str">
        <f>HYPERLINK("http://www.ncbi.nlm.nih.gov/protein/XP_033191847.1","XP_033191847.1")</f>
        <v>XP_033191847.1</v>
      </c>
      <c r="D2524">
        <v>24339</v>
      </c>
      <c r="E2524" t="str">
        <f>HYPERLINK("http://www.ncbi.nlm.nih.gov/Taxonomy/Browser/wwwtax.cgi?mode=Info&amp;id=2705178&amp;lvl=3&amp;lin=f&amp;keep=1&amp;srchmode=1&amp;unlock","2705178")</f>
        <v>2705178</v>
      </c>
      <c r="F2524" t="s">
        <v>760</v>
      </c>
      <c r="G2524" t="str">
        <f>HYPERLINK("http://www.ncbi.nlm.nih.gov/Taxonomy/Browser/wwwtax.cgi?mode=Info&amp;id=2705178&amp;lvl=3&amp;lin=f&amp;keep=1&amp;srchmode=1&amp;unlock","Bombus vancouverensis nearcticus")</f>
        <v>Bombus vancouverensis nearcticus</v>
      </c>
      <c r="H2524" t="s">
        <v>928</v>
      </c>
      <c r="I2524" t="str">
        <f>HYPERLINK("http://www.ncbi.nlm.nih.gov/protein/XP_033191847.1","ryanodine receptor isoform X7")</f>
        <v>ryanodine receptor isoform X7</v>
      </c>
      <c r="J2524">
        <v>3066.17</v>
      </c>
      <c r="K2524" t="s">
        <v>19</v>
      </c>
      <c r="L2524">
        <v>1210</v>
      </c>
      <c r="M2524">
        <v>7.13</v>
      </c>
      <c r="N2524">
        <v>29.88</v>
      </c>
      <c r="O2524" t="s">
        <v>19</v>
      </c>
      <c r="P2524" t="s">
        <v>1267</v>
      </c>
      <c r="Q2524" t="s">
        <v>19</v>
      </c>
      <c r="R2524" t="str">
        <f>HYPERLINK("https://cfpub.epa.gov/ecotox/explore.cfm?ncbi=2705178","Explore in ECOTOX")</f>
        <v>Explore in ECOTOX</v>
      </c>
    </row>
    <row r="2525" spans="1:18" x14ac:dyDescent="0.45">
      <c r="A2525" t="s">
        <v>1266</v>
      </c>
      <c r="B2525">
        <v>8</v>
      </c>
      <c r="C2525" t="str">
        <f>HYPERLINK("http://www.ncbi.nlm.nih.gov/protein/XP_050582857.1","XP_050582857.1")</f>
        <v>XP_050582857.1</v>
      </c>
      <c r="D2525">
        <v>28033</v>
      </c>
      <c r="E2525" t="str">
        <f>HYPERLINK("http://www.ncbi.nlm.nih.gov/Taxonomy/Browser/wwwtax.cgi?mode=Info&amp;id=309941&amp;lvl=3&amp;lin=f&amp;keep=1&amp;srchmode=1&amp;unlock","309941")</f>
        <v>309941</v>
      </c>
      <c r="F2525" t="s">
        <v>760</v>
      </c>
      <c r="G2525" t="str">
        <f>HYPERLINK("http://www.ncbi.nlm.nih.gov/Taxonomy/Browser/wwwtax.cgi?mode=Info&amp;id=309941&amp;lvl=3&amp;lin=f&amp;keep=1&amp;srchmode=1&amp;unlock","Bombus affinis")</f>
        <v>Bombus affinis</v>
      </c>
      <c r="H2525" t="s">
        <v>928</v>
      </c>
      <c r="I2525" t="str">
        <f>HYPERLINK("http://www.ncbi.nlm.nih.gov/protein/XP_050582857.1","ryanodine receptor isoform X5")</f>
        <v>ryanodine receptor isoform X5</v>
      </c>
      <c r="J2525">
        <v>3066.17</v>
      </c>
      <c r="K2525" t="s">
        <v>19</v>
      </c>
      <c r="L2525">
        <v>1210</v>
      </c>
      <c r="M2525">
        <v>7.13</v>
      </c>
      <c r="N2525">
        <v>29.88</v>
      </c>
      <c r="O2525" t="s">
        <v>19</v>
      </c>
      <c r="P2525" t="s">
        <v>1267</v>
      </c>
      <c r="Q2525" t="s">
        <v>19</v>
      </c>
      <c r="R2525" t="str">
        <f>HYPERLINK("https://cfpub.epa.gov/ecotox/explore.cfm?ncbi=309941","Explore in ECOTOX")</f>
        <v>Explore in ECOTOX</v>
      </c>
    </row>
    <row r="2526" spans="1:18" x14ac:dyDescent="0.45">
      <c r="A2526" t="s">
        <v>1266</v>
      </c>
      <c r="B2526">
        <v>8</v>
      </c>
      <c r="C2526" t="str">
        <f>HYPERLINK("http://www.ncbi.nlm.nih.gov/protein/XP_050481041.1","XP_050481041.1")</f>
        <v>XP_050481041.1</v>
      </c>
      <c r="D2526">
        <v>27820</v>
      </c>
      <c r="E2526" t="str">
        <f>HYPERLINK("http://www.ncbi.nlm.nih.gov/Taxonomy/Browser/wwwtax.cgi?mode=Info&amp;id=85661&amp;lvl=3&amp;lin=f&amp;keep=1&amp;srchmode=1&amp;unlock","85661")</f>
        <v>85661</v>
      </c>
      <c r="F2526" t="s">
        <v>760</v>
      </c>
      <c r="G2526" t="str">
        <f>HYPERLINK("http://www.ncbi.nlm.nih.gov/Taxonomy/Browser/wwwtax.cgi?mode=Info&amp;id=85661&amp;lvl=3&amp;lin=f&amp;keep=1&amp;srchmode=1&amp;unlock","Bombus huntii")</f>
        <v>Bombus huntii</v>
      </c>
      <c r="H2526" t="s">
        <v>928</v>
      </c>
      <c r="I2526" t="str">
        <f>HYPERLINK("http://www.ncbi.nlm.nih.gov/protein/XP_050481041.1","ryanodine receptor isoform X5")</f>
        <v>ryanodine receptor isoform X5</v>
      </c>
      <c r="J2526">
        <v>3066.17</v>
      </c>
      <c r="K2526" t="s">
        <v>19</v>
      </c>
      <c r="L2526">
        <v>1210</v>
      </c>
      <c r="M2526">
        <v>7.13</v>
      </c>
      <c r="N2526">
        <v>29.88</v>
      </c>
      <c r="O2526" t="s">
        <v>19</v>
      </c>
      <c r="P2526" t="s">
        <v>1267</v>
      </c>
      <c r="Q2526" t="s">
        <v>19</v>
      </c>
      <c r="R2526" t="str">
        <f>HYPERLINK("https://cfpub.epa.gov/ecotox/explore.cfm?ncbi=85661","Explore in ECOTOX")</f>
        <v>Explore in ECOTOX</v>
      </c>
    </row>
    <row r="2527" spans="1:18" x14ac:dyDescent="0.45">
      <c r="A2527" t="s">
        <v>1266</v>
      </c>
      <c r="B2527">
        <v>8</v>
      </c>
      <c r="C2527" t="str">
        <f>HYPERLINK("http://www.ncbi.nlm.nih.gov/protein/XP_033174525.1","XP_033174525.1")</f>
        <v>XP_033174525.1</v>
      </c>
      <c r="D2527">
        <v>24542</v>
      </c>
      <c r="E2527" t="str">
        <f>HYPERLINK("http://www.ncbi.nlm.nih.gov/Taxonomy/Browser/wwwtax.cgi?mode=Info&amp;id=132113&amp;lvl=3&amp;lin=f&amp;keep=1&amp;srchmode=1&amp;unlock","132113")</f>
        <v>132113</v>
      </c>
      <c r="F2527" t="s">
        <v>760</v>
      </c>
      <c r="G2527" t="str">
        <f>HYPERLINK("http://www.ncbi.nlm.nih.gov/Taxonomy/Browser/wwwtax.cgi?mode=Info&amp;id=132113&amp;lvl=3&amp;lin=f&amp;keep=1&amp;srchmode=1&amp;unlock","Bombus impatiens")</f>
        <v>Bombus impatiens</v>
      </c>
      <c r="H2527" t="s">
        <v>1061</v>
      </c>
      <c r="I2527" t="str">
        <f>HYPERLINK("http://www.ncbi.nlm.nih.gov/protein/XP_033174525.1","ryanodine receptor isoform X7")</f>
        <v>ryanodine receptor isoform X7</v>
      </c>
      <c r="J2527">
        <v>3066.17</v>
      </c>
      <c r="K2527" t="s">
        <v>19</v>
      </c>
      <c r="L2527">
        <v>1210</v>
      </c>
      <c r="M2527">
        <v>7.13</v>
      </c>
      <c r="N2527">
        <v>29.88</v>
      </c>
      <c r="O2527" t="s">
        <v>19</v>
      </c>
      <c r="P2527" t="s">
        <v>1267</v>
      </c>
      <c r="Q2527" t="s">
        <v>19</v>
      </c>
      <c r="R2527" t="str">
        <f>HYPERLINK("https://cfpub.epa.gov/ecotox/explore.cfm?ncbi=132113","Explore in ECOTOX")</f>
        <v>Explore in ECOTOX</v>
      </c>
    </row>
    <row r="2528" spans="1:18" x14ac:dyDescent="0.45">
      <c r="A2528" t="s">
        <v>1266</v>
      </c>
      <c r="B2528">
        <v>8</v>
      </c>
      <c r="C2528" t="str">
        <f>HYPERLINK("http://www.ncbi.nlm.nih.gov/protein/GIX85759.1","GIX85759.1")</f>
        <v>GIX85759.1</v>
      </c>
      <c r="D2528">
        <v>56099</v>
      </c>
      <c r="E2528" t="str">
        <f>HYPERLINK("http://www.ncbi.nlm.nih.gov/Taxonomy/Browser/wwwtax.cgi?mode=Info&amp;id=1538125&amp;lvl=3&amp;lin=f&amp;keep=1&amp;srchmode=1&amp;unlock","1538125")</f>
        <v>1538125</v>
      </c>
      <c r="F2528" t="s">
        <v>904</v>
      </c>
      <c r="G2528" t="str">
        <f>HYPERLINK("http://www.ncbi.nlm.nih.gov/Taxonomy/Browser/wwwtax.cgi?mode=Info&amp;id=1538125&amp;lvl=3&amp;lin=f&amp;keep=1&amp;srchmode=1&amp;unlock","Caerostris darwini")</f>
        <v>Caerostris darwini</v>
      </c>
      <c r="H2528" t="s">
        <v>922</v>
      </c>
      <c r="I2528" t="str">
        <f>HYPERLINK("http://www.ncbi.nlm.nih.gov/protein/GIX85759.1","ryanodine receptor")</f>
        <v>ryanodine receptor</v>
      </c>
      <c r="J2528">
        <v>3066.17</v>
      </c>
      <c r="K2528" t="s">
        <v>19</v>
      </c>
      <c r="L2528">
        <v>1210</v>
      </c>
      <c r="M2528">
        <v>7.13</v>
      </c>
      <c r="N2528">
        <v>29.88</v>
      </c>
      <c r="O2528" t="s">
        <v>19</v>
      </c>
      <c r="P2528" t="s">
        <v>1267</v>
      </c>
      <c r="Q2528" t="s">
        <v>19</v>
      </c>
      <c r="R2528" t="str">
        <f>HYPERLINK("https://cfpub.epa.gov/ecotox/explore.cfm?ncbi=1538125","Explore in ECOTOX")</f>
        <v>Explore in ECOTOX</v>
      </c>
    </row>
    <row r="2529" spans="1:18" x14ac:dyDescent="0.45">
      <c r="A2529" t="s">
        <v>1266</v>
      </c>
      <c r="B2529">
        <v>8</v>
      </c>
      <c r="C2529" t="str">
        <f>HYPERLINK("http://www.ncbi.nlm.nih.gov/protein/CAH1113250.1","CAH1113250.1")</f>
        <v>CAH1113250.1</v>
      </c>
      <c r="D2529">
        <v>17559</v>
      </c>
      <c r="E2529" t="str">
        <f>HYPERLINK("http://www.ncbi.nlm.nih.gov/Taxonomy/Browser/wwwtax.cgi?mode=Info&amp;id=2598218&amp;lvl=3&amp;lin=f&amp;keep=1&amp;srchmode=1&amp;unlock","2598218")</f>
        <v>2598218</v>
      </c>
      <c r="F2529" t="s">
        <v>760</v>
      </c>
      <c r="G2529" t="str">
        <f>HYPERLINK("http://www.ncbi.nlm.nih.gov/Taxonomy/Browser/wwwtax.cgi?mode=Info&amp;id=2598218&amp;lvl=3&amp;lin=f&amp;keep=1&amp;srchmode=1&amp;unlock","Psylliodes chrysocephala")</f>
        <v>Psylliodes chrysocephala</v>
      </c>
      <c r="H2529" t="s">
        <v>900</v>
      </c>
      <c r="I2529" t="str">
        <f>HYPERLINK("http://www.ncbi.nlm.nih.gov/protein/CAH1113250.1","unnamed protein product")</f>
        <v>unnamed protein product</v>
      </c>
      <c r="J2529">
        <v>3065.79</v>
      </c>
      <c r="K2529" t="s">
        <v>19</v>
      </c>
      <c r="L2529">
        <v>1210</v>
      </c>
      <c r="M2529">
        <v>7.13</v>
      </c>
      <c r="N2529">
        <v>29.87</v>
      </c>
      <c r="O2529" t="s">
        <v>19</v>
      </c>
      <c r="P2529" t="s">
        <v>1267</v>
      </c>
      <c r="Q2529" t="s">
        <v>19</v>
      </c>
      <c r="R2529" t="str">
        <f>HYPERLINK("https://cfpub.epa.gov/ecotox/explore.cfm?ncbi=2598218","Explore in ECOTOX")</f>
        <v>Explore in ECOTOX</v>
      </c>
    </row>
    <row r="2530" spans="1:18" x14ac:dyDescent="0.45">
      <c r="A2530" t="s">
        <v>1266</v>
      </c>
      <c r="B2530">
        <v>8</v>
      </c>
      <c r="C2530" t="str">
        <f>HYPERLINK("http://www.ncbi.nlm.nih.gov/protein/XP_055693636.1","XP_055693636.1")</f>
        <v>XP_055693636.1</v>
      </c>
      <c r="D2530">
        <v>20862</v>
      </c>
      <c r="E2530" t="str">
        <f>HYPERLINK("http://www.ncbi.nlm.nih.gov/Taxonomy/Browser/wwwtax.cgi?mode=Info&amp;id=7200&amp;lvl=3&amp;lin=f&amp;keep=1&amp;srchmode=1&amp;unlock","7200")</f>
        <v>7200</v>
      </c>
      <c r="F2530" t="s">
        <v>760</v>
      </c>
      <c r="G2530" t="str">
        <f>HYPERLINK("http://www.ncbi.nlm.nih.gov/Taxonomy/Browser/wwwtax.cgi?mode=Info&amp;id=7200&amp;lvl=3&amp;lin=f&amp;keep=1&amp;srchmode=1&amp;unlock","Lutzomyia longipalpis")</f>
        <v>Lutzomyia longipalpis</v>
      </c>
      <c r="H2530" t="s">
        <v>943</v>
      </c>
      <c r="I2530" t="str">
        <f>HYPERLINK("http://www.ncbi.nlm.nih.gov/protein/XP_055693636.1","ryanodine receptor")</f>
        <v>ryanodine receptor</v>
      </c>
      <c r="J2530">
        <v>3065.02</v>
      </c>
      <c r="K2530" t="s">
        <v>19</v>
      </c>
      <c r="L2530">
        <v>1210</v>
      </c>
      <c r="M2530">
        <v>7.13</v>
      </c>
      <c r="N2530">
        <v>29.87</v>
      </c>
      <c r="O2530" t="s">
        <v>19</v>
      </c>
      <c r="P2530" t="s">
        <v>1267</v>
      </c>
      <c r="Q2530" t="s">
        <v>19</v>
      </c>
      <c r="R2530" t="str">
        <f>HYPERLINK("https://cfpub.epa.gov/ecotox/explore.cfm?ncbi=7200","Explore in ECOTOX")</f>
        <v>Explore in ECOTOX</v>
      </c>
    </row>
    <row r="2531" spans="1:18" x14ac:dyDescent="0.45">
      <c r="A2531" t="s">
        <v>1266</v>
      </c>
      <c r="B2531">
        <v>8</v>
      </c>
      <c r="C2531" t="str">
        <f>HYPERLINK("http://www.ncbi.nlm.nih.gov/protein/XP_043604798.1","XP_043604798.1")</f>
        <v>XP_043604798.1</v>
      </c>
      <c r="D2531">
        <v>28314</v>
      </c>
      <c r="E2531" t="str">
        <f>HYPERLINK("http://www.ncbi.nlm.nih.gov/Taxonomy/Browser/wwwtax.cgi?mode=Info&amp;id=396416&amp;lvl=3&amp;lin=f&amp;keep=1&amp;srchmode=1&amp;unlock","396416")</f>
        <v>396416</v>
      </c>
      <c r="F2531" t="s">
        <v>760</v>
      </c>
      <c r="G2531" t="str">
        <f>HYPERLINK("http://www.ncbi.nlm.nih.gov/Taxonomy/Browser/wwwtax.cgi?mode=Info&amp;id=396416&amp;lvl=3&amp;lin=f&amp;keep=1&amp;srchmode=1&amp;unlock","Bombus pyrosoma")</f>
        <v>Bombus pyrosoma</v>
      </c>
      <c r="H2531" t="s">
        <v>928</v>
      </c>
      <c r="I2531" t="str">
        <f>HYPERLINK("http://www.ncbi.nlm.nih.gov/protein/XP_043604798.1","ryanodine receptor isoform X18")</f>
        <v>ryanodine receptor isoform X18</v>
      </c>
      <c r="J2531">
        <v>3065.02</v>
      </c>
      <c r="K2531" t="s">
        <v>19</v>
      </c>
      <c r="L2531">
        <v>1210</v>
      </c>
      <c r="M2531">
        <v>7.13</v>
      </c>
      <c r="N2531">
        <v>29.87</v>
      </c>
      <c r="O2531" t="s">
        <v>19</v>
      </c>
      <c r="P2531" t="s">
        <v>1267</v>
      </c>
      <c r="Q2531" t="s">
        <v>19</v>
      </c>
      <c r="R2531" t="str">
        <f>HYPERLINK("https://cfpub.epa.gov/ecotox/explore.cfm?ncbi=396416","Explore in ECOTOX")</f>
        <v>Explore in ECOTOX</v>
      </c>
    </row>
    <row r="2532" spans="1:18" x14ac:dyDescent="0.45">
      <c r="A2532" t="s">
        <v>1266</v>
      </c>
      <c r="B2532">
        <v>8</v>
      </c>
      <c r="C2532" t="str">
        <f>HYPERLINK("http://www.ncbi.nlm.nih.gov/protein/XP_060856408.1","XP_060856408.1")</f>
        <v>XP_060856408.1</v>
      </c>
      <c r="D2532">
        <v>27366</v>
      </c>
      <c r="E2532" t="str">
        <f>HYPERLINK("http://www.ncbi.nlm.nih.gov/Taxonomy/Browser/wwwtax.cgi?mode=Info&amp;id=44670&amp;lvl=3&amp;lin=f&amp;keep=1&amp;srchmode=1&amp;unlock","44670")</f>
        <v>44670</v>
      </c>
      <c r="F2532" t="s">
        <v>760</v>
      </c>
      <c r="G2532" t="str">
        <f>HYPERLINK("http://www.ncbi.nlm.nih.gov/Taxonomy/Browser/wwwtax.cgi?mode=Info&amp;id=44670&amp;lvl=3&amp;lin=f&amp;keep=1&amp;srchmode=1&amp;unlock","Metopolophium dirhodum")</f>
        <v>Metopolophium dirhodum</v>
      </c>
      <c r="H2532" t="s">
        <v>923</v>
      </c>
      <c r="I2532" t="str">
        <f>HYPERLINK("http://www.ncbi.nlm.nih.gov/protein/XP_060856408.1","ryanodine receptor")</f>
        <v>ryanodine receptor</v>
      </c>
      <c r="J2532">
        <v>3065.02</v>
      </c>
      <c r="K2532" t="s">
        <v>19</v>
      </c>
      <c r="L2532">
        <v>1210</v>
      </c>
      <c r="M2532">
        <v>7.13</v>
      </c>
      <c r="N2532">
        <v>29.87</v>
      </c>
      <c r="O2532" t="s">
        <v>19</v>
      </c>
      <c r="P2532" t="s">
        <v>1267</v>
      </c>
      <c r="Q2532" t="s">
        <v>19</v>
      </c>
      <c r="R2532" t="str">
        <f>HYPERLINK("https://cfpub.epa.gov/ecotox/explore.cfm?ncbi=44670","Explore in ECOTOX")</f>
        <v>Explore in ECOTOX</v>
      </c>
    </row>
    <row r="2533" spans="1:18" x14ac:dyDescent="0.45">
      <c r="A2533" t="s">
        <v>1266</v>
      </c>
      <c r="B2533">
        <v>8</v>
      </c>
      <c r="C2533" t="str">
        <f>HYPERLINK("http://www.ncbi.nlm.nih.gov/protein/XP_024947774.1","XP_024947774.1")</f>
        <v>XP_024947774.1</v>
      </c>
      <c r="D2533">
        <v>32159</v>
      </c>
      <c r="E2533" t="str">
        <f>HYPERLINK("http://www.ncbi.nlm.nih.gov/Taxonomy/Browser/wwwtax.cgi?mode=Info&amp;id=211228&amp;lvl=3&amp;lin=f&amp;keep=1&amp;srchmode=1&amp;unlock","211228")</f>
        <v>211228</v>
      </c>
      <c r="F2533" t="s">
        <v>760</v>
      </c>
      <c r="G2533" t="str">
        <f>HYPERLINK("http://www.ncbi.nlm.nih.gov/Taxonomy/Browser/wwwtax.cgi?mode=Info&amp;id=211228&amp;lvl=3&amp;lin=f&amp;keep=1&amp;srchmode=1&amp;unlock","Cephus cinctus")</f>
        <v>Cephus cinctus</v>
      </c>
      <c r="H2533" t="s">
        <v>1043</v>
      </c>
      <c r="I2533" t="str">
        <f>HYPERLINK("http://www.ncbi.nlm.nih.gov/protein/XP_024947774.1","ryanodine receptor isoform X31")</f>
        <v>ryanodine receptor isoform X31</v>
      </c>
      <c r="J2533">
        <v>3065.02</v>
      </c>
      <c r="K2533" t="s">
        <v>19</v>
      </c>
      <c r="L2533">
        <v>1210</v>
      </c>
      <c r="M2533">
        <v>7.13</v>
      </c>
      <c r="N2533">
        <v>29.87</v>
      </c>
      <c r="O2533" t="s">
        <v>19</v>
      </c>
      <c r="P2533" t="s">
        <v>1267</v>
      </c>
      <c r="Q2533" t="s">
        <v>19</v>
      </c>
      <c r="R2533" t="str">
        <f>HYPERLINK("https://cfpub.epa.gov/ecotox/explore.cfm?ncbi=211228","Explore in ECOTOX")</f>
        <v>Explore in ECOTOX</v>
      </c>
    </row>
    <row r="2534" spans="1:18" x14ac:dyDescent="0.45">
      <c r="A2534" t="s">
        <v>1266</v>
      </c>
      <c r="B2534">
        <v>8</v>
      </c>
      <c r="C2534" t="str">
        <f>HYPERLINK("http://www.ncbi.nlm.nih.gov/protein/XP_022160123.1","XP_022160123.1")</f>
        <v>XP_022160123.1</v>
      </c>
      <c r="D2534">
        <v>24620</v>
      </c>
      <c r="E2534" t="str">
        <f>HYPERLINK("http://www.ncbi.nlm.nih.gov/Taxonomy/Browser/wwwtax.cgi?mode=Info&amp;id=13164&amp;lvl=3&amp;lin=f&amp;keep=1&amp;srchmode=1&amp;unlock","13164")</f>
        <v>13164</v>
      </c>
      <c r="F2534" t="s">
        <v>760</v>
      </c>
      <c r="G2534" t="str">
        <f>HYPERLINK("http://www.ncbi.nlm.nih.gov/Taxonomy/Browser/wwwtax.cgi?mode=Info&amp;id=13164&amp;lvl=3&amp;lin=f&amp;keep=1&amp;srchmode=1&amp;unlock","Myzus persicae")</f>
        <v>Myzus persicae</v>
      </c>
      <c r="H2534" t="s">
        <v>916</v>
      </c>
      <c r="I2534" t="str">
        <f>HYPERLINK("http://www.ncbi.nlm.nih.gov/protein/XP_022160123.1","ryanodine receptor")</f>
        <v>ryanodine receptor</v>
      </c>
      <c r="J2534">
        <v>3064.63</v>
      </c>
      <c r="K2534" t="s">
        <v>19</v>
      </c>
      <c r="L2534">
        <v>1210</v>
      </c>
      <c r="M2534">
        <v>7.13</v>
      </c>
      <c r="N2534">
        <v>29.86</v>
      </c>
      <c r="O2534" t="s">
        <v>19</v>
      </c>
      <c r="P2534" t="s">
        <v>1267</v>
      </c>
      <c r="Q2534" t="s">
        <v>19</v>
      </c>
      <c r="R2534" t="str">
        <f>HYPERLINK("https://cfpub.epa.gov/ecotox/explore.cfm?ncbi=13164","Explore in ECOTOX")</f>
        <v>Explore in ECOTOX</v>
      </c>
    </row>
    <row r="2535" spans="1:18" x14ac:dyDescent="0.45">
      <c r="A2535" t="s">
        <v>1266</v>
      </c>
      <c r="B2535">
        <v>8</v>
      </c>
      <c r="C2535" t="str">
        <f>HYPERLINK("http://www.ncbi.nlm.nih.gov/protein/XP_046629330.1","XP_046629330.1")</f>
        <v>XP_046629330.1</v>
      </c>
      <c r="D2535">
        <v>27757</v>
      </c>
      <c r="E2535" t="str">
        <f>HYPERLINK("http://www.ncbi.nlm.nih.gov/Taxonomy/Browser/wwwtax.cgi?mode=Info&amp;id=2961670&amp;lvl=3&amp;lin=f&amp;keep=1&amp;srchmode=1&amp;unlock","2961670")</f>
        <v>2961670</v>
      </c>
      <c r="F2535" t="s">
        <v>760</v>
      </c>
      <c r="G2535" t="str">
        <f>HYPERLINK("http://www.ncbi.nlm.nih.gov/Taxonomy/Browser/wwwtax.cgi?mode=Info&amp;id=2961670&amp;lvl=3&amp;lin=f&amp;keep=1&amp;srchmode=1&amp;unlock","Neodiprion virginianus")</f>
        <v>Neodiprion virginianus</v>
      </c>
      <c r="H2535" t="s">
        <v>1046</v>
      </c>
      <c r="I2535" t="str">
        <f>HYPERLINK("http://www.ncbi.nlm.nih.gov/protein/XP_046629330.1","ryanodine receptor")</f>
        <v>ryanodine receptor</v>
      </c>
      <c r="J2535">
        <v>3064.63</v>
      </c>
      <c r="K2535" t="s">
        <v>22</v>
      </c>
      <c r="L2535">
        <v>1210</v>
      </c>
      <c r="M2535">
        <v>7.13</v>
      </c>
      <c r="N2535">
        <v>29.86</v>
      </c>
      <c r="O2535" t="s">
        <v>19</v>
      </c>
      <c r="P2535" t="s">
        <v>1267</v>
      </c>
      <c r="Q2535" t="s">
        <v>19</v>
      </c>
      <c r="R2535" t="str">
        <f>HYPERLINK("https://cfpub.epa.gov/ecotox/explore.cfm?ncbi=2961670","Explore in ECOTOX")</f>
        <v>Explore in ECOTOX</v>
      </c>
    </row>
    <row r="2536" spans="1:18" x14ac:dyDescent="0.45">
      <c r="A2536" t="s">
        <v>1266</v>
      </c>
      <c r="B2536">
        <v>8</v>
      </c>
      <c r="C2536" t="str">
        <f>HYPERLINK("http://www.ncbi.nlm.nih.gov/protein/XP_016661950.1","XP_016661950.1")</f>
        <v>XP_016661950.1</v>
      </c>
      <c r="D2536">
        <v>30843</v>
      </c>
      <c r="E2536" t="str">
        <f>HYPERLINK("http://www.ncbi.nlm.nih.gov/Taxonomy/Browser/wwwtax.cgi?mode=Info&amp;id=7029&amp;lvl=3&amp;lin=f&amp;keep=1&amp;srchmode=1&amp;unlock","7029")</f>
        <v>7029</v>
      </c>
      <c r="F2536" t="s">
        <v>760</v>
      </c>
      <c r="G2536" t="str">
        <f>HYPERLINK("http://www.ncbi.nlm.nih.gov/Taxonomy/Browser/wwwtax.cgi?mode=Info&amp;id=7029&amp;lvl=3&amp;lin=f&amp;keep=1&amp;srchmode=1&amp;unlock","Acyrthosiphon pisum")</f>
        <v>Acyrthosiphon pisum</v>
      </c>
      <c r="H2536" t="s">
        <v>924</v>
      </c>
      <c r="I2536" t="str">
        <f>HYPERLINK("http://www.ncbi.nlm.nih.gov/protein/XP_016661950.1","ryanodine receptor")</f>
        <v>ryanodine receptor</v>
      </c>
      <c r="J2536">
        <v>3064.63</v>
      </c>
      <c r="K2536" t="s">
        <v>19</v>
      </c>
      <c r="L2536">
        <v>1210</v>
      </c>
      <c r="M2536">
        <v>7.13</v>
      </c>
      <c r="N2536">
        <v>29.86</v>
      </c>
      <c r="O2536" t="s">
        <v>19</v>
      </c>
      <c r="P2536" t="s">
        <v>1267</v>
      </c>
      <c r="Q2536" t="s">
        <v>19</v>
      </c>
      <c r="R2536" t="str">
        <f>HYPERLINK("https://cfpub.epa.gov/ecotox/explore.cfm?ncbi=7029","Explore in ECOTOX")</f>
        <v>Explore in ECOTOX</v>
      </c>
    </row>
    <row r="2537" spans="1:18" x14ac:dyDescent="0.45">
      <c r="A2537" t="s">
        <v>1266</v>
      </c>
      <c r="B2537">
        <v>8</v>
      </c>
      <c r="C2537" t="str">
        <f>HYPERLINK("http://www.ncbi.nlm.nih.gov/protein/XP_060817757.1","XP_060817757.1")</f>
        <v>XP_060817757.1</v>
      </c>
      <c r="D2537">
        <v>22550</v>
      </c>
      <c r="E2537" t="str">
        <f>HYPERLINK("http://www.ncbi.nlm.nih.gov/Taxonomy/Browser/wwwtax.cgi?mode=Info&amp;id=65598&amp;lvl=3&amp;lin=f&amp;keep=1&amp;srchmode=1&amp;unlock","65598")</f>
        <v>65598</v>
      </c>
      <c r="F2537" t="s">
        <v>760</v>
      </c>
      <c r="G2537" t="str">
        <f>HYPERLINK("http://www.ncbi.nlm.nih.gov/Taxonomy/Browser/wwwtax.cgi?mode=Info&amp;id=65598&amp;lvl=3&amp;lin=f&amp;keep=1&amp;srchmode=1&amp;unlock","Bombus pascuorum")</f>
        <v>Bombus pascuorum</v>
      </c>
      <c r="H2537" t="s">
        <v>928</v>
      </c>
      <c r="I2537" t="str">
        <f>HYPERLINK("http://www.ncbi.nlm.nih.gov/protein/XP_060817757.1","ryanodine receptor isoform X6")</f>
        <v>ryanodine receptor isoform X6</v>
      </c>
      <c r="J2537">
        <v>3064.25</v>
      </c>
      <c r="K2537" t="s">
        <v>19</v>
      </c>
      <c r="L2537">
        <v>1210</v>
      </c>
      <c r="M2537">
        <v>7.13</v>
      </c>
      <c r="N2537">
        <v>29.86</v>
      </c>
      <c r="O2537" t="s">
        <v>19</v>
      </c>
      <c r="P2537" t="s">
        <v>1267</v>
      </c>
      <c r="Q2537" t="s">
        <v>19</v>
      </c>
      <c r="R2537" t="str">
        <f>HYPERLINK("https://cfpub.epa.gov/ecotox/explore.cfm?ncbi=65598","Explore in ECOTOX")</f>
        <v>Explore in ECOTOX</v>
      </c>
    </row>
    <row r="2538" spans="1:18" x14ac:dyDescent="0.45">
      <c r="A2538" t="s">
        <v>1266</v>
      </c>
      <c r="B2538">
        <v>8</v>
      </c>
      <c r="C2538" t="str">
        <f>HYPERLINK("http://www.ncbi.nlm.nih.gov/protein/CAI6353502.1","CAI6353502.1")</f>
        <v>CAI6353502.1</v>
      </c>
      <c r="D2538">
        <v>35054</v>
      </c>
      <c r="E2538" t="str">
        <f>HYPERLINK("http://www.ncbi.nlm.nih.gov/Taxonomy/Browser/wwwtax.cgi?mode=Info&amp;id=13131&amp;lvl=3&amp;lin=f&amp;keep=1&amp;srchmode=1&amp;unlock","13131")</f>
        <v>13131</v>
      </c>
      <c r="F2538" t="s">
        <v>760</v>
      </c>
      <c r="G2538" t="str">
        <f>HYPERLINK("http://www.ncbi.nlm.nih.gov/Taxonomy/Browser/wwwtax.cgi?mode=Info&amp;id=13131&amp;lvl=3&amp;lin=f&amp;keep=1&amp;srchmode=1&amp;unlock","Macrosiphum euphorbiae")</f>
        <v>Macrosiphum euphorbiae</v>
      </c>
      <c r="H2538" t="s">
        <v>919</v>
      </c>
      <c r="I2538" t="str">
        <f>HYPERLINK("http://www.ncbi.nlm.nih.gov/protein/CAI6353502.1","unnamed protein product")</f>
        <v>unnamed protein product</v>
      </c>
      <c r="J2538">
        <v>3063.48</v>
      </c>
      <c r="K2538" t="s">
        <v>19</v>
      </c>
      <c r="L2538">
        <v>1210</v>
      </c>
      <c r="M2538">
        <v>7.13</v>
      </c>
      <c r="N2538">
        <v>29.85</v>
      </c>
      <c r="O2538" t="s">
        <v>19</v>
      </c>
      <c r="P2538" t="s">
        <v>1267</v>
      </c>
      <c r="Q2538" t="s">
        <v>19</v>
      </c>
      <c r="R2538" t="str">
        <f>HYPERLINK("https://cfpub.epa.gov/ecotox/explore.cfm?ncbi=13131","Explore in ECOTOX")</f>
        <v>Explore in ECOTOX</v>
      </c>
    </row>
    <row r="2539" spans="1:18" x14ac:dyDescent="0.45">
      <c r="A2539" t="s">
        <v>1266</v>
      </c>
      <c r="B2539">
        <v>8</v>
      </c>
      <c r="C2539" t="str">
        <f>HYPERLINK("http://www.ncbi.nlm.nih.gov/protein/XP_055530467.1","XP_055530467.1")</f>
        <v>XP_055530467.1</v>
      </c>
      <c r="D2539">
        <v>29504</v>
      </c>
      <c r="E2539" t="str">
        <f>HYPERLINK("http://www.ncbi.nlm.nih.gov/Taxonomy/Browser/wwwtax.cgi?mode=Info&amp;id=174621&amp;lvl=3&amp;lin=f&amp;keep=1&amp;srchmode=1&amp;unlock","174621")</f>
        <v>174621</v>
      </c>
      <c r="F2539" t="s">
        <v>760</v>
      </c>
      <c r="G2539" t="str">
        <f>HYPERLINK("http://www.ncbi.nlm.nih.gov/Taxonomy/Browser/wwwtax.cgi?mode=Info&amp;id=174621&amp;lvl=3&amp;lin=f&amp;keep=1&amp;srchmode=1&amp;unlock","Wyeomyia smithii")</f>
        <v>Wyeomyia smithii</v>
      </c>
      <c r="H2539" t="s">
        <v>948</v>
      </c>
      <c r="I2539" t="str">
        <f>HYPERLINK("http://www.ncbi.nlm.nih.gov/protein/XP_055530467.1","ryanodine receptor isoform X24")</f>
        <v>ryanodine receptor isoform X24</v>
      </c>
      <c r="J2539">
        <v>3063.48</v>
      </c>
      <c r="K2539" t="s">
        <v>19</v>
      </c>
      <c r="L2539">
        <v>1210</v>
      </c>
      <c r="M2539">
        <v>7.13</v>
      </c>
      <c r="N2539">
        <v>29.85</v>
      </c>
      <c r="O2539" t="s">
        <v>19</v>
      </c>
      <c r="P2539" t="s">
        <v>1267</v>
      </c>
      <c r="Q2539" t="s">
        <v>19</v>
      </c>
      <c r="R2539" t="str">
        <f>HYPERLINK("https://cfpub.epa.gov/ecotox/explore.cfm?ncbi=174621","Explore in ECOTOX")</f>
        <v>Explore in ECOTOX</v>
      </c>
    </row>
    <row r="2540" spans="1:18" x14ac:dyDescent="0.45">
      <c r="A2540" t="s">
        <v>1266</v>
      </c>
      <c r="B2540">
        <v>8</v>
      </c>
      <c r="C2540" t="str">
        <f>HYPERLINK("http://www.ncbi.nlm.nih.gov/protein/XP_050457342.1","XP_050457342.1")</f>
        <v>XP_050457342.1</v>
      </c>
      <c r="D2540">
        <v>22436</v>
      </c>
      <c r="E2540" t="str">
        <f>HYPERLINK("http://www.ncbi.nlm.nih.gov/Taxonomy/Browser/wwwtax.cgi?mode=Info&amp;id=1086592&amp;lvl=3&amp;lin=f&amp;keep=1&amp;srchmode=1&amp;unlock","1086592")</f>
        <v>1086592</v>
      </c>
      <c r="F2540" t="s">
        <v>760</v>
      </c>
      <c r="G2540" t="str">
        <f>HYPERLINK("http://www.ncbi.nlm.nih.gov/Taxonomy/Browser/wwwtax.cgi?mode=Info&amp;id=1086592&amp;lvl=3&amp;lin=f&amp;keep=1&amp;srchmode=1&amp;unlock","Cataglyphis hispanica")</f>
        <v>Cataglyphis hispanica</v>
      </c>
      <c r="H2540" t="s">
        <v>769</v>
      </c>
      <c r="I2540" t="str">
        <f>HYPERLINK("http://www.ncbi.nlm.nih.gov/protein/XP_050457342.1","ryanodine receptor isoform X10")</f>
        <v>ryanodine receptor isoform X10</v>
      </c>
      <c r="J2540">
        <v>3062.71</v>
      </c>
      <c r="K2540" t="s">
        <v>19</v>
      </c>
      <c r="L2540">
        <v>1210</v>
      </c>
      <c r="M2540">
        <v>7.13</v>
      </c>
      <c r="N2540">
        <v>29.84</v>
      </c>
      <c r="O2540" t="s">
        <v>19</v>
      </c>
      <c r="P2540" t="s">
        <v>1267</v>
      </c>
      <c r="Q2540" t="s">
        <v>19</v>
      </c>
      <c r="R2540" t="str">
        <f>HYPERLINK("https://cfpub.epa.gov/ecotox/explore.cfm?ncbi=1086592","Explore in ECOTOX")</f>
        <v>Explore in ECOTOX</v>
      </c>
    </row>
    <row r="2541" spans="1:18" x14ac:dyDescent="0.45">
      <c r="A2541" t="s">
        <v>1266</v>
      </c>
      <c r="B2541">
        <v>8</v>
      </c>
      <c r="C2541" t="str">
        <f>HYPERLINK("http://www.ncbi.nlm.nih.gov/protein/XP_034171918.1","XP_034171918.1")</f>
        <v>XP_034171918.1</v>
      </c>
      <c r="D2541">
        <v>25981</v>
      </c>
      <c r="E2541" t="str">
        <f>HYPERLINK("http://www.ncbi.nlm.nih.gov/Taxonomy/Browser/wwwtax.cgi?mode=Info&amp;id=473952&amp;lvl=3&amp;lin=f&amp;keep=1&amp;srchmode=1&amp;unlock","473952")</f>
        <v>473952</v>
      </c>
      <c r="F2541" t="s">
        <v>760</v>
      </c>
      <c r="G2541" t="str">
        <f>HYPERLINK("http://www.ncbi.nlm.nih.gov/Taxonomy/Browser/wwwtax.cgi?mode=Info&amp;id=473952&amp;lvl=3&amp;lin=f&amp;keep=1&amp;srchmode=1&amp;unlock","Osmia lignaria")</f>
        <v>Osmia lignaria</v>
      </c>
      <c r="H2541" t="s">
        <v>776</v>
      </c>
      <c r="I2541" t="str">
        <f>HYPERLINK("http://www.ncbi.nlm.nih.gov/protein/XP_034171918.1","ryanodine receptor isoform X19")</f>
        <v>ryanodine receptor isoform X19</v>
      </c>
      <c r="J2541">
        <v>3062.71</v>
      </c>
      <c r="K2541" t="s">
        <v>19</v>
      </c>
      <c r="L2541">
        <v>1210</v>
      </c>
      <c r="M2541">
        <v>7.13</v>
      </c>
      <c r="N2541">
        <v>29.84</v>
      </c>
      <c r="O2541" t="s">
        <v>19</v>
      </c>
      <c r="P2541" t="s">
        <v>1267</v>
      </c>
      <c r="Q2541" t="s">
        <v>19</v>
      </c>
      <c r="R2541" t="str">
        <f>HYPERLINK("https://cfpub.epa.gov/ecotox/explore.cfm?ncbi=473952","Explore in ECOTOX")</f>
        <v>Explore in ECOTOX</v>
      </c>
    </row>
    <row r="2542" spans="1:18" x14ac:dyDescent="0.45">
      <c r="A2542" t="s">
        <v>1266</v>
      </c>
      <c r="B2542">
        <v>8</v>
      </c>
      <c r="C2542" t="str">
        <f>HYPERLINK("http://www.ncbi.nlm.nih.gov/protein/XP_018312609.1","XP_018312609.1")</f>
        <v>XP_018312609.1</v>
      </c>
      <c r="D2542">
        <v>33331</v>
      </c>
      <c r="E2542" t="str">
        <f>HYPERLINK("http://www.ncbi.nlm.nih.gov/Taxonomy/Browser/wwwtax.cgi?mode=Info&amp;id=64791&amp;lvl=3&amp;lin=f&amp;keep=1&amp;srchmode=1&amp;unlock","64791")</f>
        <v>64791</v>
      </c>
      <c r="F2542" t="s">
        <v>760</v>
      </c>
      <c r="G2542" t="str">
        <f>HYPERLINK("http://www.ncbi.nlm.nih.gov/Taxonomy/Browser/wwwtax.cgi?mode=Info&amp;id=64791&amp;lvl=3&amp;lin=f&amp;keep=1&amp;srchmode=1&amp;unlock","Trachymyrmex zeteki")</f>
        <v>Trachymyrmex zeteki</v>
      </c>
      <c r="H2542" t="s">
        <v>769</v>
      </c>
      <c r="I2542" t="str">
        <f>HYPERLINK("http://www.ncbi.nlm.nih.gov/protein/XP_018312609.1","PREDICTED: LOW QUALITY PROTEIN: ryanodine receptor")</f>
        <v>PREDICTED: LOW QUALITY PROTEIN: ryanodine receptor</v>
      </c>
      <c r="J2542">
        <v>3062.71</v>
      </c>
      <c r="K2542" t="s">
        <v>19</v>
      </c>
      <c r="L2542">
        <v>1210</v>
      </c>
      <c r="M2542">
        <v>7.13</v>
      </c>
      <c r="N2542">
        <v>29.84</v>
      </c>
      <c r="O2542" t="s">
        <v>19</v>
      </c>
      <c r="P2542" t="s">
        <v>1267</v>
      </c>
      <c r="Q2542" t="s">
        <v>19</v>
      </c>
      <c r="R2542" t="str">
        <f>HYPERLINK("https://cfpub.epa.gov/ecotox/explore.cfm?ncbi=64791","Explore in ECOTOX")</f>
        <v>Explore in ECOTOX</v>
      </c>
    </row>
    <row r="2543" spans="1:18" x14ac:dyDescent="0.45">
      <c r="A2543" t="s">
        <v>1266</v>
      </c>
      <c r="B2543">
        <v>8</v>
      </c>
      <c r="C2543" t="str">
        <f>HYPERLINK("http://www.ncbi.nlm.nih.gov/protein/XP_012136720.1","XP_012136720.1")</f>
        <v>XP_012136720.1</v>
      </c>
      <c r="D2543">
        <v>26091</v>
      </c>
      <c r="E2543" t="str">
        <f>HYPERLINK("http://www.ncbi.nlm.nih.gov/Taxonomy/Browser/wwwtax.cgi?mode=Info&amp;id=143995&amp;lvl=3&amp;lin=f&amp;keep=1&amp;srchmode=1&amp;unlock","143995")</f>
        <v>143995</v>
      </c>
      <c r="F2543" t="s">
        <v>760</v>
      </c>
      <c r="G2543" t="str">
        <f>HYPERLINK("http://www.ncbi.nlm.nih.gov/Taxonomy/Browser/wwwtax.cgi?mode=Info&amp;id=143995&amp;lvl=3&amp;lin=f&amp;keep=1&amp;srchmode=1&amp;unlock","Megachile rotundata")</f>
        <v>Megachile rotundata</v>
      </c>
      <c r="H2543" t="s">
        <v>815</v>
      </c>
      <c r="I2543" t="str">
        <f>HYPERLINK("http://www.ncbi.nlm.nih.gov/protein/XP_012136720.1","PREDICTED: ryanodine receptor 44F isoform X8")</f>
        <v>PREDICTED: ryanodine receptor 44F isoform X8</v>
      </c>
      <c r="J2543">
        <v>3061.94</v>
      </c>
      <c r="K2543" t="s">
        <v>19</v>
      </c>
      <c r="L2543">
        <v>1210</v>
      </c>
      <c r="M2543">
        <v>7.13</v>
      </c>
      <c r="N2543">
        <v>29.84</v>
      </c>
      <c r="O2543" t="s">
        <v>19</v>
      </c>
      <c r="P2543" t="s">
        <v>1267</v>
      </c>
      <c r="Q2543" t="s">
        <v>19</v>
      </c>
      <c r="R2543" t="str">
        <f>HYPERLINK("https://cfpub.epa.gov/ecotox/explore.cfm?ncbi=143995","Explore in ECOTOX")</f>
        <v>Explore in ECOTOX</v>
      </c>
    </row>
    <row r="2544" spans="1:18" x14ac:dyDescent="0.45">
      <c r="A2544" t="s">
        <v>1266</v>
      </c>
      <c r="B2544">
        <v>8</v>
      </c>
      <c r="C2544" t="str">
        <f>HYPERLINK("http://www.ncbi.nlm.nih.gov/protein/XP_012063211.1","XP_012063211.1")</f>
        <v>XP_012063211.1</v>
      </c>
      <c r="D2544">
        <v>10769</v>
      </c>
      <c r="E2544" t="str">
        <f>HYPERLINK("http://www.ncbi.nlm.nih.gov/Taxonomy/Browser/wwwtax.cgi?mode=Info&amp;id=12957&amp;lvl=3&amp;lin=f&amp;keep=1&amp;srchmode=1&amp;unlock","12957")</f>
        <v>12957</v>
      </c>
      <c r="F2544" t="s">
        <v>760</v>
      </c>
      <c r="G2544" t="str">
        <f>HYPERLINK("http://www.ncbi.nlm.nih.gov/Taxonomy/Browser/wwwtax.cgi?mode=Info&amp;id=12957&amp;lvl=3&amp;lin=f&amp;keep=1&amp;srchmode=1&amp;unlock","Atta cephalotes")</f>
        <v>Atta cephalotes</v>
      </c>
      <c r="H2544" t="s">
        <v>809</v>
      </c>
      <c r="I2544" t="str">
        <f>HYPERLINK("http://www.ncbi.nlm.nih.gov/protein/XP_012063211.1","PREDICTED: ryanodine receptor 44F")</f>
        <v>PREDICTED: ryanodine receptor 44F</v>
      </c>
      <c r="J2544">
        <v>3061.55</v>
      </c>
      <c r="K2544" t="s">
        <v>19</v>
      </c>
      <c r="L2544">
        <v>1210</v>
      </c>
      <c r="M2544">
        <v>7.13</v>
      </c>
      <c r="N2544">
        <v>29.83</v>
      </c>
      <c r="O2544" t="s">
        <v>19</v>
      </c>
      <c r="P2544" t="s">
        <v>1267</v>
      </c>
      <c r="Q2544" t="s">
        <v>19</v>
      </c>
      <c r="R2544" t="str">
        <f>HYPERLINK("https://cfpub.epa.gov/ecotox/explore.cfm?ncbi=12957","Explore in ECOTOX")</f>
        <v>Explore in ECOTOX</v>
      </c>
    </row>
    <row r="2545" spans="1:18" x14ac:dyDescent="0.45">
      <c r="A2545" t="s">
        <v>1266</v>
      </c>
      <c r="B2545">
        <v>8</v>
      </c>
      <c r="C2545" t="str">
        <f>HYPERLINK("http://www.ncbi.nlm.nih.gov/protein/XP_031777943.1","XP_031777943.1")</f>
        <v>XP_031777943.1</v>
      </c>
      <c r="D2545">
        <v>34899</v>
      </c>
      <c r="E2545" t="str">
        <f>HYPERLINK("http://www.ncbi.nlm.nih.gov/Taxonomy/Browser/wwwtax.cgi?mode=Info&amp;id=7425&amp;lvl=3&amp;lin=f&amp;keep=1&amp;srchmode=1&amp;unlock","7425")</f>
        <v>7425</v>
      </c>
      <c r="F2545" t="s">
        <v>760</v>
      </c>
      <c r="G2545" t="str">
        <f>HYPERLINK("http://www.ncbi.nlm.nih.gov/Taxonomy/Browser/wwwtax.cgi?mode=Info&amp;id=7425&amp;lvl=3&amp;lin=f&amp;keep=1&amp;srchmode=1&amp;unlock","Nasonia vitripennis")</f>
        <v>Nasonia vitripennis</v>
      </c>
      <c r="H2545" t="s">
        <v>1075</v>
      </c>
      <c r="I2545" t="str">
        <f>HYPERLINK("http://www.ncbi.nlm.nih.gov/protein/XP_031777943.1","ryanodine receptor")</f>
        <v>ryanodine receptor</v>
      </c>
      <c r="J2545">
        <v>3061.17</v>
      </c>
      <c r="K2545" t="s">
        <v>19</v>
      </c>
      <c r="L2545">
        <v>1210</v>
      </c>
      <c r="M2545">
        <v>7.13</v>
      </c>
      <c r="N2545">
        <v>29.83</v>
      </c>
      <c r="O2545" t="s">
        <v>19</v>
      </c>
      <c r="P2545" t="s">
        <v>1267</v>
      </c>
      <c r="Q2545" t="s">
        <v>19</v>
      </c>
      <c r="R2545" t="str">
        <f>HYPERLINK("https://cfpub.epa.gov/ecotox/explore.cfm?ncbi=7425","Explore in ECOTOX")</f>
        <v>Explore in ECOTOX</v>
      </c>
    </row>
    <row r="2546" spans="1:18" x14ac:dyDescent="0.45">
      <c r="A2546" t="s">
        <v>1266</v>
      </c>
      <c r="B2546">
        <v>8</v>
      </c>
      <c r="C2546" t="str">
        <f>HYPERLINK("http://www.ncbi.nlm.nih.gov/protein/XP_048513532.1","XP_048513532.1")</f>
        <v>XP_048513532.1</v>
      </c>
      <c r="D2546">
        <v>26387</v>
      </c>
      <c r="E2546" t="str">
        <f>HYPERLINK("http://www.ncbi.nlm.nih.gov/Taxonomy/Browser/wwwtax.cgi?mode=Info&amp;id=37344&amp;lvl=3&amp;lin=f&amp;keep=1&amp;srchmode=1&amp;unlock","37344")</f>
        <v>37344</v>
      </c>
      <c r="F2546" t="s">
        <v>760</v>
      </c>
      <c r="G2546" t="str">
        <f>HYPERLINK("http://www.ncbi.nlm.nih.gov/Taxonomy/Browser/wwwtax.cgi?mode=Info&amp;id=37344&amp;lvl=3&amp;lin=f&amp;keep=1&amp;srchmode=1&amp;unlock","Athalia rosae")</f>
        <v>Athalia rosae</v>
      </c>
      <c r="H2546" t="s">
        <v>1053</v>
      </c>
      <c r="I2546" t="str">
        <f>HYPERLINK("http://www.ncbi.nlm.nih.gov/protein/XP_048513532.1","ryanodine receptor isoform X25")</f>
        <v>ryanodine receptor isoform X25</v>
      </c>
      <c r="J2546">
        <v>3061.17</v>
      </c>
      <c r="K2546" t="s">
        <v>19</v>
      </c>
      <c r="L2546">
        <v>1210</v>
      </c>
      <c r="M2546">
        <v>7.13</v>
      </c>
      <c r="N2546">
        <v>29.83</v>
      </c>
      <c r="O2546" t="s">
        <v>19</v>
      </c>
      <c r="P2546" t="s">
        <v>1267</v>
      </c>
      <c r="Q2546" t="s">
        <v>19</v>
      </c>
      <c r="R2546" t="str">
        <f>HYPERLINK("https://cfpub.epa.gov/ecotox/explore.cfm?ncbi=37344","Explore in ECOTOX")</f>
        <v>Explore in ECOTOX</v>
      </c>
    </row>
    <row r="2547" spans="1:18" x14ac:dyDescent="0.45">
      <c r="A2547" t="s">
        <v>1266</v>
      </c>
      <c r="B2547">
        <v>8</v>
      </c>
      <c r="C2547" t="str">
        <f>HYPERLINK("http://www.ncbi.nlm.nih.gov/protein/XP_020281090.1","XP_020281090.1")</f>
        <v>XP_020281090.1</v>
      </c>
      <c r="D2547">
        <v>23521</v>
      </c>
      <c r="E2547" t="str">
        <f>HYPERLINK("http://www.ncbi.nlm.nih.gov/Taxonomy/Browser/wwwtax.cgi?mode=Info&amp;id=219809&amp;lvl=3&amp;lin=f&amp;keep=1&amp;srchmode=1&amp;unlock","219809")</f>
        <v>219809</v>
      </c>
      <c r="F2547" t="s">
        <v>760</v>
      </c>
      <c r="G2547" t="str">
        <f>HYPERLINK("http://www.ncbi.nlm.nih.gov/Taxonomy/Browser/wwwtax.cgi?mode=Info&amp;id=219809&amp;lvl=3&amp;lin=f&amp;keep=1&amp;srchmode=1&amp;unlock","Pseudomyrmex gracilis")</f>
        <v>Pseudomyrmex gracilis</v>
      </c>
      <c r="H2547" t="s">
        <v>769</v>
      </c>
      <c r="I2547" t="str">
        <f>HYPERLINK("http://www.ncbi.nlm.nih.gov/protein/XP_020281090.1","ryanodine receptor isoform X19")</f>
        <v>ryanodine receptor isoform X19</v>
      </c>
      <c r="J2547">
        <v>3061.17</v>
      </c>
      <c r="K2547" t="s">
        <v>22</v>
      </c>
      <c r="L2547">
        <v>1210</v>
      </c>
      <c r="M2547">
        <v>7.13</v>
      </c>
      <c r="N2547">
        <v>29.83</v>
      </c>
      <c r="O2547" t="s">
        <v>19</v>
      </c>
      <c r="P2547" t="s">
        <v>1267</v>
      </c>
      <c r="Q2547" t="s">
        <v>19</v>
      </c>
      <c r="R2547" t="str">
        <f>HYPERLINK("https://cfpub.epa.gov/ecotox/explore.cfm?ncbi=219809","Explore in ECOTOX")</f>
        <v>Explore in ECOTOX</v>
      </c>
    </row>
    <row r="2548" spans="1:18" x14ac:dyDescent="0.45">
      <c r="A2548" t="s">
        <v>1266</v>
      </c>
      <c r="B2548">
        <v>8</v>
      </c>
      <c r="C2548" t="str">
        <f>HYPERLINK("http://www.ncbi.nlm.nih.gov/protein/XP_046492257.1","XP_046492257.1")</f>
        <v>XP_046492257.1</v>
      </c>
      <c r="D2548">
        <v>28716</v>
      </c>
      <c r="E2548" t="str">
        <f>HYPERLINK("http://www.ncbi.nlm.nih.gov/Taxonomy/Browser/wwwtax.cgi?mode=Info&amp;id=441929&amp;lvl=3&amp;lin=f&amp;keep=1&amp;srchmode=1&amp;unlock","441929")</f>
        <v>441929</v>
      </c>
      <c r="F2548" t="s">
        <v>760</v>
      </c>
      <c r="G2548" t="str">
        <f>HYPERLINK("http://www.ncbi.nlm.nih.gov/Taxonomy/Browser/wwwtax.cgi?mode=Info&amp;id=441929&amp;lvl=3&amp;lin=f&amp;keep=1&amp;srchmode=1&amp;unlock","Neodiprion pinetum")</f>
        <v>Neodiprion pinetum</v>
      </c>
      <c r="H2548" t="s">
        <v>1058</v>
      </c>
      <c r="I2548" t="str">
        <f>HYPERLINK("http://www.ncbi.nlm.nih.gov/protein/XP_046492257.1","ryanodine receptor")</f>
        <v>ryanodine receptor</v>
      </c>
      <c r="J2548">
        <v>3060.78</v>
      </c>
      <c r="K2548" t="s">
        <v>22</v>
      </c>
      <c r="L2548">
        <v>1210</v>
      </c>
      <c r="M2548">
        <v>7.13</v>
      </c>
      <c r="N2548">
        <v>29.82</v>
      </c>
      <c r="O2548" t="s">
        <v>19</v>
      </c>
      <c r="P2548" t="s">
        <v>1267</v>
      </c>
      <c r="Q2548" t="s">
        <v>19</v>
      </c>
      <c r="R2548" t="str">
        <f>HYPERLINK("https://cfpub.epa.gov/ecotox/explore.cfm?ncbi=441929","Explore in ECOTOX")</f>
        <v>Explore in ECOTOX</v>
      </c>
    </row>
    <row r="2549" spans="1:18" x14ac:dyDescent="0.45">
      <c r="A2549" t="s">
        <v>1266</v>
      </c>
      <c r="B2549">
        <v>8</v>
      </c>
      <c r="C2549" t="str">
        <f>HYPERLINK("http://www.ncbi.nlm.nih.gov/protein/XP_033213569.1","XP_033213569.1")</f>
        <v>XP_033213569.1</v>
      </c>
      <c r="D2549">
        <v>25246</v>
      </c>
      <c r="E2549" t="str">
        <f>HYPERLINK("http://www.ncbi.nlm.nih.gov/Taxonomy/Browser/wwwtax.cgi?mode=Info&amp;id=2817044&amp;lvl=3&amp;lin=f&amp;keep=1&amp;srchmode=1&amp;unlock","2817044")</f>
        <v>2817044</v>
      </c>
      <c r="F2549" t="s">
        <v>760</v>
      </c>
      <c r="G2549" t="str">
        <f>HYPERLINK("http://www.ncbi.nlm.nih.gov/Taxonomy/Browser/wwwtax.cgi?mode=Info&amp;id=2817044&amp;lvl=3&amp;lin=f&amp;keep=1&amp;srchmode=1&amp;unlock","Belonocnema kinseyi")</f>
        <v>Belonocnema kinseyi</v>
      </c>
      <c r="H2549" t="s">
        <v>1032</v>
      </c>
      <c r="I2549" t="str">
        <f>HYPERLINK("http://www.ncbi.nlm.nih.gov/protein/XP_033213569.1","ryanodine receptor isoform X3")</f>
        <v>ryanodine receptor isoform X3</v>
      </c>
      <c r="J2549">
        <v>3059.63</v>
      </c>
      <c r="K2549" t="s">
        <v>19</v>
      </c>
      <c r="L2549">
        <v>1210</v>
      </c>
      <c r="M2549">
        <v>7.13</v>
      </c>
      <c r="N2549">
        <v>29.81</v>
      </c>
      <c r="O2549" t="s">
        <v>19</v>
      </c>
      <c r="P2549" t="s">
        <v>1267</v>
      </c>
      <c r="Q2549" t="s">
        <v>19</v>
      </c>
      <c r="R2549" t="str">
        <f>HYPERLINK("https://cfpub.epa.gov/ecotox/explore.cfm?ncbi=2817044","Explore in ECOTOX")</f>
        <v>Explore in ECOTOX</v>
      </c>
    </row>
    <row r="2550" spans="1:18" x14ac:dyDescent="0.45">
      <c r="A2550" t="s">
        <v>1266</v>
      </c>
      <c r="B2550">
        <v>8</v>
      </c>
      <c r="C2550" t="str">
        <f>HYPERLINK("http://www.ncbi.nlm.nih.gov/protein/XP_046602030.1","XP_046602030.1")</f>
        <v>XP_046602030.1</v>
      </c>
      <c r="D2550">
        <v>28663</v>
      </c>
      <c r="E2550" t="str">
        <f>HYPERLINK("http://www.ncbi.nlm.nih.gov/Taxonomy/Browser/wwwtax.cgi?mode=Info&amp;id=441921&amp;lvl=3&amp;lin=f&amp;keep=1&amp;srchmode=1&amp;unlock","441921")</f>
        <v>441921</v>
      </c>
      <c r="F2550" t="s">
        <v>760</v>
      </c>
      <c r="G2550" t="str">
        <f>HYPERLINK("http://www.ncbi.nlm.nih.gov/Taxonomy/Browser/wwwtax.cgi?mode=Info&amp;id=441921&amp;lvl=3&amp;lin=f&amp;keep=1&amp;srchmode=1&amp;unlock","Neodiprion lecontei")</f>
        <v>Neodiprion lecontei</v>
      </c>
      <c r="H2550" t="s">
        <v>1059</v>
      </c>
      <c r="I2550" t="str">
        <f>HYPERLINK("http://www.ncbi.nlm.nih.gov/protein/XP_046602030.1","ryanodine receptor")</f>
        <v>ryanodine receptor</v>
      </c>
      <c r="J2550">
        <v>3059.63</v>
      </c>
      <c r="K2550" t="s">
        <v>22</v>
      </c>
      <c r="L2550">
        <v>1210</v>
      </c>
      <c r="M2550">
        <v>7.13</v>
      </c>
      <c r="N2550">
        <v>29.81</v>
      </c>
      <c r="O2550" t="s">
        <v>19</v>
      </c>
      <c r="P2550" t="s">
        <v>1267</v>
      </c>
      <c r="Q2550" t="s">
        <v>19</v>
      </c>
      <c r="R2550" t="str">
        <f>HYPERLINK("https://cfpub.epa.gov/ecotox/explore.cfm?ncbi=441921","Explore in ECOTOX")</f>
        <v>Explore in ECOTOX</v>
      </c>
    </row>
    <row r="2551" spans="1:18" x14ac:dyDescent="0.45">
      <c r="A2551" t="s">
        <v>1266</v>
      </c>
      <c r="B2551">
        <v>8</v>
      </c>
      <c r="C2551" t="str">
        <f>HYPERLINK("http://www.ncbi.nlm.nih.gov/protein/XP_046435087.1","XP_046435087.1")</f>
        <v>XP_046435087.1</v>
      </c>
      <c r="D2551">
        <v>27443</v>
      </c>
      <c r="E2551" t="str">
        <f>HYPERLINK("http://www.ncbi.nlm.nih.gov/Taxonomy/Browser/wwwtax.cgi?mode=Info&amp;id=2872261&amp;lvl=3&amp;lin=f&amp;keep=1&amp;srchmode=1&amp;unlock","2872261")</f>
        <v>2872261</v>
      </c>
      <c r="F2551" t="s">
        <v>760</v>
      </c>
      <c r="G2551" t="str">
        <f>HYPERLINK("http://www.ncbi.nlm.nih.gov/Taxonomy/Browser/wwwtax.cgi?mode=Info&amp;id=2872261&amp;lvl=3&amp;lin=f&amp;keep=1&amp;srchmode=1&amp;unlock","Neodiprion fabricii")</f>
        <v>Neodiprion fabricii</v>
      </c>
      <c r="H2551" t="s">
        <v>1046</v>
      </c>
      <c r="I2551" t="str">
        <f>HYPERLINK("http://www.ncbi.nlm.nih.gov/protein/XP_046435087.1","ryanodine receptor")</f>
        <v>ryanodine receptor</v>
      </c>
      <c r="J2551">
        <v>3059.63</v>
      </c>
      <c r="K2551" t="s">
        <v>22</v>
      </c>
      <c r="L2551">
        <v>1210</v>
      </c>
      <c r="M2551">
        <v>7.13</v>
      </c>
      <c r="N2551">
        <v>29.81</v>
      </c>
      <c r="O2551" t="s">
        <v>19</v>
      </c>
      <c r="P2551" t="s">
        <v>1267</v>
      </c>
      <c r="Q2551" t="s">
        <v>19</v>
      </c>
      <c r="R2551" t="str">
        <f>HYPERLINK("https://cfpub.epa.gov/ecotox/explore.cfm?ncbi=2872261","Explore in ECOTOX")</f>
        <v>Explore in ECOTOX</v>
      </c>
    </row>
    <row r="2552" spans="1:18" x14ac:dyDescent="0.45">
      <c r="A2552" t="s">
        <v>1266</v>
      </c>
      <c r="B2552">
        <v>8</v>
      </c>
      <c r="C2552" t="str">
        <f>HYPERLINK("http://www.ncbi.nlm.nih.gov/protein/XP_024876755.1","XP_024876755.1")</f>
        <v>XP_024876755.1</v>
      </c>
      <c r="D2552">
        <v>27313</v>
      </c>
      <c r="E2552" t="str">
        <f>HYPERLINK("http://www.ncbi.nlm.nih.gov/Taxonomy/Browser/wwwtax.cgi?mode=Info&amp;id=300111&amp;lvl=3&amp;lin=f&amp;keep=1&amp;srchmode=1&amp;unlock","300111")</f>
        <v>300111</v>
      </c>
      <c r="F2552" t="s">
        <v>760</v>
      </c>
      <c r="G2552" t="str">
        <f>HYPERLINK("http://www.ncbi.nlm.nih.gov/Taxonomy/Browser/wwwtax.cgi?mode=Info&amp;id=300111&amp;lvl=3&amp;lin=f&amp;keep=1&amp;srchmode=1&amp;unlock","Temnothorax curvispinosus")</f>
        <v>Temnothorax curvispinosus</v>
      </c>
      <c r="H2552" t="s">
        <v>769</v>
      </c>
      <c r="I2552" t="str">
        <f>HYPERLINK("http://www.ncbi.nlm.nih.gov/protein/XP_024876755.1","ryanodine receptor isoform X7")</f>
        <v>ryanodine receptor isoform X7</v>
      </c>
      <c r="J2552">
        <v>3058.86</v>
      </c>
      <c r="K2552" t="s">
        <v>22</v>
      </c>
      <c r="L2552">
        <v>1210</v>
      </c>
      <c r="M2552">
        <v>7.13</v>
      </c>
      <c r="N2552">
        <v>29.81</v>
      </c>
      <c r="O2552" t="s">
        <v>19</v>
      </c>
      <c r="P2552" t="s">
        <v>1267</v>
      </c>
      <c r="Q2552" t="s">
        <v>19</v>
      </c>
      <c r="R2552" t="str">
        <f>HYPERLINK("https://cfpub.epa.gov/ecotox/explore.cfm?ncbi=300111","Explore in ECOTOX")</f>
        <v>Explore in ECOTOX</v>
      </c>
    </row>
    <row r="2553" spans="1:18" x14ac:dyDescent="0.45">
      <c r="A2553" t="s">
        <v>1266</v>
      </c>
      <c r="B2553">
        <v>8</v>
      </c>
      <c r="C2553" t="str">
        <f>HYPERLINK("http://www.ncbi.nlm.nih.gov/protein/CAH1731530.1","CAH1731530.1")</f>
        <v>CAH1731530.1</v>
      </c>
      <c r="D2553">
        <v>42423</v>
      </c>
      <c r="E2553" t="str">
        <f>HYPERLINK("http://www.ncbi.nlm.nih.gov/Taxonomy/Browser/wwwtax.cgi?mode=Info&amp;id=80765&amp;lvl=3&amp;lin=f&amp;keep=1&amp;srchmode=1&amp;unlock","80765")</f>
        <v>80765</v>
      </c>
      <c r="F2553" t="s">
        <v>760</v>
      </c>
      <c r="G2553" t="str">
        <f>HYPERLINK("http://www.ncbi.nlm.nih.gov/Taxonomy/Browser/wwwtax.cgi?mode=Info&amp;id=80765&amp;lvl=3&amp;lin=f&amp;keep=1&amp;srchmode=1&amp;unlock","Aphis gossypii")</f>
        <v>Aphis gossypii</v>
      </c>
      <c r="H2553" t="s">
        <v>936</v>
      </c>
      <c r="I2553" t="str">
        <f>HYPERLINK("http://www.ncbi.nlm.nih.gov/protein/CAH1731530.1","unnamed protein product")</f>
        <v>unnamed protein product</v>
      </c>
      <c r="J2553">
        <v>3058.09</v>
      </c>
      <c r="K2553" t="s">
        <v>19</v>
      </c>
      <c r="L2553">
        <v>1210</v>
      </c>
      <c r="M2553">
        <v>7.13</v>
      </c>
      <c r="N2553">
        <v>29.8</v>
      </c>
      <c r="O2553" t="s">
        <v>19</v>
      </c>
      <c r="P2553" t="s">
        <v>1267</v>
      </c>
      <c r="Q2553" t="s">
        <v>19</v>
      </c>
      <c r="R2553" t="str">
        <f>HYPERLINK("https://cfpub.epa.gov/ecotox/explore.cfm?ncbi=80765","Explore in ECOTOX")</f>
        <v>Explore in ECOTOX</v>
      </c>
    </row>
    <row r="2554" spans="1:18" x14ac:dyDescent="0.45">
      <c r="A2554" t="s">
        <v>1266</v>
      </c>
      <c r="B2554">
        <v>8</v>
      </c>
      <c r="C2554" t="str">
        <f>HYPERLINK("http://www.ncbi.nlm.nih.gov/protein/XP_037915521.1","XP_037915521.1")</f>
        <v>XP_037915521.1</v>
      </c>
      <c r="D2554">
        <v>42680</v>
      </c>
      <c r="E2554" t="str">
        <f>HYPERLINK("http://www.ncbi.nlm.nih.gov/Taxonomy/Browser/wwwtax.cgi?mode=Info&amp;id=343691&amp;lvl=3&amp;lin=f&amp;keep=1&amp;srchmode=1&amp;unlock","343691")</f>
        <v>343691</v>
      </c>
      <c r="F2554" t="s">
        <v>760</v>
      </c>
      <c r="G2554" t="str">
        <f>HYPERLINK("http://www.ncbi.nlm.nih.gov/Taxonomy/Browser/wwwtax.cgi?mode=Info&amp;id=343691&amp;lvl=3&amp;lin=f&amp;keep=1&amp;srchmode=1&amp;unlock","Hermetia illucens")</f>
        <v>Hermetia illucens</v>
      </c>
      <c r="H2554" t="s">
        <v>941</v>
      </c>
      <c r="I2554" t="str">
        <f>HYPERLINK("http://www.ncbi.nlm.nih.gov/protein/XP_037915521.1","ryanodine receptor isoform X13")</f>
        <v>ryanodine receptor isoform X13</v>
      </c>
      <c r="J2554">
        <v>3057.7</v>
      </c>
      <c r="K2554" t="s">
        <v>19</v>
      </c>
      <c r="L2554">
        <v>1210</v>
      </c>
      <c r="M2554">
        <v>7.13</v>
      </c>
      <c r="N2554">
        <v>29.79</v>
      </c>
      <c r="O2554" t="s">
        <v>19</v>
      </c>
      <c r="P2554" t="s">
        <v>1267</v>
      </c>
      <c r="Q2554" t="s">
        <v>19</v>
      </c>
      <c r="R2554" t="str">
        <f>HYPERLINK("https://cfpub.epa.gov/ecotox/explore.cfm?ncbi=343691","Explore in ECOTOX")</f>
        <v>Explore in ECOTOX</v>
      </c>
    </row>
    <row r="2555" spans="1:18" x14ac:dyDescent="0.45">
      <c r="A2555" t="s">
        <v>1266</v>
      </c>
      <c r="B2555">
        <v>8</v>
      </c>
      <c r="C2555" t="str">
        <f>HYPERLINK("http://www.ncbi.nlm.nih.gov/protein/KAI4503161.1","KAI4503161.1")</f>
        <v>KAI4503161.1</v>
      </c>
      <c r="D2555">
        <v>17014</v>
      </c>
      <c r="E2555" t="str">
        <f>HYPERLINK("http://www.ncbi.nlm.nih.gov/Taxonomy/Browser/wwwtax.cgi?mode=Info&amp;id=91405&amp;lvl=3&amp;lin=f&amp;keep=1&amp;srchmode=1&amp;unlock","91405")</f>
        <v>91405</v>
      </c>
      <c r="F2555" t="s">
        <v>760</v>
      </c>
      <c r="G2555" t="str">
        <f>HYPERLINK("http://www.ncbi.nlm.nih.gov/Taxonomy/Browser/wwwtax.cgi?mode=Info&amp;id=91405&amp;lvl=3&amp;lin=f&amp;keep=1&amp;srchmode=1&amp;unlock","Mischocyttarus mexicanus")</f>
        <v>Mischocyttarus mexicanus</v>
      </c>
      <c r="H2555" t="s">
        <v>808</v>
      </c>
      <c r="I2555" t="str">
        <f>HYPERLINK("http://www.ncbi.nlm.nih.gov/protein/KAI4503161.1","hypothetical protein M0802_001383")</f>
        <v>hypothetical protein M0802_001383</v>
      </c>
      <c r="J2555">
        <v>3057.7</v>
      </c>
      <c r="K2555" t="s">
        <v>22</v>
      </c>
      <c r="L2555">
        <v>1210</v>
      </c>
      <c r="M2555">
        <v>7.13</v>
      </c>
      <c r="N2555">
        <v>29.79</v>
      </c>
      <c r="O2555" t="s">
        <v>19</v>
      </c>
      <c r="P2555" t="s">
        <v>1267</v>
      </c>
      <c r="Q2555" t="s">
        <v>19</v>
      </c>
      <c r="R2555" t="str">
        <f>HYPERLINK("https://cfpub.epa.gov/ecotox/explore.cfm?ncbi=91405","Explore in ECOTOX")</f>
        <v>Explore in ECOTOX</v>
      </c>
    </row>
    <row r="2556" spans="1:18" x14ac:dyDescent="0.45">
      <c r="A2556" t="s">
        <v>1266</v>
      </c>
      <c r="B2556">
        <v>8</v>
      </c>
      <c r="C2556" t="str">
        <f>HYPERLINK("http://www.ncbi.nlm.nih.gov/protein/XP_055703610.1","XP_055703610.1")</f>
        <v>XP_055703610.1</v>
      </c>
      <c r="D2556">
        <v>21442</v>
      </c>
      <c r="E2556" t="str">
        <f>HYPERLINK("http://www.ncbi.nlm.nih.gov/Taxonomy/Browser/wwwtax.cgi?mode=Info&amp;id=29031&amp;lvl=3&amp;lin=f&amp;keep=1&amp;srchmode=1&amp;unlock","29031")</f>
        <v>29031</v>
      </c>
      <c r="F2556" t="s">
        <v>760</v>
      </c>
      <c r="G2556" t="str">
        <f>HYPERLINK("http://www.ncbi.nlm.nih.gov/Taxonomy/Browser/wwwtax.cgi?mode=Info&amp;id=29031&amp;lvl=3&amp;lin=f&amp;keep=1&amp;srchmode=1&amp;unlock","Phlebotomus papatasi")</f>
        <v>Phlebotomus papatasi</v>
      </c>
      <c r="H2556" t="s">
        <v>943</v>
      </c>
      <c r="I2556" t="str">
        <f>HYPERLINK("http://www.ncbi.nlm.nih.gov/protein/XP_055703610.1","ryanodine receptor")</f>
        <v>ryanodine receptor</v>
      </c>
      <c r="J2556">
        <v>3057.31</v>
      </c>
      <c r="K2556" t="s">
        <v>19</v>
      </c>
      <c r="L2556">
        <v>1210</v>
      </c>
      <c r="M2556">
        <v>7.13</v>
      </c>
      <c r="N2556">
        <v>29.79</v>
      </c>
      <c r="O2556" t="s">
        <v>19</v>
      </c>
      <c r="P2556" t="s">
        <v>1267</v>
      </c>
      <c r="Q2556" t="s">
        <v>19</v>
      </c>
      <c r="R2556" t="str">
        <f>HYPERLINK("https://cfpub.epa.gov/ecotox/explore.cfm?ncbi=29031","Explore in ECOTOX")</f>
        <v>Explore in ECOTOX</v>
      </c>
    </row>
    <row r="2557" spans="1:18" x14ac:dyDescent="0.45">
      <c r="A2557" t="s">
        <v>1266</v>
      </c>
      <c r="B2557">
        <v>8</v>
      </c>
      <c r="C2557" t="str">
        <f>HYPERLINK("http://www.ncbi.nlm.nih.gov/protein/XP_059226137.1","XP_059226137.1")</f>
        <v>XP_059226137.1</v>
      </c>
      <c r="D2557">
        <v>26999</v>
      </c>
      <c r="E2557" t="str">
        <f>HYPERLINK("http://www.ncbi.nlm.nih.gov/Taxonomy/Browser/wwwtax.cgi?mode=Info&amp;id=35570&amp;lvl=3&amp;lin=f&amp;keep=1&amp;srchmode=1&amp;unlock","35570")</f>
        <v>35570</v>
      </c>
      <c r="F2557" t="s">
        <v>760</v>
      </c>
      <c r="G2557" t="str">
        <f>HYPERLINK("http://www.ncbi.nlm.nih.gov/Taxonomy/Browser/wwwtax.cgi?mode=Info&amp;id=35570&amp;lvl=3&amp;lin=f&amp;keep=1&amp;srchmode=1&amp;unlock","Stomoxys calcitrans")</f>
        <v>Stomoxys calcitrans</v>
      </c>
      <c r="H2557" t="s">
        <v>952</v>
      </c>
      <c r="I2557" t="str">
        <f>HYPERLINK("http://www.ncbi.nlm.nih.gov/protein/XP_059226137.1","ryanodine receptor isoform X10")</f>
        <v>ryanodine receptor isoform X10</v>
      </c>
      <c r="J2557">
        <v>3056.16</v>
      </c>
      <c r="K2557" t="s">
        <v>19</v>
      </c>
      <c r="L2557">
        <v>1210</v>
      </c>
      <c r="M2557">
        <v>7.13</v>
      </c>
      <c r="N2557">
        <v>29.78</v>
      </c>
      <c r="O2557" t="s">
        <v>19</v>
      </c>
      <c r="P2557" t="s">
        <v>1267</v>
      </c>
      <c r="Q2557" t="s">
        <v>19</v>
      </c>
      <c r="R2557" t="str">
        <f>HYPERLINK("https://cfpub.epa.gov/ecotox/explore.cfm?ncbi=35570","Explore in ECOTOX")</f>
        <v>Explore in ECOTOX</v>
      </c>
    </row>
    <row r="2558" spans="1:18" x14ac:dyDescent="0.45">
      <c r="A2558" t="s">
        <v>1266</v>
      </c>
      <c r="B2558">
        <v>8</v>
      </c>
      <c r="C2558" t="str">
        <f>HYPERLINK("http://www.ncbi.nlm.nih.gov/protein/XP_037827134.1","XP_037827134.1")</f>
        <v>XP_037827134.1</v>
      </c>
      <c r="D2558">
        <v>24230</v>
      </c>
      <c r="E2558" t="str">
        <f>HYPERLINK("http://www.ncbi.nlm.nih.gov/Taxonomy/Browser/wwwtax.cgi?mode=Info&amp;id=13632&amp;lvl=3&amp;lin=f&amp;keep=1&amp;srchmode=1&amp;unlock","13632")</f>
        <v>13632</v>
      </c>
      <c r="F2558" t="s">
        <v>760</v>
      </c>
      <c r="G2558" t="str">
        <f>HYPERLINK("http://www.ncbi.nlm.nih.gov/Taxonomy/Browser/wwwtax.cgi?mode=Info&amp;id=13632&amp;lvl=3&amp;lin=f&amp;keep=1&amp;srchmode=1&amp;unlock","Lucilia sericata")</f>
        <v>Lucilia sericata</v>
      </c>
      <c r="H2558" t="s">
        <v>972</v>
      </c>
      <c r="I2558" t="str">
        <f>HYPERLINK("http://www.ncbi.nlm.nih.gov/protein/XP_037827134.1","ryanodine receptor isoform X7")</f>
        <v>ryanodine receptor isoform X7</v>
      </c>
      <c r="J2558">
        <v>3055.77</v>
      </c>
      <c r="K2558" t="s">
        <v>19</v>
      </c>
      <c r="L2558">
        <v>1210</v>
      </c>
      <c r="M2558">
        <v>7.13</v>
      </c>
      <c r="N2558">
        <v>29.77</v>
      </c>
      <c r="O2558" t="s">
        <v>19</v>
      </c>
      <c r="P2558" t="s">
        <v>1267</v>
      </c>
      <c r="Q2558" t="s">
        <v>19</v>
      </c>
      <c r="R2558" t="str">
        <f>HYPERLINK("https://cfpub.epa.gov/ecotox/explore.cfm?ncbi=13632","Explore in ECOTOX")</f>
        <v>Explore in ECOTOX</v>
      </c>
    </row>
    <row r="2559" spans="1:18" x14ac:dyDescent="0.45">
      <c r="A2559" t="s">
        <v>1266</v>
      </c>
      <c r="B2559">
        <v>8</v>
      </c>
      <c r="C2559" t="str">
        <f>HYPERLINK("http://www.ncbi.nlm.nih.gov/protein/XP_049289000.1","XP_049289000.1")</f>
        <v>XP_049289000.1</v>
      </c>
      <c r="D2559">
        <v>26504</v>
      </c>
      <c r="E2559" t="str">
        <f>HYPERLINK("http://www.ncbi.nlm.nih.gov/Taxonomy/Browser/wwwtax.cgi?mode=Info&amp;id=62324&amp;lvl=3&amp;lin=f&amp;keep=1&amp;srchmode=1&amp;unlock","62324")</f>
        <v>62324</v>
      </c>
      <c r="F2559" t="s">
        <v>760</v>
      </c>
      <c r="G2559" t="str">
        <f>HYPERLINK("http://www.ncbi.nlm.nih.gov/Taxonomy/Browser/wwwtax.cgi?mode=Info&amp;id=62324&amp;lvl=3&amp;lin=f&amp;keep=1&amp;srchmode=1&amp;unlock","Anopheles funestus")</f>
        <v>Anopheles funestus</v>
      </c>
      <c r="H2559" t="s">
        <v>940</v>
      </c>
      <c r="I2559" t="str">
        <f>HYPERLINK("http://www.ncbi.nlm.nih.gov/protein/XP_049289000.1","ryanodine receptor isoform X3")</f>
        <v>ryanodine receptor isoform X3</v>
      </c>
      <c r="J2559">
        <v>3055.77</v>
      </c>
      <c r="K2559" t="s">
        <v>19</v>
      </c>
      <c r="L2559">
        <v>1210</v>
      </c>
      <c r="M2559">
        <v>7.13</v>
      </c>
      <c r="N2559">
        <v>29.77</v>
      </c>
      <c r="O2559" t="s">
        <v>19</v>
      </c>
      <c r="P2559" t="s">
        <v>1267</v>
      </c>
      <c r="Q2559" t="s">
        <v>19</v>
      </c>
      <c r="R2559" t="str">
        <f>HYPERLINK("https://cfpub.epa.gov/ecotox/explore.cfm?ncbi=62324","Explore in ECOTOX")</f>
        <v>Explore in ECOTOX</v>
      </c>
    </row>
    <row r="2560" spans="1:18" x14ac:dyDescent="0.45">
      <c r="A2560" t="s">
        <v>1266</v>
      </c>
      <c r="B2560">
        <v>8</v>
      </c>
      <c r="C2560" t="str">
        <f>HYPERLINK("http://www.ncbi.nlm.nih.gov/protein/KAE9543520.1","KAE9543520.1")</f>
        <v>KAE9543520.1</v>
      </c>
      <c r="D2560">
        <v>18846</v>
      </c>
      <c r="E2560" t="str">
        <f>HYPERLINK("http://www.ncbi.nlm.nih.gov/Taxonomy/Browser/wwwtax.cgi?mode=Info&amp;id=307491&amp;lvl=3&amp;lin=f&amp;keep=1&amp;srchmode=1&amp;unlock","307491")</f>
        <v>307491</v>
      </c>
      <c r="F2560" t="s">
        <v>760</v>
      </c>
      <c r="G2560" t="str">
        <f>HYPERLINK("http://www.ncbi.nlm.nih.gov/Taxonomy/Browser/wwwtax.cgi?mode=Info&amp;id=307491&amp;lvl=3&amp;lin=f&amp;keep=1&amp;srchmode=1&amp;unlock","Aphis glycines")</f>
        <v>Aphis glycines</v>
      </c>
      <c r="H2560" t="s">
        <v>933</v>
      </c>
      <c r="I2560" t="str">
        <f>HYPERLINK("http://www.ncbi.nlm.nih.gov/protein/KAE9543520.1","hypothetical protein AGLY_002320")</f>
        <v>hypothetical protein AGLY_002320</v>
      </c>
      <c r="J2560">
        <v>3055.77</v>
      </c>
      <c r="K2560" t="s">
        <v>22</v>
      </c>
      <c r="L2560">
        <v>1210</v>
      </c>
      <c r="M2560">
        <v>7.13</v>
      </c>
      <c r="N2560">
        <v>29.77</v>
      </c>
      <c r="O2560" t="s">
        <v>19</v>
      </c>
      <c r="P2560" t="s">
        <v>1267</v>
      </c>
      <c r="Q2560" t="s">
        <v>19</v>
      </c>
      <c r="R2560" t="str">
        <f>HYPERLINK("https://cfpub.epa.gov/ecotox/explore.cfm?ncbi=307491","Explore in ECOTOX")</f>
        <v>Explore in ECOTOX</v>
      </c>
    </row>
    <row r="2561" spans="1:18" x14ac:dyDescent="0.45">
      <c r="A2561" t="s">
        <v>1266</v>
      </c>
      <c r="B2561">
        <v>8</v>
      </c>
      <c r="C2561" t="str">
        <f>HYPERLINK("http://www.ncbi.nlm.nih.gov/protein/XP_037272500.1","XP_037272500.1")</f>
        <v>XP_037272500.1</v>
      </c>
      <c r="D2561">
        <v>55948</v>
      </c>
      <c r="E2561" t="str">
        <f>HYPERLINK("http://www.ncbi.nlm.nih.gov/Taxonomy/Browser/wwwtax.cgi?mode=Info&amp;id=6941&amp;lvl=3&amp;lin=f&amp;keep=1&amp;srchmode=1&amp;unlock","6941")</f>
        <v>6941</v>
      </c>
      <c r="F2561" t="s">
        <v>904</v>
      </c>
      <c r="G2561" t="str">
        <f>HYPERLINK("http://www.ncbi.nlm.nih.gov/Taxonomy/Browser/wwwtax.cgi?mode=Info&amp;id=6941&amp;lvl=3&amp;lin=f&amp;keep=1&amp;srchmode=1&amp;unlock","Rhipicephalus microplus")</f>
        <v>Rhipicephalus microplus</v>
      </c>
      <c r="H2561" t="s">
        <v>1117</v>
      </c>
      <c r="I2561" t="str">
        <f>HYPERLINK("http://www.ncbi.nlm.nih.gov/protein/XP_037272500.1","ryanodine receptor-like")</f>
        <v>ryanodine receptor-like</v>
      </c>
      <c r="J2561">
        <v>3055.39</v>
      </c>
      <c r="K2561" t="s">
        <v>19</v>
      </c>
      <c r="L2561">
        <v>1210</v>
      </c>
      <c r="M2561">
        <v>7.13</v>
      </c>
      <c r="N2561">
        <v>29.77</v>
      </c>
      <c r="O2561" t="s">
        <v>19</v>
      </c>
      <c r="P2561" t="s">
        <v>1267</v>
      </c>
      <c r="Q2561" t="s">
        <v>19</v>
      </c>
      <c r="R2561" t="str">
        <f>HYPERLINK("https://cfpub.epa.gov/ecotox/explore.cfm?ncbi=6941","Explore in ECOTOX")</f>
        <v>Explore in ECOTOX</v>
      </c>
    </row>
    <row r="2562" spans="1:18" x14ac:dyDescent="0.45">
      <c r="A2562" t="s">
        <v>1266</v>
      </c>
      <c r="B2562">
        <v>8</v>
      </c>
      <c r="C2562" t="str">
        <f>HYPERLINK("http://www.ncbi.nlm.nih.gov/protein/XP_039305068.1","XP_039305068.1")</f>
        <v>XP_039305068.1</v>
      </c>
      <c r="D2562">
        <v>31394</v>
      </c>
      <c r="E2562" t="str">
        <f>HYPERLINK("http://www.ncbi.nlm.nih.gov/Taxonomy/Browser/wwwtax.cgi?mode=Info&amp;id=13686&amp;lvl=3&amp;lin=f&amp;keep=1&amp;srchmode=1&amp;unlock","13686")</f>
        <v>13686</v>
      </c>
      <c r="F2562" t="s">
        <v>760</v>
      </c>
      <c r="G2562" t="str">
        <f>HYPERLINK("http://www.ncbi.nlm.nih.gov/Taxonomy/Browser/wwwtax.cgi?mode=Info&amp;id=13686&amp;lvl=3&amp;lin=f&amp;keep=1&amp;srchmode=1&amp;unlock","Solenopsis invicta")</f>
        <v>Solenopsis invicta</v>
      </c>
      <c r="H2562" t="s">
        <v>773</v>
      </c>
      <c r="I2562" t="str">
        <f>HYPERLINK("http://www.ncbi.nlm.nih.gov/protein/XP_039305068.1","ryanodine receptor isoform X15")</f>
        <v>ryanodine receptor isoform X15</v>
      </c>
      <c r="J2562">
        <v>3055</v>
      </c>
      <c r="K2562" t="s">
        <v>19</v>
      </c>
      <c r="L2562">
        <v>1210</v>
      </c>
      <c r="M2562">
        <v>7.13</v>
      </c>
      <c r="N2562">
        <v>29.77</v>
      </c>
      <c r="O2562" t="s">
        <v>19</v>
      </c>
      <c r="P2562" t="s">
        <v>1267</v>
      </c>
      <c r="Q2562" t="s">
        <v>19</v>
      </c>
      <c r="R2562" t="str">
        <f>HYPERLINK("https://cfpub.epa.gov/ecotox/explore.cfm?ncbi=13686","Explore in ECOTOX")</f>
        <v>Explore in ECOTOX</v>
      </c>
    </row>
    <row r="2563" spans="1:18" x14ac:dyDescent="0.45">
      <c r="A2563" t="s">
        <v>1266</v>
      </c>
      <c r="B2563">
        <v>8</v>
      </c>
      <c r="C2563" t="str">
        <f>HYPERLINK("http://www.ncbi.nlm.nih.gov/protein/XP_026840889.1","XP_026840889.1")</f>
        <v>XP_026840889.1</v>
      </c>
      <c r="D2563">
        <v>37446</v>
      </c>
      <c r="E2563" t="str">
        <f>HYPERLINK("http://www.ncbi.nlm.nih.gov/Taxonomy/Browser/wwwtax.cgi?mode=Info&amp;id=7234&amp;lvl=3&amp;lin=f&amp;keep=1&amp;srchmode=1&amp;unlock","7234")</f>
        <v>7234</v>
      </c>
      <c r="F2563" t="s">
        <v>760</v>
      </c>
      <c r="G2563" t="str">
        <f>HYPERLINK("http://www.ncbi.nlm.nih.gov/Taxonomy/Browser/wwwtax.cgi?mode=Info&amp;id=7234&amp;lvl=3&amp;lin=f&amp;keep=1&amp;srchmode=1&amp;unlock","Drosophila persimilis")</f>
        <v>Drosophila persimilis</v>
      </c>
      <c r="H2563" t="s">
        <v>953</v>
      </c>
      <c r="I2563" t="str">
        <f>HYPERLINK("http://www.ncbi.nlm.nih.gov/protein/XP_026840889.1","ryanodine receptor isoform X9")</f>
        <v>ryanodine receptor isoform X9</v>
      </c>
      <c r="J2563">
        <v>3055</v>
      </c>
      <c r="K2563" t="s">
        <v>19</v>
      </c>
      <c r="L2563">
        <v>1210</v>
      </c>
      <c r="M2563">
        <v>7.13</v>
      </c>
      <c r="N2563">
        <v>29.77</v>
      </c>
      <c r="O2563" t="s">
        <v>19</v>
      </c>
      <c r="P2563" t="s">
        <v>1267</v>
      </c>
      <c r="Q2563" t="s">
        <v>19</v>
      </c>
      <c r="R2563" t="str">
        <f>HYPERLINK("https://cfpub.epa.gov/ecotox/explore.cfm?ncbi=7234","Explore in ECOTOX")</f>
        <v>Explore in ECOTOX</v>
      </c>
    </row>
    <row r="2564" spans="1:18" x14ac:dyDescent="0.45">
      <c r="A2564" t="s">
        <v>1266</v>
      </c>
      <c r="B2564">
        <v>8</v>
      </c>
      <c r="C2564" t="str">
        <f>HYPERLINK("http://www.ncbi.nlm.nih.gov/protein/XP_017148745.1","XP_017148745.1")</f>
        <v>XP_017148745.1</v>
      </c>
      <c r="D2564">
        <v>33751</v>
      </c>
      <c r="E2564" t="str">
        <f>HYPERLINK("http://www.ncbi.nlm.nih.gov/Taxonomy/Browser/wwwtax.cgi?mode=Info&amp;id=7229&amp;lvl=3&amp;lin=f&amp;keep=1&amp;srchmode=1&amp;unlock","7229")</f>
        <v>7229</v>
      </c>
      <c r="F2564" t="s">
        <v>760</v>
      </c>
      <c r="G2564" t="str">
        <f>HYPERLINK("http://www.ncbi.nlm.nih.gov/Taxonomy/Browser/wwwtax.cgi?mode=Info&amp;id=7229&amp;lvl=3&amp;lin=f&amp;keep=1&amp;srchmode=1&amp;unlock","Drosophila miranda")</f>
        <v>Drosophila miranda</v>
      </c>
      <c r="H2564" t="s">
        <v>953</v>
      </c>
      <c r="I2564" t="str">
        <f>HYPERLINK("http://www.ncbi.nlm.nih.gov/protein/XP_017148745.1","ryanodine receptor isoform X12")</f>
        <v>ryanodine receptor isoform X12</v>
      </c>
      <c r="J2564">
        <v>3055</v>
      </c>
      <c r="K2564" t="s">
        <v>19</v>
      </c>
      <c r="L2564">
        <v>1210</v>
      </c>
      <c r="M2564">
        <v>7.13</v>
      </c>
      <c r="N2564">
        <v>29.77</v>
      </c>
      <c r="O2564" t="s">
        <v>19</v>
      </c>
      <c r="P2564" t="s">
        <v>1267</v>
      </c>
      <c r="Q2564" t="s">
        <v>19</v>
      </c>
      <c r="R2564" t="str">
        <f>HYPERLINK("https://cfpub.epa.gov/ecotox/explore.cfm?ncbi=7229","Explore in ECOTOX")</f>
        <v>Explore in ECOTOX</v>
      </c>
    </row>
    <row r="2565" spans="1:18" x14ac:dyDescent="0.45">
      <c r="A2565" t="s">
        <v>1266</v>
      </c>
      <c r="B2565">
        <v>8</v>
      </c>
      <c r="C2565" t="str">
        <f>HYPERLINK("http://www.ncbi.nlm.nih.gov/protein/KAF5296045.1","KAF5296045.1")</f>
        <v>KAF5296045.1</v>
      </c>
      <c r="D2565">
        <v>19500</v>
      </c>
      <c r="E2565" t="str">
        <f>HYPERLINK("http://www.ncbi.nlm.nih.gov/Taxonomy/Browser/wwwtax.cgi?mode=Info&amp;id=370605&amp;lvl=3&amp;lin=f&amp;keep=1&amp;srchmode=1&amp;unlock","370605")</f>
        <v>370605</v>
      </c>
      <c r="F2565" t="s">
        <v>760</v>
      </c>
      <c r="G2565" t="str">
        <f>HYPERLINK("http://www.ncbi.nlm.nih.gov/Taxonomy/Browser/wwwtax.cgi?mode=Info&amp;id=370605&amp;lvl=3&amp;lin=f&amp;keep=1&amp;srchmode=1&amp;unlock","Lamprigera yunnana")</f>
        <v>Lamprigera yunnana</v>
      </c>
      <c r="H2565" t="s">
        <v>980</v>
      </c>
      <c r="I2565" t="str">
        <f>HYPERLINK("http://www.ncbi.nlm.nih.gov/protein/KAF5296045.1","hypothetical protein FQA39_LY12667")</f>
        <v>hypothetical protein FQA39_LY12667</v>
      </c>
      <c r="J2565">
        <v>3054.23</v>
      </c>
      <c r="K2565" t="s">
        <v>19</v>
      </c>
      <c r="L2565">
        <v>1210</v>
      </c>
      <c r="M2565">
        <v>7.13</v>
      </c>
      <c r="N2565">
        <v>29.76</v>
      </c>
      <c r="O2565" t="s">
        <v>19</v>
      </c>
      <c r="P2565" t="s">
        <v>1267</v>
      </c>
      <c r="Q2565" t="s">
        <v>19</v>
      </c>
      <c r="R2565" t="str">
        <f>HYPERLINK("https://cfpub.epa.gov/ecotox/explore.cfm?ncbi=370605","Explore in ECOTOX")</f>
        <v>Explore in ECOTOX</v>
      </c>
    </row>
    <row r="2566" spans="1:18" x14ac:dyDescent="0.45">
      <c r="A2566" t="s">
        <v>1266</v>
      </c>
      <c r="B2566">
        <v>8</v>
      </c>
      <c r="C2566" t="str">
        <f>HYPERLINK("http://www.ncbi.nlm.nih.gov/protein/XP_015040423.2","XP_015040423.2")</f>
        <v>XP_015040423.2</v>
      </c>
      <c r="D2566">
        <v>29507</v>
      </c>
      <c r="E2566" t="str">
        <f>HYPERLINK("http://www.ncbi.nlm.nih.gov/Taxonomy/Browser/wwwtax.cgi?mode=Info&amp;id=7237&amp;lvl=3&amp;lin=f&amp;keep=1&amp;srchmode=1&amp;unlock","7237")</f>
        <v>7237</v>
      </c>
      <c r="F2566" t="s">
        <v>760</v>
      </c>
      <c r="G2566" t="str">
        <f>HYPERLINK("http://www.ncbi.nlm.nih.gov/Taxonomy/Browser/wwwtax.cgi?mode=Info&amp;id=7237&amp;lvl=3&amp;lin=f&amp;keep=1&amp;srchmode=1&amp;unlock","Drosophila pseudoobscura")</f>
        <v>Drosophila pseudoobscura</v>
      </c>
      <c r="H2566" t="s">
        <v>953</v>
      </c>
      <c r="I2566" t="str">
        <f>HYPERLINK("http://www.ncbi.nlm.nih.gov/protein/XP_015040423.2","ryanodine receptor isoform X11")</f>
        <v>ryanodine receptor isoform X11</v>
      </c>
      <c r="J2566">
        <v>3053.85</v>
      </c>
      <c r="K2566" t="s">
        <v>19</v>
      </c>
      <c r="L2566">
        <v>1210</v>
      </c>
      <c r="M2566">
        <v>7.13</v>
      </c>
      <c r="N2566">
        <v>29.76</v>
      </c>
      <c r="O2566" t="s">
        <v>19</v>
      </c>
      <c r="P2566" t="s">
        <v>1267</v>
      </c>
      <c r="Q2566" t="s">
        <v>19</v>
      </c>
      <c r="R2566" t="str">
        <f>HYPERLINK("https://cfpub.epa.gov/ecotox/explore.cfm?ncbi=7237","Explore in ECOTOX")</f>
        <v>Explore in ECOTOX</v>
      </c>
    </row>
    <row r="2567" spans="1:18" x14ac:dyDescent="0.45">
      <c r="A2567" t="s">
        <v>1266</v>
      </c>
      <c r="B2567">
        <v>8</v>
      </c>
      <c r="C2567" t="str">
        <f>HYPERLINK("http://www.ncbi.nlm.nih.gov/protein/XP_060844126.1","XP_060844126.1")</f>
        <v>XP_060844126.1</v>
      </c>
      <c r="D2567">
        <v>22271</v>
      </c>
      <c r="E2567" t="str">
        <f>HYPERLINK("http://www.ncbi.nlm.nih.gov/Taxonomy/Browser/wwwtax.cgi?mode=Info&amp;id=40932&amp;lvl=3&amp;lin=f&amp;keep=1&amp;srchmode=1&amp;unlock","40932")</f>
        <v>40932</v>
      </c>
      <c r="F2567" t="s">
        <v>760</v>
      </c>
      <c r="G2567" t="str">
        <f>HYPERLINK("http://www.ncbi.nlm.nih.gov/Taxonomy/Browser/wwwtax.cgi?mode=Info&amp;id=40932&amp;lvl=3&amp;lin=f&amp;keep=1&amp;srchmode=1&amp;unlock","Rhopalosiphum padi")</f>
        <v>Rhopalosiphum padi</v>
      </c>
      <c r="H2567" t="s">
        <v>935</v>
      </c>
      <c r="I2567" t="str">
        <f>HYPERLINK("http://www.ncbi.nlm.nih.gov/protein/XP_060844126.1","LOW QUALITY PROTEIN: ryanodine receptor")</f>
        <v>LOW QUALITY PROTEIN: ryanodine receptor</v>
      </c>
      <c r="J2567">
        <v>3053.85</v>
      </c>
      <c r="K2567" t="s">
        <v>19</v>
      </c>
      <c r="L2567">
        <v>1210</v>
      </c>
      <c r="M2567">
        <v>7.13</v>
      </c>
      <c r="N2567">
        <v>29.76</v>
      </c>
      <c r="O2567" t="s">
        <v>19</v>
      </c>
      <c r="P2567" t="s">
        <v>1267</v>
      </c>
      <c r="Q2567" t="s">
        <v>19</v>
      </c>
      <c r="R2567" t="str">
        <f>HYPERLINK("https://cfpub.epa.gov/ecotox/explore.cfm?ncbi=40932","Explore in ECOTOX")</f>
        <v>Explore in ECOTOX</v>
      </c>
    </row>
    <row r="2568" spans="1:18" x14ac:dyDescent="0.45">
      <c r="A2568" t="s">
        <v>1266</v>
      </c>
      <c r="B2568">
        <v>8</v>
      </c>
      <c r="C2568" t="str">
        <f>HYPERLINK("http://www.ncbi.nlm.nih.gov/protein/XP_031833249.1","XP_031833249.1")</f>
        <v>XP_031833249.1</v>
      </c>
      <c r="D2568">
        <v>25323</v>
      </c>
      <c r="E2568" t="str">
        <f>HYPERLINK("http://www.ncbi.nlm.nih.gov/Taxonomy/Browser/wwwtax.cgi?mode=Info&amp;id=2448451&amp;lvl=3&amp;lin=f&amp;keep=1&amp;srchmode=1&amp;unlock","2448451")</f>
        <v>2448451</v>
      </c>
      <c r="F2568" t="s">
        <v>760</v>
      </c>
      <c r="G2568" t="str">
        <f>HYPERLINK("http://www.ncbi.nlm.nih.gov/Taxonomy/Browser/wwwtax.cgi?mode=Info&amp;id=2448451&amp;lvl=3&amp;lin=f&amp;keep=1&amp;srchmode=1&amp;unlock","Nomia melanderi")</f>
        <v>Nomia melanderi</v>
      </c>
      <c r="H2568" t="s">
        <v>1067</v>
      </c>
      <c r="I2568" t="str">
        <f>HYPERLINK("http://www.ncbi.nlm.nih.gov/protein/XP_031833249.1","ryanodine receptor isoform X22")</f>
        <v>ryanodine receptor isoform X22</v>
      </c>
      <c r="J2568">
        <v>3053.46</v>
      </c>
      <c r="K2568" t="s">
        <v>19</v>
      </c>
      <c r="L2568">
        <v>1210</v>
      </c>
      <c r="M2568">
        <v>7.13</v>
      </c>
      <c r="N2568">
        <v>29.75</v>
      </c>
      <c r="O2568" t="s">
        <v>19</v>
      </c>
      <c r="P2568" t="s">
        <v>1267</v>
      </c>
      <c r="Q2568" t="s">
        <v>19</v>
      </c>
      <c r="R2568" t="str">
        <f>HYPERLINK("https://cfpub.epa.gov/ecotox/explore.cfm?ncbi=2448451","Explore in ECOTOX")</f>
        <v>Explore in ECOTOX</v>
      </c>
    </row>
    <row r="2569" spans="1:18" x14ac:dyDescent="0.45">
      <c r="A2569" t="s">
        <v>1266</v>
      </c>
      <c r="B2569">
        <v>8</v>
      </c>
      <c r="C2569" t="str">
        <f>HYPERLINK("http://www.ncbi.nlm.nih.gov/protein/XP_026830187.1","XP_026830187.1")</f>
        <v>XP_026830187.1</v>
      </c>
      <c r="D2569">
        <v>53815</v>
      </c>
      <c r="E2569" t="str">
        <f>HYPERLINK("http://www.ncbi.nlm.nih.gov/Taxonomy/Browser/wwwtax.cgi?mode=Info&amp;id=2015173&amp;lvl=3&amp;lin=f&amp;keep=1&amp;srchmode=1&amp;unlock","2015173")</f>
        <v>2015173</v>
      </c>
      <c r="F2569" t="s">
        <v>760</v>
      </c>
      <c r="G2569" t="str">
        <f>HYPERLINK("http://www.ncbi.nlm.nih.gov/Taxonomy/Browser/wwwtax.cgi?mode=Info&amp;id=2015173&amp;lvl=3&amp;lin=f&amp;keep=1&amp;srchmode=1&amp;unlock","Ooceraea biroi")</f>
        <v>Ooceraea biroi</v>
      </c>
      <c r="H2569" t="s">
        <v>814</v>
      </c>
      <c r="I2569" t="str">
        <f>HYPERLINK("http://www.ncbi.nlm.nih.gov/protein/XP_026830187.1","ryanodine receptor isoform X22")</f>
        <v>ryanodine receptor isoform X22</v>
      </c>
      <c r="J2569">
        <v>3053.46</v>
      </c>
      <c r="K2569" t="s">
        <v>22</v>
      </c>
      <c r="L2569">
        <v>1210</v>
      </c>
      <c r="M2569">
        <v>7.13</v>
      </c>
      <c r="N2569">
        <v>29.75</v>
      </c>
      <c r="O2569" t="s">
        <v>19</v>
      </c>
      <c r="P2569" t="s">
        <v>1267</v>
      </c>
      <c r="Q2569" t="s">
        <v>19</v>
      </c>
      <c r="R2569" t="str">
        <f>HYPERLINK("https://cfpub.epa.gov/ecotox/explore.cfm?ncbi=2015173","Explore in ECOTOX")</f>
        <v>Explore in ECOTOX</v>
      </c>
    </row>
    <row r="2570" spans="1:18" x14ac:dyDescent="0.45">
      <c r="A2570" t="s">
        <v>1266</v>
      </c>
      <c r="B2570">
        <v>8</v>
      </c>
      <c r="C2570" t="str">
        <f>HYPERLINK("http://www.ncbi.nlm.nih.gov/protein/XP_059607963.1","XP_059607963.1")</f>
        <v>XP_059607963.1</v>
      </c>
      <c r="D2570">
        <v>16028</v>
      </c>
      <c r="E2570" t="str">
        <f>HYPERLINK("http://www.ncbi.nlm.nih.gov/Taxonomy/Browser/wwwtax.cgi?mode=Info&amp;id=94469&amp;lvl=3&amp;lin=f&amp;keep=1&amp;srchmode=1&amp;unlock","94469")</f>
        <v>94469</v>
      </c>
      <c r="F2570" t="s">
        <v>760</v>
      </c>
      <c r="G2570" t="str">
        <f>HYPERLINK("http://www.ncbi.nlm.nih.gov/Taxonomy/Browser/wwwtax.cgi?mode=Info&amp;id=94469&amp;lvl=3&amp;lin=f&amp;keep=1&amp;srchmode=1&amp;unlock","Phlebotomus argentipes")</f>
        <v>Phlebotomus argentipes</v>
      </c>
      <c r="H2570" t="s">
        <v>943</v>
      </c>
      <c r="I2570" t="str">
        <f>HYPERLINK("http://www.ncbi.nlm.nih.gov/protein/XP_059607963.1","ryanodine receptor")</f>
        <v>ryanodine receptor</v>
      </c>
      <c r="J2570">
        <v>3053.08</v>
      </c>
      <c r="K2570" t="s">
        <v>19</v>
      </c>
      <c r="L2570">
        <v>1210</v>
      </c>
      <c r="M2570">
        <v>7.13</v>
      </c>
      <c r="N2570">
        <v>29.75</v>
      </c>
      <c r="O2570" t="s">
        <v>19</v>
      </c>
      <c r="P2570" t="s">
        <v>1267</v>
      </c>
      <c r="Q2570" t="s">
        <v>19</v>
      </c>
      <c r="R2570" t="str">
        <f>HYPERLINK("https://cfpub.epa.gov/ecotox/explore.cfm?ncbi=94469","Explore in ECOTOX")</f>
        <v>Explore in ECOTOX</v>
      </c>
    </row>
    <row r="2571" spans="1:18" x14ac:dyDescent="0.45">
      <c r="A2571" t="s">
        <v>1266</v>
      </c>
      <c r="B2571">
        <v>8</v>
      </c>
      <c r="C2571" t="str">
        <f>HYPERLINK("http://www.ncbi.nlm.nih.gov/protein/KAH8384857.1","KAH8384857.1")</f>
        <v>KAH8384857.1</v>
      </c>
      <c r="D2571">
        <v>11872</v>
      </c>
      <c r="E2571" t="str">
        <f>HYPERLINK("http://www.ncbi.nlm.nih.gov/Taxonomy/Browser/wwwtax.cgi?mode=Info&amp;id=30044&amp;lvl=3&amp;lin=f&amp;keep=1&amp;srchmode=1&amp;unlock","30044")</f>
        <v>30044</v>
      </c>
      <c r="F2571" t="s">
        <v>760</v>
      </c>
      <c r="G2571" t="str">
        <f>HYPERLINK("http://www.ncbi.nlm.nih.gov/Taxonomy/Browser/wwwtax.cgi?mode=Info&amp;id=30044&amp;lvl=3&amp;lin=f&amp;keep=1&amp;srchmode=1&amp;unlock","Drosophila rubida")</f>
        <v>Drosophila rubida</v>
      </c>
      <c r="H2571" t="s">
        <v>953</v>
      </c>
      <c r="I2571" t="str">
        <f>HYPERLINK("http://www.ncbi.nlm.nih.gov/protein/KAH8384857.1","hypothetical protein KR093_010363")</f>
        <v>hypothetical protein KR093_010363</v>
      </c>
      <c r="J2571">
        <v>3053.08</v>
      </c>
      <c r="K2571" t="s">
        <v>19</v>
      </c>
      <c r="L2571">
        <v>1210</v>
      </c>
      <c r="M2571">
        <v>7.13</v>
      </c>
      <c r="N2571">
        <v>29.75</v>
      </c>
      <c r="O2571" t="s">
        <v>19</v>
      </c>
      <c r="P2571" t="s">
        <v>1267</v>
      </c>
      <c r="Q2571" t="s">
        <v>19</v>
      </c>
      <c r="R2571" t="str">
        <f>HYPERLINK("https://cfpub.epa.gov/ecotox/explore.cfm?ncbi=30044","Explore in ECOTOX")</f>
        <v>Explore in ECOTOX</v>
      </c>
    </row>
    <row r="2572" spans="1:18" x14ac:dyDescent="0.45">
      <c r="A2572" t="s">
        <v>1266</v>
      </c>
      <c r="B2572">
        <v>8</v>
      </c>
      <c r="C2572" t="str">
        <f>HYPERLINK("http://www.ncbi.nlm.nih.gov/protein/XP_022912328.1","XP_022912328.1")</f>
        <v>XP_022912328.1</v>
      </c>
      <c r="D2572">
        <v>21696</v>
      </c>
      <c r="E2572" t="str">
        <f>HYPERLINK("http://www.ncbi.nlm.nih.gov/Taxonomy/Browser/wwwtax.cgi?mode=Info&amp;id=166361&amp;lvl=3&amp;lin=f&amp;keep=1&amp;srchmode=1&amp;unlock","166361")</f>
        <v>166361</v>
      </c>
      <c r="F2572" t="s">
        <v>760</v>
      </c>
      <c r="G2572" t="str">
        <f>HYPERLINK("http://www.ncbi.nlm.nih.gov/Taxonomy/Browser/wwwtax.cgi?mode=Info&amp;id=166361&amp;lvl=3&amp;lin=f&amp;keep=1&amp;srchmode=1&amp;unlock","Onthophagus taurus")</f>
        <v>Onthophagus taurus</v>
      </c>
      <c r="H2572" t="s">
        <v>956</v>
      </c>
      <c r="I2572" t="str">
        <f>HYPERLINK("http://www.ncbi.nlm.nih.gov/protein/XP_022912328.1","ryanodine receptor isoform X7")</f>
        <v>ryanodine receptor isoform X7</v>
      </c>
      <c r="J2572">
        <v>3052.69</v>
      </c>
      <c r="K2572" t="s">
        <v>22</v>
      </c>
      <c r="L2572">
        <v>1210</v>
      </c>
      <c r="M2572">
        <v>7.13</v>
      </c>
      <c r="N2572">
        <v>29.74</v>
      </c>
      <c r="O2572" t="s">
        <v>19</v>
      </c>
      <c r="P2572" t="s">
        <v>1267</v>
      </c>
      <c r="Q2572" t="s">
        <v>19</v>
      </c>
      <c r="R2572" t="str">
        <f>HYPERLINK("https://cfpub.epa.gov/ecotox/explore.cfm?ncbi=166361","Explore in ECOTOX")</f>
        <v>Explore in ECOTOX</v>
      </c>
    </row>
    <row r="2573" spans="1:18" x14ac:dyDescent="0.45">
      <c r="A2573" t="s">
        <v>1266</v>
      </c>
      <c r="B2573">
        <v>8</v>
      </c>
      <c r="C2573" t="str">
        <f>HYPERLINK("http://www.ncbi.nlm.nih.gov/protein/XP_025202171.1","XP_025202171.1")</f>
        <v>XP_025202171.1</v>
      </c>
      <c r="D2573">
        <v>19254</v>
      </c>
      <c r="E2573" t="str">
        <f>HYPERLINK("http://www.ncbi.nlm.nih.gov/Taxonomy/Browser/wwwtax.cgi?mode=Info&amp;id=742174&amp;lvl=3&amp;lin=f&amp;keep=1&amp;srchmode=1&amp;unlock","742174")</f>
        <v>742174</v>
      </c>
      <c r="F2573" t="s">
        <v>760</v>
      </c>
      <c r="G2573" t="str">
        <f>HYPERLINK("http://www.ncbi.nlm.nih.gov/Taxonomy/Browser/wwwtax.cgi?mode=Info&amp;id=742174&amp;lvl=3&amp;lin=f&amp;keep=1&amp;srchmode=1&amp;unlock","Melanaphis sacchari")</f>
        <v>Melanaphis sacchari</v>
      </c>
      <c r="H2573" t="s">
        <v>854</v>
      </c>
      <c r="I2573" t="str">
        <f>HYPERLINK("http://www.ncbi.nlm.nih.gov/protein/XP_025202171.1","ryanodine receptor")</f>
        <v>ryanodine receptor</v>
      </c>
      <c r="J2573">
        <v>3052.69</v>
      </c>
      <c r="K2573" t="s">
        <v>22</v>
      </c>
      <c r="L2573">
        <v>1210</v>
      </c>
      <c r="M2573">
        <v>7.13</v>
      </c>
      <c r="N2573">
        <v>29.74</v>
      </c>
      <c r="O2573" t="s">
        <v>19</v>
      </c>
      <c r="P2573" t="s">
        <v>1267</v>
      </c>
      <c r="Q2573" t="s">
        <v>19</v>
      </c>
      <c r="R2573" t="str">
        <f>HYPERLINK("https://cfpub.epa.gov/ecotox/explore.cfm?ncbi=742174","Explore in ECOTOX")</f>
        <v>Explore in ECOTOX</v>
      </c>
    </row>
    <row r="2574" spans="1:18" x14ac:dyDescent="0.45">
      <c r="A2574" t="s">
        <v>1266</v>
      </c>
      <c r="B2574">
        <v>8</v>
      </c>
      <c r="C2574" t="str">
        <f>HYPERLINK("http://www.ncbi.nlm.nih.gov/protein/XP_034126459.1","XP_034126459.1")</f>
        <v>XP_034126459.1</v>
      </c>
      <c r="D2574">
        <v>40509</v>
      </c>
      <c r="E2574" t="str">
        <f>HYPERLINK("http://www.ncbi.nlm.nih.gov/Taxonomy/Browser/wwwtax.cgi?mode=Info&amp;id=7266&amp;lvl=3&amp;lin=f&amp;keep=1&amp;srchmode=1&amp;unlock","7266")</f>
        <v>7266</v>
      </c>
      <c r="F2574" t="s">
        <v>760</v>
      </c>
      <c r="G2574" t="str">
        <f>HYPERLINK("http://www.ncbi.nlm.nih.gov/Taxonomy/Browser/wwwtax.cgi?mode=Info&amp;id=7266&amp;lvl=3&amp;lin=f&amp;keep=1&amp;srchmode=1&amp;unlock","Drosophila guanche")</f>
        <v>Drosophila guanche</v>
      </c>
      <c r="H2574" t="s">
        <v>953</v>
      </c>
      <c r="I2574" t="str">
        <f>HYPERLINK("http://www.ncbi.nlm.nih.gov/protein/XP_034126459.1","ryanodine receptor isoform X9")</f>
        <v>ryanodine receptor isoform X9</v>
      </c>
      <c r="J2574">
        <v>3052.69</v>
      </c>
      <c r="K2574" t="s">
        <v>19</v>
      </c>
      <c r="L2574">
        <v>1210</v>
      </c>
      <c r="M2574">
        <v>7.13</v>
      </c>
      <c r="N2574">
        <v>29.74</v>
      </c>
      <c r="O2574" t="s">
        <v>19</v>
      </c>
      <c r="P2574" t="s">
        <v>1267</v>
      </c>
      <c r="Q2574" t="s">
        <v>19</v>
      </c>
      <c r="R2574" t="str">
        <f>HYPERLINK("https://cfpub.epa.gov/ecotox/explore.cfm?ncbi=7266","Explore in ECOTOX")</f>
        <v>Explore in ECOTOX</v>
      </c>
    </row>
    <row r="2575" spans="1:18" x14ac:dyDescent="0.45">
      <c r="A2575" t="s">
        <v>1266</v>
      </c>
      <c r="B2575">
        <v>8</v>
      </c>
      <c r="C2575" t="str">
        <f>HYPERLINK("http://www.ncbi.nlm.nih.gov/protein/XP_047999774.1","XP_047999774.1")</f>
        <v>XP_047999774.1</v>
      </c>
      <c r="D2575">
        <v>24114</v>
      </c>
      <c r="E2575" t="str">
        <f>HYPERLINK("http://www.ncbi.nlm.nih.gov/Taxonomy/Browser/wwwtax.cgi?mode=Info&amp;id=1035111&amp;lvl=3&amp;lin=f&amp;keep=1&amp;srchmode=1&amp;unlock","1035111")</f>
        <v>1035111</v>
      </c>
      <c r="F2575" t="s">
        <v>760</v>
      </c>
      <c r="G2575" t="str">
        <f>HYPERLINK("http://www.ncbi.nlm.nih.gov/Taxonomy/Browser/wwwtax.cgi?mode=Info&amp;id=1035111&amp;lvl=3&amp;lin=f&amp;keep=1&amp;srchmode=1&amp;unlock","Leguminivora glycinivorella")</f>
        <v>Leguminivora glycinivorella</v>
      </c>
      <c r="H2575" t="s">
        <v>961</v>
      </c>
      <c r="I2575" t="str">
        <f>HYPERLINK("http://www.ncbi.nlm.nih.gov/protein/XP_047999774.1","ryanodine receptor")</f>
        <v>ryanodine receptor</v>
      </c>
      <c r="J2575">
        <v>3052.31</v>
      </c>
      <c r="K2575" t="s">
        <v>19</v>
      </c>
      <c r="L2575">
        <v>1210</v>
      </c>
      <c r="M2575">
        <v>7.13</v>
      </c>
      <c r="N2575">
        <v>29.74</v>
      </c>
      <c r="O2575" t="s">
        <v>19</v>
      </c>
      <c r="P2575" t="s">
        <v>1267</v>
      </c>
      <c r="Q2575" t="s">
        <v>19</v>
      </c>
      <c r="R2575" t="str">
        <f>HYPERLINK("https://cfpub.epa.gov/ecotox/explore.cfm?ncbi=1035111","Explore in ECOTOX")</f>
        <v>Explore in ECOTOX</v>
      </c>
    </row>
    <row r="2576" spans="1:18" x14ac:dyDescent="0.45">
      <c r="A2576" t="s">
        <v>1266</v>
      </c>
      <c r="B2576">
        <v>8</v>
      </c>
      <c r="C2576" t="str">
        <f>HYPERLINK("http://www.ncbi.nlm.nih.gov/protein/KAH8300052.1","KAH8300052.1")</f>
        <v>KAH8300052.1</v>
      </c>
      <c r="D2576">
        <v>13674</v>
      </c>
      <c r="E2576" t="str">
        <f>HYPERLINK("http://www.ncbi.nlm.nih.gov/Taxonomy/Browser/wwwtax.cgi?mode=Info&amp;id=7250&amp;lvl=3&amp;lin=f&amp;keep=1&amp;srchmode=1&amp;unlock","7250")</f>
        <v>7250</v>
      </c>
      <c r="F2576" t="s">
        <v>760</v>
      </c>
      <c r="G2576" t="str">
        <f>HYPERLINK("http://www.ncbi.nlm.nih.gov/Taxonomy/Browser/wwwtax.cgi?mode=Info&amp;id=7250&amp;lvl=3&amp;lin=f&amp;keep=1&amp;srchmode=1&amp;unlock","Drosophila immigrans")</f>
        <v>Drosophila immigrans</v>
      </c>
      <c r="H2576" t="s">
        <v>953</v>
      </c>
      <c r="I2576" t="str">
        <f>HYPERLINK("http://www.ncbi.nlm.nih.gov/protein/KAH8300052.1","hypothetical protein KR044_008990")</f>
        <v>hypothetical protein KR044_008990</v>
      </c>
      <c r="J2576">
        <v>3051.92</v>
      </c>
      <c r="K2576" t="s">
        <v>19</v>
      </c>
      <c r="L2576">
        <v>1210</v>
      </c>
      <c r="M2576">
        <v>7.13</v>
      </c>
      <c r="N2576">
        <v>29.74</v>
      </c>
      <c r="O2576" t="s">
        <v>19</v>
      </c>
      <c r="P2576" t="s">
        <v>1267</v>
      </c>
      <c r="Q2576" t="s">
        <v>19</v>
      </c>
      <c r="R2576" t="str">
        <f>HYPERLINK("https://cfpub.epa.gov/ecotox/explore.cfm?ncbi=7250","Explore in ECOTOX")</f>
        <v>Explore in ECOTOX</v>
      </c>
    </row>
    <row r="2577" spans="1:18" x14ac:dyDescent="0.45">
      <c r="A2577" t="s">
        <v>1266</v>
      </c>
      <c r="B2577">
        <v>8</v>
      </c>
      <c r="C2577" t="str">
        <f>HYPERLINK("http://www.ncbi.nlm.nih.gov/protein/KYN50349.1","KYN50349.1")</f>
        <v>KYN50349.1</v>
      </c>
      <c r="D2577">
        <v>31343</v>
      </c>
      <c r="E2577" t="str">
        <f>HYPERLINK("http://www.ncbi.nlm.nih.gov/Taxonomy/Browser/wwwtax.cgi?mode=Info&amp;id=456900&amp;lvl=3&amp;lin=f&amp;keep=1&amp;srchmode=1&amp;unlock","456900")</f>
        <v>456900</v>
      </c>
      <c r="F2577" t="s">
        <v>760</v>
      </c>
      <c r="G2577" t="str">
        <f>HYPERLINK("http://www.ncbi.nlm.nih.gov/Taxonomy/Browser/wwwtax.cgi?mode=Info&amp;id=456900&amp;lvl=3&amp;lin=f&amp;keep=1&amp;srchmode=1&amp;unlock","Cyphomyrmex costatus")</f>
        <v>Cyphomyrmex costatus</v>
      </c>
      <c r="H2577" t="s">
        <v>769</v>
      </c>
      <c r="I2577" t="str">
        <f>HYPERLINK("http://www.ncbi.nlm.nih.gov/protein/KYN50349.1","Ryanodine receptor 44F")</f>
        <v>Ryanodine receptor 44F</v>
      </c>
      <c r="J2577">
        <v>3051.15</v>
      </c>
      <c r="K2577" t="s">
        <v>19</v>
      </c>
      <c r="L2577">
        <v>1210</v>
      </c>
      <c r="M2577">
        <v>7.13</v>
      </c>
      <c r="N2577">
        <v>29.73</v>
      </c>
      <c r="O2577" t="s">
        <v>19</v>
      </c>
      <c r="P2577" t="s">
        <v>1267</v>
      </c>
      <c r="Q2577" t="s">
        <v>19</v>
      </c>
      <c r="R2577" t="str">
        <f>HYPERLINK("https://cfpub.epa.gov/ecotox/explore.cfm?ncbi=456900","Explore in ECOTOX")</f>
        <v>Explore in ECOTOX</v>
      </c>
    </row>
    <row r="2578" spans="1:18" x14ac:dyDescent="0.45">
      <c r="A2578" t="s">
        <v>1266</v>
      </c>
      <c r="B2578">
        <v>8</v>
      </c>
      <c r="C2578" t="str">
        <f>HYPERLINK("http://www.ncbi.nlm.nih.gov/protein/OXU23471.1","OXU23471.1")</f>
        <v>OXU23471.1</v>
      </c>
      <c r="D2578">
        <v>16113</v>
      </c>
      <c r="E2578" t="str">
        <f>HYPERLINK("http://www.ncbi.nlm.nih.gov/Taxonomy/Browser/wwwtax.cgi?mode=Info&amp;id=543379&amp;lvl=3&amp;lin=f&amp;keep=1&amp;srchmode=1&amp;unlock","543379")</f>
        <v>543379</v>
      </c>
      <c r="F2578" t="s">
        <v>760</v>
      </c>
      <c r="G2578" t="str">
        <f>HYPERLINK("http://www.ncbi.nlm.nih.gov/Taxonomy/Browser/wwwtax.cgi?mode=Info&amp;id=543379&amp;lvl=3&amp;lin=f&amp;keep=1&amp;srchmode=1&amp;unlock","Trichomalopsis sarcophagae")</f>
        <v>Trichomalopsis sarcophagae</v>
      </c>
      <c r="H2578" t="s">
        <v>769</v>
      </c>
      <c r="I2578" t="str">
        <f>HYPERLINK("http://www.ncbi.nlm.nih.gov/protein/OXU23471.1","hypothetical protein TSAR_011015")</f>
        <v>hypothetical protein TSAR_011015</v>
      </c>
      <c r="J2578">
        <v>3051.15</v>
      </c>
      <c r="K2578" t="s">
        <v>19</v>
      </c>
      <c r="L2578">
        <v>1210</v>
      </c>
      <c r="M2578">
        <v>7.13</v>
      </c>
      <c r="N2578">
        <v>29.73</v>
      </c>
      <c r="O2578" t="s">
        <v>19</v>
      </c>
      <c r="P2578" t="s">
        <v>1267</v>
      </c>
      <c r="Q2578" t="s">
        <v>19</v>
      </c>
      <c r="R2578" t="str">
        <f>HYPERLINK("https://cfpub.epa.gov/ecotox/explore.cfm?ncbi=543379","Explore in ECOTOX")</f>
        <v>Explore in ECOTOX</v>
      </c>
    </row>
    <row r="2579" spans="1:18" x14ac:dyDescent="0.45">
      <c r="A2579" t="s">
        <v>1266</v>
      </c>
      <c r="B2579">
        <v>8</v>
      </c>
      <c r="C2579" t="str">
        <f>HYPERLINK("http://www.ncbi.nlm.nih.gov/protein/KAF5295881.1","KAF5295881.1")</f>
        <v>KAF5295881.1</v>
      </c>
      <c r="D2579">
        <v>20493</v>
      </c>
      <c r="E2579" t="str">
        <f>HYPERLINK("http://www.ncbi.nlm.nih.gov/Taxonomy/Browser/wwwtax.cgi?mode=Info&amp;id=2069292&amp;lvl=3&amp;lin=f&amp;keep=1&amp;srchmode=1&amp;unlock","2069292")</f>
        <v>2069292</v>
      </c>
      <c r="F2579" t="s">
        <v>760</v>
      </c>
      <c r="G2579" t="str">
        <f>HYPERLINK("http://www.ncbi.nlm.nih.gov/Taxonomy/Browser/wwwtax.cgi?mode=Info&amp;id=2069292&amp;lvl=3&amp;lin=f&amp;keep=1&amp;srchmode=1&amp;unlock","Abscondita terminalis")</f>
        <v>Abscondita terminalis</v>
      </c>
      <c r="H2579" t="s">
        <v>980</v>
      </c>
      <c r="I2579" t="str">
        <f>HYPERLINK("http://www.ncbi.nlm.nih.gov/protein/KAF5295881.1","hypothetical protein FQR65_LT10369")</f>
        <v>hypothetical protein FQR65_LT10369</v>
      </c>
      <c r="J2579">
        <v>3050.77</v>
      </c>
      <c r="K2579" t="s">
        <v>19</v>
      </c>
      <c r="L2579">
        <v>1210</v>
      </c>
      <c r="M2579">
        <v>7.13</v>
      </c>
      <c r="N2579">
        <v>29.73</v>
      </c>
      <c r="O2579" t="s">
        <v>19</v>
      </c>
      <c r="P2579" t="s">
        <v>1267</v>
      </c>
      <c r="Q2579" t="s">
        <v>19</v>
      </c>
      <c r="R2579" t="str">
        <f>HYPERLINK("https://cfpub.epa.gov/ecotox/explore.cfm?ncbi=2069292","Explore in ECOTOX")</f>
        <v>Explore in ECOTOX</v>
      </c>
    </row>
    <row r="2580" spans="1:18" x14ac:dyDescent="0.45">
      <c r="A2580" t="s">
        <v>1266</v>
      </c>
      <c r="B2580">
        <v>8</v>
      </c>
      <c r="C2580" t="str">
        <f>HYPERLINK("http://www.ncbi.nlm.nih.gov/protein/XP_055373119.1","XP_055373119.1")</f>
        <v>XP_055373119.1</v>
      </c>
      <c r="D2580">
        <v>19938</v>
      </c>
      <c r="E2580" t="str">
        <f>HYPERLINK("http://www.ncbi.nlm.nih.gov/Taxonomy/Browser/wwwtax.cgi?mode=Info&amp;id=2530218&amp;lvl=3&amp;lin=f&amp;keep=1&amp;srchmode=1&amp;unlock","2530218")</f>
        <v>2530218</v>
      </c>
      <c r="F2580" t="s">
        <v>760</v>
      </c>
      <c r="G2580" t="str">
        <f>HYPERLINK("http://www.ncbi.nlm.nih.gov/Taxonomy/Browser/wwwtax.cgi?mode=Info&amp;id=2530218&amp;lvl=3&amp;lin=f&amp;keep=1&amp;srchmode=1&amp;unlock","Condylostylus longicornis")</f>
        <v>Condylostylus longicornis</v>
      </c>
      <c r="H2580" t="s">
        <v>777</v>
      </c>
      <c r="I2580" t="str">
        <f>HYPERLINK("http://www.ncbi.nlm.nih.gov/protein/XP_055373119.1","ryanodine receptor isoform X16")</f>
        <v>ryanodine receptor isoform X16</v>
      </c>
      <c r="J2580">
        <v>3050.77</v>
      </c>
      <c r="K2580" t="s">
        <v>19</v>
      </c>
      <c r="L2580">
        <v>1210</v>
      </c>
      <c r="M2580">
        <v>7.13</v>
      </c>
      <c r="N2580">
        <v>29.73</v>
      </c>
      <c r="O2580" t="s">
        <v>19</v>
      </c>
      <c r="P2580" t="s">
        <v>1267</v>
      </c>
      <c r="Q2580" t="s">
        <v>19</v>
      </c>
      <c r="R2580" t="str">
        <f>HYPERLINK("https://cfpub.epa.gov/ecotox/explore.cfm?ncbi=2530218","Explore in ECOTOX")</f>
        <v>Explore in ECOTOX</v>
      </c>
    </row>
    <row r="2581" spans="1:18" x14ac:dyDescent="0.45">
      <c r="A2581" t="s">
        <v>1266</v>
      </c>
      <c r="B2581">
        <v>8</v>
      </c>
      <c r="C2581" t="str">
        <f>HYPERLINK("http://www.ncbi.nlm.nih.gov/protein/XP_050844669.1","XP_050844669.1")</f>
        <v>XP_050844669.1</v>
      </c>
      <c r="D2581">
        <v>41869</v>
      </c>
      <c r="E2581" t="str">
        <f>HYPERLINK("http://www.ncbi.nlm.nih.gov/Taxonomy/Browser/wwwtax.cgi?mode=Info&amp;id=7454&amp;lvl=3&amp;lin=f&amp;keep=1&amp;srchmode=1&amp;unlock","7454")</f>
        <v>7454</v>
      </c>
      <c r="F2581" t="s">
        <v>760</v>
      </c>
      <c r="G2581" t="str">
        <f>HYPERLINK("http://www.ncbi.nlm.nih.gov/Taxonomy/Browser/wwwtax.cgi?mode=Info&amp;id=7454&amp;lvl=3&amp;lin=f&amp;keep=1&amp;srchmode=1&amp;unlock","Vespula vulgaris")</f>
        <v>Vespula vulgaris</v>
      </c>
      <c r="H2581" t="s">
        <v>805</v>
      </c>
      <c r="I2581" t="str">
        <f>HYPERLINK("http://www.ncbi.nlm.nih.gov/protein/XP_050844669.1","ryanodine receptor isoform X8")</f>
        <v>ryanodine receptor isoform X8</v>
      </c>
      <c r="J2581">
        <v>3050.38</v>
      </c>
      <c r="K2581" t="s">
        <v>19</v>
      </c>
      <c r="L2581">
        <v>1210</v>
      </c>
      <c r="M2581">
        <v>7.13</v>
      </c>
      <c r="N2581">
        <v>29.72</v>
      </c>
      <c r="O2581" t="s">
        <v>19</v>
      </c>
      <c r="P2581" t="s">
        <v>1267</v>
      </c>
      <c r="Q2581" t="s">
        <v>19</v>
      </c>
      <c r="R2581" t="str">
        <f>HYPERLINK("https://cfpub.epa.gov/ecotox/explore.cfm?ncbi=7454","Explore in ECOTOX")</f>
        <v>Explore in ECOTOX</v>
      </c>
    </row>
    <row r="2582" spans="1:18" x14ac:dyDescent="0.45">
      <c r="A2582" t="s">
        <v>1266</v>
      </c>
      <c r="B2582">
        <v>8</v>
      </c>
      <c r="C2582" t="str">
        <f>HYPERLINK("http://www.ncbi.nlm.nih.gov/protein/XP_043663455.1","XP_043663455.1")</f>
        <v>XP_043663455.1</v>
      </c>
      <c r="D2582">
        <v>42409</v>
      </c>
      <c r="E2582" t="str">
        <f>HYPERLINK("http://www.ncbi.nlm.nih.gov/Taxonomy/Browser/wwwtax.cgi?mode=Info&amp;id=30213&amp;lvl=3&amp;lin=f&amp;keep=1&amp;srchmode=1&amp;unlock","30213")</f>
        <v>30213</v>
      </c>
      <c r="F2582" t="s">
        <v>760</v>
      </c>
      <c r="G2582" t="str">
        <f>HYPERLINK("http://www.ncbi.nlm.nih.gov/Taxonomy/Browser/wwwtax.cgi?mode=Info&amp;id=30213&amp;lvl=3&amp;lin=f&amp;keep=1&amp;srchmode=1&amp;unlock","Vespula pensylvanica")</f>
        <v>Vespula pensylvanica</v>
      </c>
      <c r="H2582" t="s">
        <v>807</v>
      </c>
      <c r="I2582" t="str">
        <f>HYPERLINK("http://www.ncbi.nlm.nih.gov/protein/XP_043663455.1","ryanodine receptor isoform X9")</f>
        <v>ryanodine receptor isoform X9</v>
      </c>
      <c r="J2582">
        <v>3050</v>
      </c>
      <c r="K2582" t="s">
        <v>19</v>
      </c>
      <c r="L2582">
        <v>1210</v>
      </c>
      <c r="M2582">
        <v>7.13</v>
      </c>
      <c r="N2582">
        <v>29.72</v>
      </c>
      <c r="O2582" t="s">
        <v>19</v>
      </c>
      <c r="P2582" t="s">
        <v>1267</v>
      </c>
      <c r="Q2582" t="s">
        <v>19</v>
      </c>
      <c r="R2582" t="str">
        <f>HYPERLINK("https://cfpub.epa.gov/ecotox/explore.cfm?ncbi=30213","Explore in ECOTOX")</f>
        <v>Explore in ECOTOX</v>
      </c>
    </row>
    <row r="2583" spans="1:18" x14ac:dyDescent="0.45">
      <c r="A2583" t="s">
        <v>1266</v>
      </c>
      <c r="B2583">
        <v>8</v>
      </c>
      <c r="C2583" t="str">
        <f>HYPERLINK("http://www.ncbi.nlm.nih.gov/protein/XP_011054963.1","XP_011054963.1")</f>
        <v>XP_011054963.1</v>
      </c>
      <c r="D2583">
        <v>34211</v>
      </c>
      <c r="E2583" t="str">
        <f>HYPERLINK("http://www.ncbi.nlm.nih.gov/Taxonomy/Browser/wwwtax.cgi?mode=Info&amp;id=103372&amp;lvl=3&amp;lin=f&amp;keep=1&amp;srchmode=1&amp;unlock","103372")</f>
        <v>103372</v>
      </c>
      <c r="F2583" t="s">
        <v>760</v>
      </c>
      <c r="G2583" t="str">
        <f>HYPERLINK("http://www.ncbi.nlm.nih.gov/Taxonomy/Browser/wwwtax.cgi?mode=Info&amp;id=103372&amp;lvl=3&amp;lin=f&amp;keep=1&amp;srchmode=1&amp;unlock","Acromyrmex echinatior")</f>
        <v>Acromyrmex echinatior</v>
      </c>
      <c r="H2583" t="s">
        <v>818</v>
      </c>
      <c r="I2583" t="str">
        <f>HYPERLINK("http://www.ncbi.nlm.nih.gov/protein/XP_011054963.1","PREDICTED: LOW QUALITY PROTEIN: ryanodine receptor 44F")</f>
        <v>PREDICTED: LOW QUALITY PROTEIN: ryanodine receptor 44F</v>
      </c>
      <c r="J2583">
        <v>3050</v>
      </c>
      <c r="K2583" t="s">
        <v>19</v>
      </c>
      <c r="L2583">
        <v>1210</v>
      </c>
      <c r="M2583">
        <v>7.13</v>
      </c>
      <c r="N2583">
        <v>29.72</v>
      </c>
      <c r="O2583" t="s">
        <v>19</v>
      </c>
      <c r="P2583" t="s">
        <v>1267</v>
      </c>
      <c r="Q2583" t="s">
        <v>19</v>
      </c>
      <c r="R2583" t="str">
        <f>HYPERLINK("https://cfpub.epa.gov/ecotox/explore.cfm?ncbi=103372","Explore in ECOTOX")</f>
        <v>Explore in ECOTOX</v>
      </c>
    </row>
    <row r="2584" spans="1:18" x14ac:dyDescent="0.45">
      <c r="A2584" t="s">
        <v>1266</v>
      </c>
      <c r="B2584">
        <v>8</v>
      </c>
      <c r="C2584" t="str">
        <f>HYPERLINK("http://www.ncbi.nlm.nih.gov/protein/KAG7198526.1","KAG7198526.1")</f>
        <v>KAG7198526.1</v>
      </c>
      <c r="D2584">
        <v>21928</v>
      </c>
      <c r="E2584" t="str">
        <f>HYPERLINK("http://www.ncbi.nlm.nih.gov/Taxonomy/Browser/wwwtax.cgi?mode=Info&amp;id=860918&amp;lvl=3&amp;lin=f&amp;keep=1&amp;srchmode=1&amp;unlock","860918")</f>
        <v>860918</v>
      </c>
      <c r="F2584" t="s">
        <v>760</v>
      </c>
      <c r="G2584" t="str">
        <f>HYPERLINK("http://www.ncbi.nlm.nih.gov/Taxonomy/Browser/wwwtax.cgi?mode=Info&amp;id=860918&amp;lvl=3&amp;lin=f&amp;keep=1&amp;srchmode=1&amp;unlock","Ampulex compressa")</f>
        <v>Ampulex compressa</v>
      </c>
      <c r="H2584" t="s">
        <v>1050</v>
      </c>
      <c r="I2584" t="str">
        <f>HYPERLINK("http://www.ncbi.nlm.nih.gov/protein/KAG7198526.1","hypothetical protein KM043_005897")</f>
        <v>hypothetical protein KM043_005897</v>
      </c>
      <c r="J2584">
        <v>3049.61</v>
      </c>
      <c r="K2584" t="s">
        <v>19</v>
      </c>
      <c r="L2584">
        <v>1210</v>
      </c>
      <c r="M2584">
        <v>7.13</v>
      </c>
      <c r="N2584">
        <v>29.71</v>
      </c>
      <c r="O2584" t="s">
        <v>19</v>
      </c>
      <c r="P2584" t="s">
        <v>1267</v>
      </c>
      <c r="Q2584" t="s">
        <v>19</v>
      </c>
      <c r="R2584" t="str">
        <f>HYPERLINK("https://cfpub.epa.gov/ecotox/explore.cfm?ncbi=860918","Explore in ECOTOX")</f>
        <v>Explore in ECOTOX</v>
      </c>
    </row>
    <row r="2585" spans="1:18" x14ac:dyDescent="0.45">
      <c r="A2585" t="s">
        <v>1266</v>
      </c>
      <c r="B2585">
        <v>8</v>
      </c>
      <c r="C2585" t="str">
        <f>HYPERLINK("http://www.ncbi.nlm.nih.gov/protein/XP_034105539.1","XP_034105539.1")</f>
        <v>XP_034105539.1</v>
      </c>
      <c r="D2585">
        <v>25048</v>
      </c>
      <c r="E2585" t="str">
        <f>HYPERLINK("http://www.ncbi.nlm.nih.gov/Taxonomy/Browser/wwwtax.cgi?mode=Info&amp;id=7291&amp;lvl=3&amp;lin=f&amp;keep=1&amp;srchmode=1&amp;unlock","7291")</f>
        <v>7291</v>
      </c>
      <c r="F2585" t="s">
        <v>760</v>
      </c>
      <c r="G2585" t="str">
        <f>HYPERLINK("http://www.ncbi.nlm.nih.gov/Taxonomy/Browser/wwwtax.cgi?mode=Info&amp;id=7291&amp;lvl=3&amp;lin=f&amp;keep=1&amp;srchmode=1&amp;unlock","Drosophila albomicans")</f>
        <v>Drosophila albomicans</v>
      </c>
      <c r="H2585" t="s">
        <v>953</v>
      </c>
      <c r="I2585" t="str">
        <f>HYPERLINK("http://www.ncbi.nlm.nih.gov/protein/XP_034105539.1","ryanodine receptor isoform X13")</f>
        <v>ryanodine receptor isoform X13</v>
      </c>
      <c r="J2585">
        <v>3049.23</v>
      </c>
      <c r="K2585" t="s">
        <v>19</v>
      </c>
      <c r="L2585">
        <v>1210</v>
      </c>
      <c r="M2585">
        <v>7.13</v>
      </c>
      <c r="N2585">
        <v>29.71</v>
      </c>
      <c r="O2585" t="s">
        <v>19</v>
      </c>
      <c r="P2585" t="s">
        <v>1267</v>
      </c>
      <c r="Q2585" t="s">
        <v>19</v>
      </c>
      <c r="R2585" t="str">
        <f>HYPERLINK("https://cfpub.epa.gov/ecotox/explore.cfm?ncbi=7291","Explore in ECOTOX")</f>
        <v>Explore in ECOTOX</v>
      </c>
    </row>
    <row r="2586" spans="1:18" x14ac:dyDescent="0.45">
      <c r="A2586" t="s">
        <v>1266</v>
      </c>
      <c r="B2586">
        <v>8</v>
      </c>
      <c r="C2586" t="str">
        <f>HYPERLINK("http://www.ncbi.nlm.nih.gov/protein/XP_058833947.1","XP_058833947.1")</f>
        <v>XP_058833947.1</v>
      </c>
      <c r="D2586">
        <v>30052</v>
      </c>
      <c r="E2586" t="str">
        <f>HYPERLINK("http://www.ncbi.nlm.nih.gov/Taxonomy/Browser/wwwtax.cgi?mode=Info&amp;id=2498891&amp;lvl=3&amp;lin=f&amp;keep=1&amp;srchmode=1&amp;unlock","2498891")</f>
        <v>2498891</v>
      </c>
      <c r="F2586" t="s">
        <v>760</v>
      </c>
      <c r="G2586" t="str">
        <f>HYPERLINK("http://www.ncbi.nlm.nih.gov/Taxonomy/Browser/wwwtax.cgi?mode=Info&amp;id=2498891&amp;lvl=3&amp;lin=f&amp;keep=1&amp;srchmode=1&amp;unlock","Topomyia yanbarensis")</f>
        <v>Topomyia yanbarensis</v>
      </c>
      <c r="H2586" t="s">
        <v>917</v>
      </c>
      <c r="I2586" t="str">
        <f>HYPERLINK("http://www.ncbi.nlm.nih.gov/protein/XP_058833947.1","ryanodine receptor isoform X9")</f>
        <v>ryanodine receptor isoform X9</v>
      </c>
      <c r="J2586">
        <v>3048.84</v>
      </c>
      <c r="K2586" t="s">
        <v>19</v>
      </c>
      <c r="L2586">
        <v>1210</v>
      </c>
      <c r="M2586">
        <v>7.13</v>
      </c>
      <c r="N2586">
        <v>29.71</v>
      </c>
      <c r="O2586" t="s">
        <v>19</v>
      </c>
      <c r="P2586" t="s">
        <v>1267</v>
      </c>
      <c r="Q2586" t="s">
        <v>19</v>
      </c>
      <c r="R2586" t="str">
        <f>HYPERLINK("https://cfpub.epa.gov/ecotox/explore.cfm?ncbi=2498891","Explore in ECOTOX")</f>
        <v>Explore in ECOTOX</v>
      </c>
    </row>
    <row r="2587" spans="1:18" x14ac:dyDescent="0.45">
      <c r="A2587" t="s">
        <v>1266</v>
      </c>
      <c r="B2587">
        <v>8</v>
      </c>
      <c r="C2587" t="str">
        <f>HYPERLINK("http://www.ncbi.nlm.nih.gov/protein/XP_041448910.1","XP_041448910.1")</f>
        <v>XP_041448910.1</v>
      </c>
      <c r="D2587">
        <v>23440</v>
      </c>
      <c r="E2587" t="str">
        <f>HYPERLINK("http://www.ncbi.nlm.nih.gov/Taxonomy/Browser/wwwtax.cgi?mode=Info&amp;id=7282&amp;lvl=3&amp;lin=f&amp;keep=1&amp;srchmode=1&amp;unlock","7282")</f>
        <v>7282</v>
      </c>
      <c r="F2587" t="s">
        <v>760</v>
      </c>
      <c r="G2587" t="str">
        <f>HYPERLINK("http://www.ncbi.nlm.nih.gov/Taxonomy/Browser/wwwtax.cgi?mode=Info&amp;id=7282&amp;lvl=3&amp;lin=f&amp;keep=1&amp;srchmode=1&amp;unlock","Drosophila obscura")</f>
        <v>Drosophila obscura</v>
      </c>
      <c r="H2587" t="s">
        <v>953</v>
      </c>
      <c r="I2587" t="str">
        <f>HYPERLINK("http://www.ncbi.nlm.nih.gov/protein/XP_041448910.1","ryanodine receptor isoform X4")</f>
        <v>ryanodine receptor isoform X4</v>
      </c>
      <c r="J2587">
        <v>3048.46</v>
      </c>
      <c r="K2587" t="s">
        <v>19</v>
      </c>
      <c r="L2587">
        <v>1210</v>
      </c>
      <c r="M2587">
        <v>7.13</v>
      </c>
      <c r="N2587">
        <v>29.7</v>
      </c>
      <c r="O2587" t="s">
        <v>19</v>
      </c>
      <c r="P2587" t="s">
        <v>1267</v>
      </c>
      <c r="Q2587" t="s">
        <v>19</v>
      </c>
      <c r="R2587" t="str">
        <f>HYPERLINK("https://cfpub.epa.gov/ecotox/explore.cfm?ncbi=7282","Explore in ECOTOX")</f>
        <v>Explore in ECOTOX</v>
      </c>
    </row>
    <row r="2588" spans="1:18" x14ac:dyDescent="0.45">
      <c r="A2588" t="s">
        <v>1266</v>
      </c>
      <c r="B2588">
        <v>8</v>
      </c>
      <c r="C2588" t="str">
        <f>HYPERLINK("http://www.ncbi.nlm.nih.gov/protein/XP_011684420.1","XP_011684420.1")</f>
        <v>XP_011684420.1</v>
      </c>
      <c r="D2588">
        <v>24365</v>
      </c>
      <c r="E2588" t="str">
        <f>HYPERLINK("http://www.ncbi.nlm.nih.gov/Taxonomy/Browser/wwwtax.cgi?mode=Info&amp;id=64793&amp;lvl=3&amp;lin=f&amp;keep=1&amp;srchmode=1&amp;unlock","64793")</f>
        <v>64793</v>
      </c>
      <c r="F2588" t="s">
        <v>760</v>
      </c>
      <c r="G2588" t="str">
        <f>HYPERLINK("http://www.ncbi.nlm.nih.gov/Taxonomy/Browser/wwwtax.cgi?mode=Info&amp;id=64793&amp;lvl=3&amp;lin=f&amp;keep=1&amp;srchmode=1&amp;unlock","Wasmannia auropunctata")</f>
        <v>Wasmannia auropunctata</v>
      </c>
      <c r="H2588" t="s">
        <v>810</v>
      </c>
      <c r="I2588" t="str">
        <f>HYPERLINK("http://www.ncbi.nlm.nih.gov/protein/XP_011684420.1","PREDICTED: ryanodine receptor 44F isoform X18")</f>
        <v>PREDICTED: ryanodine receptor 44F isoform X18</v>
      </c>
      <c r="J2588">
        <v>3048.07</v>
      </c>
      <c r="K2588" t="s">
        <v>19</v>
      </c>
      <c r="L2588">
        <v>1210</v>
      </c>
      <c r="M2588">
        <v>7.13</v>
      </c>
      <c r="N2588">
        <v>29.7</v>
      </c>
      <c r="O2588" t="s">
        <v>19</v>
      </c>
      <c r="P2588" t="s">
        <v>1267</v>
      </c>
      <c r="Q2588" t="s">
        <v>19</v>
      </c>
      <c r="R2588" t="str">
        <f>HYPERLINK("https://cfpub.epa.gov/ecotox/explore.cfm?ncbi=64793","Explore in ECOTOX")</f>
        <v>Explore in ECOTOX</v>
      </c>
    </row>
    <row r="2589" spans="1:18" x14ac:dyDescent="0.45">
      <c r="A2589" t="s">
        <v>1266</v>
      </c>
      <c r="B2589">
        <v>8</v>
      </c>
      <c r="C2589" t="str">
        <f>HYPERLINK("http://www.ncbi.nlm.nih.gov/protein/KAK1131229.1","KAK1131229.1")</f>
        <v>KAK1131229.1</v>
      </c>
      <c r="D2589">
        <v>21376</v>
      </c>
      <c r="E2589" t="str">
        <f>HYPERLINK("http://www.ncbi.nlm.nih.gov/Taxonomy/Browser/wwwtax.cgi?mode=Info&amp;id=60889&amp;lvl=3&amp;lin=f&amp;keep=1&amp;srchmode=1&amp;unlock","60889")</f>
        <v>60889</v>
      </c>
      <c r="F2589" t="s">
        <v>760</v>
      </c>
      <c r="G2589" t="str">
        <f>HYPERLINK("http://www.ncbi.nlm.nih.gov/Taxonomy/Browser/wwwtax.cgi?mode=Info&amp;id=60889&amp;lvl=3&amp;lin=f&amp;keep=1&amp;srchmode=1&amp;unlock","Melipona bicolor")</f>
        <v>Melipona bicolor</v>
      </c>
      <c r="H2589" t="s">
        <v>817</v>
      </c>
      <c r="I2589" t="str">
        <f>HYPERLINK("http://www.ncbi.nlm.nih.gov/protein/KAK1131229.1","hypothetical protein K0M31_017517")</f>
        <v>hypothetical protein K0M31_017517</v>
      </c>
      <c r="J2589">
        <v>3048.07</v>
      </c>
      <c r="K2589" t="s">
        <v>22</v>
      </c>
      <c r="L2589">
        <v>1210</v>
      </c>
      <c r="M2589">
        <v>7.13</v>
      </c>
      <c r="N2589">
        <v>29.7</v>
      </c>
      <c r="O2589" t="s">
        <v>19</v>
      </c>
      <c r="P2589" t="s">
        <v>1267</v>
      </c>
      <c r="Q2589" t="s">
        <v>19</v>
      </c>
      <c r="R2589" t="str">
        <f>HYPERLINK("https://cfpub.epa.gov/ecotox/explore.cfm?ncbi=60889","Explore in ECOTOX")</f>
        <v>Explore in ECOTOX</v>
      </c>
    </row>
    <row r="2590" spans="1:18" x14ac:dyDescent="0.45">
      <c r="A2590" t="s">
        <v>1266</v>
      </c>
      <c r="B2590">
        <v>8</v>
      </c>
      <c r="C2590" t="str">
        <f>HYPERLINK("http://www.ncbi.nlm.nih.gov/protein/ATX64237.1","ATX64237.1")</f>
        <v>ATX64237.1</v>
      </c>
      <c r="D2590">
        <v>72</v>
      </c>
      <c r="E2590" t="str">
        <f>HYPERLINK("http://www.ncbi.nlm.nih.gov/Taxonomy/Browser/wwwtax.cgi?mode=Info&amp;id=480707&amp;lvl=3&amp;lin=f&amp;keep=1&amp;srchmode=1&amp;unlock","480707")</f>
        <v>480707</v>
      </c>
      <c r="F2590" t="s">
        <v>760</v>
      </c>
      <c r="G2590" t="str">
        <f>HYPERLINK("http://www.ncbi.nlm.nih.gov/Taxonomy/Browser/wwwtax.cgi?mode=Info&amp;id=480707&amp;lvl=3&amp;lin=f&amp;keep=1&amp;srchmode=1&amp;unlock","Adoxophyes orana")</f>
        <v>Adoxophyes orana</v>
      </c>
      <c r="H2590" t="s">
        <v>959</v>
      </c>
      <c r="I2590" t="str">
        <f>HYPERLINK("http://www.ncbi.nlm.nih.gov/protein/ATX64237.1","ryanodine receptor 1")</f>
        <v>ryanodine receptor 1</v>
      </c>
      <c r="J2590">
        <v>3047.68</v>
      </c>
      <c r="K2590" t="s">
        <v>19</v>
      </c>
      <c r="L2590">
        <v>1210</v>
      </c>
      <c r="M2590">
        <v>7.13</v>
      </c>
      <c r="N2590">
        <v>29.7</v>
      </c>
      <c r="O2590" t="s">
        <v>19</v>
      </c>
      <c r="P2590" t="s">
        <v>1267</v>
      </c>
      <c r="Q2590" t="s">
        <v>19</v>
      </c>
      <c r="R2590" t="str">
        <f>HYPERLINK("https://cfpub.epa.gov/ecotox/explore.cfm?ncbi=480707","Explore in ECOTOX")</f>
        <v>Explore in ECOTOX</v>
      </c>
    </row>
    <row r="2591" spans="1:18" x14ac:dyDescent="0.45">
      <c r="A2591" t="s">
        <v>1266</v>
      </c>
      <c r="B2591">
        <v>8</v>
      </c>
      <c r="C2591" t="str">
        <f>HYPERLINK("http://www.ncbi.nlm.nih.gov/protein/XP_060660502.1","XP_060660502.1")</f>
        <v>XP_060660502.1</v>
      </c>
      <c r="D2591">
        <v>22989</v>
      </c>
      <c r="E2591" t="str">
        <f>HYPERLINK("http://www.ncbi.nlm.nih.gov/Taxonomy/Browser/wwwtax.cgi?mode=Info&amp;id=42062&amp;lvl=3&amp;lin=f&amp;keep=1&amp;srchmode=1&amp;unlock","42062")</f>
        <v>42062</v>
      </c>
      <c r="F2591" t="s">
        <v>760</v>
      </c>
      <c r="G2591" t="str">
        <f>HYPERLINK("http://www.ncbi.nlm.nih.gov/Taxonomy/Browser/wwwtax.cgi?mode=Info&amp;id=42062&amp;lvl=3&amp;lin=f&amp;keep=1&amp;srchmode=1&amp;unlock","Drosophila nasuta")</f>
        <v>Drosophila nasuta</v>
      </c>
      <c r="H2591" t="s">
        <v>953</v>
      </c>
      <c r="I2591" t="str">
        <f>HYPERLINK("http://www.ncbi.nlm.nih.gov/protein/XP_060660502.1","LOW QUALITY PROTEIN: ryanodine receptor")</f>
        <v>LOW QUALITY PROTEIN: ryanodine receptor</v>
      </c>
      <c r="J2591">
        <v>3047.3</v>
      </c>
      <c r="K2591" t="s">
        <v>19</v>
      </c>
      <c r="L2591">
        <v>1210</v>
      </c>
      <c r="M2591">
        <v>7.13</v>
      </c>
      <c r="N2591">
        <v>29.69</v>
      </c>
      <c r="O2591" t="s">
        <v>19</v>
      </c>
      <c r="P2591" t="s">
        <v>1267</v>
      </c>
      <c r="Q2591" t="s">
        <v>19</v>
      </c>
      <c r="R2591" t="str">
        <f>HYPERLINK("https://cfpub.epa.gov/ecotox/explore.cfm?ncbi=42062","Explore in ECOTOX")</f>
        <v>Explore in ECOTOX</v>
      </c>
    </row>
    <row r="2592" spans="1:18" x14ac:dyDescent="0.45">
      <c r="A2592" t="s">
        <v>1266</v>
      </c>
      <c r="B2592">
        <v>8</v>
      </c>
      <c r="C2592" t="str">
        <f>HYPERLINK("http://www.ncbi.nlm.nih.gov/protein/XP_054737073.1","XP_054737073.1")</f>
        <v>XP_054737073.1</v>
      </c>
      <c r="D2592">
        <v>23399</v>
      </c>
      <c r="E2592" t="str">
        <f>HYPERLINK("http://www.ncbi.nlm.nih.gov/Taxonomy/Browser/wwwtax.cgi?mode=Info&amp;id=95512&amp;lvl=3&amp;lin=f&amp;keep=1&amp;srchmode=1&amp;unlock","95512")</f>
        <v>95512</v>
      </c>
      <c r="F2592" t="s">
        <v>760</v>
      </c>
      <c r="G2592" t="str">
        <f>HYPERLINK("http://www.ncbi.nlm.nih.gov/Taxonomy/Browser/wwwtax.cgi?mode=Info&amp;id=95512&amp;lvl=3&amp;lin=f&amp;keep=1&amp;srchmode=1&amp;unlock","Anastrepha obliqua")</f>
        <v>Anastrepha obliqua</v>
      </c>
      <c r="H2592" t="s">
        <v>953</v>
      </c>
      <c r="I2592" t="str">
        <f>HYPERLINK("http://www.ncbi.nlm.nih.gov/protein/XP_054737073.1","ryanodine receptor isoform X7")</f>
        <v>ryanodine receptor isoform X7</v>
      </c>
      <c r="J2592">
        <v>3046.91</v>
      </c>
      <c r="K2592" t="s">
        <v>19</v>
      </c>
      <c r="L2592">
        <v>1210</v>
      </c>
      <c r="M2592">
        <v>7.13</v>
      </c>
      <c r="N2592">
        <v>29.69</v>
      </c>
      <c r="O2592" t="s">
        <v>19</v>
      </c>
      <c r="P2592" t="s">
        <v>1267</v>
      </c>
      <c r="Q2592" t="s">
        <v>19</v>
      </c>
      <c r="R2592" t="str">
        <f>HYPERLINK("https://cfpub.epa.gov/ecotox/explore.cfm?ncbi=95512","Explore in ECOTOX")</f>
        <v>Explore in ECOTOX</v>
      </c>
    </row>
    <row r="2593" spans="1:18" x14ac:dyDescent="0.45">
      <c r="A2593" t="s">
        <v>1266</v>
      </c>
      <c r="B2593">
        <v>8</v>
      </c>
      <c r="C2593" t="str">
        <f>HYPERLINK("http://www.ncbi.nlm.nih.gov/protein/XP_034653206.1","XP_034653206.1")</f>
        <v>XP_034653206.1</v>
      </c>
      <c r="D2593">
        <v>23554</v>
      </c>
      <c r="E2593" t="str">
        <f>HYPERLINK("http://www.ncbi.nlm.nih.gov/Taxonomy/Browser/wwwtax.cgi?mode=Info&amp;id=7241&amp;lvl=3&amp;lin=f&amp;keep=1&amp;srchmode=1&amp;unlock","7241")</f>
        <v>7241</v>
      </c>
      <c r="F2593" t="s">
        <v>760</v>
      </c>
      <c r="G2593" t="str">
        <f>HYPERLINK("http://www.ncbi.nlm.nih.gov/Taxonomy/Browser/wwwtax.cgi?mode=Info&amp;id=7241&amp;lvl=3&amp;lin=f&amp;keep=1&amp;srchmode=1&amp;unlock","Drosophila subobscura")</f>
        <v>Drosophila subobscura</v>
      </c>
      <c r="H2593" t="s">
        <v>953</v>
      </c>
      <c r="I2593" t="str">
        <f>HYPERLINK("http://www.ncbi.nlm.nih.gov/protein/XP_034653206.1","LOW QUALITY PROTEIN: ryanodine receptor")</f>
        <v>LOW QUALITY PROTEIN: ryanodine receptor</v>
      </c>
      <c r="J2593">
        <v>3046.91</v>
      </c>
      <c r="K2593" t="s">
        <v>19</v>
      </c>
      <c r="L2593">
        <v>1210</v>
      </c>
      <c r="M2593">
        <v>7.13</v>
      </c>
      <c r="N2593">
        <v>29.69</v>
      </c>
      <c r="O2593" t="s">
        <v>19</v>
      </c>
      <c r="P2593" t="s">
        <v>1267</v>
      </c>
      <c r="Q2593" t="s">
        <v>19</v>
      </c>
      <c r="R2593" t="str">
        <f>HYPERLINK("https://cfpub.epa.gov/ecotox/explore.cfm?ncbi=7241","Explore in ECOTOX")</f>
        <v>Explore in ECOTOX</v>
      </c>
    </row>
    <row r="2594" spans="1:18" x14ac:dyDescent="0.45">
      <c r="A2594" t="s">
        <v>1266</v>
      </c>
      <c r="B2594">
        <v>8</v>
      </c>
      <c r="C2594" t="str">
        <f>HYPERLINK("http://www.ncbi.nlm.nih.gov/protein/XP_023168839.1","XP_023168839.1")</f>
        <v>XP_023168839.1</v>
      </c>
      <c r="D2594">
        <v>21617</v>
      </c>
      <c r="E2594" t="str">
        <f>HYPERLINK("http://www.ncbi.nlm.nih.gov/Taxonomy/Browser/wwwtax.cgi?mode=Info&amp;id=7224&amp;lvl=3&amp;lin=f&amp;keep=1&amp;srchmode=1&amp;unlock","7224")</f>
        <v>7224</v>
      </c>
      <c r="F2594" t="s">
        <v>760</v>
      </c>
      <c r="G2594" t="str">
        <f>HYPERLINK("http://www.ncbi.nlm.nih.gov/Taxonomy/Browser/wwwtax.cgi?mode=Info&amp;id=7224&amp;lvl=3&amp;lin=f&amp;keep=1&amp;srchmode=1&amp;unlock","Drosophila hydei")</f>
        <v>Drosophila hydei</v>
      </c>
      <c r="H2594" t="s">
        <v>953</v>
      </c>
      <c r="I2594" t="str">
        <f>HYPERLINK("http://www.ncbi.nlm.nih.gov/protein/XP_023168839.1","ryanodine receptor isoform X3")</f>
        <v>ryanodine receptor isoform X3</v>
      </c>
      <c r="J2594">
        <v>3046.53</v>
      </c>
      <c r="K2594" t="s">
        <v>19</v>
      </c>
      <c r="L2594">
        <v>1210</v>
      </c>
      <c r="M2594">
        <v>7.13</v>
      </c>
      <c r="N2594">
        <v>29.68</v>
      </c>
      <c r="O2594" t="s">
        <v>19</v>
      </c>
      <c r="P2594" t="s">
        <v>1267</v>
      </c>
      <c r="Q2594" t="s">
        <v>19</v>
      </c>
      <c r="R2594" t="str">
        <f>HYPERLINK("https://cfpub.epa.gov/ecotox/explore.cfm?ncbi=7224","Explore in ECOTOX")</f>
        <v>Explore in ECOTOX</v>
      </c>
    </row>
    <row r="2595" spans="1:18" x14ac:dyDescent="0.45">
      <c r="A2595" t="s">
        <v>1266</v>
      </c>
      <c r="B2595">
        <v>8</v>
      </c>
      <c r="C2595" t="str">
        <f>HYPERLINK("http://www.ncbi.nlm.nih.gov/protein/XP_029674681.1","XP_029674681.1")</f>
        <v>XP_029674681.1</v>
      </c>
      <c r="D2595">
        <v>22533</v>
      </c>
      <c r="E2595" t="str">
        <f>HYPERLINK("http://www.ncbi.nlm.nih.gov/Taxonomy/Browser/wwwtax.cgi?mode=Info&amp;id=72781&amp;lvl=3&amp;lin=f&amp;keep=1&amp;srchmode=1&amp;unlock","72781")</f>
        <v>72781</v>
      </c>
      <c r="F2595" t="s">
        <v>760</v>
      </c>
      <c r="G2595" t="str">
        <f>HYPERLINK("http://www.ncbi.nlm.nih.gov/Taxonomy/Browser/wwwtax.cgi?mode=Info&amp;id=72781&amp;lvl=3&amp;lin=f&amp;keep=1&amp;srchmode=1&amp;unlock","Formica exsecta")</f>
        <v>Formica exsecta</v>
      </c>
      <c r="H2595" t="s">
        <v>769</v>
      </c>
      <c r="I2595" t="str">
        <f>HYPERLINK("http://www.ncbi.nlm.nih.gov/protein/XP_029674681.1","ryanodine receptor isoform X4")</f>
        <v>ryanodine receptor isoform X4</v>
      </c>
      <c r="J2595">
        <v>3046.14</v>
      </c>
      <c r="K2595" t="s">
        <v>22</v>
      </c>
      <c r="L2595">
        <v>1210</v>
      </c>
      <c r="M2595">
        <v>7.13</v>
      </c>
      <c r="N2595">
        <v>29.68</v>
      </c>
      <c r="O2595" t="s">
        <v>19</v>
      </c>
      <c r="P2595" t="s">
        <v>1267</v>
      </c>
      <c r="Q2595" t="s">
        <v>19</v>
      </c>
      <c r="R2595" t="str">
        <f>HYPERLINK("https://cfpub.epa.gov/ecotox/explore.cfm?ncbi=72781","Explore in ECOTOX")</f>
        <v>Explore in ECOTOX</v>
      </c>
    </row>
    <row r="2596" spans="1:18" x14ac:dyDescent="0.45">
      <c r="A2596" t="s">
        <v>1266</v>
      </c>
      <c r="B2596">
        <v>8</v>
      </c>
      <c r="C2596" t="str">
        <f>HYPERLINK("http://www.ncbi.nlm.nih.gov/protein/XP_053964460.1","XP_053964460.1")</f>
        <v>XP_053964460.1</v>
      </c>
      <c r="D2596">
        <v>25510</v>
      </c>
      <c r="E2596" t="str">
        <f>HYPERLINK("http://www.ncbi.nlm.nih.gov/Taxonomy/Browser/wwwtax.cgi?mode=Info&amp;id=28586&amp;lvl=3&amp;lin=f&amp;keep=1&amp;srchmode=1&amp;unlock","28586")</f>
        <v>28586</v>
      </c>
      <c r="F2596" t="s">
        <v>760</v>
      </c>
      <c r="G2596" t="str">
        <f>HYPERLINK("http://www.ncbi.nlm.nih.gov/Taxonomy/Browser/wwwtax.cgi?mode=Info&amp;id=28586&amp;lvl=3&amp;lin=f&amp;keep=1&amp;srchmode=1&amp;unlock","Anastrepha ludens")</f>
        <v>Anastrepha ludens</v>
      </c>
      <c r="H2596" t="s">
        <v>957</v>
      </c>
      <c r="I2596" t="str">
        <f>HYPERLINK("http://www.ncbi.nlm.nih.gov/protein/XP_053964460.1","ryanodine receptor isoform X10")</f>
        <v>ryanodine receptor isoform X10</v>
      </c>
      <c r="J2596">
        <v>3045.76</v>
      </c>
      <c r="K2596" t="s">
        <v>19</v>
      </c>
      <c r="L2596">
        <v>1210</v>
      </c>
      <c r="M2596">
        <v>7.13</v>
      </c>
      <c r="N2596">
        <v>29.68</v>
      </c>
      <c r="O2596" t="s">
        <v>19</v>
      </c>
      <c r="P2596" t="s">
        <v>1267</v>
      </c>
      <c r="Q2596" t="s">
        <v>19</v>
      </c>
      <c r="R2596" t="str">
        <f>HYPERLINK("https://cfpub.epa.gov/ecotox/explore.cfm?ncbi=28586","Explore in ECOTOX")</f>
        <v>Explore in ECOTOX</v>
      </c>
    </row>
    <row r="2597" spans="1:18" x14ac:dyDescent="0.45">
      <c r="A2597" t="s">
        <v>1266</v>
      </c>
      <c r="B2597">
        <v>8</v>
      </c>
      <c r="C2597" t="str">
        <f>HYPERLINK("http://www.ncbi.nlm.nih.gov/protein/XP_055318057.1","XP_055318057.1")</f>
        <v>XP_055318057.1</v>
      </c>
      <c r="D2597">
        <v>32634</v>
      </c>
      <c r="E2597" t="str">
        <f>HYPERLINK("http://www.ncbi.nlm.nih.gov/Taxonomy/Browser/wwwtax.cgi?mode=Info&amp;id=263140&amp;lvl=3&amp;lin=f&amp;keep=1&amp;srchmode=1&amp;unlock","263140")</f>
        <v>263140</v>
      </c>
      <c r="F2597" t="s">
        <v>760</v>
      </c>
      <c r="G2597" t="str">
        <f>HYPERLINK("http://www.ncbi.nlm.nih.gov/Taxonomy/Browser/wwwtax.cgi?mode=Info&amp;id=263140&amp;lvl=3&amp;lin=f&amp;keep=1&amp;srchmode=1&amp;unlock","Sitodiplosis mosellana")</f>
        <v>Sitodiplosis mosellana</v>
      </c>
      <c r="H2597" t="s">
        <v>977</v>
      </c>
      <c r="I2597" t="str">
        <f>HYPERLINK("http://www.ncbi.nlm.nih.gov/protein/XP_055318057.1","ryanodine receptor isoform X13")</f>
        <v>ryanodine receptor isoform X13</v>
      </c>
      <c r="J2597">
        <v>3045.37</v>
      </c>
      <c r="K2597" t="s">
        <v>19</v>
      </c>
      <c r="L2597">
        <v>1210</v>
      </c>
      <c r="M2597">
        <v>7.13</v>
      </c>
      <c r="N2597">
        <v>29.67</v>
      </c>
      <c r="O2597" t="s">
        <v>19</v>
      </c>
      <c r="P2597" t="s">
        <v>1267</v>
      </c>
      <c r="Q2597" t="s">
        <v>19</v>
      </c>
      <c r="R2597" t="str">
        <f>HYPERLINK("https://cfpub.epa.gov/ecotox/explore.cfm?ncbi=263140","Explore in ECOTOX")</f>
        <v>Explore in ECOTOX</v>
      </c>
    </row>
    <row r="2598" spans="1:18" x14ac:dyDescent="0.45">
      <c r="A2598" t="s">
        <v>1266</v>
      </c>
      <c r="B2598">
        <v>8</v>
      </c>
      <c r="C2598" t="str">
        <f>HYPERLINK("http://www.ncbi.nlm.nih.gov/protein/XP_025265369.1","XP_025265369.1")</f>
        <v>XP_025265369.1</v>
      </c>
      <c r="D2598">
        <v>38835</v>
      </c>
      <c r="E2598" t="str">
        <f>HYPERLINK("http://www.ncbi.nlm.nih.gov/Taxonomy/Browser/wwwtax.cgi?mode=Info&amp;id=104421&amp;lvl=3&amp;lin=f&amp;keep=1&amp;srchmode=1&amp;unlock","104421")</f>
        <v>104421</v>
      </c>
      <c r="F2598" t="s">
        <v>760</v>
      </c>
      <c r="G2598" t="str">
        <f>HYPERLINK("http://www.ncbi.nlm.nih.gov/Taxonomy/Browser/wwwtax.cgi?mode=Info&amp;id=104421&amp;lvl=3&amp;lin=f&amp;keep=1&amp;srchmode=1&amp;unlock","Camponotus floridanus")</f>
        <v>Camponotus floridanus</v>
      </c>
      <c r="H2598" t="s">
        <v>932</v>
      </c>
      <c r="I2598" t="str">
        <f>HYPERLINK("http://www.ncbi.nlm.nih.gov/protein/XP_025265369.1","ryanodine receptor isoform X10")</f>
        <v>ryanodine receptor isoform X10</v>
      </c>
      <c r="J2598">
        <v>3044.22</v>
      </c>
      <c r="K2598" t="s">
        <v>19</v>
      </c>
      <c r="L2598">
        <v>1210</v>
      </c>
      <c r="M2598">
        <v>7.13</v>
      </c>
      <c r="N2598">
        <v>29.66</v>
      </c>
      <c r="O2598" t="s">
        <v>19</v>
      </c>
      <c r="P2598" t="s">
        <v>1267</v>
      </c>
      <c r="Q2598" t="s">
        <v>19</v>
      </c>
      <c r="R2598" t="str">
        <f>HYPERLINK("https://cfpub.epa.gov/ecotox/explore.cfm?ncbi=104421","Explore in ECOTOX")</f>
        <v>Explore in ECOTOX</v>
      </c>
    </row>
    <row r="2599" spans="1:18" x14ac:dyDescent="0.45">
      <c r="A2599" t="s">
        <v>1266</v>
      </c>
      <c r="B2599">
        <v>8</v>
      </c>
      <c r="C2599" t="str">
        <f>HYPERLINK("http://www.ncbi.nlm.nih.gov/protein/XP_034937909.1","XP_034937909.1")</f>
        <v>XP_034937909.1</v>
      </c>
      <c r="D2599">
        <v>19356</v>
      </c>
      <c r="E2599" t="str">
        <f>HYPERLINK("http://www.ncbi.nlm.nih.gov/Taxonomy/Browser/wwwtax.cgi?mode=Info&amp;id=460826&amp;lvl=3&amp;lin=f&amp;keep=1&amp;srchmode=1&amp;unlock","460826")</f>
        <v>460826</v>
      </c>
      <c r="F2599" t="s">
        <v>760</v>
      </c>
      <c r="G2599" t="str">
        <f>HYPERLINK("http://www.ncbi.nlm.nih.gov/Taxonomy/Browser/wwwtax.cgi?mode=Info&amp;id=460826&amp;lvl=3&amp;lin=f&amp;keep=1&amp;srchmode=1&amp;unlock","Chelonus insularis")</f>
        <v>Chelonus insularis</v>
      </c>
      <c r="H2599" t="s">
        <v>769</v>
      </c>
      <c r="I2599" t="str">
        <f>HYPERLINK("http://www.ncbi.nlm.nih.gov/protein/XP_034937909.1","ryanodine receptor isoform X1")</f>
        <v>ryanodine receptor isoform X1</v>
      </c>
      <c r="J2599">
        <v>3043.83</v>
      </c>
      <c r="K2599" t="s">
        <v>22</v>
      </c>
      <c r="L2599">
        <v>1210</v>
      </c>
      <c r="M2599">
        <v>7.13</v>
      </c>
      <c r="N2599">
        <v>29.66</v>
      </c>
      <c r="O2599" t="s">
        <v>19</v>
      </c>
      <c r="P2599" t="s">
        <v>1267</v>
      </c>
      <c r="Q2599" t="s">
        <v>19</v>
      </c>
      <c r="R2599" t="str">
        <f>HYPERLINK("https://cfpub.epa.gov/ecotox/explore.cfm?ncbi=460826","Explore in ECOTOX")</f>
        <v>Explore in ECOTOX</v>
      </c>
    </row>
    <row r="2600" spans="1:18" x14ac:dyDescent="0.45">
      <c r="A2600" t="s">
        <v>1266</v>
      </c>
      <c r="B2600">
        <v>8</v>
      </c>
      <c r="C2600" t="str">
        <f>HYPERLINK("http://www.ncbi.nlm.nih.gov/protein/CAG9761741.1","CAG9761741.1")</f>
        <v>CAG9761741.1</v>
      </c>
      <c r="D2600">
        <v>15498</v>
      </c>
      <c r="E2600" t="str">
        <f>HYPERLINK("http://www.ncbi.nlm.nih.gov/Taxonomy/Browser/wwwtax.cgi?mode=Info&amp;id=467358&amp;lvl=3&amp;lin=f&amp;keep=1&amp;srchmode=1&amp;unlock","467358")</f>
        <v>467358</v>
      </c>
      <c r="F2600" t="s">
        <v>760</v>
      </c>
      <c r="G2600" t="str">
        <f>HYPERLINK("http://www.ncbi.nlm.nih.gov/Taxonomy/Browser/wwwtax.cgi?mode=Info&amp;id=467358&amp;lvl=3&amp;lin=f&amp;keep=1&amp;srchmode=1&amp;unlock","Ceutorhynchus assimilis")</f>
        <v>Ceutorhynchus assimilis</v>
      </c>
      <c r="H2600" t="s">
        <v>987</v>
      </c>
      <c r="I2600" t="str">
        <f>HYPERLINK("http://www.ncbi.nlm.nih.gov/protein/CAG9761741.1","unnamed protein product")</f>
        <v>unnamed protein product</v>
      </c>
      <c r="J2600">
        <v>3043.06</v>
      </c>
      <c r="K2600" t="s">
        <v>19</v>
      </c>
      <c r="L2600">
        <v>1210</v>
      </c>
      <c r="M2600">
        <v>7.13</v>
      </c>
      <c r="N2600">
        <v>29.65</v>
      </c>
      <c r="O2600" t="s">
        <v>19</v>
      </c>
      <c r="P2600" t="s">
        <v>1267</v>
      </c>
      <c r="Q2600" t="s">
        <v>19</v>
      </c>
      <c r="R2600" t="str">
        <f>HYPERLINK("https://cfpub.epa.gov/ecotox/explore.cfm?ncbi=467358","Explore in ECOTOX")</f>
        <v>Explore in ECOTOX</v>
      </c>
    </row>
    <row r="2601" spans="1:18" x14ac:dyDescent="0.45">
      <c r="A2601" t="s">
        <v>1266</v>
      </c>
      <c r="B2601">
        <v>8</v>
      </c>
      <c r="C2601" t="str">
        <f>HYPERLINK("http://www.ncbi.nlm.nih.gov/protein/KAH8405535.1","KAH8405535.1")</f>
        <v>KAH8405535.1</v>
      </c>
      <c r="D2601">
        <v>12310</v>
      </c>
      <c r="E2601" t="str">
        <f>HYPERLINK("http://www.ncbi.nlm.nih.gov/Taxonomy/Browser/wwwtax.cgi?mode=Info&amp;id=88886&amp;lvl=3&amp;lin=f&amp;keep=1&amp;srchmode=1&amp;unlock","88886")</f>
        <v>88886</v>
      </c>
      <c r="F2601" t="s">
        <v>760</v>
      </c>
      <c r="G2601" t="str">
        <f>HYPERLINK("http://www.ncbi.nlm.nih.gov/Taxonomy/Browser/wwwtax.cgi?mode=Info&amp;id=88886&amp;lvl=3&amp;lin=f&amp;keep=1&amp;srchmode=1&amp;unlock","Drosophila sulfurigaster")</f>
        <v>Drosophila sulfurigaster</v>
      </c>
      <c r="H2601" t="s">
        <v>953</v>
      </c>
      <c r="I2601" t="str">
        <f>HYPERLINK("http://www.ncbi.nlm.nih.gov/protein/KAH8405535.1","hypothetical protein KR215_002056")</f>
        <v>hypothetical protein KR215_002056</v>
      </c>
      <c r="J2601">
        <v>3041.91</v>
      </c>
      <c r="K2601" t="s">
        <v>19</v>
      </c>
      <c r="L2601">
        <v>1210</v>
      </c>
      <c r="M2601">
        <v>7.13</v>
      </c>
      <c r="N2601">
        <v>29.64</v>
      </c>
      <c r="O2601" t="s">
        <v>19</v>
      </c>
      <c r="P2601" t="s">
        <v>1267</v>
      </c>
      <c r="Q2601" t="s">
        <v>19</v>
      </c>
      <c r="R2601" t="str">
        <f>HYPERLINK("https://cfpub.epa.gov/ecotox/explore.cfm?ncbi=88886","Explore in ECOTOX")</f>
        <v>Explore in ECOTOX</v>
      </c>
    </row>
    <row r="2602" spans="1:18" x14ac:dyDescent="0.45">
      <c r="A2602" t="s">
        <v>1266</v>
      </c>
      <c r="B2602">
        <v>8</v>
      </c>
      <c r="C2602" t="str">
        <f>HYPERLINK("http://www.ncbi.nlm.nih.gov/protein/XP_017866971.1","XP_017866971.1")</f>
        <v>XP_017866971.1</v>
      </c>
      <c r="D2602">
        <v>20064</v>
      </c>
      <c r="E2602" t="str">
        <f>HYPERLINK("http://www.ncbi.nlm.nih.gov/Taxonomy/Browser/wwwtax.cgi?mode=Info&amp;id=7263&amp;lvl=3&amp;lin=f&amp;keep=1&amp;srchmode=1&amp;unlock","7263")</f>
        <v>7263</v>
      </c>
      <c r="F2602" t="s">
        <v>760</v>
      </c>
      <c r="G2602" t="str">
        <f>HYPERLINK("http://www.ncbi.nlm.nih.gov/Taxonomy/Browser/wwwtax.cgi?mode=Info&amp;id=7263&amp;lvl=3&amp;lin=f&amp;keep=1&amp;srchmode=1&amp;unlock","Drosophila arizonae")</f>
        <v>Drosophila arizonae</v>
      </c>
      <c r="H2602" t="s">
        <v>953</v>
      </c>
      <c r="I2602" t="str">
        <f>HYPERLINK("http://www.ncbi.nlm.nih.gov/protein/XP_017866971.1","PREDICTED: ryanodine receptor isoform X16")</f>
        <v>PREDICTED: ryanodine receptor isoform X16</v>
      </c>
      <c r="J2602">
        <v>3041.52</v>
      </c>
      <c r="K2602" t="s">
        <v>19</v>
      </c>
      <c r="L2602">
        <v>1210</v>
      </c>
      <c r="M2602">
        <v>7.13</v>
      </c>
      <c r="N2602">
        <v>29.64</v>
      </c>
      <c r="O2602" t="s">
        <v>19</v>
      </c>
      <c r="P2602" t="s">
        <v>1267</v>
      </c>
      <c r="Q2602" t="s">
        <v>19</v>
      </c>
      <c r="R2602" t="str">
        <f>HYPERLINK("https://cfpub.epa.gov/ecotox/explore.cfm?ncbi=7263","Explore in ECOTOX")</f>
        <v>Explore in ECOTOX</v>
      </c>
    </row>
    <row r="2603" spans="1:18" x14ac:dyDescent="0.45">
      <c r="A2603" t="s">
        <v>1266</v>
      </c>
      <c r="B2603">
        <v>8</v>
      </c>
      <c r="C2603" t="str">
        <f>HYPERLINK("http://www.ncbi.nlm.nih.gov/protein/AKM95171.1","AKM95171.1")</f>
        <v>AKM95171.1</v>
      </c>
      <c r="D2603">
        <v>139</v>
      </c>
      <c r="E2603" t="str">
        <f>HYPERLINK("http://www.ncbi.nlm.nih.gov/Taxonomy/Browser/wwwtax.cgi?mode=Info&amp;id=223852&amp;lvl=3&amp;lin=f&amp;keep=1&amp;srchmode=1&amp;unlock","223852")</f>
        <v>223852</v>
      </c>
      <c r="F2603" t="s">
        <v>760</v>
      </c>
      <c r="G2603" t="str">
        <f>HYPERLINK("http://www.ncbi.nlm.nih.gov/Taxonomy/Browser/wwwtax.cgi?mode=Info&amp;id=223852&amp;lvl=3&amp;lin=f&amp;keep=1&amp;srchmode=1&amp;unlock","Aphis citricidus")</f>
        <v>Aphis citricidus</v>
      </c>
      <c r="H2603" t="s">
        <v>958</v>
      </c>
      <c r="I2603" t="str">
        <f>HYPERLINK("http://www.ncbi.nlm.nih.gov/protein/AKM95171.1","ryanodine receptor")</f>
        <v>ryanodine receptor</v>
      </c>
      <c r="J2603">
        <v>3041.14</v>
      </c>
      <c r="K2603" t="s">
        <v>19</v>
      </c>
      <c r="L2603">
        <v>1210</v>
      </c>
      <c r="M2603">
        <v>7.13</v>
      </c>
      <c r="N2603">
        <v>29.63</v>
      </c>
      <c r="O2603" t="s">
        <v>19</v>
      </c>
      <c r="P2603" t="s">
        <v>1267</v>
      </c>
      <c r="Q2603" t="s">
        <v>19</v>
      </c>
      <c r="R2603" t="str">
        <f>HYPERLINK("https://cfpub.epa.gov/ecotox/explore.cfm?ncbi=223852","Explore in ECOTOX")</f>
        <v>Explore in ECOTOX</v>
      </c>
    </row>
    <row r="2604" spans="1:18" x14ac:dyDescent="0.45">
      <c r="A2604" t="s">
        <v>1266</v>
      </c>
      <c r="B2604">
        <v>8</v>
      </c>
      <c r="C2604" t="str">
        <f>HYPERLINK("http://www.ncbi.nlm.nih.gov/protein/QEE14187.1","QEE14187.1")</f>
        <v>QEE14187.1</v>
      </c>
      <c r="D2604">
        <v>71</v>
      </c>
      <c r="E2604" t="str">
        <f>HYPERLINK("http://www.ncbi.nlm.nih.gov/Taxonomy/Browser/wwwtax.cgi?mode=Info&amp;id=57062&amp;lvl=3&amp;lin=f&amp;keep=1&amp;srchmode=1&amp;unlock","57062")</f>
        <v>57062</v>
      </c>
      <c r="F2604" t="s">
        <v>760</v>
      </c>
      <c r="G2604" t="str">
        <f>HYPERLINK("http://www.ncbi.nlm.nih.gov/Taxonomy/Browser/wwwtax.cgi?mode=Info&amp;id=57062&amp;lvl=3&amp;lin=f&amp;keep=1&amp;srchmode=1&amp;unlock","Hypothenemus hampei")</f>
        <v>Hypothenemus hampei</v>
      </c>
      <c r="H2604" t="s">
        <v>979</v>
      </c>
      <c r="I2604" t="str">
        <f>HYPERLINK("http://www.ncbi.nlm.nih.gov/protein/QEE14187.1","ryanodine receptor")</f>
        <v>ryanodine receptor</v>
      </c>
      <c r="J2604">
        <v>3040.75</v>
      </c>
      <c r="K2604" t="s">
        <v>19</v>
      </c>
      <c r="L2604">
        <v>1210</v>
      </c>
      <c r="M2604">
        <v>7.13</v>
      </c>
      <c r="N2604">
        <v>29.63</v>
      </c>
      <c r="O2604" t="s">
        <v>19</v>
      </c>
      <c r="P2604" t="s">
        <v>1267</v>
      </c>
      <c r="Q2604" t="s">
        <v>19</v>
      </c>
      <c r="R2604" t="str">
        <f>HYPERLINK("https://cfpub.epa.gov/ecotox/explore.cfm?ncbi=57062","Explore in ECOTOX")</f>
        <v>Explore in ECOTOX</v>
      </c>
    </row>
    <row r="2605" spans="1:18" x14ac:dyDescent="0.45">
      <c r="A2605" t="s">
        <v>1266</v>
      </c>
      <c r="B2605">
        <v>8</v>
      </c>
      <c r="C2605" t="str">
        <f>HYPERLINK("http://www.ncbi.nlm.nih.gov/protein/AIP90097.1","AIP90097.1")</f>
        <v>AIP90097.1</v>
      </c>
      <c r="D2605">
        <v>40</v>
      </c>
      <c r="E2605" t="str">
        <f>HYPERLINK("http://www.ncbi.nlm.nih.gov/Taxonomy/Browser/wwwtax.cgi?mode=Info&amp;id=499550&amp;lvl=3&amp;lin=f&amp;keep=1&amp;srchmode=1&amp;unlock","499550")</f>
        <v>499550</v>
      </c>
      <c r="F2605" t="s">
        <v>760</v>
      </c>
      <c r="G2605" t="str">
        <f>HYPERLINK("http://www.ncbi.nlm.nih.gov/Taxonomy/Browser/wwwtax.cgi?mode=Info&amp;id=499550&amp;lvl=3&amp;lin=f&amp;keep=1&amp;srchmode=1&amp;unlock","Grapholitha molesta")</f>
        <v>Grapholitha molesta</v>
      </c>
      <c r="H2605" t="s">
        <v>961</v>
      </c>
      <c r="I2605" t="str">
        <f>HYPERLINK("http://www.ncbi.nlm.nih.gov/protein/AIP90097.1","ryanodine receptor")</f>
        <v>ryanodine receptor</v>
      </c>
      <c r="J2605">
        <v>3040.75</v>
      </c>
      <c r="K2605" t="s">
        <v>19</v>
      </c>
      <c r="L2605">
        <v>1210</v>
      </c>
      <c r="M2605">
        <v>7.13</v>
      </c>
      <c r="N2605">
        <v>29.63</v>
      </c>
      <c r="O2605" t="s">
        <v>19</v>
      </c>
      <c r="P2605" t="s">
        <v>1267</v>
      </c>
      <c r="Q2605" t="s">
        <v>19</v>
      </c>
      <c r="R2605" t="str">
        <f>HYPERLINK("https://cfpub.epa.gov/ecotox/explore.cfm?ncbi=499550","Explore in ECOTOX")</f>
        <v>Explore in ECOTOX</v>
      </c>
    </row>
    <row r="2606" spans="1:18" x14ac:dyDescent="0.45">
      <c r="A2606" t="s">
        <v>1266</v>
      </c>
      <c r="B2606">
        <v>8</v>
      </c>
      <c r="C2606" t="str">
        <f>HYPERLINK("http://www.ncbi.nlm.nih.gov/protein/XP_011496960.1","XP_011496960.1")</f>
        <v>XP_011496960.1</v>
      </c>
      <c r="D2606">
        <v>12688</v>
      </c>
      <c r="E2606" t="str">
        <f>HYPERLINK("http://www.ncbi.nlm.nih.gov/Taxonomy/Browser/wwwtax.cgi?mode=Info&amp;id=326594&amp;lvl=3&amp;lin=f&amp;keep=1&amp;srchmode=1&amp;unlock","326594")</f>
        <v>326594</v>
      </c>
      <c r="F2606" t="s">
        <v>760</v>
      </c>
      <c r="G2606" t="str">
        <f>HYPERLINK("http://www.ncbi.nlm.nih.gov/Taxonomy/Browser/wwwtax.cgi?mode=Info&amp;id=326594&amp;lvl=3&amp;lin=f&amp;keep=1&amp;srchmode=1&amp;unlock","Ceratosolen solmsi marchali")</f>
        <v>Ceratosolen solmsi marchali</v>
      </c>
      <c r="H2606" t="s">
        <v>1076</v>
      </c>
      <c r="I2606" t="str">
        <f>HYPERLINK("http://www.ncbi.nlm.nih.gov/protein/XP_011496960.1","PREDICTED: LOW QUALITY PROTEIN: ryanodine receptor 44F")</f>
        <v>PREDICTED: LOW QUALITY PROTEIN: ryanodine receptor 44F</v>
      </c>
      <c r="J2606">
        <v>3040.75</v>
      </c>
      <c r="K2606" t="s">
        <v>19</v>
      </c>
      <c r="L2606">
        <v>1210</v>
      </c>
      <c r="M2606">
        <v>7.13</v>
      </c>
      <c r="N2606">
        <v>29.63</v>
      </c>
      <c r="O2606" t="s">
        <v>19</v>
      </c>
      <c r="P2606" t="s">
        <v>1267</v>
      </c>
      <c r="Q2606" t="s">
        <v>19</v>
      </c>
      <c r="R2606" t="str">
        <f>HYPERLINK("https://cfpub.epa.gov/ecotox/explore.cfm?ncbi=326594","Explore in ECOTOX")</f>
        <v>Explore in ECOTOX</v>
      </c>
    </row>
    <row r="2607" spans="1:18" x14ac:dyDescent="0.45">
      <c r="A2607" t="s">
        <v>1266</v>
      </c>
      <c r="B2607">
        <v>8</v>
      </c>
      <c r="C2607" t="str">
        <f>HYPERLINK("http://www.ncbi.nlm.nih.gov/protein/KRG04795.1","KRG04795.1")</f>
        <v>KRG04795.1</v>
      </c>
      <c r="D2607">
        <v>44327</v>
      </c>
      <c r="E2607" t="str">
        <f>HYPERLINK("http://www.ncbi.nlm.nih.gov/Taxonomy/Browser/wwwtax.cgi?mode=Info&amp;id=7230&amp;lvl=3&amp;lin=f&amp;keep=1&amp;srchmode=1&amp;unlock","7230")</f>
        <v>7230</v>
      </c>
      <c r="F2607" t="s">
        <v>760</v>
      </c>
      <c r="G2607" t="str">
        <f>HYPERLINK("http://www.ncbi.nlm.nih.gov/Taxonomy/Browser/wwwtax.cgi?mode=Info&amp;id=7230&amp;lvl=3&amp;lin=f&amp;keep=1&amp;srchmode=1&amp;unlock","Drosophila mojavensis")</f>
        <v>Drosophila mojavensis</v>
      </c>
      <c r="H2607" t="s">
        <v>953</v>
      </c>
      <c r="I2607" t="str">
        <f>HYPERLINK("http://www.ncbi.nlm.nih.gov/protein/KRG04795.1","uncharacterized protein Dmoj_GI18926, isoform P")</f>
        <v>uncharacterized protein Dmoj_GI18926, isoform P</v>
      </c>
      <c r="J2607">
        <v>3040.37</v>
      </c>
      <c r="K2607" t="s">
        <v>19</v>
      </c>
      <c r="L2607">
        <v>1210</v>
      </c>
      <c r="M2607">
        <v>7.13</v>
      </c>
      <c r="N2607">
        <v>29.62</v>
      </c>
      <c r="O2607" t="s">
        <v>19</v>
      </c>
      <c r="P2607" t="s">
        <v>1267</v>
      </c>
      <c r="Q2607" t="s">
        <v>19</v>
      </c>
      <c r="R2607" t="str">
        <f>HYPERLINK("https://cfpub.epa.gov/ecotox/explore.cfm?ncbi=7230","Explore in ECOTOX")</f>
        <v>Explore in ECOTOX</v>
      </c>
    </row>
    <row r="2608" spans="1:18" x14ac:dyDescent="0.45">
      <c r="A2608" t="s">
        <v>1266</v>
      </c>
      <c r="B2608">
        <v>8</v>
      </c>
      <c r="C2608" t="str">
        <f>HYPERLINK("http://www.ncbi.nlm.nih.gov/protein/XP_029160909.1","XP_029160909.1")</f>
        <v>XP_029160909.1</v>
      </c>
      <c r="D2608">
        <v>24332</v>
      </c>
      <c r="E2608" t="str">
        <f>HYPERLINK("http://www.ncbi.nlm.nih.gov/Taxonomy/Browser/wwwtax.cgi?mode=Info&amp;id=613905&amp;lvl=3&amp;lin=f&amp;keep=1&amp;srchmode=1&amp;unlock","613905")</f>
        <v>613905</v>
      </c>
      <c r="F2608" t="s">
        <v>760</v>
      </c>
      <c r="G2608" t="str">
        <f>HYPERLINK("http://www.ncbi.nlm.nih.gov/Taxonomy/Browser/wwwtax.cgi?mode=Info&amp;id=613905&amp;lvl=3&amp;lin=f&amp;keep=1&amp;srchmode=1&amp;unlock","Nylanderia fulva")</f>
        <v>Nylanderia fulva</v>
      </c>
      <c r="H2608" t="s">
        <v>769</v>
      </c>
      <c r="I2608" t="str">
        <f>HYPERLINK("http://www.ncbi.nlm.nih.gov/protein/XP_029160909.1","LOW QUALITY PROTEIN: ryanodine receptor")</f>
        <v>LOW QUALITY PROTEIN: ryanodine receptor</v>
      </c>
      <c r="J2608">
        <v>3039.21</v>
      </c>
      <c r="K2608" t="s">
        <v>19</v>
      </c>
      <c r="L2608">
        <v>1210</v>
      </c>
      <c r="M2608">
        <v>7.13</v>
      </c>
      <c r="N2608">
        <v>29.61</v>
      </c>
      <c r="O2608" t="s">
        <v>19</v>
      </c>
      <c r="P2608" t="s">
        <v>1267</v>
      </c>
      <c r="Q2608" t="s">
        <v>19</v>
      </c>
      <c r="R2608" t="str">
        <f>HYPERLINK("https://cfpub.epa.gov/ecotox/explore.cfm?ncbi=613905","Explore in ECOTOX")</f>
        <v>Explore in ECOTOX</v>
      </c>
    </row>
    <row r="2609" spans="1:18" x14ac:dyDescent="0.45">
      <c r="A2609" t="s">
        <v>1266</v>
      </c>
      <c r="B2609">
        <v>8</v>
      </c>
      <c r="C2609" t="str">
        <f>HYPERLINK("http://www.ncbi.nlm.nih.gov/protein/KAB0792305.1","KAB0792305.1")</f>
        <v>KAB0792305.1</v>
      </c>
      <c r="D2609">
        <v>48178</v>
      </c>
      <c r="E2609" t="str">
        <f>HYPERLINK("http://www.ncbi.nlm.nih.gov/Taxonomy/Browser/wwwtax.cgi?mode=Info&amp;id=7054&amp;lvl=3&amp;lin=f&amp;keep=1&amp;srchmode=1&amp;unlock","7054")</f>
        <v>7054</v>
      </c>
      <c r="F2609" t="s">
        <v>760</v>
      </c>
      <c r="G2609" t="str">
        <f>HYPERLINK("http://www.ncbi.nlm.nih.gov/Taxonomy/Browser/wwwtax.cgi?mode=Info&amp;id=7054&amp;lvl=3&amp;lin=f&amp;keep=1&amp;srchmode=1&amp;unlock","Photinus pyralis")</f>
        <v>Photinus pyralis</v>
      </c>
      <c r="H2609" t="s">
        <v>1081</v>
      </c>
      <c r="I2609" t="str">
        <f>HYPERLINK("http://www.ncbi.nlm.nih.gov/protein/KAB0792305.1","hypothetical protein PPYR_14264")</f>
        <v>hypothetical protein PPYR_14264</v>
      </c>
      <c r="J2609">
        <v>3039.21</v>
      </c>
      <c r="K2609" t="s">
        <v>19</v>
      </c>
      <c r="L2609">
        <v>1210</v>
      </c>
      <c r="M2609">
        <v>7.13</v>
      </c>
      <c r="N2609">
        <v>29.61</v>
      </c>
      <c r="O2609" t="s">
        <v>19</v>
      </c>
      <c r="P2609" t="s">
        <v>1267</v>
      </c>
      <c r="Q2609" t="s">
        <v>19</v>
      </c>
      <c r="R2609" t="str">
        <f>HYPERLINK("https://cfpub.epa.gov/ecotox/explore.cfm?ncbi=7054","Explore in ECOTOX")</f>
        <v>Explore in ECOTOX</v>
      </c>
    </row>
    <row r="2610" spans="1:18" x14ac:dyDescent="0.45">
      <c r="A2610" t="s">
        <v>1266</v>
      </c>
      <c r="B2610">
        <v>8</v>
      </c>
      <c r="C2610" t="str">
        <f>HYPERLINK("http://www.ncbi.nlm.nih.gov/protein/KAH8415953.1","KAH8415953.1")</f>
        <v>KAH8415953.1</v>
      </c>
      <c r="D2610">
        <v>11882</v>
      </c>
      <c r="E2610" t="str">
        <f>HYPERLINK("http://www.ncbi.nlm.nih.gov/Taxonomy/Browser/wwwtax.cgi?mode=Info&amp;id=309927&amp;lvl=3&amp;lin=f&amp;keep=1&amp;srchmode=1&amp;unlock","309927")</f>
        <v>309927</v>
      </c>
      <c r="F2610" t="s">
        <v>760</v>
      </c>
      <c r="G2610" t="str">
        <f>HYPERLINK("http://www.ncbi.nlm.nih.gov/Taxonomy/Browser/wwwtax.cgi?mode=Info&amp;id=309927&amp;lvl=3&amp;lin=f&amp;keep=1&amp;srchmode=1&amp;unlock","Zaprionus bogoriensis")</f>
        <v>Zaprionus bogoriensis</v>
      </c>
      <c r="H2610" t="s">
        <v>984</v>
      </c>
      <c r="I2610" t="str">
        <f>HYPERLINK("http://www.ncbi.nlm.nih.gov/protein/KAH8415953.1","hypothetical protein KR222_004752")</f>
        <v>hypothetical protein KR222_004752</v>
      </c>
      <c r="J2610">
        <v>3038.05</v>
      </c>
      <c r="K2610" t="s">
        <v>19</v>
      </c>
      <c r="L2610">
        <v>1210</v>
      </c>
      <c r="M2610">
        <v>7.13</v>
      </c>
      <c r="N2610">
        <v>29.6</v>
      </c>
      <c r="O2610" t="s">
        <v>19</v>
      </c>
      <c r="P2610" t="s">
        <v>1267</v>
      </c>
      <c r="Q2610" t="s">
        <v>19</v>
      </c>
      <c r="R2610" t="str">
        <f>HYPERLINK("https://cfpub.epa.gov/ecotox/explore.cfm?ncbi=309927","Explore in ECOTOX")</f>
        <v>Explore in ECOTOX</v>
      </c>
    </row>
    <row r="2611" spans="1:18" x14ac:dyDescent="0.45">
      <c r="A2611" t="s">
        <v>1266</v>
      </c>
      <c r="B2611">
        <v>8</v>
      </c>
      <c r="C2611" t="str">
        <f>HYPERLINK("http://www.ncbi.nlm.nih.gov/protein/XP_017464405.1","XP_017464405.1")</f>
        <v>XP_017464405.1</v>
      </c>
      <c r="D2611">
        <v>33834</v>
      </c>
      <c r="E2611" t="str">
        <f>HYPERLINK("http://www.ncbi.nlm.nih.gov/Taxonomy/Browser/wwwtax.cgi?mode=Info&amp;id=28612&amp;lvl=3&amp;lin=f&amp;keep=1&amp;srchmode=1&amp;unlock","28612")</f>
        <v>28612</v>
      </c>
      <c r="F2611" t="s">
        <v>760</v>
      </c>
      <c r="G2611" t="str">
        <f>HYPERLINK("http://www.ncbi.nlm.nih.gov/Taxonomy/Browser/wwwtax.cgi?mode=Info&amp;id=28612&amp;lvl=3&amp;lin=f&amp;keep=1&amp;srchmode=1&amp;unlock","Rhagoletis zephyria")</f>
        <v>Rhagoletis zephyria</v>
      </c>
      <c r="H2611" t="s">
        <v>971</v>
      </c>
      <c r="I2611" t="str">
        <f>HYPERLINK("http://www.ncbi.nlm.nih.gov/protein/XP_017464405.1","PREDICTED: ryanodine receptor")</f>
        <v>PREDICTED: ryanodine receptor</v>
      </c>
      <c r="J2611">
        <v>3037.67</v>
      </c>
      <c r="K2611" t="s">
        <v>19</v>
      </c>
      <c r="L2611">
        <v>1210</v>
      </c>
      <c r="M2611">
        <v>7.13</v>
      </c>
      <c r="N2611">
        <v>29.6</v>
      </c>
      <c r="O2611" t="s">
        <v>19</v>
      </c>
      <c r="P2611" t="s">
        <v>1267</v>
      </c>
      <c r="Q2611" t="s">
        <v>19</v>
      </c>
      <c r="R2611" t="str">
        <f>HYPERLINK("https://cfpub.epa.gov/ecotox/explore.cfm?ncbi=28612","Explore in ECOTOX")</f>
        <v>Explore in ECOTOX</v>
      </c>
    </row>
    <row r="2612" spans="1:18" x14ac:dyDescent="0.45">
      <c r="A2612" t="s">
        <v>1266</v>
      </c>
      <c r="B2612">
        <v>8</v>
      </c>
      <c r="C2612" t="str">
        <f>HYPERLINK("http://www.ncbi.nlm.nih.gov/protein/XP_017836903.1","XP_017836903.1")</f>
        <v>XP_017836903.1</v>
      </c>
      <c r="D2612">
        <v>31296</v>
      </c>
      <c r="E2612" t="str">
        <f>HYPERLINK("http://www.ncbi.nlm.nih.gov/Taxonomy/Browser/wwwtax.cgi?mode=Info&amp;id=30019&amp;lvl=3&amp;lin=f&amp;keep=1&amp;srchmode=1&amp;unlock","30019")</f>
        <v>30019</v>
      </c>
      <c r="F2612" t="s">
        <v>760</v>
      </c>
      <c r="G2612" t="str">
        <f>HYPERLINK("http://www.ncbi.nlm.nih.gov/Taxonomy/Browser/wwwtax.cgi?mode=Info&amp;id=30019&amp;lvl=3&amp;lin=f&amp;keep=1&amp;srchmode=1&amp;unlock","Drosophila busckii")</f>
        <v>Drosophila busckii</v>
      </c>
      <c r="H2612" t="s">
        <v>953</v>
      </c>
      <c r="I2612" t="str">
        <f>HYPERLINK("http://www.ncbi.nlm.nih.gov/protein/XP_017836903.1","ryanodine receptor isoform X13")</f>
        <v>ryanodine receptor isoform X13</v>
      </c>
      <c r="J2612">
        <v>3037.28</v>
      </c>
      <c r="K2612" t="s">
        <v>19</v>
      </c>
      <c r="L2612">
        <v>1210</v>
      </c>
      <c r="M2612">
        <v>7.13</v>
      </c>
      <c r="N2612">
        <v>29.59</v>
      </c>
      <c r="O2612" t="s">
        <v>19</v>
      </c>
      <c r="P2612" t="s">
        <v>1267</v>
      </c>
      <c r="Q2612" t="s">
        <v>19</v>
      </c>
      <c r="R2612" t="str">
        <f>HYPERLINK("https://cfpub.epa.gov/ecotox/explore.cfm?ncbi=30019","Explore in ECOTOX")</f>
        <v>Explore in ECOTOX</v>
      </c>
    </row>
    <row r="2613" spans="1:18" x14ac:dyDescent="0.45">
      <c r="A2613" t="s">
        <v>1266</v>
      </c>
      <c r="B2613">
        <v>8</v>
      </c>
      <c r="C2613" t="str">
        <f>HYPERLINK("http://www.ncbi.nlm.nih.gov/protein/XP_032596731.1","XP_032596731.1")</f>
        <v>XP_032596731.1</v>
      </c>
      <c r="D2613">
        <v>34468</v>
      </c>
      <c r="E2613" t="str">
        <f>HYPERLINK("http://www.ncbi.nlm.nih.gov/Taxonomy/Browser/wwwtax.cgi?mode=Info&amp;id=7222&amp;lvl=3&amp;lin=f&amp;keep=1&amp;srchmode=1&amp;unlock","7222")</f>
        <v>7222</v>
      </c>
      <c r="F2613" t="s">
        <v>760</v>
      </c>
      <c r="G2613" t="str">
        <f>HYPERLINK("http://www.ncbi.nlm.nih.gov/Taxonomy/Browser/wwwtax.cgi?mode=Info&amp;id=7222&amp;lvl=3&amp;lin=f&amp;keep=1&amp;srchmode=1&amp;unlock","Drosophila grimshawi")</f>
        <v>Drosophila grimshawi</v>
      </c>
      <c r="H2613" t="s">
        <v>953</v>
      </c>
      <c r="I2613" t="str">
        <f>HYPERLINK("http://www.ncbi.nlm.nih.gov/protein/XP_032596731.1","ryanodine receptor isoform X8")</f>
        <v>ryanodine receptor isoform X8</v>
      </c>
      <c r="J2613">
        <v>3036.9</v>
      </c>
      <c r="K2613" t="s">
        <v>19</v>
      </c>
      <c r="L2613">
        <v>1210</v>
      </c>
      <c r="M2613">
        <v>7.13</v>
      </c>
      <c r="N2613">
        <v>29.59</v>
      </c>
      <c r="O2613" t="s">
        <v>19</v>
      </c>
      <c r="P2613" t="s">
        <v>1267</v>
      </c>
      <c r="Q2613" t="s">
        <v>19</v>
      </c>
      <c r="R2613" t="str">
        <f>HYPERLINK("https://cfpub.epa.gov/ecotox/explore.cfm?ncbi=7222","Explore in ECOTOX")</f>
        <v>Explore in ECOTOX</v>
      </c>
    </row>
    <row r="2614" spans="1:18" x14ac:dyDescent="0.45">
      <c r="A2614" t="s">
        <v>1266</v>
      </c>
      <c r="B2614">
        <v>8</v>
      </c>
      <c r="C2614" t="str">
        <f>HYPERLINK("http://www.ncbi.nlm.nih.gov/protein/XP_049307121.1","XP_049307121.1")</f>
        <v>XP_049307121.1</v>
      </c>
      <c r="D2614">
        <v>33506</v>
      </c>
      <c r="E2614" t="str">
        <f>HYPERLINK("http://www.ncbi.nlm.nih.gov/Taxonomy/Browser/wwwtax.cgi?mode=Info&amp;id=27457&amp;lvl=3&amp;lin=f&amp;keep=1&amp;srchmode=1&amp;unlock","27457")</f>
        <v>27457</v>
      </c>
      <c r="F2614" t="s">
        <v>760</v>
      </c>
      <c r="G2614" t="str">
        <f>HYPERLINK("http://www.ncbi.nlm.nih.gov/Taxonomy/Browser/wwwtax.cgi?mode=Info&amp;id=27457&amp;lvl=3&amp;lin=f&amp;keep=1&amp;srchmode=1&amp;unlock","Bactrocera dorsalis")</f>
        <v>Bactrocera dorsalis</v>
      </c>
      <c r="H2614" t="s">
        <v>966</v>
      </c>
      <c r="I2614" t="str">
        <f>HYPERLINK("http://www.ncbi.nlm.nih.gov/protein/XP_049307121.1","ryanodine receptor isoform X15")</f>
        <v>ryanodine receptor isoform X15</v>
      </c>
      <c r="J2614">
        <v>3036.9</v>
      </c>
      <c r="K2614" t="s">
        <v>19</v>
      </c>
      <c r="L2614">
        <v>1210</v>
      </c>
      <c r="M2614">
        <v>7.13</v>
      </c>
      <c r="N2614">
        <v>29.59</v>
      </c>
      <c r="O2614" t="s">
        <v>19</v>
      </c>
      <c r="P2614" t="s">
        <v>1267</v>
      </c>
      <c r="Q2614" t="s">
        <v>19</v>
      </c>
      <c r="R2614" t="str">
        <f>HYPERLINK("https://cfpub.epa.gov/ecotox/explore.cfm?ncbi=27457","Explore in ECOTOX")</f>
        <v>Explore in ECOTOX</v>
      </c>
    </row>
    <row r="2615" spans="1:18" x14ac:dyDescent="0.45">
      <c r="A2615" t="s">
        <v>1266</v>
      </c>
      <c r="B2615">
        <v>8</v>
      </c>
      <c r="C2615" t="str">
        <f>HYPERLINK("http://www.ncbi.nlm.nih.gov/protein/CAH1119784.1","CAH1119784.1")</f>
        <v>CAH1119784.1</v>
      </c>
      <c r="D2615">
        <v>13594</v>
      </c>
      <c r="E2615" t="str">
        <f>HYPERLINK("http://www.ncbi.nlm.nih.gov/Taxonomy/Browser/wwwtax.cgi?mode=Info&amp;id=80249&amp;lvl=3&amp;lin=f&amp;keep=1&amp;srchmode=1&amp;unlock","80249")</f>
        <v>80249</v>
      </c>
      <c r="F2615" t="s">
        <v>760</v>
      </c>
      <c r="G2615" t="str">
        <f>HYPERLINK("http://www.ncbi.nlm.nih.gov/Taxonomy/Browser/wwwtax.cgi?mode=Info&amp;id=80249&amp;lvl=3&amp;lin=f&amp;keep=1&amp;srchmode=1&amp;unlock","Phaedon cochleariae")</f>
        <v>Phaedon cochleariae</v>
      </c>
      <c r="H2615" t="s">
        <v>970</v>
      </c>
      <c r="I2615" t="str">
        <f>HYPERLINK("http://www.ncbi.nlm.nih.gov/protein/CAH1119784.1","unnamed protein product")</f>
        <v>unnamed protein product</v>
      </c>
      <c r="J2615">
        <v>3036.9</v>
      </c>
      <c r="K2615" t="s">
        <v>22</v>
      </c>
      <c r="L2615">
        <v>1210</v>
      </c>
      <c r="M2615">
        <v>7.13</v>
      </c>
      <c r="N2615">
        <v>29.59</v>
      </c>
      <c r="O2615" t="s">
        <v>19</v>
      </c>
      <c r="P2615" t="s">
        <v>1267</v>
      </c>
      <c r="Q2615" t="s">
        <v>19</v>
      </c>
      <c r="R2615" t="str">
        <f>HYPERLINK("https://cfpub.epa.gov/ecotox/explore.cfm?ncbi=80249","Explore in ECOTOX")</f>
        <v>Explore in ECOTOX</v>
      </c>
    </row>
    <row r="2616" spans="1:18" x14ac:dyDescent="0.45">
      <c r="A2616" t="s">
        <v>1266</v>
      </c>
      <c r="B2616">
        <v>8</v>
      </c>
      <c r="C2616" t="str">
        <f>HYPERLINK("http://www.ncbi.nlm.nih.gov/protein/XP_045464163.1","XP_045464163.1")</f>
        <v>XP_045464163.1</v>
      </c>
      <c r="D2616">
        <v>24467</v>
      </c>
      <c r="E2616" t="str">
        <f>HYPERLINK("http://www.ncbi.nlm.nih.gov/Taxonomy/Browser/wwwtax.cgi?mode=Info&amp;id=115357&amp;lvl=3&amp;lin=f&amp;keep=1&amp;srchmode=1&amp;unlock","115357")</f>
        <v>115357</v>
      </c>
      <c r="F2616" t="s">
        <v>760</v>
      </c>
      <c r="G2616" t="str">
        <f>HYPERLINK("http://www.ncbi.nlm.nih.gov/Taxonomy/Browser/wwwtax.cgi?mode=Info&amp;id=115357&amp;lvl=3&amp;lin=f&amp;keep=1&amp;srchmode=1&amp;unlock","Harmonia axyridis")</f>
        <v>Harmonia axyridis</v>
      </c>
      <c r="H2616" t="s">
        <v>978</v>
      </c>
      <c r="I2616" t="str">
        <f>HYPERLINK("http://www.ncbi.nlm.nih.gov/protein/XP_045464163.1","ryanodine receptor isoform X3")</f>
        <v>ryanodine receptor isoform X3</v>
      </c>
      <c r="J2616">
        <v>3036.9</v>
      </c>
      <c r="K2616" t="s">
        <v>19</v>
      </c>
      <c r="L2616">
        <v>1210</v>
      </c>
      <c r="M2616">
        <v>7.13</v>
      </c>
      <c r="N2616">
        <v>29.59</v>
      </c>
      <c r="O2616" t="s">
        <v>19</v>
      </c>
      <c r="P2616" t="s">
        <v>1267</v>
      </c>
      <c r="Q2616" t="s">
        <v>19</v>
      </c>
      <c r="R2616" t="str">
        <f>HYPERLINK("https://cfpub.epa.gov/ecotox/explore.cfm?ncbi=115357","Explore in ECOTOX")</f>
        <v>Explore in ECOTOX</v>
      </c>
    </row>
    <row r="2617" spans="1:18" x14ac:dyDescent="0.45">
      <c r="A2617" t="s">
        <v>1266</v>
      </c>
      <c r="B2617">
        <v>8</v>
      </c>
      <c r="C2617" t="str">
        <f>HYPERLINK("http://www.ncbi.nlm.nih.gov/protein/KAG5331909.1","KAG5331909.1")</f>
        <v>KAG5331909.1</v>
      </c>
      <c r="D2617">
        <v>8971</v>
      </c>
      <c r="E2617" t="str">
        <f>HYPERLINK("http://www.ncbi.nlm.nih.gov/Taxonomy/Browser/wwwtax.cgi?mode=Info&amp;id=2715315&amp;lvl=3&amp;lin=f&amp;keep=1&amp;srchmode=1&amp;unlock","2715315")</f>
        <v>2715315</v>
      </c>
      <c r="F2617" t="s">
        <v>760</v>
      </c>
      <c r="G2617" t="str">
        <f>HYPERLINK("http://www.ncbi.nlm.nih.gov/Taxonomy/Browser/wwwtax.cgi?mode=Info&amp;id=2715315&amp;lvl=3&amp;lin=f&amp;keep=1&amp;srchmode=1&amp;unlock","Acromyrmex charruanus")</f>
        <v>Acromyrmex charruanus</v>
      </c>
      <c r="H2617" t="s">
        <v>769</v>
      </c>
      <c r="I2617" t="str">
        <f>HYPERLINK("http://www.ncbi.nlm.nih.gov/protein/KAG5331909.1","RYR protein, partial")</f>
        <v>RYR protein, partial</v>
      </c>
      <c r="J2617">
        <v>3036.51</v>
      </c>
      <c r="K2617" t="s">
        <v>19</v>
      </c>
      <c r="L2617">
        <v>1210</v>
      </c>
      <c r="M2617">
        <v>7.13</v>
      </c>
      <c r="N2617">
        <v>29.59</v>
      </c>
      <c r="O2617" t="s">
        <v>19</v>
      </c>
      <c r="P2617" t="s">
        <v>1267</v>
      </c>
      <c r="Q2617" t="s">
        <v>19</v>
      </c>
      <c r="R2617" t="str">
        <f>HYPERLINK("https://cfpub.epa.gov/ecotox/explore.cfm?ncbi=2715315","Explore in ECOTOX")</f>
        <v>Explore in ECOTOX</v>
      </c>
    </row>
    <row r="2618" spans="1:18" x14ac:dyDescent="0.45">
      <c r="A2618" t="s">
        <v>1266</v>
      </c>
      <c r="B2618">
        <v>8</v>
      </c>
      <c r="C2618" t="str">
        <f>HYPERLINK("http://www.ncbi.nlm.nih.gov/protein/XP_030563335.1","XP_030563335.1")</f>
        <v>XP_030563335.1</v>
      </c>
      <c r="D2618">
        <v>20260</v>
      </c>
      <c r="E2618" t="str">
        <f>HYPERLINK("http://www.ncbi.nlm.nih.gov/Taxonomy/Browser/wwwtax.cgi?mode=Info&amp;id=47314&amp;lvl=3&amp;lin=f&amp;keep=1&amp;srchmode=1&amp;unlock","47314")</f>
        <v>47314</v>
      </c>
      <c r="F2618" t="s">
        <v>760</v>
      </c>
      <c r="G2618" t="str">
        <f>HYPERLINK("http://www.ncbi.nlm.nih.gov/Taxonomy/Browser/wwwtax.cgi?mode=Info&amp;id=47314&amp;lvl=3&amp;lin=f&amp;keep=1&amp;srchmode=1&amp;unlock","Drosophila novamexicana")</f>
        <v>Drosophila novamexicana</v>
      </c>
      <c r="H2618" t="s">
        <v>953</v>
      </c>
      <c r="I2618" t="str">
        <f>HYPERLINK("http://www.ncbi.nlm.nih.gov/protein/XP_030563335.1","ryanodine receptor isoform X8")</f>
        <v>ryanodine receptor isoform X8</v>
      </c>
      <c r="J2618">
        <v>3036.13</v>
      </c>
      <c r="K2618" t="s">
        <v>19</v>
      </c>
      <c r="L2618">
        <v>1210</v>
      </c>
      <c r="M2618">
        <v>7.13</v>
      </c>
      <c r="N2618">
        <v>29.58</v>
      </c>
      <c r="O2618" t="s">
        <v>19</v>
      </c>
      <c r="P2618" t="s">
        <v>1267</v>
      </c>
      <c r="Q2618" t="s">
        <v>19</v>
      </c>
      <c r="R2618" t="str">
        <f>HYPERLINK("https://cfpub.epa.gov/ecotox/explore.cfm?ncbi=47314","Explore in ECOTOX")</f>
        <v>Explore in ECOTOX</v>
      </c>
    </row>
    <row r="2619" spans="1:18" x14ac:dyDescent="0.45">
      <c r="A2619" t="s">
        <v>1266</v>
      </c>
      <c r="B2619">
        <v>8</v>
      </c>
      <c r="C2619" t="str">
        <f>HYPERLINK("http://www.ncbi.nlm.nih.gov/protein/XP_039954481.1","XP_039954481.1")</f>
        <v>XP_039954481.1</v>
      </c>
      <c r="D2619">
        <v>24274</v>
      </c>
      <c r="E2619" t="str">
        <f>HYPERLINK("http://www.ncbi.nlm.nih.gov/Taxonomy/Browser/wwwtax.cgi?mode=Info&amp;id=59916&amp;lvl=3&amp;lin=f&amp;keep=1&amp;srchmode=1&amp;unlock","59916")</f>
        <v>59916</v>
      </c>
      <c r="F2619" t="s">
        <v>760</v>
      </c>
      <c r="G2619" t="str">
        <f>HYPERLINK("http://www.ncbi.nlm.nih.gov/Taxonomy/Browser/wwwtax.cgi?mode=Info&amp;id=59916&amp;lvl=3&amp;lin=f&amp;keep=1&amp;srchmode=1&amp;unlock","Bactrocera tryoni")</f>
        <v>Bactrocera tryoni</v>
      </c>
      <c r="H2619" t="s">
        <v>968</v>
      </c>
      <c r="I2619" t="str">
        <f>HYPERLINK("http://www.ncbi.nlm.nih.gov/protein/XP_039954481.1","ryanodine receptor isoform X15")</f>
        <v>ryanodine receptor isoform X15</v>
      </c>
      <c r="J2619">
        <v>3035.74</v>
      </c>
      <c r="K2619" t="s">
        <v>19</v>
      </c>
      <c r="L2619">
        <v>1210</v>
      </c>
      <c r="M2619">
        <v>7.13</v>
      </c>
      <c r="N2619">
        <v>29.58</v>
      </c>
      <c r="O2619" t="s">
        <v>19</v>
      </c>
      <c r="P2619" t="s">
        <v>1267</v>
      </c>
      <c r="Q2619" t="s">
        <v>19</v>
      </c>
      <c r="R2619" t="str">
        <f>HYPERLINK("https://cfpub.epa.gov/ecotox/explore.cfm?ncbi=59916","Explore in ECOTOX")</f>
        <v>Explore in ECOTOX</v>
      </c>
    </row>
    <row r="2620" spans="1:18" x14ac:dyDescent="0.45">
      <c r="A2620" t="s">
        <v>1266</v>
      </c>
      <c r="B2620">
        <v>8</v>
      </c>
      <c r="C2620" t="str">
        <f>HYPERLINK("http://www.ncbi.nlm.nih.gov/protein/XP_026667724.1","XP_026667724.1")</f>
        <v>XP_026667724.1</v>
      </c>
      <c r="D2620">
        <v>23295</v>
      </c>
      <c r="E2620" t="str">
        <f>HYPERLINK("http://www.ncbi.nlm.nih.gov/Taxonomy/Browser/wwwtax.cgi?mode=Info&amp;id=156304&amp;lvl=3&amp;lin=f&amp;keep=1&amp;srchmode=1&amp;unlock","156304")</f>
        <v>156304</v>
      </c>
      <c r="F2620" t="s">
        <v>760</v>
      </c>
      <c r="G2620" t="str">
        <f>HYPERLINK("http://www.ncbi.nlm.nih.gov/Taxonomy/Browser/wwwtax.cgi?mode=Info&amp;id=156304&amp;lvl=3&amp;lin=f&amp;keep=1&amp;srchmode=1&amp;unlock","Ceratina calcarata")</f>
        <v>Ceratina calcarata</v>
      </c>
      <c r="H2620" t="s">
        <v>967</v>
      </c>
      <c r="I2620" t="str">
        <f>HYPERLINK("http://www.ncbi.nlm.nih.gov/protein/XP_026667724.1","ryanodine receptor isoform X8")</f>
        <v>ryanodine receptor isoform X8</v>
      </c>
      <c r="J2620">
        <v>3034.59</v>
      </c>
      <c r="K2620" t="s">
        <v>19</v>
      </c>
      <c r="L2620">
        <v>1210</v>
      </c>
      <c r="M2620">
        <v>7.13</v>
      </c>
      <c r="N2620">
        <v>29.57</v>
      </c>
      <c r="O2620" t="s">
        <v>19</v>
      </c>
      <c r="P2620" t="s">
        <v>1267</v>
      </c>
      <c r="Q2620" t="s">
        <v>19</v>
      </c>
      <c r="R2620" t="str">
        <f>HYPERLINK("https://cfpub.epa.gov/ecotox/explore.cfm?ncbi=156304","Explore in ECOTOX")</f>
        <v>Explore in ECOTOX</v>
      </c>
    </row>
    <row r="2621" spans="1:18" x14ac:dyDescent="0.45">
      <c r="A2621" t="s">
        <v>1266</v>
      </c>
      <c r="B2621">
        <v>8</v>
      </c>
      <c r="C2621" t="str">
        <f>HYPERLINK("http://www.ncbi.nlm.nih.gov/protein/OXB65702.1","OXB65702.1")</f>
        <v>OXB65702.1</v>
      </c>
      <c r="D2621">
        <v>17178</v>
      </c>
      <c r="E2621" t="str">
        <f>HYPERLINK("http://www.ncbi.nlm.nih.gov/Taxonomy/Browser/wwwtax.cgi?mode=Info&amp;id=9009&amp;lvl=3&amp;lin=f&amp;keep=1&amp;srchmode=1&amp;unlock","9009")</f>
        <v>9009</v>
      </c>
      <c r="F2621" t="s">
        <v>241</v>
      </c>
      <c r="G2621" t="str">
        <f>HYPERLINK("http://www.ncbi.nlm.nih.gov/Taxonomy/Browser/wwwtax.cgi?mode=Info&amp;id=9009&amp;lvl=3&amp;lin=f&amp;keep=1&amp;srchmode=1&amp;unlock","Callipepla squamata")</f>
        <v>Callipepla squamata</v>
      </c>
      <c r="H2621" t="s">
        <v>1070</v>
      </c>
      <c r="I2621" t="str">
        <f>HYPERLINK("http://www.ncbi.nlm.nih.gov/protein/OXB65702.1","hypothetical protein ASZ78_015453")</f>
        <v>hypothetical protein ASZ78_015453</v>
      </c>
      <c r="J2621">
        <v>3034.2</v>
      </c>
      <c r="K2621" t="s">
        <v>22</v>
      </c>
      <c r="L2621">
        <v>1210</v>
      </c>
      <c r="M2621">
        <v>7.13</v>
      </c>
      <c r="N2621">
        <v>29.56</v>
      </c>
      <c r="O2621" t="s">
        <v>19</v>
      </c>
      <c r="P2621" t="s">
        <v>1267</v>
      </c>
      <c r="Q2621" t="s">
        <v>19</v>
      </c>
      <c r="R2621" t="str">
        <f>HYPERLINK("https://cfpub.epa.gov/ecotox/explore.cfm?ncbi=9009","Explore in ECOTOX")</f>
        <v>Explore in ECOTOX</v>
      </c>
    </row>
    <row r="2622" spans="1:18" x14ac:dyDescent="0.45">
      <c r="A2622" t="s">
        <v>1266</v>
      </c>
      <c r="B2622">
        <v>8</v>
      </c>
      <c r="C2622" t="str">
        <f>HYPERLINK("http://www.ncbi.nlm.nih.gov/protein/XP_023317854.1","XP_023317854.1")</f>
        <v>XP_023317854.1</v>
      </c>
      <c r="D2622">
        <v>21217</v>
      </c>
      <c r="E2622" t="str">
        <f>HYPERLINK("http://www.ncbi.nlm.nih.gov/Taxonomy/Browser/wwwtax.cgi?mode=Info&amp;id=7493&amp;lvl=3&amp;lin=f&amp;keep=1&amp;srchmode=1&amp;unlock","7493")</f>
        <v>7493</v>
      </c>
      <c r="F2622" t="s">
        <v>760</v>
      </c>
      <c r="G2622" t="str">
        <f>HYPERLINK("http://www.ncbi.nlm.nih.gov/Taxonomy/Browser/wwwtax.cgi?mode=Info&amp;id=7493&amp;lvl=3&amp;lin=f&amp;keep=1&amp;srchmode=1&amp;unlock","Trichogramma pretiosum")</f>
        <v>Trichogramma pretiosum</v>
      </c>
      <c r="H2622" t="s">
        <v>947</v>
      </c>
      <c r="I2622" t="str">
        <f>HYPERLINK("http://www.ncbi.nlm.nih.gov/protein/XP_023317854.1","ryanodine receptor isoform X7")</f>
        <v>ryanodine receptor isoform X7</v>
      </c>
      <c r="J2622">
        <v>3033.43</v>
      </c>
      <c r="K2622" t="s">
        <v>22</v>
      </c>
      <c r="L2622">
        <v>1210</v>
      </c>
      <c r="M2622">
        <v>7.13</v>
      </c>
      <c r="N2622">
        <v>29.56</v>
      </c>
      <c r="O2622" t="s">
        <v>19</v>
      </c>
      <c r="P2622" t="s">
        <v>1267</v>
      </c>
      <c r="Q2622" t="s">
        <v>19</v>
      </c>
      <c r="R2622" t="str">
        <f>HYPERLINK("https://cfpub.epa.gov/ecotox/explore.cfm?ncbi=7493","Explore in ECOTOX")</f>
        <v>Explore in ECOTOX</v>
      </c>
    </row>
    <row r="2623" spans="1:18" x14ac:dyDescent="0.45">
      <c r="A2623" t="s">
        <v>1266</v>
      </c>
      <c r="B2623">
        <v>8</v>
      </c>
      <c r="C2623" t="str">
        <f>HYPERLINK("http://www.ncbi.nlm.nih.gov/protein/XP_013392084.1","XP_013392084.1")</f>
        <v>XP_013392084.1</v>
      </c>
      <c r="D2623">
        <v>41534</v>
      </c>
      <c r="E2623" t="str">
        <f>HYPERLINK("http://www.ncbi.nlm.nih.gov/Taxonomy/Browser/wwwtax.cgi?mode=Info&amp;id=7574&amp;lvl=3&amp;lin=f&amp;keep=1&amp;srchmode=1&amp;unlock","7574")</f>
        <v>7574</v>
      </c>
      <c r="F2623" t="s">
        <v>954</v>
      </c>
      <c r="G2623" t="str">
        <f>HYPERLINK("http://www.ncbi.nlm.nih.gov/Taxonomy/Browser/wwwtax.cgi?mode=Info&amp;id=7574&amp;lvl=3&amp;lin=f&amp;keep=1&amp;srchmode=1&amp;unlock","Lingula anatina")</f>
        <v>Lingula anatina</v>
      </c>
      <c r="H2623" t="s">
        <v>955</v>
      </c>
      <c r="I2623" t="str">
        <f>HYPERLINK("http://www.ncbi.nlm.nih.gov/protein/XP_013392084.1","ryanodine receptor")</f>
        <v>ryanodine receptor</v>
      </c>
      <c r="J2623">
        <v>3032.66</v>
      </c>
      <c r="K2623" t="s">
        <v>19</v>
      </c>
      <c r="L2623">
        <v>1210</v>
      </c>
      <c r="M2623">
        <v>7.13</v>
      </c>
      <c r="N2623">
        <v>29.55</v>
      </c>
      <c r="O2623" t="s">
        <v>19</v>
      </c>
      <c r="P2623" t="s">
        <v>1267</v>
      </c>
      <c r="Q2623" t="s">
        <v>19</v>
      </c>
      <c r="R2623" t="str">
        <f>HYPERLINK("https://cfpub.epa.gov/ecotox/explore.cfm?ncbi=7574","Explore in ECOTOX")</f>
        <v>Explore in ECOTOX</v>
      </c>
    </row>
    <row r="2624" spans="1:18" x14ac:dyDescent="0.45">
      <c r="A2624" t="s">
        <v>1266</v>
      </c>
      <c r="B2624">
        <v>8</v>
      </c>
      <c r="C2624" t="str">
        <f>HYPERLINK("http://www.ncbi.nlm.nih.gov/protein/XP_028900849.2","XP_028900849.2")</f>
        <v>XP_028900849.2</v>
      </c>
      <c r="D2624">
        <v>27944</v>
      </c>
      <c r="E2624" t="str">
        <f>HYPERLINK("http://www.ncbi.nlm.nih.gov/Taxonomy/Browser/wwwtax.cgi?mode=Info&amp;id=28588&amp;lvl=3&amp;lin=f&amp;keep=1&amp;srchmode=1&amp;unlock","28588")</f>
        <v>28588</v>
      </c>
      <c r="F2624" t="s">
        <v>760</v>
      </c>
      <c r="G2624" t="str">
        <f>HYPERLINK("http://www.ncbi.nlm.nih.gov/Taxonomy/Browser/wwwtax.cgi?mode=Info&amp;id=28588&amp;lvl=3&amp;lin=f&amp;keep=1&amp;srchmode=1&amp;unlock","Zeugodacus cucurbitae")</f>
        <v>Zeugodacus cucurbitae</v>
      </c>
      <c r="H2624" t="s">
        <v>963</v>
      </c>
      <c r="I2624" t="str">
        <f>HYPERLINK("http://www.ncbi.nlm.nih.gov/protein/XP_028900849.2","ryanodine receptor isoform X16")</f>
        <v>ryanodine receptor isoform X16</v>
      </c>
      <c r="J2624">
        <v>3032.66</v>
      </c>
      <c r="K2624" t="s">
        <v>19</v>
      </c>
      <c r="L2624">
        <v>1210</v>
      </c>
      <c r="M2624">
        <v>7.13</v>
      </c>
      <c r="N2624">
        <v>29.55</v>
      </c>
      <c r="O2624" t="s">
        <v>19</v>
      </c>
      <c r="P2624" t="s">
        <v>1267</v>
      </c>
      <c r="Q2624" t="s">
        <v>19</v>
      </c>
      <c r="R2624" t="str">
        <f>HYPERLINK("https://cfpub.epa.gov/ecotox/explore.cfm?ncbi=28588","Explore in ECOTOX")</f>
        <v>Explore in ECOTOX</v>
      </c>
    </row>
    <row r="2625" spans="1:18" x14ac:dyDescent="0.45">
      <c r="A2625" t="s">
        <v>1266</v>
      </c>
      <c r="B2625">
        <v>8</v>
      </c>
      <c r="C2625" t="str">
        <f>HYPERLINK("http://www.ncbi.nlm.nih.gov/protein/XP_017959313.1","XP_017959313.1")</f>
        <v>XP_017959313.1</v>
      </c>
      <c r="D2625">
        <v>35897</v>
      </c>
      <c r="E2625" t="str">
        <f>HYPERLINK("http://www.ncbi.nlm.nih.gov/Taxonomy/Browser/wwwtax.cgi?mode=Info&amp;id=7232&amp;lvl=3&amp;lin=f&amp;keep=1&amp;srchmode=1&amp;unlock","7232")</f>
        <v>7232</v>
      </c>
      <c r="F2625" t="s">
        <v>760</v>
      </c>
      <c r="G2625" t="str">
        <f>HYPERLINK("http://www.ncbi.nlm.nih.gov/Taxonomy/Browser/wwwtax.cgi?mode=Info&amp;id=7232&amp;lvl=3&amp;lin=f&amp;keep=1&amp;srchmode=1&amp;unlock","Drosophila navojoa")</f>
        <v>Drosophila navojoa</v>
      </c>
      <c r="H2625" t="s">
        <v>953</v>
      </c>
      <c r="I2625" t="str">
        <f>HYPERLINK("http://www.ncbi.nlm.nih.gov/protein/XP_017959313.1","ryanodine receptor isoform X7")</f>
        <v>ryanodine receptor isoform X7</v>
      </c>
      <c r="J2625">
        <v>3032.28</v>
      </c>
      <c r="K2625" t="s">
        <v>19</v>
      </c>
      <c r="L2625">
        <v>1210</v>
      </c>
      <c r="M2625">
        <v>7.13</v>
      </c>
      <c r="N2625">
        <v>29.55</v>
      </c>
      <c r="O2625" t="s">
        <v>19</v>
      </c>
      <c r="P2625" t="s">
        <v>1267</v>
      </c>
      <c r="Q2625" t="s">
        <v>19</v>
      </c>
      <c r="R2625" t="str">
        <f>HYPERLINK("https://cfpub.epa.gov/ecotox/explore.cfm?ncbi=7232","Explore in ECOTOX")</f>
        <v>Explore in ECOTOX</v>
      </c>
    </row>
    <row r="2626" spans="1:18" x14ac:dyDescent="0.45">
      <c r="A2626" t="s">
        <v>1266</v>
      </c>
      <c r="B2626">
        <v>8</v>
      </c>
      <c r="C2626" t="str">
        <f>HYPERLINK("http://www.ncbi.nlm.nih.gov/protein/KAG5313865.1","KAG5313865.1")</f>
        <v>KAG5313865.1</v>
      </c>
      <c r="D2626">
        <v>8970</v>
      </c>
      <c r="E2626" t="str">
        <f>HYPERLINK("http://www.ncbi.nlm.nih.gov/Taxonomy/Browser/wwwtax.cgi?mode=Info&amp;id=230686&amp;lvl=3&amp;lin=f&amp;keep=1&amp;srchmode=1&amp;unlock","230686")</f>
        <v>230686</v>
      </c>
      <c r="F2626" t="s">
        <v>760</v>
      </c>
      <c r="G2626" t="str">
        <f>HYPERLINK("http://www.ncbi.nlm.nih.gov/Taxonomy/Browser/wwwtax.cgi?mode=Info&amp;id=230686&amp;lvl=3&amp;lin=f&amp;keep=1&amp;srchmode=1&amp;unlock","Acromyrmex insinuator")</f>
        <v>Acromyrmex insinuator</v>
      </c>
      <c r="H2626" t="s">
        <v>769</v>
      </c>
      <c r="I2626" t="str">
        <f>HYPERLINK("http://www.ncbi.nlm.nih.gov/protein/KAG5313865.1","RYR protein, partial")</f>
        <v>RYR protein, partial</v>
      </c>
      <c r="J2626">
        <v>3032.28</v>
      </c>
      <c r="K2626" t="s">
        <v>19</v>
      </c>
      <c r="L2626">
        <v>1210</v>
      </c>
      <c r="M2626">
        <v>7.13</v>
      </c>
      <c r="N2626">
        <v>29.55</v>
      </c>
      <c r="O2626" t="s">
        <v>19</v>
      </c>
      <c r="P2626" t="s">
        <v>1267</v>
      </c>
      <c r="Q2626" t="s">
        <v>19</v>
      </c>
      <c r="R2626" t="str">
        <f>HYPERLINK("https://cfpub.epa.gov/ecotox/explore.cfm?ncbi=230686","Explore in ECOTOX")</f>
        <v>Explore in ECOTOX</v>
      </c>
    </row>
    <row r="2627" spans="1:18" x14ac:dyDescent="0.45">
      <c r="A2627" t="s">
        <v>1266</v>
      </c>
      <c r="B2627">
        <v>8</v>
      </c>
      <c r="C2627" t="str">
        <f>HYPERLINK("http://www.ncbi.nlm.nih.gov/protein/XP_032293361.1","XP_032293361.1")</f>
        <v>XP_032293361.1</v>
      </c>
      <c r="D2627">
        <v>44740</v>
      </c>
      <c r="E2627" t="str">
        <f>HYPERLINK("http://www.ncbi.nlm.nih.gov/Taxonomy/Browser/wwwtax.cgi?mode=Info&amp;id=7244&amp;lvl=3&amp;lin=f&amp;keep=1&amp;srchmode=1&amp;unlock","7244")</f>
        <v>7244</v>
      </c>
      <c r="F2627" t="s">
        <v>760</v>
      </c>
      <c r="G2627" t="str">
        <f>HYPERLINK("http://www.ncbi.nlm.nih.gov/Taxonomy/Browser/wwwtax.cgi?mode=Info&amp;id=7244&amp;lvl=3&amp;lin=f&amp;keep=1&amp;srchmode=1&amp;unlock","Drosophila virilis")</f>
        <v>Drosophila virilis</v>
      </c>
      <c r="H2627" t="s">
        <v>953</v>
      </c>
      <c r="I2627" t="str">
        <f>HYPERLINK("http://www.ncbi.nlm.nih.gov/protein/XP_032293361.1","ryanodine receptor isoform X13")</f>
        <v>ryanodine receptor isoform X13</v>
      </c>
      <c r="J2627">
        <v>3032.28</v>
      </c>
      <c r="K2627" t="s">
        <v>19</v>
      </c>
      <c r="L2627">
        <v>1210</v>
      </c>
      <c r="M2627">
        <v>7.13</v>
      </c>
      <c r="N2627">
        <v>29.55</v>
      </c>
      <c r="O2627" t="s">
        <v>19</v>
      </c>
      <c r="P2627" t="s">
        <v>1267</v>
      </c>
      <c r="Q2627" t="s">
        <v>19</v>
      </c>
      <c r="R2627" t="str">
        <f>HYPERLINK("https://cfpub.epa.gov/ecotox/explore.cfm?ncbi=7244","Explore in ECOTOX")</f>
        <v>Explore in ECOTOX</v>
      </c>
    </row>
    <row r="2628" spans="1:18" x14ac:dyDescent="0.45">
      <c r="A2628" t="s">
        <v>1266</v>
      </c>
      <c r="B2628">
        <v>8</v>
      </c>
      <c r="C2628" t="str">
        <f>HYPERLINK("http://www.ncbi.nlm.nih.gov/protein/XP_043283364.1","XP_043283364.1")</f>
        <v>XP_043283364.1</v>
      </c>
      <c r="D2628">
        <v>24001</v>
      </c>
      <c r="E2628" t="str">
        <f>HYPERLINK("http://www.ncbi.nlm.nih.gov/Taxonomy/Browser/wwwtax.cgi?mode=Info&amp;id=32260&amp;lvl=3&amp;lin=f&amp;keep=1&amp;srchmode=1&amp;unlock","32260")</f>
        <v>32260</v>
      </c>
      <c r="F2628" t="s">
        <v>760</v>
      </c>
      <c r="G2628" t="str">
        <f>HYPERLINK("http://www.ncbi.nlm.nih.gov/Taxonomy/Browser/wwwtax.cgi?mode=Info&amp;id=32260&amp;lvl=3&amp;lin=f&amp;keep=1&amp;srchmode=1&amp;unlock","Venturia canescens")</f>
        <v>Venturia canescens</v>
      </c>
      <c r="H2628" t="s">
        <v>769</v>
      </c>
      <c r="I2628" t="str">
        <f>HYPERLINK("http://www.ncbi.nlm.nih.gov/protein/XP_043283364.1","ryanodine receptor isoform X16")</f>
        <v>ryanodine receptor isoform X16</v>
      </c>
      <c r="J2628">
        <v>3031.89</v>
      </c>
      <c r="K2628" t="s">
        <v>19</v>
      </c>
      <c r="L2628">
        <v>1210</v>
      </c>
      <c r="M2628">
        <v>7.13</v>
      </c>
      <c r="N2628">
        <v>29.54</v>
      </c>
      <c r="O2628" t="s">
        <v>19</v>
      </c>
      <c r="P2628" t="s">
        <v>1267</v>
      </c>
      <c r="Q2628" t="s">
        <v>19</v>
      </c>
      <c r="R2628" t="str">
        <f>HYPERLINK("https://cfpub.epa.gov/ecotox/explore.cfm?ncbi=32260","Explore in ECOTOX")</f>
        <v>Explore in ECOTOX</v>
      </c>
    </row>
    <row r="2629" spans="1:18" x14ac:dyDescent="0.45">
      <c r="A2629" t="s">
        <v>1266</v>
      </c>
      <c r="B2629">
        <v>8</v>
      </c>
      <c r="C2629" t="str">
        <f>HYPERLINK("http://www.ncbi.nlm.nih.gov/protein/XP_034478185.1","XP_034478185.1")</f>
        <v>XP_034478185.1</v>
      </c>
      <c r="D2629">
        <v>19613</v>
      </c>
      <c r="E2629" t="str">
        <f>HYPERLINK("http://www.ncbi.nlm.nih.gov/Taxonomy/Browser/wwwtax.cgi?mode=Info&amp;id=198719&amp;lvl=3&amp;lin=f&amp;keep=1&amp;srchmode=1&amp;unlock","198719")</f>
        <v>198719</v>
      </c>
      <c r="F2629" t="s">
        <v>760</v>
      </c>
      <c r="G2629" t="str">
        <f>HYPERLINK("http://www.ncbi.nlm.nih.gov/Taxonomy/Browser/wwwtax.cgi?mode=Info&amp;id=198719&amp;lvl=3&amp;lin=f&amp;keep=1&amp;srchmode=1&amp;unlock","Drosophila innubila")</f>
        <v>Drosophila innubila</v>
      </c>
      <c r="H2629" t="s">
        <v>953</v>
      </c>
      <c r="I2629" t="str">
        <f>HYPERLINK("http://www.ncbi.nlm.nih.gov/protein/XP_034478185.1","ryanodine receptor")</f>
        <v>ryanodine receptor</v>
      </c>
      <c r="J2629">
        <v>3031.89</v>
      </c>
      <c r="K2629" t="s">
        <v>19</v>
      </c>
      <c r="L2629">
        <v>1210</v>
      </c>
      <c r="M2629">
        <v>7.13</v>
      </c>
      <c r="N2629">
        <v>29.54</v>
      </c>
      <c r="O2629" t="s">
        <v>19</v>
      </c>
      <c r="P2629" t="s">
        <v>1267</v>
      </c>
      <c r="Q2629" t="s">
        <v>19</v>
      </c>
      <c r="R2629" t="str">
        <f>HYPERLINK("https://cfpub.epa.gov/ecotox/explore.cfm?ncbi=198719","Explore in ECOTOX")</f>
        <v>Explore in ECOTOX</v>
      </c>
    </row>
    <row r="2630" spans="1:18" x14ac:dyDescent="0.45">
      <c r="A2630" t="s">
        <v>1266</v>
      </c>
      <c r="B2630">
        <v>8</v>
      </c>
      <c r="C2630" t="str">
        <f>HYPERLINK("http://www.ncbi.nlm.nih.gov/protein/KAG5319259.1","KAG5319259.1")</f>
        <v>KAG5319259.1</v>
      </c>
      <c r="D2630">
        <v>9299</v>
      </c>
      <c r="E2630" t="str">
        <f>HYPERLINK("http://www.ncbi.nlm.nih.gov/Taxonomy/Browser/wwwtax.cgi?mode=Info&amp;id=621737&amp;lvl=3&amp;lin=f&amp;keep=1&amp;srchmode=1&amp;unlock","621737")</f>
        <v>621737</v>
      </c>
      <c r="F2630" t="s">
        <v>760</v>
      </c>
      <c r="G2630" t="str">
        <f>HYPERLINK("http://www.ncbi.nlm.nih.gov/Taxonomy/Browser/wwwtax.cgi?mode=Info&amp;id=621737&amp;lvl=3&amp;lin=f&amp;keep=1&amp;srchmode=1&amp;unlock","Pseudoatta argentina")</f>
        <v>Pseudoatta argentina</v>
      </c>
      <c r="H2630" t="s">
        <v>769</v>
      </c>
      <c r="I2630" t="str">
        <f>HYPERLINK("http://www.ncbi.nlm.nih.gov/protein/KAG5319259.1","RYR protein, partial")</f>
        <v>RYR protein, partial</v>
      </c>
      <c r="J2630">
        <v>3031.51</v>
      </c>
      <c r="K2630" t="s">
        <v>19</v>
      </c>
      <c r="L2630">
        <v>1210</v>
      </c>
      <c r="M2630">
        <v>7.13</v>
      </c>
      <c r="N2630">
        <v>29.54</v>
      </c>
      <c r="O2630" t="s">
        <v>19</v>
      </c>
      <c r="P2630" t="s">
        <v>1267</v>
      </c>
      <c r="Q2630" t="s">
        <v>19</v>
      </c>
      <c r="R2630" t="str">
        <f>HYPERLINK("https://cfpub.epa.gov/ecotox/explore.cfm?ncbi=621737","Explore in ECOTOX")</f>
        <v>Explore in ECOTOX</v>
      </c>
    </row>
    <row r="2631" spans="1:18" x14ac:dyDescent="0.45">
      <c r="A2631" t="s">
        <v>1266</v>
      </c>
      <c r="B2631">
        <v>8</v>
      </c>
      <c r="C2631" t="str">
        <f>HYPERLINK("http://www.ncbi.nlm.nih.gov/protein/XP_044016397.1","XP_044016397.1")</f>
        <v>XP_044016397.1</v>
      </c>
      <c r="D2631">
        <v>32415</v>
      </c>
      <c r="E2631" t="str">
        <f>HYPERLINK("http://www.ncbi.nlm.nih.gov/Taxonomy/Browser/wwwtax.cgi?mode=Info&amp;id=684658&amp;lvl=3&amp;lin=f&amp;keep=1&amp;srchmode=1&amp;unlock","684658")</f>
        <v>684658</v>
      </c>
      <c r="F2631" t="s">
        <v>760</v>
      </c>
      <c r="G2631" t="str">
        <f>HYPERLINK("http://www.ncbi.nlm.nih.gov/Taxonomy/Browser/wwwtax.cgi?mode=Info&amp;id=684658&amp;lvl=3&amp;lin=f&amp;keep=1&amp;srchmode=1&amp;unlock","Aphidius gifuensis")</f>
        <v>Aphidius gifuensis</v>
      </c>
      <c r="H2631" t="s">
        <v>769</v>
      </c>
      <c r="I2631" t="str">
        <f>HYPERLINK("http://www.ncbi.nlm.nih.gov/protein/XP_044016397.1","ryanodine receptor isoform X6")</f>
        <v>ryanodine receptor isoform X6</v>
      </c>
      <c r="J2631">
        <v>3028.81</v>
      </c>
      <c r="K2631" t="s">
        <v>19</v>
      </c>
      <c r="L2631">
        <v>1210</v>
      </c>
      <c r="M2631">
        <v>7.13</v>
      </c>
      <c r="N2631">
        <v>29.51</v>
      </c>
      <c r="O2631" t="s">
        <v>19</v>
      </c>
      <c r="P2631" t="s">
        <v>1267</v>
      </c>
      <c r="Q2631" t="s">
        <v>19</v>
      </c>
      <c r="R2631" t="str">
        <f>HYPERLINK("https://cfpub.epa.gov/ecotox/explore.cfm?ncbi=684658","Explore in ECOTOX")</f>
        <v>Explore in ECOTOX</v>
      </c>
    </row>
    <row r="2632" spans="1:18" x14ac:dyDescent="0.45">
      <c r="A2632" t="s">
        <v>1266</v>
      </c>
      <c r="B2632">
        <v>8</v>
      </c>
      <c r="C2632" t="str">
        <f>HYPERLINK("http://www.ncbi.nlm.nih.gov/protein/XP_043526033.1","XP_043526033.1")</f>
        <v>XP_043526033.1</v>
      </c>
      <c r="D2632">
        <v>34731</v>
      </c>
      <c r="E2632" t="str">
        <f>HYPERLINK("http://www.ncbi.nlm.nih.gov/Taxonomy/Browser/wwwtax.cgi?mode=Info&amp;id=561572&amp;lvl=3&amp;lin=f&amp;keep=1&amp;srchmode=1&amp;unlock","561572")</f>
        <v>561572</v>
      </c>
      <c r="F2632" t="s">
        <v>760</v>
      </c>
      <c r="G2632" t="str">
        <f>HYPERLINK("http://www.ncbi.nlm.nih.gov/Taxonomy/Browser/wwwtax.cgi?mode=Info&amp;id=561572&amp;lvl=3&amp;lin=f&amp;keep=1&amp;srchmode=1&amp;unlock","Frieseomelitta varia")</f>
        <v>Frieseomelitta varia</v>
      </c>
      <c r="H2632" t="s">
        <v>817</v>
      </c>
      <c r="I2632" t="str">
        <f>HYPERLINK("http://www.ncbi.nlm.nih.gov/protein/XP_043526033.1","ryanodine receptor isoform X9")</f>
        <v>ryanodine receptor isoform X9</v>
      </c>
      <c r="J2632">
        <v>3028.81</v>
      </c>
      <c r="K2632" t="s">
        <v>22</v>
      </c>
      <c r="L2632">
        <v>1210</v>
      </c>
      <c r="M2632">
        <v>7.13</v>
      </c>
      <c r="N2632">
        <v>29.51</v>
      </c>
      <c r="O2632" t="s">
        <v>19</v>
      </c>
      <c r="P2632" t="s">
        <v>1267</v>
      </c>
      <c r="Q2632" t="s">
        <v>19</v>
      </c>
      <c r="R2632" t="str">
        <f>HYPERLINK("https://cfpub.epa.gov/ecotox/explore.cfm?ncbi=561572","Explore in ECOTOX")</f>
        <v>Explore in ECOTOX</v>
      </c>
    </row>
    <row r="2633" spans="1:18" x14ac:dyDescent="0.45">
      <c r="A2633" t="s">
        <v>1266</v>
      </c>
      <c r="B2633">
        <v>8</v>
      </c>
      <c r="C2633" t="str">
        <f>HYPERLINK("http://www.ncbi.nlm.nih.gov/protein/XP_052843590.1","XP_052843590.1")</f>
        <v>XP_052843590.1</v>
      </c>
      <c r="D2633">
        <v>38898</v>
      </c>
      <c r="E2633" t="str">
        <f>HYPERLINK("http://www.ncbi.nlm.nih.gov/Taxonomy/Browser/wwwtax.cgi?mode=Info&amp;id=103775&amp;lvl=3&amp;lin=f&amp;keep=1&amp;srchmode=1&amp;unlock","103775")</f>
        <v>103775</v>
      </c>
      <c r="F2633" t="s">
        <v>760</v>
      </c>
      <c r="G2633" t="str">
        <f>HYPERLINK("http://www.ncbi.nlm.nih.gov/Taxonomy/Browser/wwwtax.cgi?mode=Info&amp;id=103775&amp;lvl=3&amp;lin=f&amp;keep=1&amp;srchmode=1&amp;unlock","Drosophila gunungcola")</f>
        <v>Drosophila gunungcola</v>
      </c>
      <c r="H2633" t="s">
        <v>976</v>
      </c>
      <c r="I2633" t="str">
        <f>HYPERLINK("http://www.ncbi.nlm.nih.gov/protein/XP_052843590.1","ryanodine receptor isoform X9")</f>
        <v>ryanodine receptor isoform X9</v>
      </c>
      <c r="J2633">
        <v>3028.42</v>
      </c>
      <c r="K2633" t="s">
        <v>19</v>
      </c>
      <c r="L2633">
        <v>1210</v>
      </c>
      <c r="M2633">
        <v>7.13</v>
      </c>
      <c r="N2633">
        <v>29.51</v>
      </c>
      <c r="O2633" t="s">
        <v>19</v>
      </c>
      <c r="P2633" t="s">
        <v>1267</v>
      </c>
      <c r="Q2633" t="s">
        <v>19</v>
      </c>
      <c r="R2633" t="str">
        <f>HYPERLINK("https://cfpub.epa.gov/ecotox/explore.cfm?ncbi=103775","Explore in ECOTOX")</f>
        <v>Explore in ECOTOX</v>
      </c>
    </row>
    <row r="2634" spans="1:18" x14ac:dyDescent="0.45">
      <c r="A2634" t="s">
        <v>1266</v>
      </c>
      <c r="B2634">
        <v>8</v>
      </c>
      <c r="C2634" t="str">
        <f>HYPERLINK("http://www.ncbi.nlm.nih.gov/protein/XP_041565742.1","XP_041565742.1")</f>
        <v>XP_041565742.1</v>
      </c>
      <c r="D2634">
        <v>23515</v>
      </c>
      <c r="E2634" t="str">
        <f>HYPERLINK("http://www.ncbi.nlm.nih.gov/Taxonomy/Browser/wwwtax.cgi?mode=Info&amp;id=30023&amp;lvl=3&amp;lin=f&amp;keep=1&amp;srchmode=1&amp;unlock","30023")</f>
        <v>30023</v>
      </c>
      <c r="F2634" t="s">
        <v>760</v>
      </c>
      <c r="G2634" t="str">
        <f>HYPERLINK("http://www.ncbi.nlm.nih.gov/Taxonomy/Browser/wwwtax.cgi?mode=Info&amp;id=30023&amp;lvl=3&amp;lin=f&amp;keep=1&amp;srchmode=1&amp;unlock","Drosophila elegans")</f>
        <v>Drosophila elegans</v>
      </c>
      <c r="H2634" t="s">
        <v>953</v>
      </c>
      <c r="I2634" t="str">
        <f>HYPERLINK("http://www.ncbi.nlm.nih.gov/protein/XP_041565742.1","ryanodine receptor isoform X6")</f>
        <v>ryanodine receptor isoform X6</v>
      </c>
      <c r="J2634">
        <v>3027.27</v>
      </c>
      <c r="K2634" t="s">
        <v>19</v>
      </c>
      <c r="L2634">
        <v>1210</v>
      </c>
      <c r="M2634">
        <v>7.13</v>
      </c>
      <c r="N2634">
        <v>29.5</v>
      </c>
      <c r="O2634" t="s">
        <v>19</v>
      </c>
      <c r="P2634" t="s">
        <v>1267</v>
      </c>
      <c r="Q2634" t="s">
        <v>19</v>
      </c>
      <c r="R2634" t="str">
        <f>HYPERLINK("https://cfpub.epa.gov/ecotox/explore.cfm?ncbi=30023","Explore in ECOTOX")</f>
        <v>Explore in ECOTOX</v>
      </c>
    </row>
    <row r="2635" spans="1:18" x14ac:dyDescent="0.45">
      <c r="A2635" t="s">
        <v>1266</v>
      </c>
      <c r="B2635">
        <v>8</v>
      </c>
      <c r="C2635" t="str">
        <f>HYPERLINK("http://www.ncbi.nlm.nih.gov/protein/KAG5318438.1","KAG5318438.1")</f>
        <v>KAG5318438.1</v>
      </c>
      <c r="D2635">
        <v>9123</v>
      </c>
      <c r="E2635" t="str">
        <f>HYPERLINK("http://www.ncbi.nlm.nih.gov/Taxonomy/Browser/wwwtax.cgi?mode=Info&amp;id=230685&amp;lvl=3&amp;lin=f&amp;keep=1&amp;srchmode=1&amp;unlock","230685")</f>
        <v>230685</v>
      </c>
      <c r="F2635" t="s">
        <v>760</v>
      </c>
      <c r="G2635" t="str">
        <f>HYPERLINK("http://www.ncbi.nlm.nih.gov/Taxonomy/Browser/wwwtax.cgi?mode=Info&amp;id=230685&amp;lvl=3&amp;lin=f&amp;keep=1&amp;srchmode=1&amp;unlock","Acromyrmex heyeri")</f>
        <v>Acromyrmex heyeri</v>
      </c>
      <c r="H2635" t="s">
        <v>769</v>
      </c>
      <c r="I2635" t="str">
        <f>HYPERLINK("http://www.ncbi.nlm.nih.gov/protein/KAG5318438.1","RYR protein, partial")</f>
        <v>RYR protein, partial</v>
      </c>
      <c r="J2635">
        <v>3027.27</v>
      </c>
      <c r="K2635" t="s">
        <v>19</v>
      </c>
      <c r="L2635">
        <v>1210</v>
      </c>
      <c r="M2635">
        <v>7.13</v>
      </c>
      <c r="N2635">
        <v>29.5</v>
      </c>
      <c r="O2635" t="s">
        <v>19</v>
      </c>
      <c r="P2635" t="s">
        <v>1267</v>
      </c>
      <c r="Q2635" t="s">
        <v>19</v>
      </c>
      <c r="R2635" t="str">
        <f>HYPERLINK("https://cfpub.epa.gov/ecotox/explore.cfm?ncbi=230685","Explore in ECOTOX")</f>
        <v>Explore in ECOTOX</v>
      </c>
    </row>
    <row r="2636" spans="1:18" x14ac:dyDescent="0.45">
      <c r="A2636" t="s">
        <v>1266</v>
      </c>
      <c r="B2636">
        <v>8</v>
      </c>
      <c r="C2636" t="str">
        <f>HYPERLINK("http://www.ncbi.nlm.nih.gov/protein/XP_054709391.1","XP_054709391.1")</f>
        <v>XP_054709391.1</v>
      </c>
      <c r="D2636">
        <v>19009</v>
      </c>
      <c r="E2636" t="str">
        <f>HYPERLINK("http://www.ncbi.nlm.nih.gov/Taxonomy/Browser/wwwtax.cgi?mode=Info&amp;id=327109&amp;lvl=3&amp;lin=f&amp;keep=1&amp;srchmode=1&amp;unlock","327109")</f>
        <v>327109</v>
      </c>
      <c r="F2636" t="s">
        <v>904</v>
      </c>
      <c r="G2636" t="str">
        <f>HYPERLINK("http://www.ncbi.nlm.nih.gov/Taxonomy/Browser/wwwtax.cgi?mode=Info&amp;id=327109&amp;lvl=3&amp;lin=f&amp;keep=1&amp;srchmode=1&amp;unlock","Uloborus diversus")</f>
        <v>Uloborus diversus</v>
      </c>
      <c r="H2636" t="s">
        <v>946</v>
      </c>
      <c r="I2636" t="str">
        <f>HYPERLINK("http://www.ncbi.nlm.nih.gov/protein/XP_054709391.1","LOW QUALITY PROTEIN: ryanodine receptor-like")</f>
        <v>LOW QUALITY PROTEIN: ryanodine receptor-like</v>
      </c>
      <c r="J2636">
        <v>3026.11</v>
      </c>
      <c r="K2636" t="s">
        <v>19</v>
      </c>
      <c r="L2636">
        <v>1210</v>
      </c>
      <c r="M2636">
        <v>7.13</v>
      </c>
      <c r="N2636">
        <v>29.49</v>
      </c>
      <c r="O2636" t="s">
        <v>19</v>
      </c>
      <c r="P2636" t="s">
        <v>1267</v>
      </c>
      <c r="Q2636" t="s">
        <v>19</v>
      </c>
      <c r="R2636" t="str">
        <f>HYPERLINK("https://cfpub.epa.gov/ecotox/explore.cfm?ncbi=327109","Explore in ECOTOX")</f>
        <v>Explore in ECOTOX</v>
      </c>
    </row>
    <row r="2637" spans="1:18" x14ac:dyDescent="0.45">
      <c r="A2637" t="s">
        <v>1266</v>
      </c>
      <c r="B2637">
        <v>8</v>
      </c>
      <c r="C2637" t="str">
        <f>HYPERLINK("http://www.ncbi.nlm.nih.gov/protein/CAG9803774.1","CAG9803774.1")</f>
        <v>CAG9803774.1</v>
      </c>
      <c r="D2637">
        <v>16779</v>
      </c>
      <c r="E2637" t="str">
        <f>HYPERLINK("http://www.ncbi.nlm.nih.gov/Taxonomy/Browser/wwwtax.cgi?mode=Info&amp;id=315576&amp;lvl=3&amp;lin=f&amp;keep=1&amp;srchmode=1&amp;unlock","315576")</f>
        <v>315576</v>
      </c>
      <c r="F2637" t="s">
        <v>760</v>
      </c>
      <c r="G2637" t="str">
        <f>HYPERLINK("http://www.ncbi.nlm.nih.gov/Taxonomy/Browser/wwwtax.cgi?mode=Info&amp;id=315576&amp;lvl=3&amp;lin=f&amp;keep=1&amp;srchmode=1&amp;unlock","Chironomus riparius")</f>
        <v>Chironomus riparius</v>
      </c>
      <c r="H2637" t="s">
        <v>974</v>
      </c>
      <c r="I2637" t="str">
        <f>HYPERLINK("http://www.ncbi.nlm.nih.gov/protein/CAG9803774.1","unnamed protein product")</f>
        <v>unnamed protein product</v>
      </c>
      <c r="J2637">
        <v>3023.8</v>
      </c>
      <c r="K2637" t="s">
        <v>22</v>
      </c>
      <c r="L2637">
        <v>1210</v>
      </c>
      <c r="M2637">
        <v>7.13</v>
      </c>
      <c r="N2637">
        <v>29.46</v>
      </c>
      <c r="O2637" t="s">
        <v>19</v>
      </c>
      <c r="P2637" t="s">
        <v>1267</v>
      </c>
      <c r="Q2637" t="s">
        <v>19</v>
      </c>
      <c r="R2637" t="str">
        <f>HYPERLINK("https://cfpub.epa.gov/ecotox/explore.cfm?ncbi=315576","Explore in ECOTOX")</f>
        <v>Explore in ECOTOX</v>
      </c>
    </row>
    <row r="2638" spans="1:18" x14ac:dyDescent="0.45">
      <c r="A2638" t="s">
        <v>1266</v>
      </c>
      <c r="B2638">
        <v>8</v>
      </c>
      <c r="C2638" t="str">
        <f>HYPERLINK("http://www.ncbi.nlm.nih.gov/protein/XP_055904496.1","XP_055904496.1")</f>
        <v>XP_055904496.1</v>
      </c>
      <c r="D2638">
        <v>22407</v>
      </c>
      <c r="E2638" t="str">
        <f>HYPERLINK("http://www.ncbi.nlm.nih.gov/Taxonomy/Browser/wwwtax.cgi?mode=Info&amp;id=290404&amp;lvl=3&amp;lin=f&amp;keep=1&amp;srchmode=1&amp;unlock","290404")</f>
        <v>290404</v>
      </c>
      <c r="F2638" t="s">
        <v>760</v>
      </c>
      <c r="G2638" t="str">
        <f>HYPERLINK("http://www.ncbi.nlm.nih.gov/Taxonomy/Browser/wwwtax.cgi?mode=Info&amp;id=290404&amp;lvl=3&amp;lin=f&amp;keep=1&amp;srchmode=1&amp;unlock","Eupeodes corollae")</f>
        <v>Eupeodes corollae</v>
      </c>
      <c r="H2638" t="s">
        <v>989</v>
      </c>
      <c r="I2638" t="str">
        <f>HYPERLINK("http://www.ncbi.nlm.nih.gov/protein/XP_055904496.1","ryanodine receptor isoform X7")</f>
        <v>ryanodine receptor isoform X7</v>
      </c>
      <c r="J2638">
        <v>3023.42</v>
      </c>
      <c r="K2638" t="s">
        <v>19</v>
      </c>
      <c r="L2638">
        <v>1210</v>
      </c>
      <c r="M2638">
        <v>7.13</v>
      </c>
      <c r="N2638">
        <v>29.46</v>
      </c>
      <c r="O2638" t="s">
        <v>19</v>
      </c>
      <c r="P2638" t="s">
        <v>1267</v>
      </c>
      <c r="Q2638" t="s">
        <v>19</v>
      </c>
      <c r="R2638" t="str">
        <f>HYPERLINK("https://cfpub.epa.gov/ecotox/explore.cfm?ncbi=290404","Explore in ECOTOX")</f>
        <v>Explore in ECOTOX</v>
      </c>
    </row>
    <row r="2639" spans="1:18" x14ac:dyDescent="0.45">
      <c r="A2639" t="s">
        <v>1266</v>
      </c>
      <c r="B2639">
        <v>8</v>
      </c>
      <c r="C2639" t="str">
        <f>HYPERLINK("http://www.ncbi.nlm.nih.gov/protein/KAG5681995.1","KAG5681995.1")</f>
        <v>KAG5681995.1</v>
      </c>
      <c r="D2639">
        <v>19380</v>
      </c>
      <c r="E2639" t="str">
        <f>HYPERLINK("http://www.ncbi.nlm.nih.gov/Taxonomy/Browser/wwwtax.cgi?mode=Info&amp;id=319348&amp;lvl=3&amp;lin=f&amp;keep=1&amp;srchmode=1&amp;unlock","319348")</f>
        <v>319348</v>
      </c>
      <c r="F2639" t="s">
        <v>760</v>
      </c>
      <c r="G2639" t="str">
        <f>HYPERLINK("http://www.ncbi.nlm.nih.gov/Taxonomy/Browser/wwwtax.cgi?mode=Info&amp;id=319348&amp;lvl=3&amp;lin=f&amp;keep=1&amp;srchmode=1&amp;unlock","Polypedilum vanderplanki")</f>
        <v>Polypedilum vanderplanki</v>
      </c>
      <c r="H2639" t="s">
        <v>942</v>
      </c>
      <c r="I2639" t="str">
        <f>HYPERLINK("http://www.ncbi.nlm.nih.gov/protein/KAG5681995.1","hypothetical protein PVAND_011393")</f>
        <v>hypothetical protein PVAND_011393</v>
      </c>
      <c r="J2639">
        <v>3023.03</v>
      </c>
      <c r="K2639" t="s">
        <v>19</v>
      </c>
      <c r="L2639">
        <v>1210</v>
      </c>
      <c r="M2639">
        <v>7.13</v>
      </c>
      <c r="N2639">
        <v>29.46</v>
      </c>
      <c r="O2639" t="s">
        <v>19</v>
      </c>
      <c r="P2639" t="s">
        <v>1267</v>
      </c>
      <c r="Q2639" t="s">
        <v>19</v>
      </c>
      <c r="R2639" t="str">
        <f>HYPERLINK("https://cfpub.epa.gov/ecotox/explore.cfm?ncbi=319348","Explore in ECOTOX")</f>
        <v>Explore in ECOTOX</v>
      </c>
    </row>
    <row r="2640" spans="1:18" x14ac:dyDescent="0.45">
      <c r="A2640" t="s">
        <v>1266</v>
      </c>
      <c r="B2640">
        <v>8</v>
      </c>
      <c r="C2640" t="str">
        <f>HYPERLINK("http://www.ncbi.nlm.nih.gov/protein/XP_018801105.1","XP_018801105.1")</f>
        <v>XP_018801105.1</v>
      </c>
      <c r="D2640">
        <v>22792</v>
      </c>
      <c r="E2640" t="str">
        <f>HYPERLINK("http://www.ncbi.nlm.nih.gov/Taxonomy/Browser/wwwtax.cgi?mode=Info&amp;id=174628&amp;lvl=3&amp;lin=f&amp;keep=1&amp;srchmode=1&amp;unlock","174628")</f>
        <v>174628</v>
      </c>
      <c r="F2640" t="s">
        <v>760</v>
      </c>
      <c r="G2640" t="str">
        <f>HYPERLINK("http://www.ncbi.nlm.nih.gov/Taxonomy/Browser/wwwtax.cgi?mode=Info&amp;id=174628&amp;lvl=3&amp;lin=f&amp;keep=1&amp;srchmode=1&amp;unlock","Bactrocera latifrons")</f>
        <v>Bactrocera latifrons</v>
      </c>
      <c r="H2640" t="s">
        <v>953</v>
      </c>
      <c r="I2640" t="str">
        <f>HYPERLINK("http://www.ncbi.nlm.nih.gov/protein/XP_018801105.1","PREDICTED: ryanodine receptor isoform X10")</f>
        <v>PREDICTED: ryanodine receptor isoform X10</v>
      </c>
      <c r="J2640">
        <v>3022.65</v>
      </c>
      <c r="K2640" t="s">
        <v>19</v>
      </c>
      <c r="L2640">
        <v>1210</v>
      </c>
      <c r="M2640">
        <v>7.13</v>
      </c>
      <c r="N2640">
        <v>29.45</v>
      </c>
      <c r="O2640" t="s">
        <v>19</v>
      </c>
      <c r="P2640" t="s">
        <v>1267</v>
      </c>
      <c r="Q2640" t="s">
        <v>19</v>
      </c>
      <c r="R2640" t="str">
        <f>HYPERLINK("https://cfpub.epa.gov/ecotox/explore.cfm?ncbi=174628","Explore in ECOTOX")</f>
        <v>Explore in ECOTOX</v>
      </c>
    </row>
    <row r="2641" spans="1:18" x14ac:dyDescent="0.45">
      <c r="A2641" t="s">
        <v>1266</v>
      </c>
      <c r="B2641">
        <v>8</v>
      </c>
      <c r="C2641" t="str">
        <f>HYPERLINK("http://www.ncbi.nlm.nih.gov/protein/XP_036227358.1","XP_036227358.1")</f>
        <v>XP_036227358.1</v>
      </c>
      <c r="D2641">
        <v>34315</v>
      </c>
      <c r="E2641" t="str">
        <f>HYPERLINK("http://www.ncbi.nlm.nih.gov/Taxonomy/Browser/wwwtax.cgi?mode=Info&amp;id=104688&amp;lvl=3&amp;lin=f&amp;keep=1&amp;srchmode=1&amp;unlock","104688")</f>
        <v>104688</v>
      </c>
      <c r="F2641" t="s">
        <v>760</v>
      </c>
      <c r="G2641" t="str">
        <f>HYPERLINK("http://www.ncbi.nlm.nih.gov/Taxonomy/Browser/wwwtax.cgi?mode=Info&amp;id=104688&amp;lvl=3&amp;lin=f&amp;keep=1&amp;srchmode=1&amp;unlock","Bactrocera oleae")</f>
        <v>Bactrocera oleae</v>
      </c>
      <c r="H2641" t="s">
        <v>983</v>
      </c>
      <c r="I2641" t="str">
        <f>HYPERLINK("http://www.ncbi.nlm.nih.gov/protein/XP_036227358.1","ryanodine receptor isoform X20")</f>
        <v>ryanodine receptor isoform X20</v>
      </c>
      <c r="J2641">
        <v>3022.65</v>
      </c>
      <c r="K2641" t="s">
        <v>19</v>
      </c>
      <c r="L2641">
        <v>1210</v>
      </c>
      <c r="M2641">
        <v>7.13</v>
      </c>
      <c r="N2641">
        <v>29.45</v>
      </c>
      <c r="O2641" t="s">
        <v>19</v>
      </c>
      <c r="P2641" t="s">
        <v>1267</v>
      </c>
      <c r="Q2641" t="s">
        <v>19</v>
      </c>
      <c r="R2641" t="str">
        <f>HYPERLINK("https://cfpub.epa.gov/ecotox/explore.cfm?ncbi=104688","Explore in ECOTOX")</f>
        <v>Explore in ECOTOX</v>
      </c>
    </row>
    <row r="2642" spans="1:18" x14ac:dyDescent="0.45">
      <c r="A2642" t="s">
        <v>1266</v>
      </c>
      <c r="B2642">
        <v>8</v>
      </c>
      <c r="C2642" t="str">
        <f>HYPERLINK("http://www.ncbi.nlm.nih.gov/protein/KAH0951098.1","KAH0951098.1")</f>
        <v>KAH0951098.1</v>
      </c>
      <c r="D2642">
        <v>12585</v>
      </c>
      <c r="E2642" t="str">
        <f>HYPERLINK("http://www.ncbi.nlm.nih.gov/Taxonomy/Browser/wwwtax.cgi?mode=Info&amp;id=213866&amp;lvl=3&amp;lin=f&amp;keep=1&amp;srchmode=1&amp;unlock","213866")</f>
        <v>213866</v>
      </c>
      <c r="F2642" t="s">
        <v>760</v>
      </c>
      <c r="G2642" t="str">
        <f>HYPERLINK("http://www.ncbi.nlm.nih.gov/Taxonomy/Browser/wwwtax.cgi?mode=Info&amp;id=213866&amp;lvl=3&amp;lin=f&amp;keep=1&amp;srchmode=1&amp;unlock","Eciton burchellii")</f>
        <v>Eciton burchellii</v>
      </c>
      <c r="H2642" t="s">
        <v>769</v>
      </c>
      <c r="I2642" t="str">
        <f>HYPERLINK("http://www.ncbi.nlm.nih.gov/protein/KAH0951098.1","hypothetical protein HN011_002469")</f>
        <v>hypothetical protein HN011_002469</v>
      </c>
      <c r="J2642">
        <v>3022.65</v>
      </c>
      <c r="K2642" t="s">
        <v>19</v>
      </c>
      <c r="L2642">
        <v>1210</v>
      </c>
      <c r="M2642">
        <v>7.13</v>
      </c>
      <c r="N2642">
        <v>29.45</v>
      </c>
      <c r="O2642" t="s">
        <v>19</v>
      </c>
      <c r="P2642" t="s">
        <v>1267</v>
      </c>
      <c r="Q2642" t="s">
        <v>19</v>
      </c>
      <c r="R2642" t="str">
        <f>HYPERLINK("https://cfpub.epa.gov/ecotox/explore.cfm?ncbi=213866","Explore in ECOTOX")</f>
        <v>Explore in ECOTOX</v>
      </c>
    </row>
    <row r="2643" spans="1:18" x14ac:dyDescent="0.45">
      <c r="A2643" t="s">
        <v>1266</v>
      </c>
      <c r="B2643">
        <v>8</v>
      </c>
      <c r="C2643" t="str">
        <f>HYPERLINK("http://www.ncbi.nlm.nih.gov/protein/XP_058809913.1","XP_058809913.1")</f>
        <v>XP_058809913.1</v>
      </c>
      <c r="D2643">
        <v>22374</v>
      </c>
      <c r="E2643" t="str">
        <f>HYPERLINK("http://www.ncbi.nlm.nih.gov/Taxonomy/Browser/wwwtax.cgi?mode=Info&amp;id=108790&amp;lvl=3&amp;lin=f&amp;keep=1&amp;srchmode=1&amp;unlock","108790")</f>
        <v>108790</v>
      </c>
      <c r="F2643" t="s">
        <v>760</v>
      </c>
      <c r="G2643" t="str">
        <f>HYPERLINK("http://www.ncbi.nlm.nih.gov/Taxonomy/Browser/wwwtax.cgi?mode=Info&amp;id=108790&amp;lvl=3&amp;lin=f&amp;keep=1&amp;srchmode=1&amp;unlock","Phymastichus coffea")</f>
        <v>Phymastichus coffea</v>
      </c>
      <c r="H2643" t="s">
        <v>769</v>
      </c>
      <c r="I2643" t="str">
        <f>HYPERLINK("http://www.ncbi.nlm.nih.gov/protein/XP_058809913.1","ryanodine receptor")</f>
        <v>ryanodine receptor</v>
      </c>
      <c r="J2643">
        <v>3021.49</v>
      </c>
      <c r="K2643" t="s">
        <v>19</v>
      </c>
      <c r="L2643">
        <v>1210</v>
      </c>
      <c r="M2643">
        <v>7.13</v>
      </c>
      <c r="N2643">
        <v>29.44</v>
      </c>
      <c r="O2643" t="s">
        <v>19</v>
      </c>
      <c r="P2643" t="s">
        <v>1267</v>
      </c>
      <c r="Q2643" t="s">
        <v>19</v>
      </c>
      <c r="R2643" t="str">
        <f>HYPERLINK("https://cfpub.epa.gov/ecotox/explore.cfm?ncbi=108790","Explore in ECOTOX")</f>
        <v>Explore in ECOTOX</v>
      </c>
    </row>
    <row r="2644" spans="1:18" x14ac:dyDescent="0.45">
      <c r="A2644" t="s">
        <v>1266</v>
      </c>
      <c r="B2644">
        <v>8</v>
      </c>
      <c r="C2644" t="str">
        <f>HYPERLINK("http://www.ncbi.nlm.nih.gov/protein/XP_014476812.1","XP_014476812.1")</f>
        <v>XP_014476812.1</v>
      </c>
      <c r="D2644">
        <v>22424</v>
      </c>
      <c r="E2644" t="str">
        <f>HYPERLINK("http://www.ncbi.nlm.nih.gov/Taxonomy/Browser/wwwtax.cgi?mode=Info&amp;id=609295&amp;lvl=3&amp;lin=f&amp;keep=1&amp;srchmode=1&amp;unlock","609295")</f>
        <v>609295</v>
      </c>
      <c r="F2644" t="s">
        <v>760</v>
      </c>
      <c r="G2644" t="str">
        <f>HYPERLINK("http://www.ncbi.nlm.nih.gov/Taxonomy/Browser/wwwtax.cgi?mode=Info&amp;id=609295&amp;lvl=3&amp;lin=f&amp;keep=1&amp;srchmode=1&amp;unlock","Dinoponera quadriceps")</f>
        <v>Dinoponera quadriceps</v>
      </c>
      <c r="H2644" t="s">
        <v>769</v>
      </c>
      <c r="I2644" t="str">
        <f>HYPERLINK("http://www.ncbi.nlm.nih.gov/protein/XP_014476812.1","PREDICTED: ryanodine receptor isoform X3")</f>
        <v>PREDICTED: ryanodine receptor isoform X3</v>
      </c>
      <c r="J2644">
        <v>3020.72</v>
      </c>
      <c r="K2644" t="s">
        <v>19</v>
      </c>
      <c r="L2644">
        <v>1210</v>
      </c>
      <c r="M2644">
        <v>7.13</v>
      </c>
      <c r="N2644">
        <v>29.43</v>
      </c>
      <c r="O2644" t="s">
        <v>19</v>
      </c>
      <c r="P2644" t="s">
        <v>1267</v>
      </c>
      <c r="Q2644" t="s">
        <v>19</v>
      </c>
      <c r="R2644" t="str">
        <f>HYPERLINK("https://cfpub.epa.gov/ecotox/explore.cfm?ncbi=609295","Explore in ECOTOX")</f>
        <v>Explore in ECOTOX</v>
      </c>
    </row>
    <row r="2645" spans="1:18" x14ac:dyDescent="0.45">
      <c r="A2645" t="s">
        <v>1266</v>
      </c>
      <c r="B2645">
        <v>8</v>
      </c>
      <c r="C2645" t="str">
        <f>HYPERLINK("http://www.ncbi.nlm.nih.gov/protein/KAJ0170551.1","KAJ0170551.1")</f>
        <v>KAJ0170551.1</v>
      </c>
      <c r="D2645">
        <v>15504</v>
      </c>
      <c r="E2645" t="str">
        <f>HYPERLINK("http://www.ncbi.nlm.nih.gov/Taxonomy/Browser/wwwtax.cgi?mode=Info&amp;id=765133&amp;lvl=3&amp;lin=f&amp;keep=1&amp;srchmode=1&amp;unlock","765133")</f>
        <v>765133</v>
      </c>
      <c r="F2645" t="s">
        <v>760</v>
      </c>
      <c r="G2645" t="str">
        <f>HYPERLINK("http://www.ncbi.nlm.nih.gov/Taxonomy/Browser/wwwtax.cgi?mode=Info&amp;id=765133&amp;lvl=3&amp;lin=f&amp;keep=1&amp;srchmode=1&amp;unlock","Dendrolimus kikuchii")</f>
        <v>Dendrolimus kikuchii</v>
      </c>
      <c r="H2645" t="s">
        <v>985</v>
      </c>
      <c r="I2645" t="str">
        <f>HYPERLINK("http://www.ncbi.nlm.nih.gov/protein/KAJ0170551.1","hypothetical protein K1T71_013922")</f>
        <v>hypothetical protein K1T71_013922</v>
      </c>
      <c r="J2645">
        <v>3020.34</v>
      </c>
      <c r="K2645" t="s">
        <v>19</v>
      </c>
      <c r="L2645">
        <v>1210</v>
      </c>
      <c r="M2645">
        <v>7.13</v>
      </c>
      <c r="N2645">
        <v>29.43</v>
      </c>
      <c r="O2645" t="s">
        <v>19</v>
      </c>
      <c r="P2645" t="s">
        <v>1267</v>
      </c>
      <c r="Q2645" t="s">
        <v>19</v>
      </c>
      <c r="R2645" t="str">
        <f>HYPERLINK("https://cfpub.epa.gov/ecotox/explore.cfm?ncbi=765133","Explore in ECOTOX")</f>
        <v>Explore in ECOTOX</v>
      </c>
    </row>
    <row r="2646" spans="1:18" x14ac:dyDescent="0.45">
      <c r="A2646" t="s">
        <v>1266</v>
      </c>
      <c r="B2646">
        <v>8</v>
      </c>
      <c r="C2646" t="str">
        <f>HYPERLINK("http://www.ncbi.nlm.nih.gov/protein/XP_055857542.1","XP_055857542.1")</f>
        <v>XP_055857542.1</v>
      </c>
      <c r="D2646">
        <v>23283</v>
      </c>
      <c r="E2646" t="str">
        <f>HYPERLINK("http://www.ncbi.nlm.nih.gov/Taxonomy/Browser/wwwtax.cgi?mode=Info&amp;id=286459&amp;lvl=3&amp;lin=f&amp;keep=1&amp;srchmode=1&amp;unlock","286459")</f>
        <v>286459</v>
      </c>
      <c r="F2646" t="s">
        <v>760</v>
      </c>
      <c r="G2646" t="str">
        <f>HYPERLINK("http://www.ncbi.nlm.nih.gov/Taxonomy/Browser/wwwtax.cgi?mode=Info&amp;id=286459&amp;lvl=3&amp;lin=f&amp;keep=1&amp;srchmode=1&amp;unlock","Episyrphus balteatus")</f>
        <v>Episyrphus balteatus</v>
      </c>
      <c r="H2646" t="s">
        <v>990</v>
      </c>
      <c r="I2646" t="str">
        <f>HYPERLINK("http://www.ncbi.nlm.nih.gov/protein/XP_055857542.1","ryanodine receptor isoform X9")</f>
        <v>ryanodine receptor isoform X9</v>
      </c>
      <c r="J2646">
        <v>3017.64</v>
      </c>
      <c r="K2646" t="s">
        <v>19</v>
      </c>
      <c r="L2646">
        <v>1210</v>
      </c>
      <c r="M2646">
        <v>7.13</v>
      </c>
      <c r="N2646">
        <v>29.4</v>
      </c>
      <c r="O2646" t="s">
        <v>19</v>
      </c>
      <c r="P2646" t="s">
        <v>1267</v>
      </c>
      <c r="Q2646" t="s">
        <v>19</v>
      </c>
      <c r="R2646" t="str">
        <f>HYPERLINK("https://cfpub.epa.gov/ecotox/explore.cfm?ncbi=286459","Explore in ECOTOX")</f>
        <v>Explore in ECOTOX</v>
      </c>
    </row>
    <row r="2647" spans="1:18" x14ac:dyDescent="0.45">
      <c r="A2647" t="s">
        <v>1266</v>
      </c>
      <c r="B2647">
        <v>8</v>
      </c>
      <c r="C2647" t="str">
        <f>HYPERLINK("http://www.ncbi.nlm.nih.gov/protein/XP_026820068.1","XP_026820068.1")</f>
        <v>XP_026820068.1</v>
      </c>
      <c r="D2647">
        <v>19618</v>
      </c>
      <c r="E2647" t="str">
        <f>HYPERLINK("http://www.ncbi.nlm.nih.gov/Taxonomy/Browser/wwwtax.cgi?mode=Info&amp;id=43146&amp;lvl=3&amp;lin=f&amp;keep=1&amp;srchmode=1&amp;unlock","43146")</f>
        <v>43146</v>
      </c>
      <c r="F2647" t="s">
        <v>760</v>
      </c>
      <c r="G2647" t="str">
        <f>HYPERLINK("http://www.ncbi.nlm.nih.gov/Taxonomy/Browser/wwwtax.cgi?mode=Info&amp;id=43146&amp;lvl=3&amp;lin=f&amp;keep=1&amp;srchmode=1&amp;unlock","Rhopalosiphum maidis")</f>
        <v>Rhopalosiphum maidis</v>
      </c>
      <c r="H2647" t="s">
        <v>975</v>
      </c>
      <c r="I2647" t="str">
        <f>HYPERLINK("http://www.ncbi.nlm.nih.gov/protein/XP_026820068.1","LOW QUALITY PROTEIN: ryanodine receptor")</f>
        <v>LOW QUALITY PROTEIN: ryanodine receptor</v>
      </c>
      <c r="J2647">
        <v>3016.87</v>
      </c>
      <c r="K2647" t="s">
        <v>19</v>
      </c>
      <c r="L2647">
        <v>1210</v>
      </c>
      <c r="M2647">
        <v>7.13</v>
      </c>
      <c r="N2647">
        <v>29.4</v>
      </c>
      <c r="O2647" t="s">
        <v>19</v>
      </c>
      <c r="P2647" t="s">
        <v>1267</v>
      </c>
      <c r="Q2647" t="s">
        <v>19</v>
      </c>
      <c r="R2647" t="str">
        <f>HYPERLINK("https://cfpub.epa.gov/ecotox/explore.cfm?ncbi=43146","Explore in ECOTOX")</f>
        <v>Explore in ECOTOX</v>
      </c>
    </row>
    <row r="2648" spans="1:18" x14ac:dyDescent="0.45">
      <c r="A2648" t="s">
        <v>1266</v>
      </c>
      <c r="B2648">
        <v>8</v>
      </c>
      <c r="C2648" t="str">
        <f>HYPERLINK("http://www.ncbi.nlm.nih.gov/protein/XP_022252763.1","XP_022252763.1")</f>
        <v>XP_022252763.1</v>
      </c>
      <c r="D2648">
        <v>39085</v>
      </c>
      <c r="E2648" t="str">
        <f>HYPERLINK("http://www.ncbi.nlm.nih.gov/Taxonomy/Browser/wwwtax.cgi?mode=Info&amp;id=6850&amp;lvl=3&amp;lin=f&amp;keep=1&amp;srchmode=1&amp;unlock","6850")</f>
        <v>6850</v>
      </c>
      <c r="F2648" t="s">
        <v>981</v>
      </c>
      <c r="G2648" t="str">
        <f>HYPERLINK("http://www.ncbi.nlm.nih.gov/Taxonomy/Browser/wwwtax.cgi?mode=Info&amp;id=6850&amp;lvl=3&amp;lin=f&amp;keep=1&amp;srchmode=1&amp;unlock","Limulus polyphemus")</f>
        <v>Limulus polyphemus</v>
      </c>
      <c r="H2648" t="s">
        <v>982</v>
      </c>
      <c r="I2648" t="str">
        <f>HYPERLINK("http://www.ncbi.nlm.nih.gov/protein/XP_022252763.1","ryanodine receptor-like, partial")</f>
        <v>ryanodine receptor-like, partial</v>
      </c>
      <c r="J2648">
        <v>3016.48</v>
      </c>
      <c r="K2648" t="s">
        <v>19</v>
      </c>
      <c r="L2648">
        <v>1210</v>
      </c>
      <c r="M2648">
        <v>7.13</v>
      </c>
      <c r="N2648">
        <v>29.39</v>
      </c>
      <c r="O2648" t="s">
        <v>19</v>
      </c>
      <c r="P2648" t="s">
        <v>1267</v>
      </c>
      <c r="Q2648" t="s">
        <v>19</v>
      </c>
      <c r="R2648" t="str">
        <f>HYPERLINK("https://cfpub.epa.gov/ecotox/explore.cfm?ncbi=6850","Explore in ECOTOX")</f>
        <v>Explore in ECOTOX</v>
      </c>
    </row>
    <row r="2649" spans="1:18" x14ac:dyDescent="0.45">
      <c r="A2649" t="s">
        <v>1266</v>
      </c>
      <c r="B2649">
        <v>8</v>
      </c>
      <c r="C2649" t="str">
        <f>HYPERLINK("http://www.ncbi.nlm.nih.gov/protein/KAJ8665342.1","KAJ8665342.1")</f>
        <v>KAJ8665342.1</v>
      </c>
      <c r="D2649">
        <v>24319</v>
      </c>
      <c r="E2649" t="str">
        <f>HYPERLINK("http://www.ncbi.nlm.nih.gov/Taxonomy/Browser/wwwtax.cgi?mode=Info&amp;id=131215&amp;lvl=3&amp;lin=f&amp;keep=1&amp;srchmode=1&amp;unlock","131215")</f>
        <v>131215</v>
      </c>
      <c r="F2649" t="s">
        <v>760</v>
      </c>
      <c r="G2649" t="str">
        <f>HYPERLINK("http://www.ncbi.nlm.nih.gov/Taxonomy/Browser/wwwtax.cgi?mode=Info&amp;id=131215&amp;lvl=3&amp;lin=f&amp;keep=1&amp;srchmode=1&amp;unlock","Eretmocerus hayati")</f>
        <v>Eretmocerus hayati</v>
      </c>
      <c r="H2649" t="s">
        <v>769</v>
      </c>
      <c r="I2649" t="str">
        <f>HYPERLINK("http://www.ncbi.nlm.nih.gov/protein/KAJ8665342.1","hypothetical protein QAD02_007004, partial")</f>
        <v>hypothetical protein QAD02_007004, partial</v>
      </c>
      <c r="J2649">
        <v>3014.17</v>
      </c>
      <c r="K2649" t="s">
        <v>22</v>
      </c>
      <c r="L2649">
        <v>1210</v>
      </c>
      <c r="M2649">
        <v>7.13</v>
      </c>
      <c r="N2649">
        <v>29.37</v>
      </c>
      <c r="O2649" t="s">
        <v>19</v>
      </c>
      <c r="P2649" t="s">
        <v>1267</v>
      </c>
      <c r="Q2649" t="s">
        <v>19</v>
      </c>
      <c r="R2649" t="str">
        <f>HYPERLINK("https://cfpub.epa.gov/ecotox/explore.cfm?ncbi=131215","Explore in ECOTOX")</f>
        <v>Explore in ECOTOX</v>
      </c>
    </row>
    <row r="2650" spans="1:18" x14ac:dyDescent="0.45">
      <c r="A2650" t="s">
        <v>1266</v>
      </c>
      <c r="B2650">
        <v>8</v>
      </c>
      <c r="C2650" t="str">
        <f>HYPERLINK("http://www.ncbi.nlm.nih.gov/protein/XP_030368904.1","XP_030368904.1")</f>
        <v>XP_030368904.1</v>
      </c>
      <c r="D2650">
        <v>19881</v>
      </c>
      <c r="E2650" t="str">
        <f>HYPERLINK("http://www.ncbi.nlm.nih.gov/Taxonomy/Browser/wwwtax.cgi?mode=Info&amp;id=7225&amp;lvl=3&amp;lin=f&amp;keep=1&amp;srchmode=1&amp;unlock","7225")</f>
        <v>7225</v>
      </c>
      <c r="F2650" t="s">
        <v>760</v>
      </c>
      <c r="G2650" t="str">
        <f>HYPERLINK("http://www.ncbi.nlm.nih.gov/Taxonomy/Browser/wwwtax.cgi?mode=Info&amp;id=7225&amp;lvl=3&amp;lin=f&amp;keep=1&amp;srchmode=1&amp;unlock","Scaptodrosophila lebanonensis")</f>
        <v>Scaptodrosophila lebanonensis</v>
      </c>
      <c r="H2650" t="s">
        <v>984</v>
      </c>
      <c r="I2650" t="str">
        <f>HYPERLINK("http://www.ncbi.nlm.nih.gov/protein/XP_030368904.1","ryanodine receptor isoform X14")</f>
        <v>ryanodine receptor isoform X14</v>
      </c>
      <c r="J2650">
        <v>3014.17</v>
      </c>
      <c r="K2650" t="s">
        <v>19</v>
      </c>
      <c r="L2650">
        <v>1210</v>
      </c>
      <c r="M2650">
        <v>7.13</v>
      </c>
      <c r="N2650">
        <v>29.37</v>
      </c>
      <c r="O2650" t="s">
        <v>19</v>
      </c>
      <c r="P2650" t="s">
        <v>1267</v>
      </c>
      <c r="Q2650" t="s">
        <v>19</v>
      </c>
      <c r="R2650" t="str">
        <f>HYPERLINK("https://cfpub.epa.gov/ecotox/explore.cfm?ncbi=7225","Explore in ECOTOX")</f>
        <v>Explore in ECOTOX</v>
      </c>
    </row>
    <row r="2651" spans="1:18" x14ac:dyDescent="0.45">
      <c r="A2651" t="s">
        <v>1266</v>
      </c>
      <c r="B2651">
        <v>8</v>
      </c>
      <c r="C2651" t="str">
        <f>HYPERLINK("http://www.ncbi.nlm.nih.gov/protein/XP_043461897.1","XP_043461897.1")</f>
        <v>XP_043461897.1</v>
      </c>
      <c r="D2651">
        <v>24681</v>
      </c>
      <c r="E2651" t="str">
        <f>HYPERLINK("http://www.ncbi.nlm.nih.gov/Taxonomy/Browser/wwwtax.cgi?mode=Info&amp;id=63436&amp;lvl=3&amp;lin=f&amp;keep=1&amp;srchmode=1&amp;unlock","63436")</f>
        <v>63436</v>
      </c>
      <c r="F2651" t="s">
        <v>760</v>
      </c>
      <c r="G2651" t="str">
        <f>HYPERLINK("http://www.ncbi.nlm.nih.gov/Taxonomy/Browser/wwwtax.cgi?mode=Info&amp;id=63436&amp;lvl=3&amp;lin=f&amp;keep=1&amp;srchmode=1&amp;unlock","Leptopilina heterotoma")</f>
        <v>Leptopilina heterotoma</v>
      </c>
      <c r="H2651" t="s">
        <v>769</v>
      </c>
      <c r="I2651" t="str">
        <f>HYPERLINK("http://www.ncbi.nlm.nih.gov/protein/XP_043461897.1","ryanodine receptor isoform X13")</f>
        <v>ryanodine receptor isoform X13</v>
      </c>
      <c r="J2651">
        <v>3013.4</v>
      </c>
      <c r="K2651" t="s">
        <v>22</v>
      </c>
      <c r="L2651">
        <v>1210</v>
      </c>
      <c r="M2651">
        <v>7.13</v>
      </c>
      <c r="N2651">
        <v>29.36</v>
      </c>
      <c r="O2651" t="s">
        <v>19</v>
      </c>
      <c r="P2651" t="s">
        <v>1267</v>
      </c>
      <c r="Q2651" t="s">
        <v>19</v>
      </c>
      <c r="R2651" t="str">
        <f>HYPERLINK("https://cfpub.epa.gov/ecotox/explore.cfm?ncbi=63436","Explore in ECOTOX")</f>
        <v>Explore in ECOTOX</v>
      </c>
    </row>
    <row r="2652" spans="1:18" x14ac:dyDescent="0.45">
      <c r="A2652" t="s">
        <v>1266</v>
      </c>
      <c r="B2652">
        <v>8</v>
      </c>
      <c r="C2652" t="str">
        <f>HYPERLINK("http://www.ncbi.nlm.nih.gov/protein/XP_053596709.1","XP_053596709.1")</f>
        <v>XP_053596709.1</v>
      </c>
      <c r="D2652">
        <v>20440</v>
      </c>
      <c r="E2652" t="str">
        <f>HYPERLINK("http://www.ncbi.nlm.nih.gov/Taxonomy/Browser/wwwtax.cgi?mode=Info&amp;id=69319&amp;lvl=3&amp;lin=f&amp;keep=1&amp;srchmode=1&amp;unlock","69319")</f>
        <v>69319</v>
      </c>
      <c r="F2652" t="s">
        <v>760</v>
      </c>
      <c r="G2652" t="str">
        <f>HYPERLINK("http://www.ncbi.nlm.nih.gov/Taxonomy/Browser/wwwtax.cgi?mode=Info&amp;id=69319&amp;lvl=3&amp;lin=f&amp;keep=1&amp;srchmode=1&amp;unlock","Microplitis demolitor")</f>
        <v>Microplitis demolitor</v>
      </c>
      <c r="H2652" t="s">
        <v>769</v>
      </c>
      <c r="I2652" t="str">
        <f>HYPERLINK("http://www.ncbi.nlm.nih.gov/protein/XP_053596709.1","ryanodine receptor isoform X3")</f>
        <v>ryanodine receptor isoform X3</v>
      </c>
      <c r="J2652">
        <v>3013.02</v>
      </c>
      <c r="K2652" t="s">
        <v>22</v>
      </c>
      <c r="L2652">
        <v>1210</v>
      </c>
      <c r="M2652">
        <v>7.13</v>
      </c>
      <c r="N2652">
        <v>29.36</v>
      </c>
      <c r="O2652" t="s">
        <v>19</v>
      </c>
      <c r="P2652" t="s">
        <v>1267</v>
      </c>
      <c r="Q2652" t="s">
        <v>19</v>
      </c>
      <c r="R2652" t="str">
        <f>HYPERLINK("https://cfpub.epa.gov/ecotox/explore.cfm?ncbi=69319","Explore in ECOTOX")</f>
        <v>Explore in ECOTOX</v>
      </c>
    </row>
    <row r="2653" spans="1:18" x14ac:dyDescent="0.45">
      <c r="A2653" t="s">
        <v>1266</v>
      </c>
      <c r="B2653">
        <v>8</v>
      </c>
      <c r="C2653" t="str">
        <f>HYPERLINK("http://www.ncbi.nlm.nih.gov/protein/XP_040073761.2","XP_040073761.2")</f>
        <v>XP_040073761.2</v>
      </c>
      <c r="D2653">
        <v>55881</v>
      </c>
      <c r="E2653" t="str">
        <f>HYPERLINK("http://www.ncbi.nlm.nih.gov/Taxonomy/Browser/wwwtax.cgi?mode=Info&amp;id=6945&amp;lvl=3&amp;lin=f&amp;keep=1&amp;srchmode=1&amp;unlock","6945")</f>
        <v>6945</v>
      </c>
      <c r="F2653" t="s">
        <v>904</v>
      </c>
      <c r="G2653" t="str">
        <f>HYPERLINK("http://www.ncbi.nlm.nih.gov/Taxonomy/Browser/wwwtax.cgi?mode=Info&amp;id=6945&amp;lvl=3&amp;lin=f&amp;keep=1&amp;srchmode=1&amp;unlock","Ixodes scapularis")</f>
        <v>Ixodes scapularis</v>
      </c>
      <c r="H2653" t="s">
        <v>969</v>
      </c>
      <c r="I2653" t="str">
        <f>HYPERLINK("http://www.ncbi.nlm.nih.gov/protein/XP_040073761.2","ryanodine receptor")</f>
        <v>ryanodine receptor</v>
      </c>
      <c r="J2653">
        <v>3011.48</v>
      </c>
      <c r="K2653" t="s">
        <v>22</v>
      </c>
      <c r="L2653">
        <v>1210</v>
      </c>
      <c r="M2653">
        <v>7.13</v>
      </c>
      <c r="N2653">
        <v>29.34</v>
      </c>
      <c r="O2653" t="s">
        <v>19</v>
      </c>
      <c r="P2653" t="s">
        <v>1267</v>
      </c>
      <c r="Q2653" t="s">
        <v>19</v>
      </c>
      <c r="R2653" t="str">
        <f>HYPERLINK("https://cfpub.epa.gov/ecotox/explore.cfm?ncbi=6945","Explore in ECOTOX")</f>
        <v>Explore in ECOTOX</v>
      </c>
    </row>
    <row r="2654" spans="1:18" x14ac:dyDescent="0.45">
      <c r="A2654" t="s">
        <v>1266</v>
      </c>
      <c r="B2654">
        <v>8</v>
      </c>
      <c r="C2654" t="str">
        <f>HYPERLINK("http://www.ncbi.nlm.nih.gov/protein/XP_037033206.1","XP_037033206.1")</f>
        <v>XP_037033206.1</v>
      </c>
      <c r="D2654">
        <v>28500</v>
      </c>
      <c r="E2654" t="str">
        <f>HYPERLINK("http://www.ncbi.nlm.nih.gov/Taxonomy/Browser/wwwtax.cgi?mode=Info&amp;id=38358&amp;lvl=3&amp;lin=f&amp;keep=1&amp;srchmode=1&amp;unlock","38358")</f>
        <v>38358</v>
      </c>
      <c r="F2654" t="s">
        <v>760</v>
      </c>
      <c r="G2654" t="str">
        <f>HYPERLINK("http://www.ncbi.nlm.nih.gov/Taxonomy/Browser/wwwtax.cgi?mode=Info&amp;id=38358&amp;lvl=3&amp;lin=f&amp;keep=1&amp;srchmode=1&amp;unlock","Bradysia coprophila")</f>
        <v>Bradysia coprophila</v>
      </c>
      <c r="H2654" t="s">
        <v>1096</v>
      </c>
      <c r="I2654" t="str">
        <f>HYPERLINK("http://www.ncbi.nlm.nih.gov/protein/XP_037033206.1","ryanodine receptor isoform X4")</f>
        <v>ryanodine receptor isoform X4</v>
      </c>
      <c r="J2654">
        <v>3009.94</v>
      </c>
      <c r="K2654" t="s">
        <v>19</v>
      </c>
      <c r="L2654">
        <v>1210</v>
      </c>
      <c r="M2654">
        <v>7.13</v>
      </c>
      <c r="N2654">
        <v>29.33</v>
      </c>
      <c r="O2654" t="s">
        <v>19</v>
      </c>
      <c r="P2654" t="s">
        <v>1267</v>
      </c>
      <c r="Q2654" t="s">
        <v>19</v>
      </c>
      <c r="R2654" t="str">
        <f>HYPERLINK("https://cfpub.epa.gov/ecotox/explore.cfm?ncbi=38358","Explore in ECOTOX")</f>
        <v>Explore in ECOTOX</v>
      </c>
    </row>
    <row r="2655" spans="1:18" x14ac:dyDescent="0.45">
      <c r="A2655" t="s">
        <v>1266</v>
      </c>
      <c r="B2655">
        <v>8</v>
      </c>
      <c r="C2655" t="str">
        <f>HYPERLINK("http://www.ncbi.nlm.nih.gov/protein/XP_057319087.1","XP_057319087.1")</f>
        <v>XP_057319087.1</v>
      </c>
      <c r="D2655">
        <v>24802</v>
      </c>
      <c r="E2655" t="str">
        <f>HYPERLINK("http://www.ncbi.nlm.nih.gov/Taxonomy/Browser/wwwtax.cgi?mode=Info&amp;id=375433&amp;lvl=3&amp;lin=f&amp;keep=1&amp;srchmode=1&amp;unlock","375433")</f>
        <v>375433</v>
      </c>
      <c r="F2655" t="s">
        <v>760</v>
      </c>
      <c r="G2655" t="str">
        <f>HYPERLINK("http://www.ncbi.nlm.nih.gov/Taxonomy/Browser/wwwtax.cgi?mode=Info&amp;id=375433&amp;lvl=3&amp;lin=f&amp;keep=1&amp;srchmode=1&amp;unlock","Microplitis mediator")</f>
        <v>Microplitis mediator</v>
      </c>
      <c r="H2655" t="s">
        <v>769</v>
      </c>
      <c r="I2655" t="str">
        <f>HYPERLINK("http://www.ncbi.nlm.nih.gov/protein/XP_057319087.1","ryanodine receptor isoform X8")</f>
        <v>ryanodine receptor isoform X8</v>
      </c>
      <c r="J2655">
        <v>3004.16</v>
      </c>
      <c r="K2655" t="s">
        <v>19</v>
      </c>
      <c r="L2655">
        <v>1210</v>
      </c>
      <c r="M2655">
        <v>7.13</v>
      </c>
      <c r="N2655">
        <v>29.27</v>
      </c>
      <c r="O2655" t="s">
        <v>19</v>
      </c>
      <c r="P2655" t="s">
        <v>1267</v>
      </c>
      <c r="Q2655" t="s">
        <v>19</v>
      </c>
      <c r="R2655" t="str">
        <f>HYPERLINK("https://cfpub.epa.gov/ecotox/explore.cfm?ncbi=375433","Explore in ECOTOX")</f>
        <v>Explore in ECOTOX</v>
      </c>
    </row>
    <row r="2656" spans="1:18" x14ac:dyDescent="0.45">
      <c r="A2656" t="s">
        <v>1266</v>
      </c>
      <c r="B2656">
        <v>8</v>
      </c>
      <c r="C2656" t="str">
        <f>HYPERLINK("http://www.ncbi.nlm.nih.gov/protein/NP_001310043.1","NP_001310043.1")</f>
        <v>NP_001310043.1</v>
      </c>
      <c r="D2656">
        <v>16497</v>
      </c>
      <c r="E2656" t="str">
        <f>HYPERLINK("http://www.ncbi.nlm.nih.gov/Taxonomy/Browser/wwwtax.cgi?mode=Info&amp;id=32264&amp;lvl=3&amp;lin=f&amp;keep=1&amp;srchmode=1&amp;unlock","32264")</f>
        <v>32264</v>
      </c>
      <c r="F2656" t="s">
        <v>904</v>
      </c>
      <c r="G2656" t="str">
        <f>HYPERLINK("http://www.ncbi.nlm.nih.gov/Taxonomy/Browser/wwwtax.cgi?mode=Info&amp;id=32264&amp;lvl=3&amp;lin=f&amp;keep=1&amp;srchmode=1&amp;unlock","Tetranychus urticae")</f>
        <v>Tetranychus urticae</v>
      </c>
      <c r="H2656" t="s">
        <v>986</v>
      </c>
      <c r="I2656" t="str">
        <f>HYPERLINK("http://www.ncbi.nlm.nih.gov/protein/NP_001310043.1","ryanodine receptor-like")</f>
        <v>ryanodine receptor-like</v>
      </c>
      <c r="J2656">
        <v>3000.31</v>
      </c>
      <c r="K2656" t="s">
        <v>19</v>
      </c>
      <c r="L2656">
        <v>1210</v>
      </c>
      <c r="M2656">
        <v>7.13</v>
      </c>
      <c r="N2656">
        <v>29.23</v>
      </c>
      <c r="O2656" t="s">
        <v>19</v>
      </c>
      <c r="P2656" t="s">
        <v>1267</v>
      </c>
      <c r="Q2656" t="s">
        <v>19</v>
      </c>
      <c r="R2656" t="str">
        <f>HYPERLINK("https://cfpub.epa.gov/ecotox/explore.cfm?ncbi=32264","Explore in ECOTOX")</f>
        <v>Explore in ECOTOX</v>
      </c>
    </row>
    <row r="2657" spans="1:18" x14ac:dyDescent="0.45">
      <c r="A2657" t="s">
        <v>1266</v>
      </c>
      <c r="B2657">
        <v>8</v>
      </c>
      <c r="C2657" t="str">
        <f>HYPERLINK("http://www.ncbi.nlm.nih.gov/protein/XP_051156434.1","XP_051156434.1")</f>
        <v>XP_051156434.1</v>
      </c>
      <c r="D2657">
        <v>23915</v>
      </c>
      <c r="E2657" t="str">
        <f>HYPERLINK("http://www.ncbi.nlm.nih.gov/Taxonomy/Browser/wwwtax.cgi?mode=Info&amp;id=63433&amp;lvl=3&amp;lin=f&amp;keep=1&amp;srchmode=1&amp;unlock","63433")</f>
        <v>63433</v>
      </c>
      <c r="F2657" t="s">
        <v>760</v>
      </c>
      <c r="G2657" t="str">
        <f>HYPERLINK("http://www.ncbi.nlm.nih.gov/Taxonomy/Browser/wwwtax.cgi?mode=Info&amp;id=63433&amp;lvl=3&amp;lin=f&amp;keep=1&amp;srchmode=1&amp;unlock","Leptopilina boulardi")</f>
        <v>Leptopilina boulardi</v>
      </c>
      <c r="H2657" t="s">
        <v>769</v>
      </c>
      <c r="I2657" t="str">
        <f>HYPERLINK("http://www.ncbi.nlm.nih.gov/protein/XP_051156434.1","ryanodine receptor isoform X5")</f>
        <v>ryanodine receptor isoform X5</v>
      </c>
      <c r="J2657">
        <v>2999.53</v>
      </c>
      <c r="K2657" t="s">
        <v>19</v>
      </c>
      <c r="L2657">
        <v>1210</v>
      </c>
      <c r="M2657">
        <v>7.13</v>
      </c>
      <c r="N2657">
        <v>29.23</v>
      </c>
      <c r="O2657" t="s">
        <v>19</v>
      </c>
      <c r="P2657" t="s">
        <v>1267</v>
      </c>
      <c r="Q2657" t="s">
        <v>19</v>
      </c>
      <c r="R2657" t="str">
        <f>HYPERLINK("https://cfpub.epa.gov/ecotox/explore.cfm?ncbi=63433","Explore in ECOTOX")</f>
        <v>Explore in ECOTOX</v>
      </c>
    </row>
    <row r="2658" spans="1:18" x14ac:dyDescent="0.45">
      <c r="A2658" t="s">
        <v>1266</v>
      </c>
      <c r="B2658">
        <v>8</v>
      </c>
      <c r="C2658" t="str">
        <f>HYPERLINK("http://www.ncbi.nlm.nih.gov/protein/CAB0033167.1","CAB0033167.1")</f>
        <v>CAB0033167.1</v>
      </c>
      <c r="D2658">
        <v>16955</v>
      </c>
      <c r="E2658" t="str">
        <f>HYPERLINK("http://www.ncbi.nlm.nih.gov/Taxonomy/Browser/wwwtax.cgi?mode=Info&amp;id=86971&amp;lvl=3&amp;lin=f&amp;keep=1&amp;srchmode=1&amp;unlock","86971")</f>
        <v>86971</v>
      </c>
      <c r="F2658" t="s">
        <v>760</v>
      </c>
      <c r="G2658" t="str">
        <f>HYPERLINK("http://www.ncbi.nlm.nih.gov/Taxonomy/Browser/wwwtax.cgi?mode=Info&amp;id=86971&amp;lvl=3&amp;lin=f&amp;keep=1&amp;srchmode=1&amp;unlock","Trichogramma brassicae")</f>
        <v>Trichogramma brassicae</v>
      </c>
      <c r="H2658" t="s">
        <v>947</v>
      </c>
      <c r="I2658" t="str">
        <f>HYPERLINK("http://www.ncbi.nlm.nih.gov/protein/CAB0033167.1","unnamed protein product")</f>
        <v>unnamed protein product</v>
      </c>
      <c r="J2658">
        <v>2997.61</v>
      </c>
      <c r="K2658" t="s">
        <v>22</v>
      </c>
      <c r="L2658">
        <v>1210</v>
      </c>
      <c r="M2658">
        <v>7.13</v>
      </c>
      <c r="N2658">
        <v>29.21</v>
      </c>
      <c r="O2658" t="s">
        <v>19</v>
      </c>
      <c r="P2658" t="s">
        <v>1267</v>
      </c>
      <c r="Q2658" t="s">
        <v>19</v>
      </c>
      <c r="R2658" t="str">
        <f>HYPERLINK("https://cfpub.epa.gov/ecotox/explore.cfm?ncbi=86971","Explore in ECOTOX")</f>
        <v>Explore in ECOTOX</v>
      </c>
    </row>
    <row r="2659" spans="1:18" x14ac:dyDescent="0.45">
      <c r="A2659" t="s">
        <v>1266</v>
      </c>
      <c r="B2659">
        <v>8</v>
      </c>
      <c r="C2659" t="str">
        <f>HYPERLINK("http://www.ncbi.nlm.nih.gov/protein/XP_031640514.1","XP_031640514.1")</f>
        <v>XP_031640514.1</v>
      </c>
      <c r="D2659">
        <v>24977</v>
      </c>
      <c r="E2659" t="str">
        <f>HYPERLINK("http://www.ncbi.nlm.nih.gov/Taxonomy/Browser/wwwtax.cgi?mode=Info&amp;id=265458&amp;lvl=3&amp;lin=f&amp;keep=1&amp;srchmode=1&amp;unlock","265458")</f>
        <v>265458</v>
      </c>
      <c r="F2659" t="s">
        <v>760</v>
      </c>
      <c r="G2659" t="str">
        <f>HYPERLINK("http://www.ncbi.nlm.nih.gov/Taxonomy/Browser/wwwtax.cgi?mode=Info&amp;id=265458&amp;lvl=3&amp;lin=f&amp;keep=1&amp;srchmode=1&amp;unlock","Contarinia nasturtii")</f>
        <v>Contarinia nasturtii</v>
      </c>
      <c r="H2659" t="s">
        <v>993</v>
      </c>
      <c r="I2659" t="str">
        <f>HYPERLINK("http://www.ncbi.nlm.nih.gov/protein/XP_031640514.1","ryanodine receptor isoform X6")</f>
        <v>ryanodine receptor isoform X6</v>
      </c>
      <c r="J2659">
        <v>2997.22</v>
      </c>
      <c r="K2659" t="s">
        <v>19</v>
      </c>
      <c r="L2659">
        <v>1210</v>
      </c>
      <c r="M2659">
        <v>7.13</v>
      </c>
      <c r="N2659">
        <v>29.2</v>
      </c>
      <c r="O2659" t="s">
        <v>19</v>
      </c>
      <c r="P2659" t="s">
        <v>1267</v>
      </c>
      <c r="Q2659" t="s">
        <v>19</v>
      </c>
      <c r="R2659" t="str">
        <f>HYPERLINK("https://cfpub.epa.gov/ecotox/explore.cfm?ncbi=265458","Explore in ECOTOX")</f>
        <v>Explore in ECOTOX</v>
      </c>
    </row>
    <row r="2660" spans="1:18" x14ac:dyDescent="0.45">
      <c r="A2660" t="s">
        <v>1266</v>
      </c>
      <c r="B2660">
        <v>8</v>
      </c>
      <c r="C2660" t="str">
        <f>HYPERLINK("http://www.ncbi.nlm.nih.gov/protein/XP_012217225.1","XP_012217225.1")</f>
        <v>XP_012217225.1</v>
      </c>
      <c r="D2660">
        <v>21847</v>
      </c>
      <c r="E2660" t="str">
        <f>HYPERLINK("http://www.ncbi.nlm.nih.gov/Taxonomy/Browser/wwwtax.cgi?mode=Info&amp;id=83485&amp;lvl=3&amp;lin=f&amp;keep=1&amp;srchmode=1&amp;unlock","83485")</f>
        <v>83485</v>
      </c>
      <c r="F2660" t="s">
        <v>760</v>
      </c>
      <c r="G2660" t="str">
        <f>HYPERLINK("http://www.ncbi.nlm.nih.gov/Taxonomy/Browser/wwwtax.cgi?mode=Info&amp;id=83485&amp;lvl=3&amp;lin=f&amp;keep=1&amp;srchmode=1&amp;unlock","Linepithema humile")</f>
        <v>Linepithema humile</v>
      </c>
      <c r="H2660" t="s">
        <v>1071</v>
      </c>
      <c r="I2660" t="str">
        <f>HYPERLINK("http://www.ncbi.nlm.nih.gov/protein/XP_012217225.1","PREDICTED: LOW QUALITY PROTEIN: ryanodine receptor 44F")</f>
        <v>PREDICTED: LOW QUALITY PROTEIN: ryanodine receptor 44F</v>
      </c>
      <c r="J2660">
        <v>2996.07</v>
      </c>
      <c r="K2660" t="s">
        <v>22</v>
      </c>
      <c r="L2660">
        <v>1210</v>
      </c>
      <c r="M2660">
        <v>7.13</v>
      </c>
      <c r="N2660">
        <v>29.19</v>
      </c>
      <c r="O2660" t="s">
        <v>19</v>
      </c>
      <c r="P2660" t="s">
        <v>1267</v>
      </c>
      <c r="Q2660" t="s">
        <v>19</v>
      </c>
      <c r="R2660" t="str">
        <f>HYPERLINK("https://cfpub.epa.gov/ecotox/explore.cfm?ncbi=83485","Explore in ECOTOX")</f>
        <v>Explore in ECOTOX</v>
      </c>
    </row>
    <row r="2661" spans="1:18" x14ac:dyDescent="0.45">
      <c r="A2661" t="s">
        <v>1266</v>
      </c>
      <c r="B2661">
        <v>8</v>
      </c>
      <c r="C2661" t="str">
        <f>HYPERLINK("http://www.ncbi.nlm.nih.gov/protein/TGZ51927.1","TGZ51927.1")</f>
        <v>TGZ51927.1</v>
      </c>
      <c r="D2661">
        <v>13123</v>
      </c>
      <c r="E2661" t="str">
        <f>HYPERLINK("http://www.ncbi.nlm.nih.gov/Taxonomy/Browser/wwwtax.cgi?mode=Info&amp;id=300112&amp;lvl=3&amp;lin=f&amp;keep=1&amp;srchmode=1&amp;unlock","300112")</f>
        <v>300112</v>
      </c>
      <c r="F2661" t="s">
        <v>760</v>
      </c>
      <c r="G2661" t="str">
        <f>HYPERLINK("http://www.ncbi.nlm.nih.gov/Taxonomy/Browser/wwwtax.cgi?mode=Info&amp;id=300112&amp;lvl=3&amp;lin=f&amp;keep=1&amp;srchmode=1&amp;unlock","Temnothorax longispinosus")</f>
        <v>Temnothorax longispinosus</v>
      </c>
      <c r="H2661" t="s">
        <v>769</v>
      </c>
      <c r="I2661" t="str">
        <f>HYPERLINK("http://www.ncbi.nlm.nih.gov/protein/TGZ51927.1","Ryanodine receptor 44F")</f>
        <v>Ryanodine receptor 44F</v>
      </c>
      <c r="J2661">
        <v>2996.07</v>
      </c>
      <c r="K2661" t="s">
        <v>22</v>
      </c>
      <c r="L2661">
        <v>1210</v>
      </c>
      <c r="M2661">
        <v>7.13</v>
      </c>
      <c r="N2661">
        <v>29.19</v>
      </c>
      <c r="O2661" t="s">
        <v>19</v>
      </c>
      <c r="P2661" t="s">
        <v>1267</v>
      </c>
      <c r="Q2661" t="s">
        <v>19</v>
      </c>
      <c r="R2661" t="str">
        <f>HYPERLINK("https://cfpub.epa.gov/ecotox/explore.cfm?ncbi=300112","Explore in ECOTOX")</f>
        <v>Explore in ECOTOX</v>
      </c>
    </row>
    <row r="2662" spans="1:18" x14ac:dyDescent="0.45">
      <c r="A2662" t="s">
        <v>1266</v>
      </c>
      <c r="B2662">
        <v>8</v>
      </c>
      <c r="C2662" t="str">
        <f>HYPERLINK("http://www.ncbi.nlm.nih.gov/protein/TMW46794.1","TMW46794.1")</f>
        <v>TMW46794.1</v>
      </c>
      <c r="D2662">
        <v>15895</v>
      </c>
      <c r="E2662" t="str">
        <f>HYPERLINK("http://www.ncbi.nlm.nih.gov/Taxonomy/Browser/wwwtax.cgi?mode=Info&amp;id=7385&amp;lvl=3&amp;lin=f&amp;keep=1&amp;srchmode=1&amp;unlock","7385")</f>
        <v>7385</v>
      </c>
      <c r="F2662" t="s">
        <v>760</v>
      </c>
      <c r="G2662" t="str">
        <f>HYPERLINK("http://www.ncbi.nlm.nih.gov/Taxonomy/Browser/wwwtax.cgi?mode=Info&amp;id=7385&amp;lvl=3&amp;lin=f&amp;keep=1&amp;srchmode=1&amp;unlock","Sarcophaga bullata")</f>
        <v>Sarcophaga bullata</v>
      </c>
      <c r="H2662" t="s">
        <v>994</v>
      </c>
      <c r="I2662" t="str">
        <f>HYPERLINK("http://www.ncbi.nlm.nih.gov/protein/TMW46794.1","hypothetical protein DOY81_008127, partial")</f>
        <v>hypothetical protein DOY81_008127, partial</v>
      </c>
      <c r="J2662">
        <v>2994.91</v>
      </c>
      <c r="K2662" t="s">
        <v>19</v>
      </c>
      <c r="L2662">
        <v>1210</v>
      </c>
      <c r="M2662">
        <v>7.13</v>
      </c>
      <c r="N2662">
        <v>29.18</v>
      </c>
      <c r="O2662" t="s">
        <v>19</v>
      </c>
      <c r="P2662" t="s">
        <v>1267</v>
      </c>
      <c r="Q2662" t="s">
        <v>19</v>
      </c>
      <c r="R2662" t="str">
        <f>HYPERLINK("https://cfpub.epa.gov/ecotox/explore.cfm?ncbi=7385","Explore in ECOTOX")</f>
        <v>Explore in ECOTOX</v>
      </c>
    </row>
    <row r="2663" spans="1:18" x14ac:dyDescent="0.45">
      <c r="A2663" t="s">
        <v>1266</v>
      </c>
      <c r="B2663">
        <v>8</v>
      </c>
      <c r="C2663" t="str">
        <f>HYPERLINK("http://www.ncbi.nlm.nih.gov/protein/XP_050322453.1","XP_050322453.1")</f>
        <v>XP_050322453.1</v>
      </c>
      <c r="D2663">
        <v>25676</v>
      </c>
      <c r="E2663" t="str">
        <f>HYPERLINK("http://www.ncbi.nlm.nih.gov/Taxonomy/Browser/wwwtax.cgi?mode=Info&amp;id=98809&amp;lvl=3&amp;lin=f&amp;keep=1&amp;srchmode=1&amp;unlock","98809")</f>
        <v>98809</v>
      </c>
      <c r="F2663" t="s">
        <v>760</v>
      </c>
      <c r="G2663" t="str">
        <f>HYPERLINK("http://www.ncbi.nlm.nih.gov/Taxonomy/Browser/wwwtax.cgi?mode=Info&amp;id=98809&amp;lvl=3&amp;lin=f&amp;keep=1&amp;srchmode=1&amp;unlock","Bactrocera neohumeralis")</f>
        <v>Bactrocera neohumeralis</v>
      </c>
      <c r="H2663" t="s">
        <v>953</v>
      </c>
      <c r="I2663" t="str">
        <f>HYPERLINK("http://www.ncbi.nlm.nih.gov/protein/XP_050322453.1","LOW QUALITY PROTEIN: ryanodine receptor")</f>
        <v>LOW QUALITY PROTEIN: ryanodine receptor</v>
      </c>
      <c r="J2663">
        <v>2994.91</v>
      </c>
      <c r="K2663" t="s">
        <v>19</v>
      </c>
      <c r="L2663">
        <v>1210</v>
      </c>
      <c r="M2663">
        <v>7.13</v>
      </c>
      <c r="N2663">
        <v>29.18</v>
      </c>
      <c r="O2663" t="s">
        <v>19</v>
      </c>
      <c r="P2663" t="s">
        <v>1267</v>
      </c>
      <c r="Q2663" t="s">
        <v>19</v>
      </c>
      <c r="R2663" t="str">
        <f>HYPERLINK("https://cfpub.epa.gov/ecotox/explore.cfm?ncbi=98809","Explore in ECOTOX")</f>
        <v>Explore in ECOTOX</v>
      </c>
    </row>
    <row r="2664" spans="1:18" x14ac:dyDescent="0.45">
      <c r="A2664" t="s">
        <v>1266</v>
      </c>
      <c r="B2664">
        <v>8</v>
      </c>
      <c r="C2664" t="str">
        <f>HYPERLINK("http://www.ncbi.nlm.nih.gov/protein/KAH8254374.1","KAH8254374.1")</f>
        <v>KAH8254374.1</v>
      </c>
      <c r="D2664">
        <v>12611</v>
      </c>
      <c r="E2664" t="str">
        <f>HYPERLINK("http://www.ncbi.nlm.nih.gov/Taxonomy/Browser/wwwtax.cgi?mode=Info&amp;id=46829&amp;lvl=3&amp;lin=f&amp;keep=1&amp;srchmode=1&amp;unlock","46829")</f>
        <v>46829</v>
      </c>
      <c r="F2664" t="s">
        <v>760</v>
      </c>
      <c r="G2664" t="str">
        <f>HYPERLINK("http://www.ncbi.nlm.nih.gov/Taxonomy/Browser/wwwtax.cgi?mode=Info&amp;id=46829&amp;lvl=3&amp;lin=f&amp;keep=1&amp;srchmode=1&amp;unlock","Drosophila birchii")</f>
        <v>Drosophila birchii</v>
      </c>
      <c r="H2664" t="s">
        <v>953</v>
      </c>
      <c r="I2664" t="str">
        <f>HYPERLINK("http://www.ncbi.nlm.nih.gov/protein/KAH8254374.1","hypothetical protein KR032_009708")</f>
        <v>hypothetical protein KR032_009708</v>
      </c>
      <c r="J2664">
        <v>2991.06</v>
      </c>
      <c r="K2664" t="s">
        <v>19</v>
      </c>
      <c r="L2664">
        <v>1210</v>
      </c>
      <c r="M2664">
        <v>7.13</v>
      </c>
      <c r="N2664">
        <v>29.14</v>
      </c>
      <c r="O2664" t="s">
        <v>19</v>
      </c>
      <c r="P2664" t="s">
        <v>1267</v>
      </c>
      <c r="Q2664" t="s">
        <v>19</v>
      </c>
      <c r="R2664" t="str">
        <f>HYPERLINK("https://cfpub.epa.gov/ecotox/explore.cfm?ncbi=46829","Explore in ECOTOX")</f>
        <v>Explore in ECOTOX</v>
      </c>
    </row>
    <row r="2665" spans="1:18" x14ac:dyDescent="0.45">
      <c r="A2665" t="s">
        <v>1266</v>
      </c>
      <c r="B2665">
        <v>8</v>
      </c>
      <c r="C2665" t="str">
        <f>HYPERLINK("http://www.ncbi.nlm.nih.gov/protein/KAK0170418.1","KAK0170418.1")</f>
        <v>KAK0170418.1</v>
      </c>
      <c r="D2665">
        <v>42615</v>
      </c>
      <c r="E2665" t="str">
        <f>HYPERLINK("http://www.ncbi.nlm.nih.gov/Taxonomy/Browser/wwwtax.cgi?mode=Info&amp;id=144406&amp;lvl=3&amp;lin=f&amp;keep=1&amp;srchmode=1&amp;unlock","144406")</f>
        <v>144406</v>
      </c>
      <c r="F2665" t="s">
        <v>760</v>
      </c>
      <c r="G2665" t="str">
        <f>HYPERLINK("http://www.ncbi.nlm.nih.gov/Taxonomy/Browser/wwwtax.cgi?mode=Info&amp;id=144406&amp;lvl=3&amp;lin=f&amp;keep=1&amp;srchmode=1&amp;unlock","Microctonus aethiopoides")</f>
        <v>Microctonus aethiopoides</v>
      </c>
      <c r="H2665" t="s">
        <v>769</v>
      </c>
      <c r="I2665" t="str">
        <f>HYPERLINK("http://www.ncbi.nlm.nih.gov/protein/KAK0170418.1","hypothetical protein PV328_010986")</f>
        <v>hypothetical protein PV328_010986</v>
      </c>
      <c r="J2665">
        <v>2991.06</v>
      </c>
      <c r="K2665" t="s">
        <v>19</v>
      </c>
      <c r="L2665">
        <v>1210</v>
      </c>
      <c r="M2665">
        <v>7.13</v>
      </c>
      <c r="N2665">
        <v>29.14</v>
      </c>
      <c r="O2665" t="s">
        <v>19</v>
      </c>
      <c r="P2665" t="s">
        <v>1267</v>
      </c>
      <c r="Q2665" t="s">
        <v>19</v>
      </c>
      <c r="R2665" t="str">
        <f>HYPERLINK("https://cfpub.epa.gov/ecotox/explore.cfm?ncbi=144406","Explore in ECOTOX")</f>
        <v>Explore in ECOTOX</v>
      </c>
    </row>
    <row r="2666" spans="1:18" x14ac:dyDescent="0.45">
      <c r="A2666" t="s">
        <v>1266</v>
      </c>
      <c r="B2666">
        <v>8</v>
      </c>
      <c r="C2666" t="str">
        <f>HYPERLINK("http://www.ncbi.nlm.nih.gov/protein/XP_017777975.1","XP_017777975.1")</f>
        <v>XP_017777975.1</v>
      </c>
      <c r="D2666">
        <v>19633</v>
      </c>
      <c r="E2666" t="str">
        <f>HYPERLINK("http://www.ncbi.nlm.nih.gov/Taxonomy/Browser/wwwtax.cgi?mode=Info&amp;id=110193&amp;lvl=3&amp;lin=f&amp;keep=1&amp;srchmode=1&amp;unlock","110193")</f>
        <v>110193</v>
      </c>
      <c r="F2666" t="s">
        <v>760</v>
      </c>
      <c r="G2666" t="str">
        <f>HYPERLINK("http://www.ncbi.nlm.nih.gov/Taxonomy/Browser/wwwtax.cgi?mode=Info&amp;id=110193&amp;lvl=3&amp;lin=f&amp;keep=1&amp;srchmode=1&amp;unlock","Nicrophorus vespilloides")</f>
        <v>Nicrophorus vespilloides</v>
      </c>
      <c r="H2666" t="s">
        <v>991</v>
      </c>
      <c r="I2666" t="str">
        <f>HYPERLINK("http://www.ncbi.nlm.nih.gov/protein/XP_017777975.1","PREDICTED: ryanodine receptor")</f>
        <v>PREDICTED: ryanodine receptor</v>
      </c>
      <c r="J2666">
        <v>2990.29</v>
      </c>
      <c r="K2666" t="s">
        <v>19</v>
      </c>
      <c r="L2666">
        <v>1210</v>
      </c>
      <c r="M2666">
        <v>7.13</v>
      </c>
      <c r="N2666">
        <v>29.14</v>
      </c>
      <c r="O2666" t="s">
        <v>19</v>
      </c>
      <c r="P2666" t="s">
        <v>1267</v>
      </c>
      <c r="Q2666" t="s">
        <v>19</v>
      </c>
      <c r="R2666" t="str">
        <f>HYPERLINK("https://cfpub.epa.gov/ecotox/explore.cfm?ncbi=110193","Explore in ECOTOX")</f>
        <v>Explore in ECOTOX</v>
      </c>
    </row>
    <row r="2667" spans="1:18" x14ac:dyDescent="0.45">
      <c r="A2667" t="s">
        <v>1266</v>
      </c>
      <c r="B2667">
        <v>8</v>
      </c>
      <c r="C2667" t="str">
        <f>HYPERLINK("http://www.ncbi.nlm.nih.gov/protein/XP_044590955.1","XP_044590955.1")</f>
        <v>XP_044590955.1</v>
      </c>
      <c r="D2667">
        <v>44566</v>
      </c>
      <c r="E2667" t="str">
        <f>HYPERLINK("http://www.ncbi.nlm.nih.gov/Taxonomy/Browser/wwwtax.cgi?mode=Info&amp;id=32391&amp;lvl=3&amp;lin=f&amp;keep=1&amp;srchmode=1&amp;unlock","32391")</f>
        <v>32391</v>
      </c>
      <c r="F2667" t="s">
        <v>760</v>
      </c>
      <c r="G2667" t="str">
        <f>HYPERLINK("http://www.ncbi.nlm.nih.gov/Taxonomy/Browser/wwwtax.cgi?mode=Info&amp;id=32391&amp;lvl=3&amp;lin=f&amp;keep=1&amp;srchmode=1&amp;unlock","Cotesia glomerata")</f>
        <v>Cotesia glomerata</v>
      </c>
      <c r="H2667" t="s">
        <v>769</v>
      </c>
      <c r="I2667" t="str">
        <f>HYPERLINK("http://www.ncbi.nlm.nih.gov/protein/XP_044590955.1","ryanodine receptor isoform X8")</f>
        <v>ryanodine receptor isoform X8</v>
      </c>
      <c r="J2667">
        <v>2987.98</v>
      </c>
      <c r="K2667" t="s">
        <v>22</v>
      </c>
      <c r="L2667">
        <v>1210</v>
      </c>
      <c r="M2667">
        <v>7.13</v>
      </c>
      <c r="N2667">
        <v>29.11</v>
      </c>
      <c r="O2667" t="s">
        <v>19</v>
      </c>
      <c r="P2667" t="s">
        <v>1267</v>
      </c>
      <c r="Q2667" t="s">
        <v>19</v>
      </c>
      <c r="R2667" t="str">
        <f>HYPERLINK("https://cfpub.epa.gov/ecotox/explore.cfm?ncbi=32391","Explore in ECOTOX")</f>
        <v>Explore in ECOTOX</v>
      </c>
    </row>
    <row r="2668" spans="1:18" x14ac:dyDescent="0.45">
      <c r="A2668" t="s">
        <v>1266</v>
      </c>
      <c r="B2668">
        <v>8</v>
      </c>
      <c r="C2668" t="str">
        <f>HYPERLINK("http://www.ncbi.nlm.nih.gov/protein/KAK0162053.1","KAK0162053.1")</f>
        <v>KAK0162053.1</v>
      </c>
      <c r="D2668">
        <v>12933</v>
      </c>
      <c r="E2668" t="str">
        <f>HYPERLINK("http://www.ncbi.nlm.nih.gov/Taxonomy/Browser/wwwtax.cgi?mode=Info&amp;id=165561&amp;lvl=3&amp;lin=f&amp;keep=1&amp;srchmode=1&amp;unlock","165561")</f>
        <v>165561</v>
      </c>
      <c r="F2668" t="s">
        <v>760</v>
      </c>
      <c r="G2668" t="str">
        <f>HYPERLINK("http://www.ncbi.nlm.nih.gov/Taxonomy/Browser/wwwtax.cgi?mode=Info&amp;id=165561&amp;lvl=3&amp;lin=f&amp;keep=1&amp;srchmode=1&amp;unlock","Microctonus hyperodae")</f>
        <v>Microctonus hyperodae</v>
      </c>
      <c r="H2668" t="s">
        <v>769</v>
      </c>
      <c r="I2668" t="str">
        <f>HYPERLINK("http://www.ncbi.nlm.nih.gov/protein/KAK0162053.1","hypothetical protein PV327_008421")</f>
        <v>hypothetical protein PV327_008421</v>
      </c>
      <c r="J2668">
        <v>2983.74</v>
      </c>
      <c r="K2668" t="s">
        <v>19</v>
      </c>
      <c r="L2668">
        <v>1210</v>
      </c>
      <c r="M2668">
        <v>7.13</v>
      </c>
      <c r="N2668">
        <v>29.07</v>
      </c>
      <c r="O2668" t="s">
        <v>19</v>
      </c>
      <c r="P2668" t="s">
        <v>1267</v>
      </c>
      <c r="Q2668" t="s">
        <v>19</v>
      </c>
      <c r="R2668" t="str">
        <f>HYPERLINK("https://cfpub.epa.gov/ecotox/explore.cfm?ncbi=165561","Explore in ECOTOX")</f>
        <v>Explore in ECOTOX</v>
      </c>
    </row>
    <row r="2669" spans="1:18" x14ac:dyDescent="0.45">
      <c r="A2669" t="s">
        <v>1266</v>
      </c>
      <c r="B2669">
        <v>8</v>
      </c>
      <c r="C2669" t="str">
        <f>HYPERLINK("http://www.ncbi.nlm.nih.gov/protein/WCO13211.1","WCO13211.1")</f>
        <v>WCO13211.1</v>
      </c>
      <c r="D2669">
        <v>151</v>
      </c>
      <c r="E2669" t="str">
        <f>HYPERLINK("http://www.ncbi.nlm.nih.gov/Taxonomy/Browser/wwwtax.cgi?mode=Info&amp;id=6717&amp;lvl=3&amp;lin=f&amp;keep=1&amp;srchmode=1&amp;unlock","6717")</f>
        <v>6717</v>
      </c>
      <c r="F2669" t="s">
        <v>779</v>
      </c>
      <c r="G2669" t="str">
        <f>HYPERLINK("http://www.ncbi.nlm.nih.gov/Taxonomy/Browser/wwwtax.cgi?mode=Info&amp;id=6717&amp;lvl=3&amp;lin=f&amp;keep=1&amp;srchmode=1&amp;unlock","Astacus leptodactylus")</f>
        <v>Astacus leptodactylus</v>
      </c>
      <c r="H2669" t="s">
        <v>781</v>
      </c>
      <c r="I2669" t="str">
        <f>HYPERLINK("http://www.ncbi.nlm.nih.gov/protein/WCO13211.1","ryanodine receptor")</f>
        <v>ryanodine receptor</v>
      </c>
      <c r="J2669">
        <v>2981.43</v>
      </c>
      <c r="K2669" t="s">
        <v>19</v>
      </c>
      <c r="L2669">
        <v>1210</v>
      </c>
      <c r="M2669">
        <v>7.13</v>
      </c>
      <c r="N2669">
        <v>29.05</v>
      </c>
      <c r="O2669" t="s">
        <v>19</v>
      </c>
      <c r="P2669" t="s">
        <v>1267</v>
      </c>
      <c r="Q2669" t="s">
        <v>19</v>
      </c>
      <c r="R2669" t="str">
        <f>HYPERLINK("https://cfpub.epa.gov/ecotox/explore.cfm?ncbi=6717","Explore in ECOTOX")</f>
        <v>Explore in ECOTOX</v>
      </c>
    </row>
    <row r="2670" spans="1:18" x14ac:dyDescent="0.45">
      <c r="A2670" t="s">
        <v>1266</v>
      </c>
      <c r="B2670">
        <v>8</v>
      </c>
      <c r="C2670" t="str">
        <f>HYPERLINK("http://www.ncbi.nlm.nih.gov/protein/XP_035704016.1","XP_035704016.1")</f>
        <v>XP_035704016.1</v>
      </c>
      <c r="D2670">
        <v>66154</v>
      </c>
      <c r="E2670" t="str">
        <f>HYPERLINK("http://www.ncbi.nlm.nih.gov/Taxonomy/Browser/wwwtax.cgi?mode=Info&amp;id=158441&amp;lvl=3&amp;lin=f&amp;keep=1&amp;srchmode=1&amp;unlock","158441")</f>
        <v>158441</v>
      </c>
      <c r="F2670" t="s">
        <v>999</v>
      </c>
      <c r="G2670" t="str">
        <f>HYPERLINK("http://www.ncbi.nlm.nih.gov/Taxonomy/Browser/wwwtax.cgi?mode=Info&amp;id=158441&amp;lvl=3&amp;lin=f&amp;keep=1&amp;srchmode=1&amp;unlock","Folsomia candida")</f>
        <v>Folsomia candida</v>
      </c>
      <c r="H2670" t="s">
        <v>1000</v>
      </c>
      <c r="I2670" t="str">
        <f>HYPERLINK("http://www.ncbi.nlm.nih.gov/protein/XP_035704016.1","ryanodine receptor isoform X10")</f>
        <v>ryanodine receptor isoform X10</v>
      </c>
      <c r="J2670">
        <v>2980.27</v>
      </c>
      <c r="K2670" t="s">
        <v>19</v>
      </c>
      <c r="L2670">
        <v>1210</v>
      </c>
      <c r="M2670">
        <v>7.13</v>
      </c>
      <c r="N2670">
        <v>29.04</v>
      </c>
      <c r="O2670" t="s">
        <v>19</v>
      </c>
      <c r="P2670" t="s">
        <v>1267</v>
      </c>
      <c r="Q2670" t="s">
        <v>19</v>
      </c>
      <c r="R2670" t="str">
        <f>HYPERLINK("https://cfpub.epa.gov/ecotox/explore.cfm?ncbi=158441","Explore in ECOTOX")</f>
        <v>Explore in ECOTOX</v>
      </c>
    </row>
    <row r="2671" spans="1:18" x14ac:dyDescent="0.45">
      <c r="A2671" t="s">
        <v>1266</v>
      </c>
      <c r="B2671">
        <v>8</v>
      </c>
      <c r="C2671" t="str">
        <f>HYPERLINK("http://www.ncbi.nlm.nih.gov/protein/XP_028982483.1","XP_028982483.1")</f>
        <v>XP_028982483.1</v>
      </c>
      <c r="D2671">
        <v>19520</v>
      </c>
      <c r="E2671" t="str">
        <f>HYPERLINK("http://www.ncbi.nlm.nih.gov/Taxonomy/Browser/wwwtax.cgi?mode=Info&amp;id=454923&amp;lvl=3&amp;lin=f&amp;keep=1&amp;srchmode=1&amp;unlock","454923")</f>
        <v>454923</v>
      </c>
      <c r="F2671" t="s">
        <v>760</v>
      </c>
      <c r="G2671" t="str">
        <f>HYPERLINK("http://www.ncbi.nlm.nih.gov/Taxonomy/Browser/wwwtax.cgi?mode=Info&amp;id=454923&amp;lvl=3&amp;lin=f&amp;keep=1&amp;srchmode=1&amp;unlock","Diachasma alloeum")</f>
        <v>Diachasma alloeum</v>
      </c>
      <c r="H2671" t="s">
        <v>769</v>
      </c>
      <c r="I2671" t="str">
        <f>HYPERLINK("http://www.ncbi.nlm.nih.gov/protein/XP_028982483.1","LOW QUALITY PROTEIN: ryanodine receptor")</f>
        <v>LOW QUALITY PROTEIN: ryanodine receptor</v>
      </c>
      <c r="J2671">
        <v>2971.8</v>
      </c>
      <c r="K2671" t="s">
        <v>19</v>
      </c>
      <c r="L2671">
        <v>1210</v>
      </c>
      <c r="M2671">
        <v>7.13</v>
      </c>
      <c r="N2671">
        <v>28.96</v>
      </c>
      <c r="O2671" t="s">
        <v>19</v>
      </c>
      <c r="P2671" t="s">
        <v>1267</v>
      </c>
      <c r="Q2671" t="s">
        <v>19</v>
      </c>
      <c r="R2671" t="str">
        <f>HYPERLINK("https://cfpub.epa.gov/ecotox/explore.cfm?ncbi=454923","Explore in ECOTOX")</f>
        <v>Explore in ECOTOX</v>
      </c>
    </row>
    <row r="2672" spans="1:18" x14ac:dyDescent="0.45">
      <c r="A2672" t="s">
        <v>1266</v>
      </c>
      <c r="B2672">
        <v>8</v>
      </c>
      <c r="C2672" t="str">
        <f>HYPERLINK("http://www.ncbi.nlm.nih.gov/protein/XP_050722298.1","XP_050722298.1")</f>
        <v>XP_050722298.1</v>
      </c>
      <c r="D2672">
        <v>55747</v>
      </c>
      <c r="E2672" t="str">
        <f>HYPERLINK("http://www.ncbi.nlm.nih.gov/Taxonomy/Browser/wwwtax.cgi?mode=Info&amp;id=95602&amp;lvl=3&amp;lin=f&amp;keep=1&amp;srchmode=1&amp;unlock","95602")</f>
        <v>95602</v>
      </c>
      <c r="F2672" t="s">
        <v>779</v>
      </c>
      <c r="G2672" t="str">
        <f>HYPERLINK("http://www.ncbi.nlm.nih.gov/Taxonomy/Browser/wwwtax.cgi?mode=Info&amp;id=95602&amp;lvl=3&amp;lin=f&amp;keep=1&amp;srchmode=1&amp;unlock","Eriocheir sinensis")</f>
        <v>Eriocheir sinensis</v>
      </c>
      <c r="H2672" t="s">
        <v>780</v>
      </c>
      <c r="I2672" t="str">
        <f>HYPERLINK("http://www.ncbi.nlm.nih.gov/protein/XP_050722298.1","ryanodine receptor-like isoform X9")</f>
        <v>ryanodine receptor-like isoform X9</v>
      </c>
      <c r="J2672">
        <v>2968.72</v>
      </c>
      <c r="K2672" t="s">
        <v>22</v>
      </c>
      <c r="L2672">
        <v>1210</v>
      </c>
      <c r="M2672">
        <v>7.13</v>
      </c>
      <c r="N2672">
        <v>28.93</v>
      </c>
      <c r="O2672" t="s">
        <v>19</v>
      </c>
      <c r="P2672" t="s">
        <v>1267</v>
      </c>
      <c r="Q2672" t="s">
        <v>19</v>
      </c>
      <c r="R2672" t="str">
        <f>HYPERLINK("https://cfpub.epa.gov/ecotox/explore.cfm?ncbi=95602","Explore in ECOTOX")</f>
        <v>Explore in ECOTOX</v>
      </c>
    </row>
    <row r="2673" spans="1:18" x14ac:dyDescent="0.45">
      <c r="A2673" t="s">
        <v>1266</v>
      </c>
      <c r="B2673">
        <v>8</v>
      </c>
      <c r="C2673" t="str">
        <f>HYPERLINK("http://www.ncbi.nlm.nih.gov/protein/XP_017790364.1","XP_017790364.1")</f>
        <v>XP_017790364.1</v>
      </c>
      <c r="D2673">
        <v>25074</v>
      </c>
      <c r="E2673" t="str">
        <f>HYPERLINK("http://www.ncbi.nlm.nih.gov/Taxonomy/Browser/wwwtax.cgi?mode=Info&amp;id=597456&amp;lvl=3&amp;lin=f&amp;keep=1&amp;srchmode=1&amp;unlock","597456")</f>
        <v>597456</v>
      </c>
      <c r="F2673" t="s">
        <v>760</v>
      </c>
      <c r="G2673" t="str">
        <f>HYPERLINK("http://www.ncbi.nlm.nih.gov/Taxonomy/Browser/wwwtax.cgi?mode=Info&amp;id=597456&amp;lvl=3&amp;lin=f&amp;keep=1&amp;srchmode=1&amp;unlock","Habropoda laboriosa")</f>
        <v>Habropoda laboriosa</v>
      </c>
      <c r="H2673" t="s">
        <v>996</v>
      </c>
      <c r="I2673" t="str">
        <f>HYPERLINK("http://www.ncbi.nlm.nih.gov/protein/XP_017790364.1","PREDICTED: LOW QUALITY PROTEIN: ryanodine receptor")</f>
        <v>PREDICTED: LOW QUALITY PROTEIN: ryanodine receptor</v>
      </c>
      <c r="J2673">
        <v>2968.33</v>
      </c>
      <c r="K2673" t="s">
        <v>19</v>
      </c>
      <c r="L2673">
        <v>1210</v>
      </c>
      <c r="M2673">
        <v>7.13</v>
      </c>
      <c r="N2673">
        <v>28.92</v>
      </c>
      <c r="O2673" t="s">
        <v>19</v>
      </c>
      <c r="P2673" t="s">
        <v>1267</v>
      </c>
      <c r="Q2673" t="s">
        <v>19</v>
      </c>
      <c r="R2673" t="str">
        <f>HYPERLINK("https://cfpub.epa.gov/ecotox/explore.cfm?ncbi=597456","Explore in ECOTOX")</f>
        <v>Explore in ECOTOX</v>
      </c>
    </row>
    <row r="2674" spans="1:18" x14ac:dyDescent="0.45">
      <c r="A2674" t="s">
        <v>1266</v>
      </c>
      <c r="B2674">
        <v>8</v>
      </c>
      <c r="C2674" t="str">
        <f>HYPERLINK("http://www.ncbi.nlm.nih.gov/protein/KAJ6217176.1","KAJ6217176.1")</f>
        <v>KAJ6217176.1</v>
      </c>
      <c r="D2674">
        <v>27412</v>
      </c>
      <c r="E2674" t="str">
        <f>HYPERLINK("http://www.ncbi.nlm.nih.gov/Taxonomy/Browser/wwwtax.cgi?mode=Info&amp;id=40697&amp;lvl=3&amp;lin=f&amp;keep=1&amp;srchmode=1&amp;unlock","40697")</f>
        <v>40697</v>
      </c>
      <c r="F2674" t="s">
        <v>904</v>
      </c>
      <c r="G2674" t="str">
        <f>HYPERLINK("http://www.ncbi.nlm.nih.gov/Taxonomy/Browser/wwwtax.cgi?mode=Info&amp;id=40697&amp;lvl=3&amp;lin=f&amp;keep=1&amp;srchmode=1&amp;unlock","Blomia tropicalis")</f>
        <v>Blomia tropicalis</v>
      </c>
      <c r="H2674" t="s">
        <v>992</v>
      </c>
      <c r="I2674" t="str">
        <f>HYPERLINK("http://www.ncbi.nlm.nih.gov/protein/KAJ6217176.1","hypothetical protein RDWZM_008333")</f>
        <v>hypothetical protein RDWZM_008333</v>
      </c>
      <c r="J2674">
        <v>2960.63</v>
      </c>
      <c r="K2674" t="s">
        <v>19</v>
      </c>
      <c r="L2674">
        <v>1210</v>
      </c>
      <c r="M2674">
        <v>7.13</v>
      </c>
      <c r="N2674">
        <v>28.85</v>
      </c>
      <c r="O2674" t="s">
        <v>19</v>
      </c>
      <c r="P2674" t="s">
        <v>1267</v>
      </c>
      <c r="Q2674" t="s">
        <v>19</v>
      </c>
      <c r="R2674" t="str">
        <f>HYPERLINK("https://cfpub.epa.gov/ecotox/explore.cfm?ncbi=40697","Explore in ECOTOX")</f>
        <v>Explore in ECOTOX</v>
      </c>
    </row>
    <row r="2675" spans="1:18" x14ac:dyDescent="0.45">
      <c r="A2675" t="s">
        <v>1266</v>
      </c>
      <c r="B2675">
        <v>8</v>
      </c>
      <c r="C2675" t="str">
        <f>HYPERLINK("http://www.ncbi.nlm.nih.gov/protein/CAD6204845.1","CAD6204845.1")</f>
        <v>CAD6204845.1</v>
      </c>
      <c r="D2675">
        <v>27936</v>
      </c>
      <c r="E2675" t="str">
        <f>HYPERLINK("http://www.ncbi.nlm.nih.gov/Taxonomy/Browser/wwwtax.cgi?mode=Info&amp;id=51543&amp;lvl=3&amp;lin=f&amp;keep=1&amp;srchmode=1&amp;unlock","51543")</f>
        <v>51543</v>
      </c>
      <c r="F2675" t="s">
        <v>760</v>
      </c>
      <c r="G2675" t="str">
        <f>HYPERLINK("http://www.ncbi.nlm.nih.gov/Taxonomy/Browser/wwwtax.cgi?mode=Info&amp;id=51543&amp;lvl=3&amp;lin=f&amp;keep=1&amp;srchmode=1&amp;unlock","Cotesia congregata")</f>
        <v>Cotesia congregata</v>
      </c>
      <c r="H2675" t="s">
        <v>769</v>
      </c>
      <c r="I2675" t="str">
        <f>HYPERLINK("http://www.ncbi.nlm.nih.gov/protein/CAD6204845.1","GSCOCG00003010001-RA-CDS")</f>
        <v>GSCOCG00003010001-RA-CDS</v>
      </c>
      <c r="J2675">
        <v>2959.47</v>
      </c>
      <c r="K2675" t="s">
        <v>19</v>
      </c>
      <c r="L2675">
        <v>1210</v>
      </c>
      <c r="M2675">
        <v>7.13</v>
      </c>
      <c r="N2675">
        <v>28.84</v>
      </c>
      <c r="O2675" t="s">
        <v>19</v>
      </c>
      <c r="P2675" t="s">
        <v>1267</v>
      </c>
      <c r="Q2675" t="s">
        <v>19</v>
      </c>
      <c r="R2675" t="str">
        <f>HYPERLINK("https://cfpub.epa.gov/ecotox/explore.cfm?ncbi=51543","Explore in ECOTOX")</f>
        <v>Explore in ECOTOX</v>
      </c>
    </row>
    <row r="2676" spans="1:18" x14ac:dyDescent="0.45">
      <c r="A2676" t="s">
        <v>1266</v>
      </c>
      <c r="B2676">
        <v>8</v>
      </c>
      <c r="C2676" t="str">
        <f>HYPERLINK("http://www.ncbi.nlm.nih.gov/protein/XP_013145421.1","XP_013145421.1")</f>
        <v>XP_013145421.1</v>
      </c>
      <c r="D2676">
        <v>17972</v>
      </c>
      <c r="E2676" t="str">
        <f>HYPERLINK("http://www.ncbi.nlm.nih.gov/Taxonomy/Browser/wwwtax.cgi?mode=Info&amp;id=76194&amp;lvl=3&amp;lin=f&amp;keep=1&amp;srchmode=1&amp;unlock","76194")</f>
        <v>76194</v>
      </c>
      <c r="F2676" t="s">
        <v>760</v>
      </c>
      <c r="G2676" t="str">
        <f>HYPERLINK("http://www.ncbi.nlm.nih.gov/Taxonomy/Browser/wwwtax.cgi?mode=Info&amp;id=76194&amp;lvl=3&amp;lin=f&amp;keep=1&amp;srchmode=1&amp;unlock","Papilio polytes")</f>
        <v>Papilio polytes</v>
      </c>
      <c r="H2676" t="s">
        <v>1079</v>
      </c>
      <c r="I2676" t="str">
        <f>HYPERLINK("http://www.ncbi.nlm.nih.gov/protein/XP_013145421.1","PREDICTED: ryanodine receptor 44F")</f>
        <v>PREDICTED: ryanodine receptor 44F</v>
      </c>
      <c r="J2676">
        <v>2957.93</v>
      </c>
      <c r="K2676" t="s">
        <v>19</v>
      </c>
      <c r="L2676">
        <v>1210</v>
      </c>
      <c r="M2676">
        <v>7.13</v>
      </c>
      <c r="N2676">
        <v>28.82</v>
      </c>
      <c r="O2676" t="s">
        <v>19</v>
      </c>
      <c r="P2676" t="s">
        <v>1267</v>
      </c>
      <c r="Q2676" t="s">
        <v>19</v>
      </c>
      <c r="R2676" t="str">
        <f>HYPERLINK("https://cfpub.epa.gov/ecotox/explore.cfm?ncbi=76194","Explore in ECOTOX")</f>
        <v>Explore in ECOTOX</v>
      </c>
    </row>
    <row r="2677" spans="1:18" x14ac:dyDescent="0.45">
      <c r="A2677" t="s">
        <v>1266</v>
      </c>
      <c r="B2677">
        <v>8</v>
      </c>
      <c r="C2677" t="str">
        <f>HYPERLINK("http://www.ncbi.nlm.nih.gov/protein/XP_047491807.1","XP_047491807.1")</f>
        <v>XP_047491807.1</v>
      </c>
      <c r="D2677">
        <v>35168</v>
      </c>
      <c r="E2677" t="str">
        <f>HYPERLINK("http://www.ncbi.nlm.nih.gov/Taxonomy/Browser/wwwtax.cgi?mode=Info&amp;id=139456&amp;lvl=3&amp;lin=f&amp;keep=1&amp;srchmode=1&amp;unlock","139456")</f>
        <v>139456</v>
      </c>
      <c r="F2677" t="s">
        <v>779</v>
      </c>
      <c r="G2677" t="str">
        <f>HYPERLINK("http://www.ncbi.nlm.nih.gov/Taxonomy/Browser/wwwtax.cgi?mode=Info&amp;id=139456&amp;lvl=3&amp;lin=f&amp;keep=1&amp;srchmode=1&amp;unlock","Penaeus chinensis")</f>
        <v>Penaeus chinensis</v>
      </c>
      <c r="H2677" t="s">
        <v>821</v>
      </c>
      <c r="I2677" t="str">
        <f>HYPERLINK("http://www.ncbi.nlm.nih.gov/protein/XP_047491807.1","LOW QUALITY PROTEIN: ryanodine receptor-like")</f>
        <v>LOW QUALITY PROTEIN: ryanodine receptor-like</v>
      </c>
      <c r="J2677">
        <v>2955.62</v>
      </c>
      <c r="K2677" t="s">
        <v>22</v>
      </c>
      <c r="L2677">
        <v>1210</v>
      </c>
      <c r="M2677">
        <v>7.13</v>
      </c>
      <c r="N2677">
        <v>28.8</v>
      </c>
      <c r="O2677" t="s">
        <v>19</v>
      </c>
      <c r="P2677" t="s">
        <v>1267</v>
      </c>
      <c r="Q2677" t="s">
        <v>19</v>
      </c>
      <c r="R2677" t="str">
        <f>HYPERLINK("https://cfpub.epa.gov/ecotox/explore.cfm?ncbi=139456","Explore in ECOTOX")</f>
        <v>Explore in ECOTOX</v>
      </c>
    </row>
    <row r="2678" spans="1:18" x14ac:dyDescent="0.45">
      <c r="A2678" t="s">
        <v>1266</v>
      </c>
      <c r="B2678">
        <v>8</v>
      </c>
      <c r="C2678" t="str">
        <f>HYPERLINK("http://www.ncbi.nlm.nih.gov/protein/RWS13062.1","RWS13062.1")</f>
        <v>RWS13062.1</v>
      </c>
      <c r="D2678">
        <v>19013</v>
      </c>
      <c r="E2678" t="str">
        <f>HYPERLINK("http://www.ncbi.nlm.nih.gov/Taxonomy/Browser/wwwtax.cgi?mode=Info&amp;id=1965070&amp;lvl=3&amp;lin=f&amp;keep=1&amp;srchmode=1&amp;unlock","1965070")</f>
        <v>1965070</v>
      </c>
      <c r="F2678" t="s">
        <v>904</v>
      </c>
      <c r="G2678" t="str">
        <f>HYPERLINK("http://www.ncbi.nlm.nih.gov/Taxonomy/Browser/wwwtax.cgi?mode=Info&amp;id=1965070&amp;lvl=3&amp;lin=f&amp;keep=1&amp;srchmode=1&amp;unlock","Dinothrombium tinctorium")</f>
        <v>Dinothrombium tinctorium</v>
      </c>
      <c r="H2678" t="s">
        <v>1002</v>
      </c>
      <c r="I2678" t="str">
        <f>HYPERLINK("http://www.ncbi.nlm.nih.gov/protein/RWS13062.1","ryanodine receptor-like protein")</f>
        <v>ryanodine receptor-like protein</v>
      </c>
      <c r="J2678">
        <v>2954.47</v>
      </c>
      <c r="K2678" t="s">
        <v>19</v>
      </c>
      <c r="L2678">
        <v>1210</v>
      </c>
      <c r="M2678">
        <v>7.13</v>
      </c>
      <c r="N2678">
        <v>28.79</v>
      </c>
      <c r="O2678" t="s">
        <v>19</v>
      </c>
      <c r="P2678" t="s">
        <v>1267</v>
      </c>
      <c r="Q2678" t="s">
        <v>19</v>
      </c>
      <c r="R2678" t="str">
        <f>HYPERLINK("https://cfpub.epa.gov/ecotox/explore.cfm?ncbi=1965070","Explore in ECOTOX")</f>
        <v>Explore in ECOTOX</v>
      </c>
    </row>
    <row r="2679" spans="1:18" x14ac:dyDescent="0.45">
      <c r="A2679" t="s">
        <v>1266</v>
      </c>
      <c r="B2679">
        <v>8</v>
      </c>
      <c r="C2679" t="str">
        <f>HYPERLINK("http://www.ncbi.nlm.nih.gov/protein/OXB83885.1","OXB83885.1")</f>
        <v>OXB83885.1</v>
      </c>
      <c r="D2679">
        <v>17234</v>
      </c>
      <c r="E2679" t="str">
        <f>HYPERLINK("http://www.ncbi.nlm.nih.gov/Taxonomy/Browser/wwwtax.cgi?mode=Info&amp;id=9014&amp;lvl=3&amp;lin=f&amp;keep=1&amp;srchmode=1&amp;unlock","9014")</f>
        <v>9014</v>
      </c>
      <c r="F2679" t="s">
        <v>241</v>
      </c>
      <c r="G2679" t="str">
        <f>HYPERLINK("http://www.ncbi.nlm.nih.gov/Taxonomy/Browser/wwwtax.cgi?mode=Info&amp;id=9014&amp;lvl=3&amp;lin=f&amp;keep=1&amp;srchmode=1&amp;unlock","Colinus virginianus")</f>
        <v>Colinus virginianus</v>
      </c>
      <c r="H2679" t="s">
        <v>1097</v>
      </c>
      <c r="I2679" t="str">
        <f>HYPERLINK("http://www.ncbi.nlm.nih.gov/protein/OXB83885.1","hypothetical protein H355_009369")</f>
        <v>hypothetical protein H355_009369</v>
      </c>
      <c r="J2679">
        <v>2950.61</v>
      </c>
      <c r="K2679" t="s">
        <v>22</v>
      </c>
      <c r="L2679">
        <v>1210</v>
      </c>
      <c r="M2679">
        <v>7.13</v>
      </c>
      <c r="N2679">
        <v>28.75</v>
      </c>
      <c r="O2679" t="s">
        <v>19</v>
      </c>
      <c r="P2679" t="s">
        <v>1267</v>
      </c>
      <c r="Q2679" t="s">
        <v>19</v>
      </c>
      <c r="R2679" t="str">
        <f>HYPERLINK("https://cfpub.epa.gov/ecotox/explore.cfm?ncbi=9014","Explore in ECOTOX")</f>
        <v>Explore in ECOTOX</v>
      </c>
    </row>
    <row r="2680" spans="1:18" x14ac:dyDescent="0.45">
      <c r="A2680" t="s">
        <v>1266</v>
      </c>
      <c r="B2680">
        <v>8</v>
      </c>
      <c r="C2680" t="str">
        <f>HYPERLINK("http://www.ncbi.nlm.nih.gov/protein/XP_043197983.1","XP_043197983.1")</f>
        <v>XP_043197983.1</v>
      </c>
      <c r="D2680">
        <v>88033</v>
      </c>
      <c r="E2680" t="str">
        <f>HYPERLINK("http://www.ncbi.nlm.nih.gov/Taxonomy/Browser/wwwtax.cgi?mode=Info&amp;id=1232801&amp;lvl=3&amp;lin=f&amp;keep=1&amp;srchmode=1&amp;unlock","1232801")</f>
        <v>1232801</v>
      </c>
      <c r="F2680" t="s">
        <v>997</v>
      </c>
      <c r="G2680" t="str">
        <f>HYPERLINK("http://www.ncbi.nlm.nih.gov/Taxonomy/Browser/wwwtax.cgi?mode=Info&amp;id=1232801&amp;lvl=3&amp;lin=f&amp;keep=1&amp;srchmode=1&amp;unlock","Amphibalanus amphitrite")</f>
        <v>Amphibalanus amphitrite</v>
      </c>
      <c r="H2680" t="s">
        <v>998</v>
      </c>
      <c r="I2680" t="str">
        <f>HYPERLINK("http://www.ncbi.nlm.nih.gov/protein/XP_043197983.1","ryanodine receptor-like isoform X7")</f>
        <v>ryanodine receptor-like isoform X7</v>
      </c>
      <c r="J2680">
        <v>2946.76</v>
      </c>
      <c r="K2680" t="s">
        <v>19</v>
      </c>
      <c r="L2680">
        <v>1210</v>
      </c>
      <c r="M2680">
        <v>7.13</v>
      </c>
      <c r="N2680">
        <v>28.71</v>
      </c>
      <c r="O2680" t="s">
        <v>19</v>
      </c>
      <c r="P2680" t="s">
        <v>1267</v>
      </c>
      <c r="Q2680" t="s">
        <v>19</v>
      </c>
      <c r="R2680" t="str">
        <f>HYPERLINK("https://cfpub.epa.gov/ecotox/explore.cfm?ncbi=1232801","Explore in ECOTOX")</f>
        <v>Explore in ECOTOX</v>
      </c>
    </row>
    <row r="2681" spans="1:18" x14ac:dyDescent="0.45">
      <c r="A2681" t="s">
        <v>1266</v>
      </c>
      <c r="B2681">
        <v>8</v>
      </c>
      <c r="C2681" t="str">
        <f>HYPERLINK("http://www.ncbi.nlm.nih.gov/protein/XP_045113402.1","XP_045113402.1")</f>
        <v>XP_045113402.1</v>
      </c>
      <c r="D2681">
        <v>138506</v>
      </c>
      <c r="E2681" t="str">
        <f>HYPERLINK("http://www.ncbi.nlm.nih.gov/Taxonomy/Browser/wwwtax.cgi?mode=Info&amp;id=210409&amp;lvl=3&amp;lin=f&amp;keep=1&amp;srchmode=1&amp;unlock","210409")</f>
        <v>210409</v>
      </c>
      <c r="F2681" t="s">
        <v>779</v>
      </c>
      <c r="G2681" t="str">
        <f>HYPERLINK("http://www.ncbi.nlm.nih.gov/Taxonomy/Browser/wwwtax.cgi?mode=Info&amp;id=210409&amp;lvl=3&amp;lin=f&amp;keep=1&amp;srchmode=1&amp;unlock","Portunus trituberculatus")</f>
        <v>Portunus trituberculatus</v>
      </c>
      <c r="H2681" t="s">
        <v>782</v>
      </c>
      <c r="I2681" t="str">
        <f>HYPERLINK("http://www.ncbi.nlm.nih.gov/protein/XP_045113402.1","ryanodine receptor-like")</f>
        <v>ryanodine receptor-like</v>
      </c>
      <c r="J2681">
        <v>2945.22</v>
      </c>
      <c r="K2681" t="s">
        <v>22</v>
      </c>
      <c r="L2681">
        <v>1210</v>
      </c>
      <c r="M2681">
        <v>7.13</v>
      </c>
      <c r="N2681">
        <v>28.7</v>
      </c>
      <c r="O2681" t="s">
        <v>19</v>
      </c>
      <c r="P2681" t="s">
        <v>1267</v>
      </c>
      <c r="Q2681" t="s">
        <v>19</v>
      </c>
      <c r="R2681" t="str">
        <f>HYPERLINK("https://cfpub.epa.gov/ecotox/explore.cfm?ncbi=210409","Explore in ECOTOX")</f>
        <v>Explore in ECOTOX</v>
      </c>
    </row>
    <row r="2682" spans="1:18" x14ac:dyDescent="0.45">
      <c r="A2682" t="s">
        <v>1266</v>
      </c>
      <c r="B2682">
        <v>8</v>
      </c>
      <c r="C2682" t="str">
        <f>HYPERLINK("http://www.ncbi.nlm.nih.gov/protein/XP_045457465.1","XP_045457465.1")</f>
        <v>XP_045457465.1</v>
      </c>
      <c r="D2682">
        <v>14884</v>
      </c>
      <c r="E2682" t="str">
        <f>HYPERLINK("http://www.ncbi.nlm.nih.gov/Taxonomy/Browser/wwwtax.cgi?mode=Info&amp;id=113334&amp;lvl=3&amp;lin=f&amp;keep=1&amp;srchmode=1&amp;unlock","113334")</f>
        <v>113334</v>
      </c>
      <c r="F2682" t="s">
        <v>760</v>
      </c>
      <c r="G2682" t="str">
        <f>HYPERLINK("http://www.ncbi.nlm.nih.gov/Taxonomy/Browser/wwwtax.cgi?mode=Info&amp;id=113334&amp;lvl=3&amp;lin=f&amp;keep=1&amp;srchmode=1&amp;unlock","Melitaea cinxia")</f>
        <v>Melitaea cinxia</v>
      </c>
      <c r="H2682" t="s">
        <v>1042</v>
      </c>
      <c r="I2682" t="str">
        <f>HYPERLINK("http://www.ncbi.nlm.nih.gov/protein/XP_045457465.1","ryanodine receptor")</f>
        <v>ryanodine receptor</v>
      </c>
      <c r="J2682">
        <v>2923.27</v>
      </c>
      <c r="K2682" t="s">
        <v>19</v>
      </c>
      <c r="L2682">
        <v>1210</v>
      </c>
      <c r="M2682">
        <v>7.13</v>
      </c>
      <c r="N2682">
        <v>28.48</v>
      </c>
      <c r="O2682" t="s">
        <v>19</v>
      </c>
      <c r="P2682" t="s">
        <v>1267</v>
      </c>
      <c r="Q2682" t="s">
        <v>19</v>
      </c>
      <c r="R2682" t="str">
        <f>HYPERLINK("https://cfpub.epa.gov/ecotox/explore.cfm?ncbi=113334","Explore in ECOTOX")</f>
        <v>Explore in ECOTOX</v>
      </c>
    </row>
    <row r="2683" spans="1:18" x14ac:dyDescent="0.45">
      <c r="A2683" t="s">
        <v>1266</v>
      </c>
      <c r="B2683">
        <v>8</v>
      </c>
      <c r="C2683" t="str">
        <f>HYPERLINK("http://www.ncbi.nlm.nih.gov/protein/XP_010124680.1","XP_010124680.1")</f>
        <v>XP_010124680.1</v>
      </c>
      <c r="D2683">
        <v>26947</v>
      </c>
      <c r="E2683" t="str">
        <f>HYPERLINK("http://www.ncbi.nlm.nih.gov/Taxonomy/Browser/wwwtax.cgi?mode=Info&amp;id=187382&amp;lvl=3&amp;lin=f&amp;keep=1&amp;srchmode=1&amp;unlock","187382")</f>
        <v>187382</v>
      </c>
      <c r="F2683" t="s">
        <v>241</v>
      </c>
      <c r="G2683" t="str">
        <f>HYPERLINK("http://www.ncbi.nlm.nih.gov/Taxonomy/Browser/wwwtax.cgi?mode=Info&amp;id=187382&amp;lvl=3&amp;lin=f&amp;keep=1&amp;srchmode=1&amp;unlock","Chlamydotis macqueenii")</f>
        <v>Chlamydotis macqueenii</v>
      </c>
      <c r="H2683" t="s">
        <v>1104</v>
      </c>
      <c r="I2683" t="str">
        <f>HYPERLINK("http://www.ncbi.nlm.nih.gov/protein/XP_010124680.1","PREDICTED: ryanodine receptor 2, partial")</f>
        <v>PREDICTED: ryanodine receptor 2, partial</v>
      </c>
      <c r="J2683">
        <v>2868.18</v>
      </c>
      <c r="K2683" t="s">
        <v>22</v>
      </c>
      <c r="L2683">
        <v>1210</v>
      </c>
      <c r="M2683">
        <v>7.13</v>
      </c>
      <c r="N2683">
        <v>27.95</v>
      </c>
      <c r="O2683" t="s">
        <v>19</v>
      </c>
      <c r="P2683" t="s">
        <v>1267</v>
      </c>
      <c r="Q2683" t="s">
        <v>19</v>
      </c>
      <c r="R2683" t="str">
        <f>HYPERLINK("https://cfpub.epa.gov/ecotox/explore.cfm?ncbi=187382","Explore in ECOTOX")</f>
        <v>Explore in ECOTOX</v>
      </c>
    </row>
    <row r="2684" spans="1:18" x14ac:dyDescent="0.45">
      <c r="A2684" t="s">
        <v>1266</v>
      </c>
      <c r="B2684">
        <v>8</v>
      </c>
      <c r="C2684" t="str">
        <f>HYPERLINK("http://www.ncbi.nlm.nih.gov/protein/CAF0776832.1","CAF0776832.1")</f>
        <v>CAF0776832.1</v>
      </c>
      <c r="D2684">
        <v>348897</v>
      </c>
      <c r="E2684" t="str">
        <f>HYPERLINK("http://www.ncbi.nlm.nih.gov/Taxonomy/Browser/wwwtax.cgi?mode=Info&amp;id=392033&amp;lvl=3&amp;lin=f&amp;keep=1&amp;srchmode=1&amp;unlock","392033")</f>
        <v>392033</v>
      </c>
      <c r="F2684" t="s">
        <v>811</v>
      </c>
      <c r="G2684" t="str">
        <f>HYPERLINK("http://www.ncbi.nlm.nih.gov/Taxonomy/Browser/wwwtax.cgi?mode=Info&amp;id=392033&amp;lvl=3&amp;lin=f&amp;keep=1&amp;srchmode=1&amp;unlock","Rotaria sordida")</f>
        <v>Rotaria sordida</v>
      </c>
      <c r="H2684" t="s">
        <v>812</v>
      </c>
      <c r="I2684" t="str">
        <f>HYPERLINK("http://www.ncbi.nlm.nih.gov/protein/CAF0776832.1","unnamed protein product")</f>
        <v>unnamed protein product</v>
      </c>
      <c r="J2684">
        <v>2822.34</v>
      </c>
      <c r="K2684" t="s">
        <v>19</v>
      </c>
      <c r="L2684">
        <v>1210</v>
      </c>
      <c r="M2684">
        <v>7.13</v>
      </c>
      <c r="N2684">
        <v>27.5</v>
      </c>
      <c r="O2684" t="s">
        <v>19</v>
      </c>
      <c r="P2684" t="s">
        <v>1267</v>
      </c>
      <c r="Q2684" t="s">
        <v>19</v>
      </c>
      <c r="R2684" t="str">
        <f>HYPERLINK("https://cfpub.epa.gov/ecotox/explore.cfm?ncbi=392033","Explore in ECOTOX")</f>
        <v>Explore in ECOTOX</v>
      </c>
    </row>
    <row r="2685" spans="1:18" x14ac:dyDescent="0.45">
      <c r="A2685" t="s">
        <v>1266</v>
      </c>
      <c r="B2685">
        <v>8</v>
      </c>
      <c r="C2685" t="str">
        <f>HYPERLINK("http://www.ncbi.nlm.nih.gov/protein/XP_055337213.1","XP_055337213.1")</f>
        <v>XP_055337213.1</v>
      </c>
      <c r="D2685">
        <v>30872</v>
      </c>
      <c r="E2685" t="str">
        <f>HYPERLINK("http://www.ncbi.nlm.nih.gov/Taxonomy/Browser/wwwtax.cgi?mode=Info&amp;id=2943436&amp;lvl=3&amp;lin=f&amp;keep=1&amp;srchmode=1&amp;unlock","2943436")</f>
        <v>2943436</v>
      </c>
      <c r="F2685" t="s">
        <v>1092</v>
      </c>
      <c r="G2685" t="str">
        <f>HYPERLINK("http://www.ncbi.nlm.nih.gov/Taxonomy/Browser/wwwtax.cgi?mode=Info&amp;id=2943436&amp;lvl=3&amp;lin=f&amp;keep=1&amp;srchmode=1&amp;unlock","Paramacrobiotus metropolitanus")</f>
        <v>Paramacrobiotus metropolitanus</v>
      </c>
      <c r="H2685" t="s">
        <v>1093</v>
      </c>
      <c r="I2685" t="str">
        <f>HYPERLINK("http://www.ncbi.nlm.nih.gov/protein/XP_055337213.1","ryanodine receptor-like isoform X2")</f>
        <v>ryanodine receptor-like isoform X2</v>
      </c>
      <c r="J2685">
        <v>2810.02</v>
      </c>
      <c r="K2685" t="s">
        <v>19</v>
      </c>
      <c r="L2685">
        <v>1210</v>
      </c>
      <c r="M2685">
        <v>7.13</v>
      </c>
      <c r="N2685">
        <v>27.38</v>
      </c>
      <c r="O2685" t="s">
        <v>19</v>
      </c>
      <c r="P2685" t="s">
        <v>1267</v>
      </c>
      <c r="Q2685" t="s">
        <v>19</v>
      </c>
      <c r="R2685" t="str">
        <f>HYPERLINK("https://cfpub.epa.gov/ecotox/explore.cfm?ncbi=2943436","Explore in ECOTOX")</f>
        <v>Explore in ECOTOX</v>
      </c>
    </row>
    <row r="2686" spans="1:18" x14ac:dyDescent="0.45">
      <c r="A2686" t="s">
        <v>1266</v>
      </c>
      <c r="B2686">
        <v>8</v>
      </c>
      <c r="C2686" t="str">
        <f>HYPERLINK("http://www.ncbi.nlm.nih.gov/protein/XP_036330086.1","XP_036330086.1")</f>
        <v>XP_036330086.1</v>
      </c>
      <c r="D2686">
        <v>30971</v>
      </c>
      <c r="E2686" t="str">
        <f>HYPERLINK("http://www.ncbi.nlm.nih.gov/Taxonomy/Browser/wwwtax.cgi?mode=Info&amp;id=28610&amp;lvl=3&amp;lin=f&amp;keep=1&amp;srchmode=1&amp;unlock","28610")</f>
        <v>28610</v>
      </c>
      <c r="F2686" t="s">
        <v>760</v>
      </c>
      <c r="G2686" t="str">
        <f>HYPERLINK("http://www.ncbi.nlm.nih.gov/Taxonomy/Browser/wwwtax.cgi?mode=Info&amp;id=28610&amp;lvl=3&amp;lin=f&amp;keep=1&amp;srchmode=1&amp;unlock","Rhagoletis pomonella")</f>
        <v>Rhagoletis pomonella</v>
      </c>
      <c r="H2686" t="s">
        <v>1013</v>
      </c>
      <c r="I2686" t="str">
        <f>HYPERLINK("http://www.ncbi.nlm.nih.gov/protein/XP_036330086.1","ryanodine receptor, partial")</f>
        <v>ryanodine receptor, partial</v>
      </c>
      <c r="J2686">
        <v>2797.69</v>
      </c>
      <c r="K2686" t="s">
        <v>19</v>
      </c>
      <c r="L2686">
        <v>1210</v>
      </c>
      <c r="M2686">
        <v>7.13</v>
      </c>
      <c r="N2686">
        <v>27.26</v>
      </c>
      <c r="O2686" t="s">
        <v>19</v>
      </c>
      <c r="P2686" t="s">
        <v>1267</v>
      </c>
      <c r="Q2686" t="s">
        <v>19</v>
      </c>
      <c r="R2686" t="str">
        <f>HYPERLINK("https://cfpub.epa.gov/ecotox/explore.cfm?ncbi=28610","Explore in ECOTOX")</f>
        <v>Explore in ECOTOX</v>
      </c>
    </row>
    <row r="2687" spans="1:18" x14ac:dyDescent="0.45">
      <c r="A2687" t="s">
        <v>1266</v>
      </c>
      <c r="B2687">
        <v>8</v>
      </c>
      <c r="C2687" t="str">
        <f>HYPERLINK("http://www.ncbi.nlm.nih.gov/protein/KAF7488173.1","KAF7488173.1")</f>
        <v>KAF7488173.1</v>
      </c>
      <c r="D2687">
        <v>34818</v>
      </c>
      <c r="E2687" t="str">
        <f>HYPERLINK("http://www.ncbi.nlm.nih.gov/Taxonomy/Browser/wwwtax.cgi?mode=Info&amp;id=52283&amp;lvl=3&amp;lin=f&amp;keep=1&amp;srchmode=1&amp;unlock","52283")</f>
        <v>52283</v>
      </c>
      <c r="F2687" t="s">
        <v>904</v>
      </c>
      <c r="G2687" t="str">
        <f>HYPERLINK("http://www.ncbi.nlm.nih.gov/Taxonomy/Browser/wwwtax.cgi?mode=Info&amp;id=52283&amp;lvl=3&amp;lin=f&amp;keep=1&amp;srchmode=1&amp;unlock","Sarcoptes scabiei")</f>
        <v>Sarcoptes scabiei</v>
      </c>
      <c r="H2687" t="s">
        <v>992</v>
      </c>
      <c r="I2687" t="str">
        <f>HYPERLINK("http://www.ncbi.nlm.nih.gov/protein/KAF7488173.1","Ryanodine receptor")</f>
        <v>Ryanodine receptor</v>
      </c>
      <c r="J2687">
        <v>2735.67</v>
      </c>
      <c r="K2687" t="s">
        <v>22</v>
      </c>
      <c r="L2687">
        <v>1210</v>
      </c>
      <c r="M2687">
        <v>7.13</v>
      </c>
      <c r="N2687">
        <v>26.66</v>
      </c>
      <c r="O2687" t="s">
        <v>19</v>
      </c>
      <c r="P2687" t="s">
        <v>1267</v>
      </c>
      <c r="Q2687" t="s">
        <v>19</v>
      </c>
      <c r="R2687" t="str">
        <f>HYPERLINK("https://cfpub.epa.gov/ecotox/explore.cfm?ncbi=52283","Explore in ECOTOX")</f>
        <v>Explore in ECOTOX</v>
      </c>
    </row>
    <row r="2688" spans="1:18" x14ac:dyDescent="0.45">
      <c r="A2688" t="s">
        <v>1266</v>
      </c>
      <c r="B2688">
        <v>8</v>
      </c>
      <c r="C2688" t="str">
        <f>HYPERLINK("http://www.ncbi.nlm.nih.gov/protein/KAI0981288.1","KAI0981288.1")</f>
        <v>KAI0981288.1</v>
      </c>
      <c r="D2688">
        <v>13361</v>
      </c>
      <c r="E2688" t="str">
        <f>HYPERLINK("http://www.ncbi.nlm.nih.gov/Taxonomy/Browser/wwwtax.cgi?mode=Info&amp;id=141832&amp;lvl=3&amp;lin=f&amp;keep=1&amp;srchmode=1&amp;unlock","141832")</f>
        <v>141832</v>
      </c>
      <c r="F2688" t="s">
        <v>1016</v>
      </c>
      <c r="G2688" t="str">
        <f>HYPERLINK("http://www.ncbi.nlm.nih.gov/Taxonomy/Browser/wwwtax.cgi?mode=Info&amp;id=141832&amp;lvl=3&amp;lin=f&amp;keep=1&amp;srchmode=1&amp;unlock","Pomphorhynchus laevis")</f>
        <v>Pomphorhynchus laevis</v>
      </c>
      <c r="H2688" t="s">
        <v>1017</v>
      </c>
      <c r="I2688" t="str">
        <f>HYPERLINK("http://www.ncbi.nlm.nih.gov/protein/KAI0981288.1","hypothetical protein GJ496_001976")</f>
        <v>hypothetical protein GJ496_001976</v>
      </c>
      <c r="J2688">
        <v>2735.29</v>
      </c>
      <c r="K2688" t="s">
        <v>19</v>
      </c>
      <c r="L2688">
        <v>1210</v>
      </c>
      <c r="M2688">
        <v>7.13</v>
      </c>
      <c r="N2688">
        <v>26.65</v>
      </c>
      <c r="O2688" t="s">
        <v>19</v>
      </c>
      <c r="P2688" t="s">
        <v>1267</v>
      </c>
      <c r="Q2688" t="s">
        <v>19</v>
      </c>
      <c r="R2688" t="str">
        <f>HYPERLINK("https://cfpub.epa.gov/ecotox/explore.cfm?ncbi=141832","Explore in ECOTOX")</f>
        <v>Explore in ECOTOX</v>
      </c>
    </row>
    <row r="2689" spans="1:18" x14ac:dyDescent="0.45">
      <c r="A2689" t="s">
        <v>1266</v>
      </c>
      <c r="B2689">
        <v>8</v>
      </c>
      <c r="C2689" t="str">
        <f>HYPERLINK("http://www.ncbi.nlm.nih.gov/protein/NXQ62989.1","NXQ62989.1")</f>
        <v>NXQ62989.1</v>
      </c>
      <c r="D2689">
        <v>13596</v>
      </c>
      <c r="E2689" t="str">
        <f>HYPERLINK("http://www.ncbi.nlm.nih.gov/Taxonomy/Browser/wwwtax.cgi?mode=Info&amp;id=156561&amp;lvl=3&amp;lin=f&amp;keep=1&amp;srchmode=1&amp;unlock","156561")</f>
        <v>156561</v>
      </c>
      <c r="F2689" t="s">
        <v>241</v>
      </c>
      <c r="G2689" t="str">
        <f>HYPERLINK("http://www.ncbi.nlm.nih.gov/Taxonomy/Browser/wwwtax.cgi?mode=Info&amp;id=156561&amp;lvl=3&amp;lin=f&amp;keep=1&amp;srchmode=1&amp;unlock","Anthoscopus minutus")</f>
        <v>Anthoscopus minutus</v>
      </c>
      <c r="H2689" t="s">
        <v>1004</v>
      </c>
      <c r="I2689" t="str">
        <f>HYPERLINK("http://www.ncbi.nlm.nih.gov/protein/NXQ62989.1","RYR3 protein")</f>
        <v>RYR3 protein</v>
      </c>
      <c r="J2689">
        <v>2720.65</v>
      </c>
      <c r="K2689" t="s">
        <v>22</v>
      </c>
      <c r="L2689">
        <v>1210</v>
      </c>
      <c r="M2689">
        <v>7.13</v>
      </c>
      <c r="N2689">
        <v>26.51</v>
      </c>
      <c r="O2689" t="s">
        <v>19</v>
      </c>
      <c r="P2689" t="s">
        <v>1267</v>
      </c>
      <c r="Q2689" t="s">
        <v>19</v>
      </c>
      <c r="R2689" t="str">
        <f>HYPERLINK("https://cfpub.epa.gov/ecotox/explore.cfm?ncbi=156561","Explore in ECOTOX")</f>
        <v>Explore in ECOTOX</v>
      </c>
    </row>
    <row r="2690" spans="1:18" x14ac:dyDescent="0.45">
      <c r="A2690" t="s">
        <v>1266</v>
      </c>
      <c r="B2690">
        <v>8</v>
      </c>
      <c r="C2690" t="str">
        <f>HYPERLINK("http://www.ncbi.nlm.nih.gov/protein/GFG39931.1","GFG39931.1")</f>
        <v>GFG39931.1</v>
      </c>
      <c r="D2690">
        <v>14202</v>
      </c>
      <c r="E2690" t="str">
        <f>HYPERLINK("http://www.ncbi.nlm.nih.gov/Taxonomy/Browser/wwwtax.cgi?mode=Info&amp;id=36987&amp;lvl=3&amp;lin=f&amp;keep=1&amp;srchmode=1&amp;unlock","36987")</f>
        <v>36987</v>
      </c>
      <c r="F2690" t="s">
        <v>760</v>
      </c>
      <c r="G2690" t="str">
        <f>HYPERLINK("http://www.ncbi.nlm.nih.gov/Taxonomy/Browser/wwwtax.cgi?mode=Info&amp;id=36987&amp;lvl=3&amp;lin=f&amp;keep=1&amp;srchmode=1&amp;unlock","Coptotermes formosanus")</f>
        <v>Coptotermes formosanus</v>
      </c>
      <c r="H2690" t="s">
        <v>804</v>
      </c>
      <c r="I2690" t="str">
        <f>HYPERLINK("http://www.ncbi.nlm.nih.gov/protein/GFG39931.1","hypothetical protein Cfor_08988, partial")</f>
        <v>hypothetical protein Cfor_08988, partial</v>
      </c>
      <c r="J2690">
        <v>2700.62</v>
      </c>
      <c r="K2690" t="s">
        <v>19</v>
      </c>
      <c r="L2690">
        <v>1210</v>
      </c>
      <c r="M2690">
        <v>7.13</v>
      </c>
      <c r="N2690">
        <v>26.31</v>
      </c>
      <c r="O2690" t="s">
        <v>19</v>
      </c>
      <c r="P2690" t="s">
        <v>1267</v>
      </c>
      <c r="Q2690" t="s">
        <v>19</v>
      </c>
      <c r="R2690" t="str">
        <f>HYPERLINK("https://cfpub.epa.gov/ecotox/explore.cfm?ncbi=36987","Explore in ECOTOX")</f>
        <v>Explore in ECOTOX</v>
      </c>
    </row>
    <row r="2691" spans="1:18" x14ac:dyDescent="0.45">
      <c r="A2691" t="s">
        <v>1266</v>
      </c>
      <c r="B2691">
        <v>8</v>
      </c>
      <c r="C2691" t="str">
        <f>HYPERLINK("http://www.ncbi.nlm.nih.gov/protein/KAJ8309071.1","KAJ8309071.1")</f>
        <v>KAJ8309071.1</v>
      </c>
      <c r="D2691">
        <v>25449</v>
      </c>
      <c r="E2691" t="str">
        <f>HYPERLINK("http://www.ncbi.nlm.nih.gov/Taxonomy/Browser/wwwtax.cgi?mode=Info&amp;id=220873&amp;lvl=3&amp;lin=f&amp;keep=1&amp;srchmode=1&amp;unlock","220873")</f>
        <v>220873</v>
      </c>
      <c r="F2691" t="s">
        <v>833</v>
      </c>
      <c r="G2691" t="str">
        <f>HYPERLINK("http://www.ncbi.nlm.nih.gov/Taxonomy/Browser/wwwtax.cgi?mode=Info&amp;id=220873&amp;lvl=3&amp;lin=f&amp;keep=1&amp;srchmode=1&amp;unlock","Tegillarca granosa")</f>
        <v>Tegillarca granosa</v>
      </c>
      <c r="H2691" t="s">
        <v>1018</v>
      </c>
      <c r="I2691" t="str">
        <f>HYPERLINK("http://www.ncbi.nlm.nih.gov/protein/KAJ8309071.1","hypothetical protein KUTeg_013945")</f>
        <v>hypothetical protein KUTeg_013945</v>
      </c>
      <c r="J2691">
        <v>2655.55</v>
      </c>
      <c r="K2691" t="s">
        <v>19</v>
      </c>
      <c r="L2691">
        <v>1210</v>
      </c>
      <c r="M2691">
        <v>7.13</v>
      </c>
      <c r="N2691">
        <v>25.88</v>
      </c>
      <c r="O2691" t="s">
        <v>19</v>
      </c>
      <c r="P2691" t="s">
        <v>1267</v>
      </c>
      <c r="Q2691" t="s">
        <v>19</v>
      </c>
      <c r="R2691" t="str">
        <f>HYPERLINK("https://cfpub.epa.gov/ecotox/explore.cfm?ncbi=220873","Explore in ECOTOX")</f>
        <v>Explore in ECOTOX</v>
      </c>
    </row>
    <row r="2692" spans="1:18" x14ac:dyDescent="0.45">
      <c r="A2692" t="s">
        <v>1266</v>
      </c>
      <c r="B2692">
        <v>8</v>
      </c>
      <c r="C2692" t="str">
        <f>HYPERLINK("http://www.ncbi.nlm.nih.gov/protein/XP_020307100.1","XP_020307100.1")</f>
        <v>XP_020307100.1</v>
      </c>
      <c r="D2692">
        <v>30905</v>
      </c>
      <c r="E2692" t="str">
        <f>HYPERLINK("http://www.ncbi.nlm.nih.gov/Taxonomy/Browser/wwwtax.cgi?mode=Info&amp;id=7209&amp;lvl=3&amp;lin=f&amp;keep=1&amp;srchmode=1&amp;unlock","7209")</f>
        <v>7209</v>
      </c>
      <c r="F2692" t="s">
        <v>1024</v>
      </c>
      <c r="G2692" t="str">
        <f>HYPERLINK("http://www.ncbi.nlm.nih.gov/Taxonomy/Browser/wwwtax.cgi?mode=Info&amp;id=7209&amp;lvl=3&amp;lin=f&amp;keep=1&amp;srchmode=1&amp;unlock","Loa loa")</f>
        <v>Loa loa</v>
      </c>
      <c r="H2692" t="s">
        <v>1109</v>
      </c>
      <c r="I2692" t="str">
        <f>HYPERLINK("http://www.ncbi.nlm.nih.gov/protein/XP_020307100.1","ryanodine Receptor TM 4-6 family protein")</f>
        <v>ryanodine Receptor TM 4-6 family protein</v>
      </c>
      <c r="J2692">
        <v>2645.54</v>
      </c>
      <c r="K2692" t="s">
        <v>19</v>
      </c>
      <c r="L2692">
        <v>1210</v>
      </c>
      <c r="M2692">
        <v>7.13</v>
      </c>
      <c r="N2692">
        <v>25.78</v>
      </c>
      <c r="O2692" t="s">
        <v>19</v>
      </c>
      <c r="P2692" t="s">
        <v>1267</v>
      </c>
      <c r="Q2692" t="s">
        <v>19</v>
      </c>
      <c r="R2692" t="str">
        <f>HYPERLINK("https://cfpub.epa.gov/ecotox/explore.cfm?ncbi=7209","Explore in ECOTOX")</f>
        <v>Explore in ECOTOX</v>
      </c>
    </row>
    <row r="2693" spans="1:18" x14ac:dyDescent="0.45">
      <c r="A2693" t="s">
        <v>1266</v>
      </c>
      <c r="B2693">
        <v>8</v>
      </c>
      <c r="C2693" t="str">
        <f>HYPERLINK("http://www.ncbi.nlm.nih.gov/protein/XP_042933032.1","XP_042933032.1")</f>
        <v>XP_042933032.1</v>
      </c>
      <c r="D2693">
        <v>46363</v>
      </c>
      <c r="E2693" t="str">
        <f>HYPERLINK("http://www.ncbi.nlm.nih.gov/Taxonomy/Browser/wwwtax.cgi?mode=Info&amp;id=6279&amp;lvl=3&amp;lin=f&amp;keep=1&amp;srchmode=1&amp;unlock","6279")</f>
        <v>6279</v>
      </c>
      <c r="F2693" t="s">
        <v>1024</v>
      </c>
      <c r="G2693" t="str">
        <f>HYPERLINK("http://www.ncbi.nlm.nih.gov/Taxonomy/Browser/wwwtax.cgi?mode=Info&amp;id=6279&amp;lvl=3&amp;lin=f&amp;keep=1&amp;srchmode=1&amp;unlock","Brugia malayi")</f>
        <v>Brugia malayi</v>
      </c>
      <c r="H2693" t="s">
        <v>1108</v>
      </c>
      <c r="I2693" t="str">
        <f>HYPERLINK("http://www.ncbi.nlm.nih.gov/protein/XP_042933032.1","Uncharacterized protein BM_BM4999")</f>
        <v>Uncharacterized protein BM_BM4999</v>
      </c>
      <c r="J2693">
        <v>2640.53</v>
      </c>
      <c r="K2693" t="s">
        <v>19</v>
      </c>
      <c r="L2693">
        <v>1210</v>
      </c>
      <c r="M2693">
        <v>7.13</v>
      </c>
      <c r="N2693">
        <v>25.73</v>
      </c>
      <c r="O2693" t="s">
        <v>19</v>
      </c>
      <c r="P2693" t="s">
        <v>1267</v>
      </c>
      <c r="Q2693" t="s">
        <v>19</v>
      </c>
      <c r="R2693" t="str">
        <f>HYPERLINK("https://cfpub.epa.gov/ecotox/explore.cfm?ncbi=6279","Explore in ECOTOX")</f>
        <v>Explore in ECOTOX</v>
      </c>
    </row>
    <row r="2694" spans="1:18" x14ac:dyDescent="0.45">
      <c r="A2694" t="s">
        <v>1266</v>
      </c>
      <c r="B2694">
        <v>8</v>
      </c>
      <c r="C2694" t="str">
        <f>HYPERLINK("http://www.ncbi.nlm.nih.gov/protein/XP_053408027.1","XP_053408027.1")</f>
        <v>XP_053408027.1</v>
      </c>
      <c r="D2694">
        <v>63352</v>
      </c>
      <c r="E2694" t="str">
        <f>HYPERLINK("http://www.ncbi.nlm.nih.gov/Taxonomy/Browser/wwwtax.cgi?mode=Info&amp;id=6596&amp;lvl=3&amp;lin=f&amp;keep=1&amp;srchmode=1&amp;unlock","6596")</f>
        <v>6596</v>
      </c>
      <c r="F2694" t="s">
        <v>833</v>
      </c>
      <c r="G2694" t="str">
        <f>HYPERLINK("http://www.ncbi.nlm.nih.gov/Taxonomy/Browser/wwwtax.cgi?mode=Info&amp;id=6596&amp;lvl=3&amp;lin=f&amp;keep=1&amp;srchmode=1&amp;unlock","Mercenaria mercenaria")</f>
        <v>Mercenaria mercenaria</v>
      </c>
      <c r="H2694" t="s">
        <v>838</v>
      </c>
      <c r="I2694" t="str">
        <f>HYPERLINK("http://www.ncbi.nlm.nih.gov/protein/XP_053408027.1","ryanodine receptor-like isoform X9")</f>
        <v>ryanodine receptor-like isoform X9</v>
      </c>
      <c r="J2694">
        <v>2636.68</v>
      </c>
      <c r="K2694" t="s">
        <v>19</v>
      </c>
      <c r="L2694">
        <v>1210</v>
      </c>
      <c r="M2694">
        <v>7.13</v>
      </c>
      <c r="N2694">
        <v>25.69</v>
      </c>
      <c r="O2694" t="s">
        <v>19</v>
      </c>
      <c r="P2694" t="s">
        <v>1267</v>
      </c>
      <c r="Q2694" t="s">
        <v>19</v>
      </c>
      <c r="R2694" t="str">
        <f>HYPERLINK("https://cfpub.epa.gov/ecotox/explore.cfm?ncbi=6596","Explore in ECOTOX")</f>
        <v>Explore in ECOTOX</v>
      </c>
    </row>
    <row r="2695" spans="1:18" x14ac:dyDescent="0.45">
      <c r="A2695" t="s">
        <v>1266</v>
      </c>
      <c r="B2695">
        <v>8</v>
      </c>
      <c r="C2695" t="str">
        <f>HYPERLINK("http://www.ncbi.nlm.nih.gov/protein/GBM47406.1","GBM47406.1")</f>
        <v>GBM47406.1</v>
      </c>
      <c r="D2695">
        <v>278984</v>
      </c>
      <c r="E2695" t="str">
        <f>HYPERLINK("http://www.ncbi.nlm.nih.gov/Taxonomy/Browser/wwwtax.cgi?mode=Info&amp;id=182803&amp;lvl=3&amp;lin=f&amp;keep=1&amp;srchmode=1&amp;unlock","182803")</f>
        <v>182803</v>
      </c>
      <c r="F2695" t="s">
        <v>904</v>
      </c>
      <c r="G2695" t="str">
        <f>HYPERLINK("http://www.ncbi.nlm.nih.gov/Taxonomy/Browser/wwwtax.cgi?mode=Info&amp;id=182803&amp;lvl=3&amp;lin=f&amp;keep=1&amp;srchmode=1&amp;unlock","Araneus ventricosus")</f>
        <v>Araneus ventricosus</v>
      </c>
      <c r="H2695" t="s">
        <v>922</v>
      </c>
      <c r="I2695" t="str">
        <f>HYPERLINK("http://www.ncbi.nlm.nih.gov/protein/GBM47406.1","Ryanodine receptor")</f>
        <v>Ryanodine receptor</v>
      </c>
      <c r="J2695">
        <v>2635.52</v>
      </c>
      <c r="K2695" t="s">
        <v>19</v>
      </c>
      <c r="L2695">
        <v>1210</v>
      </c>
      <c r="M2695">
        <v>7.13</v>
      </c>
      <c r="N2695">
        <v>25.68</v>
      </c>
      <c r="O2695" t="s">
        <v>19</v>
      </c>
      <c r="P2695" t="s">
        <v>1267</v>
      </c>
      <c r="Q2695" t="s">
        <v>19</v>
      </c>
      <c r="R2695" t="str">
        <f>HYPERLINK("https://cfpub.epa.gov/ecotox/explore.cfm?ncbi=182803","Explore in ECOTOX")</f>
        <v>Explore in ECOTOX</v>
      </c>
    </row>
    <row r="2696" spans="1:18" x14ac:dyDescent="0.45">
      <c r="A2696" t="s">
        <v>1266</v>
      </c>
      <c r="B2696">
        <v>8</v>
      </c>
      <c r="C2696" t="str">
        <f>HYPERLINK("http://www.ncbi.nlm.nih.gov/protein/XP_002735182.2","XP_002735182.2")</f>
        <v>XP_002735182.2</v>
      </c>
      <c r="D2696">
        <v>22977</v>
      </c>
      <c r="E2696" t="str">
        <f>HYPERLINK("http://www.ncbi.nlm.nih.gov/Taxonomy/Browser/wwwtax.cgi?mode=Info&amp;id=10224&amp;lvl=3&amp;lin=f&amp;keep=1&amp;srchmode=1&amp;unlock","10224")</f>
        <v>10224</v>
      </c>
      <c r="F2696" t="s">
        <v>1029</v>
      </c>
      <c r="G2696" t="str">
        <f>HYPERLINK("http://www.ncbi.nlm.nih.gov/Taxonomy/Browser/wwwtax.cgi?mode=Info&amp;id=10224&amp;lvl=3&amp;lin=f&amp;keep=1&amp;srchmode=1&amp;unlock","Saccoglossus kowalevskii")</f>
        <v>Saccoglossus kowalevskii</v>
      </c>
      <c r="H2696" t="s">
        <v>1030</v>
      </c>
      <c r="I2696" t="str">
        <f>HYPERLINK("http://www.ncbi.nlm.nih.gov/protein/XP_002735182.2","PREDICTED: LOW QUALITY PROTEIN: ryanodine receptor 2")</f>
        <v>PREDICTED: LOW QUALITY PROTEIN: ryanodine receptor 2</v>
      </c>
      <c r="J2696">
        <v>2622.81</v>
      </c>
      <c r="K2696" t="s">
        <v>22</v>
      </c>
      <c r="L2696">
        <v>1210</v>
      </c>
      <c r="M2696">
        <v>7.13</v>
      </c>
      <c r="N2696">
        <v>25.56</v>
      </c>
      <c r="O2696" t="s">
        <v>19</v>
      </c>
      <c r="P2696" t="s">
        <v>1267</v>
      </c>
      <c r="Q2696" t="s">
        <v>19</v>
      </c>
      <c r="R2696" t="str">
        <f>HYPERLINK("https://cfpub.epa.gov/ecotox/explore.cfm?ncbi=10224","Explore in ECOTOX")</f>
        <v>Explore in ECOTOX</v>
      </c>
    </row>
    <row r="2697" spans="1:18" x14ac:dyDescent="0.45">
      <c r="A2697" t="s">
        <v>1266</v>
      </c>
      <c r="B2697">
        <v>8</v>
      </c>
      <c r="C2697" t="str">
        <f>HYPERLINK("http://www.ncbi.nlm.nih.gov/protein/XP_046567750.1","XP_046567750.1")</f>
        <v>XP_046567750.1</v>
      </c>
      <c r="D2697">
        <v>43461</v>
      </c>
      <c r="E2697" t="str">
        <f>HYPERLINK("http://www.ncbi.nlm.nih.gov/Taxonomy/Browser/wwwtax.cgi?mode=Info&amp;id=36100&amp;lvl=3&amp;lin=f&amp;keep=1&amp;srchmode=1&amp;unlock","36100")</f>
        <v>36100</v>
      </c>
      <c r="F2697" t="s">
        <v>757</v>
      </c>
      <c r="G2697" t="str">
        <f>HYPERLINK("http://www.ncbi.nlm.nih.gov/Taxonomy/Browser/wwwtax.cgi?mode=Info&amp;id=36100&amp;lvl=3&amp;lin=f&amp;keep=1&amp;srchmode=1&amp;unlock","Haliotis rubra")</f>
        <v>Haliotis rubra</v>
      </c>
      <c r="H2697" t="s">
        <v>1009</v>
      </c>
      <c r="I2697" t="str">
        <f>HYPERLINK("http://www.ncbi.nlm.nih.gov/protein/XP_046567750.1","LOW QUALITY PROTEIN: ryanodine receptor-like")</f>
        <v>LOW QUALITY PROTEIN: ryanodine receptor-like</v>
      </c>
      <c r="J2697">
        <v>2622.04</v>
      </c>
      <c r="K2697" t="s">
        <v>19</v>
      </c>
      <c r="L2697">
        <v>1210</v>
      </c>
      <c r="M2697">
        <v>7.13</v>
      </c>
      <c r="N2697">
        <v>25.55</v>
      </c>
      <c r="O2697" t="s">
        <v>19</v>
      </c>
      <c r="P2697" t="s">
        <v>1267</v>
      </c>
      <c r="Q2697" t="s">
        <v>19</v>
      </c>
      <c r="R2697" t="str">
        <f>HYPERLINK("https://cfpub.epa.gov/ecotox/explore.cfm?ncbi=36100","Explore in ECOTOX")</f>
        <v>Explore in ECOTOX</v>
      </c>
    </row>
    <row r="2698" spans="1:18" x14ac:dyDescent="0.45">
      <c r="A2698" t="s">
        <v>1266</v>
      </c>
      <c r="B2698">
        <v>8</v>
      </c>
      <c r="C2698" t="str">
        <f>HYPERLINK("http://www.ncbi.nlm.nih.gov/protein/XP_061163608.1","XP_061163608.1")</f>
        <v>XP_061163608.1</v>
      </c>
      <c r="D2698">
        <v>36242</v>
      </c>
      <c r="E2698" t="str">
        <f>HYPERLINK("http://www.ncbi.nlm.nih.gov/Taxonomy/Browser/wwwtax.cgi?mode=Info&amp;id=191078&amp;lvl=3&amp;lin=f&amp;keep=1&amp;srchmode=1&amp;unlock","191078")</f>
        <v>191078</v>
      </c>
      <c r="F2698" t="s">
        <v>833</v>
      </c>
      <c r="G2698" t="str">
        <f>HYPERLINK("http://www.ncbi.nlm.nih.gov/Taxonomy/Browser/wwwtax.cgi?mode=Info&amp;id=191078&amp;lvl=3&amp;lin=f&amp;keep=1&amp;srchmode=1&amp;unlock","Saccostrea echinata")</f>
        <v>Saccostrea echinata</v>
      </c>
      <c r="H2698" t="s">
        <v>837</v>
      </c>
      <c r="I2698" t="str">
        <f>HYPERLINK("http://www.ncbi.nlm.nih.gov/protein/XP_061163608.1","ryanodine receptor-like isoform X2")</f>
        <v>ryanodine receptor-like isoform X2</v>
      </c>
      <c r="J2698">
        <v>2613.9499999999998</v>
      </c>
      <c r="K2698" t="s">
        <v>19</v>
      </c>
      <c r="L2698">
        <v>1210</v>
      </c>
      <c r="M2698">
        <v>7.13</v>
      </c>
      <c r="N2698">
        <v>25.47</v>
      </c>
      <c r="O2698" t="s">
        <v>19</v>
      </c>
      <c r="P2698" t="s">
        <v>1267</v>
      </c>
      <c r="Q2698" t="s">
        <v>19</v>
      </c>
      <c r="R2698" t="str">
        <f>HYPERLINK("https://cfpub.epa.gov/ecotox/explore.cfm?ncbi=191078","Explore in ECOTOX")</f>
        <v>Explore in ECOTOX</v>
      </c>
    </row>
    <row r="2699" spans="1:18" x14ac:dyDescent="0.45">
      <c r="A2699" t="s">
        <v>1266</v>
      </c>
      <c r="B2699">
        <v>8</v>
      </c>
      <c r="C2699" t="str">
        <f>HYPERLINK("http://www.ncbi.nlm.nih.gov/protein/XP_054758833.1","XP_054758833.1")</f>
        <v>XP_054758833.1</v>
      </c>
      <c r="D2699">
        <v>27814</v>
      </c>
      <c r="E2699" t="str">
        <f>HYPERLINK("http://www.ncbi.nlm.nih.gov/Taxonomy/Browser/wwwtax.cgi?mode=Info&amp;id=7653&amp;lvl=3&amp;lin=f&amp;keep=1&amp;srchmode=1&amp;unlock","7653")</f>
        <v>7653</v>
      </c>
      <c r="F2699" t="s">
        <v>1020</v>
      </c>
      <c r="G2699" t="str">
        <f>HYPERLINK("http://www.ncbi.nlm.nih.gov/Taxonomy/Browser/wwwtax.cgi?mode=Info&amp;id=7653&amp;lvl=3&amp;lin=f&amp;keep=1&amp;srchmode=1&amp;unlock","Lytechinus pictus")</f>
        <v>Lytechinus pictus</v>
      </c>
      <c r="H2699" t="s">
        <v>1021</v>
      </c>
      <c r="I2699" t="str">
        <f>HYPERLINK("http://www.ncbi.nlm.nih.gov/protein/XP_054758833.1","ryanodine receptor 2-like")</f>
        <v>ryanodine receptor 2-like</v>
      </c>
      <c r="J2699">
        <v>2608.94</v>
      </c>
      <c r="K2699" t="s">
        <v>19</v>
      </c>
      <c r="L2699">
        <v>1210</v>
      </c>
      <c r="M2699">
        <v>7.13</v>
      </c>
      <c r="N2699">
        <v>25.42</v>
      </c>
      <c r="O2699" t="s">
        <v>19</v>
      </c>
      <c r="P2699" t="s">
        <v>1267</v>
      </c>
      <c r="Q2699" t="s">
        <v>19</v>
      </c>
      <c r="R2699" t="str">
        <f>HYPERLINK("https://cfpub.epa.gov/ecotox/explore.cfm?ncbi=7653","Explore in ECOTOX")</f>
        <v>Explore in ECOTOX</v>
      </c>
    </row>
    <row r="2700" spans="1:18" x14ac:dyDescent="0.45">
      <c r="A2700" t="s">
        <v>1266</v>
      </c>
      <c r="B2700">
        <v>8</v>
      </c>
      <c r="C2700" t="str">
        <f>HYPERLINK("http://www.ncbi.nlm.nih.gov/protein/VDN89344.1","VDN89344.1")</f>
        <v>VDN89344.1</v>
      </c>
      <c r="D2700">
        <v>14709</v>
      </c>
      <c r="E2700" t="str">
        <f>HYPERLINK("http://www.ncbi.nlm.nih.gov/Taxonomy/Browser/wwwtax.cgi?mode=Info&amp;id=6280&amp;lvl=3&amp;lin=f&amp;keep=1&amp;srchmode=1&amp;unlock","6280")</f>
        <v>6280</v>
      </c>
      <c r="F2700" t="s">
        <v>1024</v>
      </c>
      <c r="G2700" t="str">
        <f>HYPERLINK("http://www.ncbi.nlm.nih.gov/Taxonomy/Browser/wwwtax.cgi?mode=Info&amp;id=6280&amp;lvl=3&amp;lin=f&amp;keep=1&amp;srchmode=1&amp;unlock","Brugia pahangi")</f>
        <v>Brugia pahangi</v>
      </c>
      <c r="H2700" t="s">
        <v>1027</v>
      </c>
      <c r="I2700" t="str">
        <f>HYPERLINK("http://www.ncbi.nlm.nih.gov/protein/VDN89344.1","unnamed protein product")</f>
        <v>unnamed protein product</v>
      </c>
      <c r="J2700">
        <v>2605.09</v>
      </c>
      <c r="K2700" t="s">
        <v>19</v>
      </c>
      <c r="L2700">
        <v>1210</v>
      </c>
      <c r="M2700">
        <v>7.13</v>
      </c>
      <c r="N2700">
        <v>25.38</v>
      </c>
      <c r="O2700" t="s">
        <v>19</v>
      </c>
      <c r="P2700" t="s">
        <v>1267</v>
      </c>
      <c r="Q2700" t="s">
        <v>19</v>
      </c>
      <c r="R2700" t="str">
        <f>HYPERLINK("https://cfpub.epa.gov/ecotox/explore.cfm?ncbi=6280","Explore in ECOTOX")</f>
        <v>Explore in ECOTOX</v>
      </c>
    </row>
    <row r="2701" spans="1:18" x14ac:dyDescent="0.45">
      <c r="A2701" t="s">
        <v>1266</v>
      </c>
      <c r="B2701">
        <v>8</v>
      </c>
      <c r="C2701" t="str">
        <f>HYPERLINK("http://www.ncbi.nlm.nih.gov/protein/WKY11481.1","WKY11481.1")</f>
        <v>WKY11481.1</v>
      </c>
      <c r="D2701">
        <v>52283</v>
      </c>
      <c r="E2701" t="str">
        <f>HYPERLINK("http://www.ncbi.nlm.nih.gov/Taxonomy/Browser/wwwtax.cgi?mode=Info&amp;id=27835&amp;lvl=3&amp;lin=f&amp;keep=1&amp;srchmode=1&amp;unlock","27835")</f>
        <v>27835</v>
      </c>
      <c r="F2701" t="s">
        <v>1024</v>
      </c>
      <c r="G2701" t="str">
        <f>HYPERLINK("http://www.ncbi.nlm.nih.gov/Taxonomy/Browser/wwwtax.cgi?mode=Info&amp;id=27835&amp;lvl=3&amp;lin=f&amp;keep=1&amp;srchmode=1&amp;unlock","Nippostrongylus brasiliensis")</f>
        <v>Nippostrongylus brasiliensis</v>
      </c>
      <c r="H2701" t="s">
        <v>1025</v>
      </c>
      <c r="I2701" t="str">
        <f>HYPERLINK("http://www.ncbi.nlm.nih.gov/protein/WKY11481.1","hypothetical protein Q1695_003218")</f>
        <v>hypothetical protein Q1695_003218</v>
      </c>
      <c r="J2701">
        <v>2603.16</v>
      </c>
      <c r="K2701" t="s">
        <v>19</v>
      </c>
      <c r="L2701">
        <v>1210</v>
      </c>
      <c r="M2701">
        <v>7.13</v>
      </c>
      <c r="N2701">
        <v>25.36</v>
      </c>
      <c r="O2701" t="s">
        <v>19</v>
      </c>
      <c r="P2701" t="s">
        <v>1267</v>
      </c>
      <c r="Q2701" t="s">
        <v>19</v>
      </c>
      <c r="R2701" t="str">
        <f>HYPERLINK("https://cfpub.epa.gov/ecotox/explore.cfm?ncbi=27835","Explore in ECOTOX")</f>
        <v>Explore in ECOTOX</v>
      </c>
    </row>
    <row r="2702" spans="1:18" x14ac:dyDescent="0.45">
      <c r="A2702" t="s">
        <v>1266</v>
      </c>
      <c r="B2702">
        <v>8</v>
      </c>
      <c r="C2702" t="str">
        <f>HYPERLINK("http://www.ncbi.nlm.nih.gov/protein/CAG9530379.1","CAG9530379.1")</f>
        <v>CAG9530379.1</v>
      </c>
      <c r="D2702">
        <v>11549</v>
      </c>
      <c r="E2702" t="str">
        <f>HYPERLINK("http://www.ncbi.nlm.nih.gov/Taxonomy/Browser/wwwtax.cgi?mode=Info&amp;id=2874296&amp;lvl=3&amp;lin=f&amp;keep=1&amp;srchmode=1&amp;unlock","2874296")</f>
        <v>2874296</v>
      </c>
      <c r="F2702" t="s">
        <v>1024</v>
      </c>
      <c r="G2702" t="str">
        <f>HYPERLINK("http://www.ncbi.nlm.nih.gov/Taxonomy/Browser/wwwtax.cgi?mode=Info&amp;id=2874296&amp;lvl=3&amp;lin=f&amp;keep=1&amp;srchmode=1&amp;unlock","Cercopithifilaria johnstoni")</f>
        <v>Cercopithifilaria johnstoni</v>
      </c>
      <c r="H2702" t="s">
        <v>1027</v>
      </c>
      <c r="I2702" t="str">
        <f>HYPERLINK("http://www.ncbi.nlm.nih.gov/protein/CAG9530379.1","unnamed protein product")</f>
        <v>unnamed protein product</v>
      </c>
      <c r="J2702">
        <v>2592.38</v>
      </c>
      <c r="K2702" t="s">
        <v>19</v>
      </c>
      <c r="L2702">
        <v>1210</v>
      </c>
      <c r="M2702">
        <v>7.13</v>
      </c>
      <c r="N2702">
        <v>25.26</v>
      </c>
      <c r="O2702" t="s">
        <v>19</v>
      </c>
      <c r="P2702" t="s">
        <v>1267</v>
      </c>
      <c r="Q2702" t="s">
        <v>19</v>
      </c>
      <c r="R2702" t="str">
        <f>HYPERLINK("https://cfpub.epa.gov/ecotox/explore.cfm?ncbi=2874296","Explore in ECOTOX")</f>
        <v>Explore in ECOTOX</v>
      </c>
    </row>
    <row r="2703" spans="1:18" x14ac:dyDescent="0.45">
      <c r="A2703" t="s">
        <v>1266</v>
      </c>
      <c r="B2703">
        <v>8</v>
      </c>
      <c r="C2703" t="str">
        <f>HYPERLINK("http://www.ncbi.nlm.nih.gov/protein/KAI4529430.1","KAI4529430.1")</f>
        <v>KAI4529430.1</v>
      </c>
      <c r="D2703">
        <v>20823</v>
      </c>
      <c r="E2703" t="str">
        <f>HYPERLINK("http://www.ncbi.nlm.nih.gov/Taxonomy/Browser/wwwtax.cgi?mode=Info&amp;id=230172&amp;lvl=3&amp;lin=f&amp;keep=1&amp;srchmode=1&amp;unlock","230172")</f>
        <v>230172</v>
      </c>
      <c r="F2703" t="s">
        <v>96</v>
      </c>
      <c r="G2703" t="str">
        <f>HYPERLINK("http://www.ncbi.nlm.nih.gov/Taxonomy/Browser/wwwtax.cgi?mode=Info&amp;id=230172&amp;lvl=3&amp;lin=f&amp;keep=1&amp;srchmode=1&amp;unlock","Ovis ammon polii")</f>
        <v>Ovis ammon polii</v>
      </c>
      <c r="H2703" t="s">
        <v>1006</v>
      </c>
      <c r="I2703" t="str">
        <f>HYPERLINK("http://www.ncbi.nlm.nih.gov/protein/KAI4529430.1","hypothetical protein MG293_020678")</f>
        <v>hypothetical protein MG293_020678</v>
      </c>
      <c r="J2703">
        <v>2591.9899999999998</v>
      </c>
      <c r="K2703" t="s">
        <v>19</v>
      </c>
      <c r="L2703">
        <v>1210</v>
      </c>
      <c r="M2703">
        <v>7.13</v>
      </c>
      <c r="N2703">
        <v>25.26</v>
      </c>
      <c r="O2703" t="s">
        <v>19</v>
      </c>
      <c r="P2703" t="s">
        <v>1267</v>
      </c>
      <c r="Q2703" t="s">
        <v>19</v>
      </c>
      <c r="R2703" t="str">
        <f>HYPERLINK("https://cfpub.epa.gov/ecotox/explore.cfm?ncbi=230172","Explore in ECOTOX")</f>
        <v>Explore in ECOTOX</v>
      </c>
    </row>
    <row r="2704" spans="1:18" x14ac:dyDescent="0.45">
      <c r="A2704" t="s">
        <v>1266</v>
      </c>
      <c r="B2704">
        <v>8</v>
      </c>
      <c r="C2704" t="str">
        <f>HYPERLINK("http://www.ncbi.nlm.nih.gov/protein/KAK3608599.1","KAK3608599.1")</f>
        <v>KAK3608599.1</v>
      </c>
      <c r="D2704">
        <v>37094</v>
      </c>
      <c r="E2704" t="str">
        <f>HYPERLINK("http://www.ncbi.nlm.nih.gov/Taxonomy/Browser/wwwtax.cgi?mode=Info&amp;id=2493646&amp;lvl=3&amp;lin=f&amp;keep=1&amp;srchmode=1&amp;unlock","2493646")</f>
        <v>2493646</v>
      </c>
      <c r="F2704" t="s">
        <v>833</v>
      </c>
      <c r="G2704" t="str">
        <f>HYPERLINK("http://www.ncbi.nlm.nih.gov/Taxonomy/Browser/wwwtax.cgi?mode=Info&amp;id=2493646&amp;lvl=3&amp;lin=f&amp;keep=1&amp;srchmode=1&amp;unlock","Potamilus streckersoni")</f>
        <v>Potamilus streckersoni</v>
      </c>
      <c r="H2704" t="s">
        <v>845</v>
      </c>
      <c r="I2704" t="str">
        <f>HYPERLINK("http://www.ncbi.nlm.nih.gov/protein/KAK3608599.1","hypothetical protein CHS0354_042592")</f>
        <v>hypothetical protein CHS0354_042592</v>
      </c>
      <c r="J2704">
        <v>2590.4499999999998</v>
      </c>
      <c r="K2704" t="s">
        <v>19</v>
      </c>
      <c r="L2704">
        <v>1210</v>
      </c>
      <c r="M2704">
        <v>7.13</v>
      </c>
      <c r="N2704">
        <v>25.24</v>
      </c>
      <c r="O2704" t="s">
        <v>19</v>
      </c>
      <c r="P2704" t="s">
        <v>1267</v>
      </c>
      <c r="Q2704" t="s">
        <v>19</v>
      </c>
      <c r="R2704" t="str">
        <f>HYPERLINK("https://cfpub.epa.gov/ecotox/explore.cfm?ncbi=2493646","Explore in ECOTOX")</f>
        <v>Explore in ECOTOX</v>
      </c>
    </row>
    <row r="2705" spans="1:18" x14ac:dyDescent="0.45">
      <c r="A2705" t="s">
        <v>1266</v>
      </c>
      <c r="B2705">
        <v>8</v>
      </c>
      <c r="C2705" t="str">
        <f>HYPERLINK("http://www.ncbi.nlm.nih.gov/protein/XP_033734868.1","XP_033734868.1")</f>
        <v>XP_033734868.1</v>
      </c>
      <c r="D2705">
        <v>40009</v>
      </c>
      <c r="E2705" t="str">
        <f>HYPERLINK("http://www.ncbi.nlm.nih.gov/Taxonomy/Browser/wwwtax.cgi?mode=Info&amp;id=6579&amp;lvl=3&amp;lin=f&amp;keep=1&amp;srchmode=1&amp;unlock","6579")</f>
        <v>6579</v>
      </c>
      <c r="F2705" t="s">
        <v>833</v>
      </c>
      <c r="G2705" t="str">
        <f>HYPERLINK("http://www.ncbi.nlm.nih.gov/Taxonomy/Browser/wwwtax.cgi?mode=Info&amp;id=6579&amp;lvl=3&amp;lin=f&amp;keep=1&amp;srchmode=1&amp;unlock","Pecten maximus")</f>
        <v>Pecten maximus</v>
      </c>
      <c r="H2705" t="s">
        <v>849</v>
      </c>
      <c r="I2705" t="str">
        <f>HYPERLINK("http://www.ncbi.nlm.nih.gov/protein/XP_033734868.1","LOW QUALITY PROTEIN: ryanodine receptor-like")</f>
        <v>LOW QUALITY PROTEIN: ryanodine receptor-like</v>
      </c>
      <c r="J2705">
        <v>2589.3000000000002</v>
      </c>
      <c r="K2705" t="s">
        <v>19</v>
      </c>
      <c r="L2705">
        <v>1210</v>
      </c>
      <c r="M2705">
        <v>7.13</v>
      </c>
      <c r="N2705">
        <v>25.23</v>
      </c>
      <c r="O2705" t="s">
        <v>19</v>
      </c>
      <c r="P2705" t="s">
        <v>1267</v>
      </c>
      <c r="Q2705" t="s">
        <v>19</v>
      </c>
      <c r="R2705" t="str">
        <f>HYPERLINK("https://cfpub.epa.gov/ecotox/explore.cfm?ncbi=6579","Explore in ECOTOX")</f>
        <v>Explore in ECOTOX</v>
      </c>
    </row>
    <row r="2706" spans="1:18" x14ac:dyDescent="0.45">
      <c r="A2706" t="s">
        <v>1266</v>
      </c>
      <c r="B2706">
        <v>8</v>
      </c>
      <c r="C2706" t="str">
        <f>HYPERLINK("http://www.ncbi.nlm.nih.gov/protein/VDI80218.1","VDI80218.1")</f>
        <v>VDI80218.1</v>
      </c>
      <c r="D2706">
        <v>83902</v>
      </c>
      <c r="E2706" t="str">
        <f>HYPERLINK("http://www.ncbi.nlm.nih.gov/Taxonomy/Browser/wwwtax.cgi?mode=Info&amp;id=29158&amp;lvl=3&amp;lin=f&amp;keep=1&amp;srchmode=1&amp;unlock","29158")</f>
        <v>29158</v>
      </c>
      <c r="F2706" t="s">
        <v>833</v>
      </c>
      <c r="G2706" t="str">
        <f>HYPERLINK("http://www.ncbi.nlm.nih.gov/Taxonomy/Browser/wwwtax.cgi?mode=Info&amp;id=29158&amp;lvl=3&amp;lin=f&amp;keep=1&amp;srchmode=1&amp;unlock","Mytilus galloprovincialis")</f>
        <v>Mytilus galloprovincialis</v>
      </c>
      <c r="H2706" t="s">
        <v>1019</v>
      </c>
      <c r="I2706" t="str">
        <f>HYPERLINK("http://www.ncbi.nlm.nih.gov/protein/VDI80218.1","ryanodine receptor 2")</f>
        <v>ryanodine receptor 2</v>
      </c>
      <c r="J2706">
        <v>2578.9</v>
      </c>
      <c r="K2706" t="s">
        <v>19</v>
      </c>
      <c r="L2706">
        <v>1210</v>
      </c>
      <c r="M2706">
        <v>7.13</v>
      </c>
      <c r="N2706">
        <v>25.13</v>
      </c>
      <c r="O2706" t="s">
        <v>19</v>
      </c>
      <c r="P2706" t="s">
        <v>1267</v>
      </c>
      <c r="Q2706" t="s">
        <v>19</v>
      </c>
      <c r="R2706" t="str">
        <f>HYPERLINK("https://cfpub.epa.gov/ecotox/explore.cfm?ncbi=29158","Explore in ECOTOX")</f>
        <v>Explore in ECOTOX</v>
      </c>
    </row>
    <row r="2707" spans="1:18" x14ac:dyDescent="0.45">
      <c r="A2707" t="s">
        <v>1266</v>
      </c>
      <c r="B2707">
        <v>8</v>
      </c>
      <c r="C2707" t="str">
        <f>HYPERLINK("http://www.ncbi.nlm.nih.gov/protein/KAG8039117.1","KAG8039117.1")</f>
        <v>KAG8039117.1</v>
      </c>
      <c r="D2707">
        <v>8423</v>
      </c>
      <c r="E2707" t="str">
        <f>HYPERLINK("http://www.ncbi.nlm.nih.gov/Taxonomy/Browser/wwwtax.cgi?mode=Info&amp;id=2053667&amp;lvl=3&amp;lin=f&amp;keep=1&amp;srchmode=1&amp;unlock","2053667")</f>
        <v>2053667</v>
      </c>
      <c r="F2707" t="s">
        <v>760</v>
      </c>
      <c r="G2707" t="str">
        <f>HYPERLINK("http://www.ncbi.nlm.nih.gov/Taxonomy/Browser/wwwtax.cgi?mode=Info&amp;id=2053667&amp;lvl=3&amp;lin=f&amp;keep=1&amp;srchmode=1&amp;unlock","Cotesia typhae")</f>
        <v>Cotesia typhae</v>
      </c>
      <c r="H2707" t="s">
        <v>769</v>
      </c>
      <c r="I2707" t="str">
        <f>HYPERLINK("http://www.ncbi.nlm.nih.gov/protein/KAG8039117.1","hypothetical protein G9C98_003424")</f>
        <v>hypothetical protein G9C98_003424</v>
      </c>
      <c r="J2707">
        <v>2570.04</v>
      </c>
      <c r="K2707" t="s">
        <v>19</v>
      </c>
      <c r="L2707">
        <v>1210</v>
      </c>
      <c r="M2707">
        <v>7.13</v>
      </c>
      <c r="N2707">
        <v>25.04</v>
      </c>
      <c r="O2707" t="s">
        <v>19</v>
      </c>
      <c r="P2707" t="s">
        <v>1267</v>
      </c>
      <c r="Q2707" t="s">
        <v>19</v>
      </c>
      <c r="R2707" t="str">
        <f>HYPERLINK("https://cfpub.epa.gov/ecotox/explore.cfm?ncbi=2053667","Explore in ECOTOX")</f>
        <v>Explore in ECOTOX</v>
      </c>
    </row>
    <row r="2708" spans="1:18" x14ac:dyDescent="0.45">
      <c r="A2708" t="s">
        <v>1266</v>
      </c>
      <c r="B2708">
        <v>8</v>
      </c>
      <c r="C2708" t="str">
        <f>HYPERLINK("http://www.ncbi.nlm.nih.gov/protein/XP_033127881.1","XP_033127881.1")</f>
        <v>XP_033127881.1</v>
      </c>
      <c r="D2708">
        <v>32797</v>
      </c>
      <c r="E2708" t="str">
        <f>HYPERLINK("http://www.ncbi.nlm.nih.gov/Taxonomy/Browser/wwwtax.cgi?mode=Info&amp;id=1529436&amp;lvl=3&amp;lin=f&amp;keep=1&amp;srchmode=1&amp;unlock","1529436")</f>
        <v>1529436</v>
      </c>
      <c r="F2708" t="s">
        <v>1112</v>
      </c>
      <c r="G2708" t="str">
        <f>HYPERLINK("http://www.ncbi.nlm.nih.gov/Taxonomy/Browser/wwwtax.cgi?mode=Info&amp;id=1529436&amp;lvl=3&amp;lin=f&amp;keep=1&amp;srchmode=1&amp;unlock","Anneissia japonica")</f>
        <v>Anneissia japonica</v>
      </c>
      <c r="H2708" t="s">
        <v>1113</v>
      </c>
      <c r="I2708" t="str">
        <f>HYPERLINK("http://www.ncbi.nlm.nih.gov/protein/XP_033127881.1","ryanodine receptor 2-like")</f>
        <v>ryanodine receptor 2-like</v>
      </c>
      <c r="J2708">
        <v>2560.79</v>
      </c>
      <c r="K2708" t="s">
        <v>22</v>
      </c>
      <c r="L2708">
        <v>1210</v>
      </c>
      <c r="M2708">
        <v>7.13</v>
      </c>
      <c r="N2708">
        <v>24.95</v>
      </c>
      <c r="O2708" t="s">
        <v>19</v>
      </c>
      <c r="P2708" t="s">
        <v>1267</v>
      </c>
      <c r="Q2708" t="s">
        <v>19</v>
      </c>
      <c r="R2708" t="str">
        <f>HYPERLINK("https://cfpub.epa.gov/ecotox/explore.cfm?ncbi=1529436","Explore in ECOTOX")</f>
        <v>Explore in ECOTOX</v>
      </c>
    </row>
    <row r="2709" spans="1:18" x14ac:dyDescent="0.45">
      <c r="A2709" t="s">
        <v>1266</v>
      </c>
      <c r="B2709">
        <v>8</v>
      </c>
      <c r="C2709" t="str">
        <f>HYPERLINK("http://www.ncbi.nlm.nih.gov/protein/KAK1328041.1","KAK1328041.1")</f>
        <v>KAK1328041.1</v>
      </c>
      <c r="D2709">
        <v>19863</v>
      </c>
      <c r="E2709" t="str">
        <f>HYPERLINK("http://www.ncbi.nlm.nih.gov/Taxonomy/Browser/wwwtax.cgi?mode=Info&amp;id=59451&amp;lvl=3&amp;lin=f&amp;keep=1&amp;srchmode=1&amp;unlock","59451")</f>
        <v>59451</v>
      </c>
      <c r="F2709" t="s">
        <v>96</v>
      </c>
      <c r="G2709" t="str">
        <f>HYPERLINK("http://www.ncbi.nlm.nih.gov/Taxonomy/Browser/wwwtax.cgi?mode=Info&amp;id=59451&amp;lvl=3&amp;lin=f&amp;keep=1&amp;srchmode=1&amp;unlock","Eptesicus nilssonii")</f>
        <v>Eptesicus nilssonii</v>
      </c>
      <c r="H2709" t="s">
        <v>1116</v>
      </c>
      <c r="I2709" t="str">
        <f>HYPERLINK("http://www.ncbi.nlm.nih.gov/protein/KAK1328041.1","hypothetical protein QTO34_012463")</f>
        <v>hypothetical protein QTO34_012463</v>
      </c>
      <c r="J2709">
        <v>2553.4699999999998</v>
      </c>
      <c r="K2709" t="s">
        <v>22</v>
      </c>
      <c r="L2709">
        <v>1210</v>
      </c>
      <c r="M2709">
        <v>7.13</v>
      </c>
      <c r="N2709">
        <v>24.88</v>
      </c>
      <c r="O2709" t="s">
        <v>19</v>
      </c>
      <c r="P2709" t="s">
        <v>1267</v>
      </c>
      <c r="Q2709" t="s">
        <v>19</v>
      </c>
      <c r="R2709" t="str">
        <f>HYPERLINK("https://cfpub.epa.gov/ecotox/explore.cfm?ncbi=59451","Explore in ECOTOX")</f>
        <v>Explore in ECOTOX</v>
      </c>
    </row>
    <row r="2710" spans="1:18" x14ac:dyDescent="0.45">
      <c r="A2710" t="s">
        <v>1266</v>
      </c>
      <c r="B2710">
        <v>8</v>
      </c>
      <c r="C2710" t="str">
        <f>HYPERLINK("http://www.ncbi.nlm.nih.gov/protein/XP_053659222.1","XP_053659222.1")</f>
        <v>XP_053659222.1</v>
      </c>
      <c r="D2710">
        <v>12065</v>
      </c>
      <c r="E2710" t="str">
        <f>HYPERLINK("http://www.ncbi.nlm.nih.gov/Taxonomy/Browser/wwwtax.cgi?mode=Info&amp;id=1521116&amp;lvl=3&amp;lin=f&amp;keep=1&amp;srchmode=1&amp;unlock","1521116")</f>
        <v>1521116</v>
      </c>
      <c r="F2710" t="s">
        <v>760</v>
      </c>
      <c r="G2710" t="str">
        <f>HYPERLINK("http://www.ncbi.nlm.nih.gov/Taxonomy/Browser/wwwtax.cgi?mode=Info&amp;id=1521116&amp;lvl=3&amp;lin=f&amp;keep=1&amp;srchmode=1&amp;unlock","Anopheles marshallii")</f>
        <v>Anopheles marshallii</v>
      </c>
      <c r="H2710" t="s">
        <v>917</v>
      </c>
      <c r="I2710" t="str">
        <f>HYPERLINK("http://www.ncbi.nlm.nih.gov/protein/XP_053659222.1","ryanodine receptor isoform X5")</f>
        <v>ryanodine receptor isoform X5</v>
      </c>
      <c r="J2710">
        <v>2543.84</v>
      </c>
      <c r="K2710" t="s">
        <v>19</v>
      </c>
      <c r="L2710">
        <v>1210</v>
      </c>
      <c r="M2710">
        <v>7.13</v>
      </c>
      <c r="N2710">
        <v>24.79</v>
      </c>
      <c r="O2710" t="s">
        <v>19</v>
      </c>
      <c r="P2710" t="s">
        <v>1267</v>
      </c>
      <c r="Q2710" t="s">
        <v>19</v>
      </c>
      <c r="R2710" t="str">
        <f>HYPERLINK("https://cfpub.epa.gov/ecotox/explore.cfm?ncbi=1521116","Explore in ECOTOX")</f>
        <v>Explore in ECOTOX</v>
      </c>
    </row>
    <row r="2711" spans="1:18" x14ac:dyDescent="0.45">
      <c r="A2711" t="s">
        <v>1266</v>
      </c>
      <c r="B2711">
        <v>8</v>
      </c>
      <c r="C2711" t="str">
        <f>HYPERLINK("http://www.ncbi.nlm.nih.gov/protein/KRZ14376.1","KRZ14376.1")</f>
        <v>KRZ14376.1</v>
      </c>
      <c r="D2711">
        <v>19285</v>
      </c>
      <c r="E2711" t="str">
        <f>HYPERLINK("http://www.ncbi.nlm.nih.gov/Taxonomy/Browser/wwwtax.cgi?mode=Info&amp;id=268475&amp;lvl=3&amp;lin=f&amp;keep=1&amp;srchmode=1&amp;unlock","268475")</f>
        <v>268475</v>
      </c>
      <c r="F2711" t="s">
        <v>1060</v>
      </c>
      <c r="G2711" t="str">
        <f>HYPERLINK("http://www.ncbi.nlm.nih.gov/Taxonomy/Browser/wwwtax.cgi?mode=Info&amp;id=268475&amp;lvl=3&amp;lin=f&amp;keep=1&amp;srchmode=1&amp;unlock","Trichinella zimbabwensis")</f>
        <v>Trichinella zimbabwensis</v>
      </c>
      <c r="H2711" t="s">
        <v>1027</v>
      </c>
      <c r="I2711" t="str">
        <f>HYPERLINK("http://www.ncbi.nlm.nih.gov/protein/KRZ14376.1","Ryanodine receptor 44F")</f>
        <v>Ryanodine receptor 44F</v>
      </c>
      <c r="J2711">
        <v>2540.38</v>
      </c>
      <c r="K2711" t="s">
        <v>19</v>
      </c>
      <c r="L2711">
        <v>1210</v>
      </c>
      <c r="M2711">
        <v>7.13</v>
      </c>
      <c r="N2711">
        <v>24.75</v>
      </c>
      <c r="O2711" t="s">
        <v>19</v>
      </c>
      <c r="P2711" t="s">
        <v>1267</v>
      </c>
      <c r="Q2711" t="s">
        <v>19</v>
      </c>
      <c r="R2711" t="str">
        <f>HYPERLINK("https://cfpub.epa.gov/ecotox/explore.cfm?ncbi=268475","Explore in ECOTOX")</f>
        <v>Explore in ECOTOX</v>
      </c>
    </row>
    <row r="2712" spans="1:18" x14ac:dyDescent="0.45">
      <c r="A2712" t="s">
        <v>1266</v>
      </c>
      <c r="B2712">
        <v>8</v>
      </c>
      <c r="C2712" t="str">
        <f>HYPERLINK("http://www.ncbi.nlm.nih.gov/protein/XP_041783476.1","XP_041783476.1")</f>
        <v>XP_041783476.1</v>
      </c>
      <c r="D2712">
        <v>29037</v>
      </c>
      <c r="E2712" t="str">
        <f>HYPERLINK("http://www.ncbi.nlm.nih.gov/Taxonomy/Browser/wwwtax.cgi?mode=Info&amp;id=30066&amp;lvl=3&amp;lin=f&amp;keep=1&amp;srchmode=1&amp;unlock","30066")</f>
        <v>30066</v>
      </c>
      <c r="F2712" t="s">
        <v>760</v>
      </c>
      <c r="G2712" t="str">
        <f>HYPERLINK("http://www.ncbi.nlm.nih.gov/Taxonomy/Browser/wwwtax.cgi?mode=Info&amp;id=30066&amp;lvl=3&amp;lin=f&amp;keep=1&amp;srchmode=1&amp;unlock","Anopheles merus")</f>
        <v>Anopheles merus</v>
      </c>
      <c r="H2712" t="s">
        <v>917</v>
      </c>
      <c r="I2712" t="str">
        <f>HYPERLINK("http://www.ncbi.nlm.nih.gov/protein/XP_041783476.1","ryanodine receptor isoform X8")</f>
        <v>ryanodine receptor isoform X8</v>
      </c>
      <c r="J2712">
        <v>2540.38</v>
      </c>
      <c r="K2712" t="s">
        <v>19</v>
      </c>
      <c r="L2712">
        <v>1210</v>
      </c>
      <c r="M2712">
        <v>7.13</v>
      </c>
      <c r="N2712">
        <v>24.75</v>
      </c>
      <c r="O2712" t="s">
        <v>19</v>
      </c>
      <c r="P2712" t="s">
        <v>1267</v>
      </c>
      <c r="Q2712" t="s">
        <v>19</v>
      </c>
      <c r="R2712" t="str">
        <f>HYPERLINK("https://cfpub.epa.gov/ecotox/explore.cfm?ncbi=30066","Explore in ECOTOX")</f>
        <v>Explore in ECOTOX</v>
      </c>
    </row>
    <row r="2713" spans="1:18" x14ac:dyDescent="0.45">
      <c r="A2713" t="s">
        <v>1266</v>
      </c>
      <c r="B2713">
        <v>8</v>
      </c>
      <c r="C2713" t="str">
        <f>HYPERLINK("http://www.ncbi.nlm.nih.gov/protein/XP_052896068.1","XP_052896068.1")</f>
        <v>XP_052896068.1</v>
      </c>
      <c r="D2713">
        <v>15560</v>
      </c>
      <c r="E2713" t="str">
        <f>HYPERLINK("http://www.ncbi.nlm.nih.gov/Taxonomy/Browser/wwwtax.cgi?mode=Info&amp;id=186751&amp;lvl=3&amp;lin=f&amp;keep=1&amp;srchmode=1&amp;unlock","186751")</f>
        <v>186751</v>
      </c>
      <c r="F2713" t="s">
        <v>760</v>
      </c>
      <c r="G2713" t="str">
        <f>HYPERLINK("http://www.ncbi.nlm.nih.gov/Taxonomy/Browser/wwwtax.cgi?mode=Info&amp;id=186751&amp;lvl=3&amp;lin=f&amp;keep=1&amp;srchmode=1&amp;unlock","Anopheles moucheti")</f>
        <v>Anopheles moucheti</v>
      </c>
      <c r="H2713" t="s">
        <v>1055</v>
      </c>
      <c r="I2713" t="str">
        <f>HYPERLINK("http://www.ncbi.nlm.nih.gov/protein/XP_052896068.1","ryanodine receptor isoform X5")</f>
        <v>ryanodine receptor isoform X5</v>
      </c>
      <c r="J2713">
        <v>2539.61</v>
      </c>
      <c r="K2713" t="s">
        <v>19</v>
      </c>
      <c r="L2713">
        <v>1210</v>
      </c>
      <c r="M2713">
        <v>7.13</v>
      </c>
      <c r="N2713">
        <v>24.75</v>
      </c>
      <c r="O2713" t="s">
        <v>19</v>
      </c>
      <c r="P2713" t="s">
        <v>1267</v>
      </c>
      <c r="Q2713" t="s">
        <v>19</v>
      </c>
      <c r="R2713" t="str">
        <f>HYPERLINK("https://cfpub.epa.gov/ecotox/explore.cfm?ncbi=186751","Explore in ECOTOX")</f>
        <v>Explore in ECOTOX</v>
      </c>
    </row>
    <row r="2714" spans="1:18" x14ac:dyDescent="0.45">
      <c r="A2714" t="s">
        <v>1266</v>
      </c>
      <c r="B2714">
        <v>8</v>
      </c>
      <c r="C2714" t="str">
        <f>HYPERLINK("http://www.ncbi.nlm.nih.gov/protein/XP_040168198.1","XP_040168198.1")</f>
        <v>XP_040168198.1</v>
      </c>
      <c r="D2714">
        <v>27762</v>
      </c>
      <c r="E2714" t="str">
        <f>HYPERLINK("http://www.ncbi.nlm.nih.gov/Taxonomy/Browser/wwwtax.cgi?mode=Info&amp;id=7173&amp;lvl=3&amp;lin=f&amp;keep=1&amp;srchmode=1&amp;unlock","7173")</f>
        <v>7173</v>
      </c>
      <c r="F2714" t="s">
        <v>760</v>
      </c>
      <c r="G2714" t="str">
        <f>HYPERLINK("http://www.ncbi.nlm.nih.gov/Taxonomy/Browser/wwwtax.cgi?mode=Info&amp;id=7173&amp;lvl=3&amp;lin=f&amp;keep=1&amp;srchmode=1&amp;unlock","Anopheles arabiensis")</f>
        <v>Anopheles arabiensis</v>
      </c>
      <c r="H2714" t="s">
        <v>917</v>
      </c>
      <c r="I2714" t="str">
        <f>HYPERLINK("http://www.ncbi.nlm.nih.gov/protein/XP_040168198.1","ryanodine receptor isoform X7")</f>
        <v>ryanodine receptor isoform X7</v>
      </c>
      <c r="J2714">
        <v>2538.84</v>
      </c>
      <c r="K2714" t="s">
        <v>19</v>
      </c>
      <c r="L2714">
        <v>1210</v>
      </c>
      <c r="M2714">
        <v>7.13</v>
      </c>
      <c r="N2714">
        <v>24.74</v>
      </c>
      <c r="O2714" t="s">
        <v>19</v>
      </c>
      <c r="P2714" t="s">
        <v>1267</v>
      </c>
      <c r="Q2714" t="s">
        <v>19</v>
      </c>
      <c r="R2714" t="str">
        <f>HYPERLINK("https://cfpub.epa.gov/ecotox/explore.cfm?ncbi=7173","Explore in ECOTOX")</f>
        <v>Explore in ECOTOX</v>
      </c>
    </row>
    <row r="2715" spans="1:18" x14ac:dyDescent="0.45">
      <c r="A2715" t="s">
        <v>1266</v>
      </c>
      <c r="B2715">
        <v>8</v>
      </c>
      <c r="C2715" t="str">
        <f>HYPERLINK("http://www.ncbi.nlm.nih.gov/protein/KRY43475.1","KRY43475.1")</f>
        <v>KRY43475.1</v>
      </c>
      <c r="D2715">
        <v>35995</v>
      </c>
      <c r="E2715" t="str">
        <f>HYPERLINK("http://www.ncbi.nlm.nih.gov/Taxonomy/Browser/wwwtax.cgi?mode=Info&amp;id=6334&amp;lvl=3&amp;lin=f&amp;keep=1&amp;srchmode=1&amp;unlock","6334")</f>
        <v>6334</v>
      </c>
      <c r="F2715" t="s">
        <v>1060</v>
      </c>
      <c r="G2715" t="str">
        <f>HYPERLINK("http://www.ncbi.nlm.nih.gov/Taxonomy/Browser/wwwtax.cgi?mode=Info&amp;id=6334&amp;lvl=3&amp;lin=f&amp;keep=1&amp;srchmode=1&amp;unlock","Trichinella spiralis")</f>
        <v>Trichinella spiralis</v>
      </c>
      <c r="H2715" t="s">
        <v>1027</v>
      </c>
      <c r="I2715" t="str">
        <f>HYPERLINK("http://www.ncbi.nlm.nih.gov/protein/KRY43475.1","Ryanodine receptor 44F")</f>
        <v>Ryanodine receptor 44F</v>
      </c>
      <c r="J2715">
        <v>2533.06</v>
      </c>
      <c r="K2715" t="s">
        <v>19</v>
      </c>
      <c r="L2715">
        <v>1210</v>
      </c>
      <c r="M2715">
        <v>7.13</v>
      </c>
      <c r="N2715">
        <v>24.68</v>
      </c>
      <c r="O2715" t="s">
        <v>19</v>
      </c>
      <c r="P2715" t="s">
        <v>1267</v>
      </c>
      <c r="Q2715" t="s">
        <v>19</v>
      </c>
      <c r="R2715" t="str">
        <f>HYPERLINK("https://cfpub.epa.gov/ecotox/explore.cfm?ncbi=6334","Explore in ECOTOX")</f>
        <v>Explore in ECOTOX</v>
      </c>
    </row>
    <row r="2716" spans="1:18" x14ac:dyDescent="0.45">
      <c r="A2716" t="s">
        <v>1266</v>
      </c>
      <c r="B2716">
        <v>8</v>
      </c>
      <c r="C2716" t="str">
        <f>HYPERLINK("http://www.ncbi.nlm.nih.gov/protein/AFK84959.1","AFK84959.1")</f>
        <v>AFK84959.1</v>
      </c>
      <c r="D2716">
        <v>18618</v>
      </c>
      <c r="E2716" t="str">
        <f>HYPERLINK("http://www.ncbi.nlm.nih.gov/Taxonomy/Browser/wwwtax.cgi?mode=Info&amp;id=195883&amp;lvl=3&amp;lin=f&amp;keep=1&amp;srchmode=1&amp;unlock","195883")</f>
        <v>195883</v>
      </c>
      <c r="F2716" t="s">
        <v>760</v>
      </c>
      <c r="G2716" t="str">
        <f>HYPERLINK("http://www.ncbi.nlm.nih.gov/Taxonomy/Browser/wwwtax.cgi?mode=Info&amp;id=195883&amp;lvl=3&amp;lin=f&amp;keep=1&amp;srchmode=1&amp;unlock","Laodelphax striatellus")</f>
        <v>Laodelphax striatellus</v>
      </c>
      <c r="H2716" t="s">
        <v>881</v>
      </c>
      <c r="I2716" t="str">
        <f>HYPERLINK("http://www.ncbi.nlm.nih.gov/protein/AFK84959.1","ryanodine receptor")</f>
        <v>ryanodine receptor</v>
      </c>
      <c r="J2716">
        <v>2531.13</v>
      </c>
      <c r="K2716" t="s">
        <v>22</v>
      </c>
      <c r="L2716">
        <v>1210</v>
      </c>
      <c r="M2716">
        <v>7.13</v>
      </c>
      <c r="N2716">
        <v>24.66</v>
      </c>
      <c r="O2716" t="s">
        <v>19</v>
      </c>
      <c r="P2716" t="s">
        <v>1267</v>
      </c>
      <c r="Q2716" t="s">
        <v>19</v>
      </c>
      <c r="R2716" t="str">
        <f>HYPERLINK("https://cfpub.epa.gov/ecotox/explore.cfm?ncbi=195883","Explore in ECOTOX")</f>
        <v>Explore in ECOTOX</v>
      </c>
    </row>
    <row r="2717" spans="1:18" x14ac:dyDescent="0.45">
      <c r="A2717" t="s">
        <v>1266</v>
      </c>
      <c r="B2717">
        <v>8</v>
      </c>
      <c r="C2717" t="str">
        <f>HYPERLINK("http://www.ncbi.nlm.nih.gov/protein/KRX28173.1","KRX28173.1")</f>
        <v>KRX28173.1</v>
      </c>
      <c r="D2717">
        <v>17020</v>
      </c>
      <c r="E2717" t="str">
        <f>HYPERLINK("http://www.ncbi.nlm.nih.gov/Taxonomy/Browser/wwwtax.cgi?mode=Info&amp;id=6336&amp;lvl=3&amp;lin=f&amp;keep=1&amp;srchmode=1&amp;unlock","6336")</f>
        <v>6336</v>
      </c>
      <c r="F2717" t="s">
        <v>1060</v>
      </c>
      <c r="G2717" t="str">
        <f>HYPERLINK("http://www.ncbi.nlm.nih.gov/Taxonomy/Browser/wwwtax.cgi?mode=Info&amp;id=6336&amp;lvl=3&amp;lin=f&amp;keep=1&amp;srchmode=1&amp;unlock","Trichinella nelsoni")</f>
        <v>Trichinella nelsoni</v>
      </c>
      <c r="H2717" t="s">
        <v>1027</v>
      </c>
      <c r="I2717" t="str">
        <f>HYPERLINK("http://www.ncbi.nlm.nih.gov/protein/KRX28173.1","Ryanodine receptor 44F")</f>
        <v>Ryanodine receptor 44F</v>
      </c>
      <c r="J2717">
        <v>2528.44</v>
      </c>
      <c r="K2717" t="s">
        <v>19</v>
      </c>
      <c r="L2717">
        <v>1210</v>
      </c>
      <c r="M2717">
        <v>7.13</v>
      </c>
      <c r="N2717">
        <v>24.64</v>
      </c>
      <c r="O2717" t="s">
        <v>19</v>
      </c>
      <c r="P2717" t="s">
        <v>1267</v>
      </c>
      <c r="Q2717" t="s">
        <v>19</v>
      </c>
      <c r="R2717" t="str">
        <f>HYPERLINK("https://cfpub.epa.gov/ecotox/explore.cfm?ncbi=6336","Explore in ECOTOX")</f>
        <v>Explore in ECOTOX</v>
      </c>
    </row>
    <row r="2718" spans="1:18" x14ac:dyDescent="0.45">
      <c r="A2718" t="s">
        <v>1266</v>
      </c>
      <c r="B2718">
        <v>8</v>
      </c>
      <c r="C2718" t="str">
        <f>HYPERLINK("http://www.ncbi.nlm.nih.gov/protein/AGW82429.1","AGW82429.1")</f>
        <v>AGW82429.1</v>
      </c>
      <c r="D2718">
        <v>35043</v>
      </c>
      <c r="E2718" t="str">
        <f>HYPERLINK("http://www.ncbi.nlm.nih.gov/Taxonomy/Browser/wwwtax.cgi?mode=Info&amp;id=108931&amp;lvl=3&amp;lin=f&amp;keep=1&amp;srchmode=1&amp;unlock","108931")</f>
        <v>108931</v>
      </c>
      <c r="F2718" t="s">
        <v>760</v>
      </c>
      <c r="G2718" t="str">
        <f>HYPERLINK("http://www.ncbi.nlm.nih.gov/Taxonomy/Browser/wwwtax.cgi?mode=Info&amp;id=108931&amp;lvl=3&amp;lin=f&amp;keep=1&amp;srchmode=1&amp;unlock","Nilaparvata lugens")</f>
        <v>Nilaparvata lugens</v>
      </c>
      <c r="H2718" t="s">
        <v>1056</v>
      </c>
      <c r="I2718" t="str">
        <f>HYPERLINK("http://www.ncbi.nlm.nih.gov/protein/AGW82429.1","ryanodine receptor")</f>
        <v>ryanodine receptor</v>
      </c>
      <c r="J2718">
        <v>2525.35</v>
      </c>
      <c r="K2718" t="s">
        <v>22</v>
      </c>
      <c r="L2718">
        <v>1210</v>
      </c>
      <c r="M2718">
        <v>7.13</v>
      </c>
      <c r="N2718">
        <v>24.61</v>
      </c>
      <c r="O2718" t="s">
        <v>19</v>
      </c>
      <c r="P2718" t="s">
        <v>1267</v>
      </c>
      <c r="Q2718" t="s">
        <v>19</v>
      </c>
      <c r="R2718" t="str">
        <f>HYPERLINK("https://cfpub.epa.gov/ecotox/explore.cfm?ncbi=108931","Explore in ECOTOX")</f>
        <v>Explore in ECOTOX</v>
      </c>
    </row>
    <row r="2719" spans="1:18" x14ac:dyDescent="0.45">
      <c r="A2719" t="s">
        <v>1266</v>
      </c>
      <c r="B2719">
        <v>8</v>
      </c>
      <c r="C2719" t="str">
        <f>HYPERLINK("http://www.ncbi.nlm.nih.gov/protein/KRX66896.1","KRX66896.1")</f>
        <v>KRX66896.1</v>
      </c>
      <c r="D2719">
        <v>18541</v>
      </c>
      <c r="E2719" t="str">
        <f>HYPERLINK("http://www.ncbi.nlm.nih.gov/Taxonomy/Browser/wwwtax.cgi?mode=Info&amp;id=181606&amp;lvl=3&amp;lin=f&amp;keep=1&amp;srchmode=1&amp;unlock","181606")</f>
        <v>181606</v>
      </c>
      <c r="F2719" t="s">
        <v>1060</v>
      </c>
      <c r="G2719" t="str">
        <f>HYPERLINK("http://www.ncbi.nlm.nih.gov/Taxonomy/Browser/wwwtax.cgi?mode=Info&amp;id=181606&amp;lvl=3&amp;lin=f&amp;keep=1&amp;srchmode=1&amp;unlock","Trichinella sp. T9")</f>
        <v>Trichinella sp. T9</v>
      </c>
      <c r="H2719" t="s">
        <v>1027</v>
      </c>
      <c r="I2719" t="str">
        <f>HYPERLINK("http://www.ncbi.nlm.nih.gov/protein/KRX66896.1","Ryanodine receptor 44F")</f>
        <v>Ryanodine receptor 44F</v>
      </c>
      <c r="J2719">
        <v>2523.81</v>
      </c>
      <c r="K2719" t="s">
        <v>22</v>
      </c>
      <c r="L2719">
        <v>1210</v>
      </c>
      <c r="M2719">
        <v>7.13</v>
      </c>
      <c r="N2719">
        <v>24.59</v>
      </c>
      <c r="O2719" t="s">
        <v>19</v>
      </c>
      <c r="P2719" t="s">
        <v>1267</v>
      </c>
      <c r="Q2719" t="s">
        <v>19</v>
      </c>
      <c r="R2719" t="str">
        <f>HYPERLINK("https://cfpub.epa.gov/ecotox/explore.cfm?ncbi=181606","Explore in ECOTOX")</f>
        <v>Explore in ECOTOX</v>
      </c>
    </row>
    <row r="2720" spans="1:18" x14ac:dyDescent="0.45">
      <c r="A2720" t="s">
        <v>1266</v>
      </c>
      <c r="B2720">
        <v>8</v>
      </c>
      <c r="C2720" t="str">
        <f>HYPERLINK("http://www.ncbi.nlm.nih.gov/protein/KRY23541.1","KRY23541.1")</f>
        <v>KRY23541.1</v>
      </c>
      <c r="D2720">
        <v>19507</v>
      </c>
      <c r="E2720" t="str">
        <f>HYPERLINK("http://www.ncbi.nlm.nih.gov/Taxonomy/Browser/wwwtax.cgi?mode=Info&amp;id=990121&amp;lvl=3&amp;lin=f&amp;keep=1&amp;srchmode=1&amp;unlock","990121")</f>
        <v>990121</v>
      </c>
      <c r="F2720" t="s">
        <v>1060</v>
      </c>
      <c r="G2720" t="str">
        <f>HYPERLINK("http://www.ncbi.nlm.nih.gov/Taxonomy/Browser/wwwtax.cgi?mode=Info&amp;id=990121&amp;lvl=3&amp;lin=f&amp;keep=1&amp;srchmode=1&amp;unlock","Trichinella patagoniensis")</f>
        <v>Trichinella patagoniensis</v>
      </c>
      <c r="H2720" t="s">
        <v>1027</v>
      </c>
      <c r="I2720" t="str">
        <f>HYPERLINK("http://www.ncbi.nlm.nih.gov/protein/KRY23541.1","Ryanodine receptor 44F")</f>
        <v>Ryanodine receptor 44F</v>
      </c>
      <c r="J2720">
        <v>2523.81</v>
      </c>
      <c r="K2720" t="s">
        <v>22</v>
      </c>
      <c r="L2720">
        <v>1210</v>
      </c>
      <c r="M2720">
        <v>7.13</v>
      </c>
      <c r="N2720">
        <v>24.59</v>
      </c>
      <c r="O2720" t="s">
        <v>19</v>
      </c>
      <c r="P2720" t="s">
        <v>1267</v>
      </c>
      <c r="Q2720" t="s">
        <v>19</v>
      </c>
      <c r="R2720" t="str">
        <f>HYPERLINK("https://cfpub.epa.gov/ecotox/explore.cfm?ncbi=990121","Explore in ECOTOX")</f>
        <v>Explore in ECOTOX</v>
      </c>
    </row>
    <row r="2721" spans="1:18" x14ac:dyDescent="0.45">
      <c r="A2721" t="s">
        <v>1266</v>
      </c>
      <c r="B2721">
        <v>8</v>
      </c>
      <c r="C2721" t="str">
        <f>HYPERLINK("http://www.ncbi.nlm.nih.gov/protein/KRZ94973.1","KRZ94973.1")</f>
        <v>KRZ94973.1</v>
      </c>
      <c r="D2721">
        <v>18432</v>
      </c>
      <c r="E2721" t="str">
        <f>HYPERLINK("http://www.ncbi.nlm.nih.gov/Taxonomy/Browser/wwwtax.cgi?mode=Info&amp;id=92180&amp;lvl=3&amp;lin=f&amp;keep=1&amp;srchmode=1&amp;unlock","92180")</f>
        <v>92180</v>
      </c>
      <c r="F2721" t="s">
        <v>1060</v>
      </c>
      <c r="G2721" t="str">
        <f>HYPERLINK("http://www.ncbi.nlm.nih.gov/Taxonomy/Browser/wwwtax.cgi?mode=Info&amp;id=92180&amp;lvl=3&amp;lin=f&amp;keep=1&amp;srchmode=1&amp;unlock","Trichinella sp. T8")</f>
        <v>Trichinella sp. T8</v>
      </c>
      <c r="H2721" t="s">
        <v>1027</v>
      </c>
      <c r="I2721" t="str">
        <f>HYPERLINK("http://www.ncbi.nlm.nih.gov/protein/KRZ94973.1","Ryanodine receptor 44F")</f>
        <v>Ryanodine receptor 44F</v>
      </c>
      <c r="J2721">
        <v>2523.04</v>
      </c>
      <c r="K2721" t="s">
        <v>22</v>
      </c>
      <c r="L2721">
        <v>1210</v>
      </c>
      <c r="M2721">
        <v>7.13</v>
      </c>
      <c r="N2721">
        <v>24.58</v>
      </c>
      <c r="O2721" t="s">
        <v>19</v>
      </c>
      <c r="P2721" t="s">
        <v>1267</v>
      </c>
      <c r="Q2721" t="s">
        <v>19</v>
      </c>
      <c r="R2721" t="str">
        <f>HYPERLINK("https://cfpub.epa.gov/ecotox/explore.cfm?ncbi=92180","Explore in ECOTOX")</f>
        <v>Explore in ECOTOX</v>
      </c>
    </row>
    <row r="2722" spans="1:18" x14ac:dyDescent="0.45">
      <c r="A2722" t="s">
        <v>1266</v>
      </c>
      <c r="B2722">
        <v>8</v>
      </c>
      <c r="C2722" t="str">
        <f>HYPERLINK("http://www.ncbi.nlm.nih.gov/protein/KRX83684.1","KRX83684.1")</f>
        <v>KRX83684.1</v>
      </c>
      <c r="D2722">
        <v>19492</v>
      </c>
      <c r="E2722" t="str">
        <f>HYPERLINK("http://www.ncbi.nlm.nih.gov/Taxonomy/Browser/wwwtax.cgi?mode=Info&amp;id=92179&amp;lvl=3&amp;lin=f&amp;keep=1&amp;srchmode=1&amp;unlock","92179")</f>
        <v>92179</v>
      </c>
      <c r="F2722" t="s">
        <v>1060</v>
      </c>
      <c r="G2722" t="str">
        <f>HYPERLINK("http://www.ncbi.nlm.nih.gov/Taxonomy/Browser/wwwtax.cgi?mode=Info&amp;id=92179&amp;lvl=3&amp;lin=f&amp;keep=1&amp;srchmode=1&amp;unlock","Trichinella sp. T6")</f>
        <v>Trichinella sp. T6</v>
      </c>
      <c r="H2722" t="s">
        <v>1027</v>
      </c>
      <c r="I2722" t="str">
        <f>HYPERLINK("http://www.ncbi.nlm.nih.gov/protein/KRX83684.1","Ryanodine receptor 2")</f>
        <v>Ryanodine receptor 2</v>
      </c>
      <c r="J2722">
        <v>2522.27</v>
      </c>
      <c r="K2722" t="s">
        <v>22</v>
      </c>
      <c r="L2722">
        <v>1210</v>
      </c>
      <c r="M2722">
        <v>7.13</v>
      </c>
      <c r="N2722">
        <v>24.58</v>
      </c>
      <c r="O2722" t="s">
        <v>19</v>
      </c>
      <c r="P2722" t="s">
        <v>1267</v>
      </c>
      <c r="Q2722" t="s">
        <v>19</v>
      </c>
      <c r="R2722" t="str">
        <f>HYPERLINK("https://cfpub.epa.gov/ecotox/explore.cfm?ncbi=92179","Explore in ECOTOX")</f>
        <v>Explore in ECOTOX</v>
      </c>
    </row>
    <row r="2723" spans="1:18" x14ac:dyDescent="0.45">
      <c r="A2723" t="s">
        <v>1266</v>
      </c>
      <c r="B2723">
        <v>8</v>
      </c>
      <c r="C2723" t="str">
        <f>HYPERLINK("http://www.ncbi.nlm.nih.gov/protein/XP_031369529.1","XP_031369529.1")</f>
        <v>XP_031369529.1</v>
      </c>
      <c r="D2723">
        <v>20479</v>
      </c>
      <c r="E2723" t="str">
        <f>HYPERLINK("http://www.ncbi.nlm.nih.gov/Taxonomy/Browser/wwwtax.cgi?mode=Info&amp;id=7462&amp;lvl=3&amp;lin=f&amp;keep=1&amp;srchmode=1&amp;unlock","7462")</f>
        <v>7462</v>
      </c>
      <c r="F2723" t="s">
        <v>760</v>
      </c>
      <c r="G2723" t="str">
        <f>HYPERLINK("http://www.ncbi.nlm.nih.gov/Taxonomy/Browser/wwwtax.cgi?mode=Info&amp;id=7462&amp;lvl=3&amp;lin=f&amp;keep=1&amp;srchmode=1&amp;unlock","Apis dorsata")</f>
        <v>Apis dorsata</v>
      </c>
      <c r="H2723" t="s">
        <v>1066</v>
      </c>
      <c r="I2723" t="str">
        <f>HYPERLINK("http://www.ncbi.nlm.nih.gov/protein/XP_031369529.1","ryanodine receptor isoform X2")</f>
        <v>ryanodine receptor isoform X2</v>
      </c>
      <c r="J2723">
        <v>2519.96</v>
      </c>
      <c r="K2723" t="s">
        <v>19</v>
      </c>
      <c r="L2723">
        <v>1210</v>
      </c>
      <c r="M2723">
        <v>7.13</v>
      </c>
      <c r="N2723">
        <v>24.55</v>
      </c>
      <c r="O2723" t="s">
        <v>19</v>
      </c>
      <c r="P2723" t="s">
        <v>1267</v>
      </c>
      <c r="Q2723" t="s">
        <v>19</v>
      </c>
      <c r="R2723" t="str">
        <f>HYPERLINK("https://cfpub.epa.gov/ecotox/explore.cfm?ncbi=7462","Explore in ECOTOX")</f>
        <v>Explore in ECOTOX</v>
      </c>
    </row>
    <row r="2724" spans="1:18" x14ac:dyDescent="0.45">
      <c r="A2724" t="s">
        <v>1266</v>
      </c>
      <c r="B2724">
        <v>8</v>
      </c>
      <c r="C2724" t="str">
        <f>HYPERLINK("http://www.ncbi.nlm.nih.gov/protein/KRX50494.1","KRX50494.1")</f>
        <v>KRX50494.1</v>
      </c>
      <c r="D2724">
        <v>18644</v>
      </c>
      <c r="E2724" t="str">
        <f>HYPERLINK("http://www.ncbi.nlm.nih.gov/Taxonomy/Browser/wwwtax.cgi?mode=Info&amp;id=144512&amp;lvl=3&amp;lin=f&amp;keep=1&amp;srchmode=1&amp;unlock","144512")</f>
        <v>144512</v>
      </c>
      <c r="F2724" t="s">
        <v>1060</v>
      </c>
      <c r="G2724" t="str">
        <f>HYPERLINK("http://www.ncbi.nlm.nih.gov/Taxonomy/Browser/wwwtax.cgi?mode=Info&amp;id=144512&amp;lvl=3&amp;lin=f&amp;keep=1&amp;srchmode=1&amp;unlock","Trichinella murrelli")</f>
        <v>Trichinella murrelli</v>
      </c>
      <c r="H2724" t="s">
        <v>1027</v>
      </c>
      <c r="I2724" t="str">
        <f>HYPERLINK("http://www.ncbi.nlm.nih.gov/protein/KRX50494.1","Ryanodine receptor 44F")</f>
        <v>Ryanodine receptor 44F</v>
      </c>
      <c r="J2724">
        <v>2519.19</v>
      </c>
      <c r="K2724" t="s">
        <v>22</v>
      </c>
      <c r="L2724">
        <v>1210</v>
      </c>
      <c r="M2724">
        <v>7.13</v>
      </c>
      <c r="N2724">
        <v>24.55</v>
      </c>
      <c r="O2724" t="s">
        <v>19</v>
      </c>
      <c r="P2724" t="s">
        <v>1267</v>
      </c>
      <c r="Q2724" t="s">
        <v>19</v>
      </c>
      <c r="R2724" t="str">
        <f>HYPERLINK("https://cfpub.epa.gov/ecotox/explore.cfm?ncbi=144512","Explore in ECOTOX")</f>
        <v>Explore in ECOTOX</v>
      </c>
    </row>
    <row r="2725" spans="1:18" x14ac:dyDescent="0.45">
      <c r="A2725" t="s">
        <v>1266</v>
      </c>
      <c r="B2725">
        <v>8</v>
      </c>
      <c r="C2725" t="str">
        <f>HYPERLINK("http://www.ncbi.nlm.nih.gov/protein/XP_016920093.1","XP_016920093.1")</f>
        <v>XP_016920093.1</v>
      </c>
      <c r="D2725">
        <v>22469</v>
      </c>
      <c r="E2725" t="str">
        <f>HYPERLINK("http://www.ncbi.nlm.nih.gov/Taxonomy/Browser/wwwtax.cgi?mode=Info&amp;id=7461&amp;lvl=3&amp;lin=f&amp;keep=1&amp;srchmode=1&amp;unlock","7461")</f>
        <v>7461</v>
      </c>
      <c r="F2725" t="s">
        <v>760</v>
      </c>
      <c r="G2725" t="str">
        <f>HYPERLINK("http://www.ncbi.nlm.nih.gov/Taxonomy/Browser/wwwtax.cgi?mode=Info&amp;id=7461&amp;lvl=3&amp;lin=f&amp;keep=1&amp;srchmode=1&amp;unlock","Apis cerana")</f>
        <v>Apis cerana</v>
      </c>
      <c r="H2725" t="s">
        <v>816</v>
      </c>
      <c r="I2725" t="str">
        <f>HYPERLINK("http://www.ncbi.nlm.nih.gov/protein/XP_016920093.1","ryanodine receptor isoform X1")</f>
        <v>ryanodine receptor isoform X1</v>
      </c>
      <c r="J2725">
        <v>2517.65</v>
      </c>
      <c r="K2725" t="s">
        <v>19</v>
      </c>
      <c r="L2725">
        <v>1210</v>
      </c>
      <c r="M2725">
        <v>7.13</v>
      </c>
      <c r="N2725">
        <v>24.53</v>
      </c>
      <c r="O2725" t="s">
        <v>19</v>
      </c>
      <c r="P2725" t="s">
        <v>1267</v>
      </c>
      <c r="Q2725" t="s">
        <v>19</v>
      </c>
      <c r="R2725" t="str">
        <f>HYPERLINK("https://cfpub.epa.gov/ecotox/explore.cfm?ncbi=7461","Explore in ECOTOX")</f>
        <v>Explore in ECOTOX</v>
      </c>
    </row>
    <row r="2726" spans="1:18" x14ac:dyDescent="0.45">
      <c r="A2726" t="s">
        <v>1266</v>
      </c>
      <c r="B2726">
        <v>8</v>
      </c>
      <c r="C2726" t="str">
        <f>HYPERLINK("http://www.ncbi.nlm.nih.gov/protein/XP_043802531.1","XP_043802531.1")</f>
        <v>XP_043802531.1</v>
      </c>
      <c r="D2726">
        <v>20599</v>
      </c>
      <c r="E2726" t="str">
        <f>HYPERLINK("http://www.ncbi.nlm.nih.gov/Taxonomy/Browser/wwwtax.cgi?mode=Info&amp;id=183418&amp;lvl=3&amp;lin=f&amp;keep=1&amp;srchmode=1&amp;unlock","183418")</f>
        <v>183418</v>
      </c>
      <c r="F2726" t="s">
        <v>760</v>
      </c>
      <c r="G2726" t="str">
        <f>HYPERLINK("http://www.ncbi.nlm.nih.gov/Taxonomy/Browser/wwwtax.cgi?mode=Info&amp;id=183418&amp;lvl=3&amp;lin=f&amp;keep=1&amp;srchmode=1&amp;unlock","Apis laboriosa")</f>
        <v>Apis laboriosa</v>
      </c>
      <c r="H2726" t="s">
        <v>1068</v>
      </c>
      <c r="I2726" t="str">
        <f>HYPERLINK("http://www.ncbi.nlm.nih.gov/protein/XP_043802531.1","ryanodine receptor isoform X1")</f>
        <v>ryanodine receptor isoform X1</v>
      </c>
      <c r="J2726">
        <v>2515.34</v>
      </c>
      <c r="K2726" t="s">
        <v>19</v>
      </c>
      <c r="L2726">
        <v>1210</v>
      </c>
      <c r="M2726">
        <v>7.13</v>
      </c>
      <c r="N2726">
        <v>24.51</v>
      </c>
      <c r="O2726" t="s">
        <v>19</v>
      </c>
      <c r="P2726" t="s">
        <v>1267</v>
      </c>
      <c r="Q2726" t="s">
        <v>19</v>
      </c>
      <c r="R2726" t="str">
        <f>HYPERLINK("https://cfpub.epa.gov/ecotox/explore.cfm?ncbi=183418","Explore in ECOTOX")</f>
        <v>Explore in ECOTOX</v>
      </c>
    </row>
    <row r="2727" spans="1:18" x14ac:dyDescent="0.45">
      <c r="A2727" t="s">
        <v>1266</v>
      </c>
      <c r="B2727">
        <v>8</v>
      </c>
      <c r="C2727" t="str">
        <f>HYPERLINK("http://www.ncbi.nlm.nih.gov/protein/XP_043499305.1","XP_043499305.1")</f>
        <v>XP_043499305.1</v>
      </c>
      <c r="D2727">
        <v>20977</v>
      </c>
      <c r="E2727" t="str">
        <f>HYPERLINK("http://www.ncbi.nlm.nih.gov/Taxonomy/Browser/wwwtax.cgi?mode=Info&amp;id=30207&amp;lvl=3&amp;lin=f&amp;keep=1&amp;srchmode=1&amp;unlock","30207")</f>
        <v>30207</v>
      </c>
      <c r="F2727" t="s">
        <v>760</v>
      </c>
      <c r="G2727" t="str">
        <f>HYPERLINK("http://www.ncbi.nlm.nih.gov/Taxonomy/Browser/wwwtax.cgi?mode=Info&amp;id=30207&amp;lvl=3&amp;lin=f&amp;keep=1&amp;srchmode=1&amp;unlock","Polistes fuscatus")</f>
        <v>Polistes fuscatus</v>
      </c>
      <c r="H2727" t="s">
        <v>813</v>
      </c>
      <c r="I2727" t="str">
        <f>HYPERLINK("http://www.ncbi.nlm.nih.gov/protein/XP_043499305.1","ryanodine receptor isoform X11")</f>
        <v>ryanodine receptor isoform X11</v>
      </c>
      <c r="J2727">
        <v>2514.1799999999998</v>
      </c>
      <c r="K2727" t="s">
        <v>19</v>
      </c>
      <c r="L2727">
        <v>1210</v>
      </c>
      <c r="M2727">
        <v>7.13</v>
      </c>
      <c r="N2727">
        <v>24.5</v>
      </c>
      <c r="O2727" t="s">
        <v>19</v>
      </c>
      <c r="P2727" t="s">
        <v>1267</v>
      </c>
      <c r="Q2727" t="s">
        <v>19</v>
      </c>
      <c r="R2727" t="str">
        <f>HYPERLINK("https://cfpub.epa.gov/ecotox/explore.cfm?ncbi=30207","Explore in ECOTOX")</f>
        <v>Explore in ECOTOX</v>
      </c>
    </row>
    <row r="2728" spans="1:18" x14ac:dyDescent="0.45">
      <c r="A2728" t="s">
        <v>1266</v>
      </c>
      <c r="B2728">
        <v>8</v>
      </c>
      <c r="C2728" t="str">
        <f>HYPERLINK("http://www.ncbi.nlm.nih.gov/protein/PBC34336.1","PBC34336.1")</f>
        <v>PBC34336.1</v>
      </c>
      <c r="D2728">
        <v>10318</v>
      </c>
      <c r="E2728" t="str">
        <f>HYPERLINK("http://www.ncbi.nlm.nih.gov/Taxonomy/Browser/wwwtax.cgi?mode=Info&amp;id=94128&amp;lvl=3&amp;lin=f&amp;keep=1&amp;srchmode=1&amp;unlock","94128")</f>
        <v>94128</v>
      </c>
      <c r="F2728" t="s">
        <v>760</v>
      </c>
      <c r="G2728" t="str">
        <f>HYPERLINK("http://www.ncbi.nlm.nih.gov/Taxonomy/Browser/wwwtax.cgi?mode=Info&amp;id=94128&amp;lvl=3&amp;lin=f&amp;keep=1&amp;srchmode=1&amp;unlock","Apis cerana cerana")</f>
        <v>Apis cerana cerana</v>
      </c>
      <c r="H2728" t="s">
        <v>816</v>
      </c>
      <c r="I2728" t="str">
        <f>HYPERLINK("http://www.ncbi.nlm.nih.gov/protein/PBC34336.1","Ryanodine receptor 44F")</f>
        <v>Ryanodine receptor 44F</v>
      </c>
      <c r="J2728">
        <v>2512.2600000000002</v>
      </c>
      <c r="K2728" t="s">
        <v>22</v>
      </c>
      <c r="L2728">
        <v>1210</v>
      </c>
      <c r="M2728">
        <v>7.13</v>
      </c>
      <c r="N2728">
        <v>24.48</v>
      </c>
      <c r="O2728" t="s">
        <v>19</v>
      </c>
      <c r="P2728" t="s">
        <v>1267</v>
      </c>
      <c r="Q2728" t="s">
        <v>19</v>
      </c>
      <c r="R2728" t="str">
        <f>HYPERLINK("https://cfpub.epa.gov/ecotox/explore.cfm?ncbi=94128","Explore in ECOTOX")</f>
        <v>Explore in ECOTOX</v>
      </c>
    </row>
    <row r="2729" spans="1:18" x14ac:dyDescent="0.45">
      <c r="A2729" t="s">
        <v>1266</v>
      </c>
      <c r="B2729">
        <v>8</v>
      </c>
      <c r="C2729" t="str">
        <f>HYPERLINK("http://www.ncbi.nlm.nih.gov/protein/KRZ62741.1","KRZ62741.1")</f>
        <v>KRZ62741.1</v>
      </c>
      <c r="D2729">
        <v>27104</v>
      </c>
      <c r="E2729" t="str">
        <f>HYPERLINK("http://www.ncbi.nlm.nih.gov/Taxonomy/Browser/wwwtax.cgi?mode=Info&amp;id=6335&amp;lvl=3&amp;lin=f&amp;keep=1&amp;srchmode=1&amp;unlock","6335")</f>
        <v>6335</v>
      </c>
      <c r="F2729" t="s">
        <v>1060</v>
      </c>
      <c r="G2729" t="str">
        <f>HYPERLINK("http://www.ncbi.nlm.nih.gov/Taxonomy/Browser/wwwtax.cgi?mode=Info&amp;id=6335&amp;lvl=3&amp;lin=f&amp;keep=1&amp;srchmode=1&amp;unlock","Trichinella nativa")</f>
        <v>Trichinella nativa</v>
      </c>
      <c r="H2729" t="s">
        <v>1027</v>
      </c>
      <c r="I2729" t="str">
        <f>HYPERLINK("http://www.ncbi.nlm.nih.gov/protein/KRZ62741.1","Ryanodine receptor 2")</f>
        <v>Ryanodine receptor 2</v>
      </c>
      <c r="J2729">
        <v>2511.1</v>
      </c>
      <c r="K2729" t="s">
        <v>22</v>
      </c>
      <c r="L2729">
        <v>1210</v>
      </c>
      <c r="M2729">
        <v>7.13</v>
      </c>
      <c r="N2729">
        <v>24.47</v>
      </c>
      <c r="O2729" t="s">
        <v>19</v>
      </c>
      <c r="P2729" t="s">
        <v>1267</v>
      </c>
      <c r="Q2729" t="s">
        <v>19</v>
      </c>
      <c r="R2729" t="str">
        <f>HYPERLINK("https://cfpub.epa.gov/ecotox/explore.cfm?ncbi=6335","Explore in ECOTOX")</f>
        <v>Explore in ECOTOX</v>
      </c>
    </row>
    <row r="2730" spans="1:18" x14ac:dyDescent="0.45">
      <c r="A2730" t="s">
        <v>1266</v>
      </c>
      <c r="B2730">
        <v>8</v>
      </c>
      <c r="C2730" t="str">
        <f>HYPERLINK("http://www.ncbi.nlm.nih.gov/protein/CAH1389012.1","CAH1389012.1")</f>
        <v>CAH1389012.1</v>
      </c>
      <c r="D2730">
        <v>20409</v>
      </c>
      <c r="E2730" t="str">
        <f>HYPERLINK("http://www.ncbi.nlm.nih.gov/Taxonomy/Browser/wwwtax.cgi?mode=Info&amp;id=85310&amp;lvl=3&amp;lin=f&amp;keep=1&amp;srchmode=1&amp;unlock","85310")</f>
        <v>85310</v>
      </c>
      <c r="F2730" t="s">
        <v>760</v>
      </c>
      <c r="G2730" t="str">
        <f>HYPERLINK("http://www.ncbi.nlm.nih.gov/Taxonomy/Browser/wwwtax.cgi?mode=Info&amp;id=85310&amp;lvl=3&amp;lin=f&amp;keep=1&amp;srchmode=1&amp;unlock","Nezara viridula")</f>
        <v>Nezara viridula</v>
      </c>
      <c r="H2730" t="s">
        <v>867</v>
      </c>
      <c r="I2730" t="str">
        <f>HYPERLINK("http://www.ncbi.nlm.nih.gov/protein/CAH1389012.1","unnamed protein product")</f>
        <v>unnamed protein product</v>
      </c>
      <c r="J2730">
        <v>2508.41</v>
      </c>
      <c r="K2730" t="s">
        <v>19</v>
      </c>
      <c r="L2730">
        <v>1210</v>
      </c>
      <c r="M2730">
        <v>7.13</v>
      </c>
      <c r="N2730">
        <v>24.44</v>
      </c>
      <c r="O2730" t="s">
        <v>19</v>
      </c>
      <c r="P2730" t="s">
        <v>1267</v>
      </c>
      <c r="Q2730" t="s">
        <v>19</v>
      </c>
      <c r="R2730" t="str">
        <f>HYPERLINK("https://cfpub.epa.gov/ecotox/explore.cfm?ncbi=85310","Explore in ECOTOX")</f>
        <v>Explore in ECOTOX</v>
      </c>
    </row>
    <row r="2731" spans="1:18" x14ac:dyDescent="0.45">
      <c r="A2731" t="s">
        <v>1266</v>
      </c>
      <c r="B2731">
        <v>8</v>
      </c>
      <c r="C2731" t="str">
        <f>HYPERLINK("http://www.ncbi.nlm.nih.gov/protein/XP_046833572.1","XP_046833572.1")</f>
        <v>XP_046833572.1</v>
      </c>
      <c r="D2731">
        <v>26302</v>
      </c>
      <c r="E2731" t="str">
        <f>HYPERLINK("http://www.ncbi.nlm.nih.gov/Taxonomy/Browser/wwwtax.cgi?mode=Info&amp;id=7445&amp;lvl=3&amp;lin=f&amp;keep=1&amp;srchmode=1&amp;unlock","7445")</f>
        <v>7445</v>
      </c>
      <c r="F2731" t="s">
        <v>760</v>
      </c>
      <c r="G2731" t="str">
        <f>HYPERLINK("http://www.ncbi.nlm.nih.gov/Taxonomy/Browser/wwwtax.cgi?mode=Info&amp;id=7445&amp;lvl=3&amp;lin=f&amp;keep=1&amp;srchmode=1&amp;unlock","Vespa crabro")</f>
        <v>Vespa crabro</v>
      </c>
      <c r="H2731" t="s">
        <v>1051</v>
      </c>
      <c r="I2731" t="str">
        <f>HYPERLINK("http://www.ncbi.nlm.nih.gov/protein/XP_046833572.1","ryanodine receptor isoform X8")</f>
        <v>ryanodine receptor isoform X8</v>
      </c>
      <c r="J2731">
        <v>2507.25</v>
      </c>
      <c r="K2731" t="s">
        <v>19</v>
      </c>
      <c r="L2731">
        <v>1210</v>
      </c>
      <c r="M2731">
        <v>7.13</v>
      </c>
      <c r="N2731">
        <v>24.43</v>
      </c>
      <c r="O2731" t="s">
        <v>19</v>
      </c>
      <c r="P2731" t="s">
        <v>1267</v>
      </c>
      <c r="Q2731" t="s">
        <v>19</v>
      </c>
      <c r="R2731" t="str">
        <f>HYPERLINK("https://cfpub.epa.gov/ecotox/explore.cfm?ncbi=7445","Explore in ECOTOX")</f>
        <v>Explore in ECOTOX</v>
      </c>
    </row>
    <row r="2732" spans="1:18" x14ac:dyDescent="0.45">
      <c r="A2732" t="s">
        <v>1266</v>
      </c>
      <c r="B2732">
        <v>8</v>
      </c>
      <c r="C2732" t="str">
        <f>HYPERLINK("http://www.ncbi.nlm.nih.gov/protein/XP_035717758.1","XP_035717758.1")</f>
        <v>XP_035717758.1</v>
      </c>
      <c r="D2732">
        <v>27336</v>
      </c>
      <c r="E2732" t="str">
        <f>HYPERLINK("http://www.ncbi.nlm.nih.gov/Taxonomy/Browser/wwwtax.cgi?mode=Info&amp;id=7446&amp;lvl=3&amp;lin=f&amp;keep=1&amp;srchmode=1&amp;unlock","7446")</f>
        <v>7446</v>
      </c>
      <c r="F2732" t="s">
        <v>760</v>
      </c>
      <c r="G2732" t="str">
        <f>HYPERLINK("http://www.ncbi.nlm.nih.gov/Taxonomy/Browser/wwwtax.cgi?mode=Info&amp;id=7446&amp;lvl=3&amp;lin=f&amp;keep=1&amp;srchmode=1&amp;unlock","Vespa mandarinia")</f>
        <v>Vespa mandarinia</v>
      </c>
      <c r="H2732" t="s">
        <v>1052</v>
      </c>
      <c r="I2732" t="str">
        <f>HYPERLINK("http://www.ncbi.nlm.nih.gov/protein/XP_035717758.1","ryanodine receptor-like isoform X5")</f>
        <v>ryanodine receptor-like isoform X5</v>
      </c>
      <c r="J2732">
        <v>2507.25</v>
      </c>
      <c r="K2732" t="s">
        <v>19</v>
      </c>
      <c r="L2732">
        <v>1210</v>
      </c>
      <c r="M2732">
        <v>7.13</v>
      </c>
      <c r="N2732">
        <v>24.43</v>
      </c>
      <c r="O2732" t="s">
        <v>19</v>
      </c>
      <c r="P2732" t="s">
        <v>1267</v>
      </c>
      <c r="Q2732" t="s">
        <v>19</v>
      </c>
      <c r="R2732" t="str">
        <f>HYPERLINK("https://cfpub.epa.gov/ecotox/explore.cfm?ncbi=7446","Explore in ECOTOX")</f>
        <v>Explore in ECOTOX</v>
      </c>
    </row>
    <row r="2733" spans="1:18" x14ac:dyDescent="0.45">
      <c r="A2733" t="s">
        <v>1266</v>
      </c>
      <c r="B2733">
        <v>8</v>
      </c>
      <c r="C2733" t="str">
        <f>HYPERLINK("http://www.ncbi.nlm.nih.gov/protein/XP_047344496.1","XP_047344496.1")</f>
        <v>XP_047344496.1</v>
      </c>
      <c r="D2733">
        <v>28891</v>
      </c>
      <c r="E2733" t="str">
        <f>HYPERLINK("http://www.ncbi.nlm.nih.gov/Taxonomy/Browser/wwwtax.cgi?mode=Info&amp;id=202808&amp;lvl=3&amp;lin=f&amp;keep=1&amp;srchmode=1&amp;unlock","202808")</f>
        <v>202808</v>
      </c>
      <c r="F2733" t="s">
        <v>760</v>
      </c>
      <c r="G2733" t="str">
        <f>HYPERLINK("http://www.ncbi.nlm.nih.gov/Taxonomy/Browser/wwwtax.cgi?mode=Info&amp;id=202808&amp;lvl=3&amp;lin=f&amp;keep=1&amp;srchmode=1&amp;unlock","Vespa velutina")</f>
        <v>Vespa velutina</v>
      </c>
      <c r="H2733" t="s">
        <v>805</v>
      </c>
      <c r="I2733" t="str">
        <f>HYPERLINK("http://www.ncbi.nlm.nih.gov/protein/XP_047344496.1","ryanodine receptor isoform X11")</f>
        <v>ryanodine receptor isoform X11</v>
      </c>
      <c r="J2733">
        <v>2505.3200000000002</v>
      </c>
      <c r="K2733" t="s">
        <v>19</v>
      </c>
      <c r="L2733">
        <v>1210</v>
      </c>
      <c r="M2733">
        <v>7.13</v>
      </c>
      <c r="N2733">
        <v>24.41</v>
      </c>
      <c r="O2733" t="s">
        <v>19</v>
      </c>
      <c r="P2733" t="s">
        <v>1267</v>
      </c>
      <c r="Q2733" t="s">
        <v>19</v>
      </c>
      <c r="R2733" t="str">
        <f>HYPERLINK("https://cfpub.epa.gov/ecotox/explore.cfm?ncbi=202808","Explore in ECOTOX")</f>
        <v>Explore in ECOTOX</v>
      </c>
    </row>
    <row r="2734" spans="1:18" x14ac:dyDescent="0.45">
      <c r="A2734" t="s">
        <v>1266</v>
      </c>
      <c r="B2734">
        <v>8</v>
      </c>
      <c r="C2734" t="str">
        <f>HYPERLINK("http://www.ncbi.nlm.nih.gov/protein/XP_054285012.1","XP_054285012.1")</f>
        <v>XP_054285012.1</v>
      </c>
      <c r="D2734">
        <v>34645</v>
      </c>
      <c r="E2734" t="str">
        <f>HYPERLINK("http://www.ncbi.nlm.nih.gov/Taxonomy/Browser/wwwtax.cgi?mode=Info&amp;id=74068&amp;lvl=3&amp;lin=f&amp;keep=1&amp;srchmode=1&amp;unlock","74068")</f>
        <v>74068</v>
      </c>
      <c r="F2734" t="s">
        <v>760</v>
      </c>
      <c r="G2734" t="str">
        <f>HYPERLINK("http://www.ncbi.nlm.nih.gov/Taxonomy/Browser/wwwtax.cgi?mode=Info&amp;id=74068&amp;lvl=3&amp;lin=f&amp;keep=1&amp;srchmode=1&amp;unlock","Macrosteles quadrilineatus")</f>
        <v>Macrosteles quadrilineatus</v>
      </c>
      <c r="H2734" t="s">
        <v>1044</v>
      </c>
      <c r="I2734" t="str">
        <f>HYPERLINK("http://www.ncbi.nlm.nih.gov/protein/XP_054285012.1","ryanodine receptor isoform X2")</f>
        <v>ryanodine receptor isoform X2</v>
      </c>
      <c r="J2734">
        <v>2503.7800000000002</v>
      </c>
      <c r="K2734" t="s">
        <v>22</v>
      </c>
      <c r="L2734">
        <v>1210</v>
      </c>
      <c r="M2734">
        <v>7.13</v>
      </c>
      <c r="N2734">
        <v>24.4</v>
      </c>
      <c r="O2734" t="s">
        <v>19</v>
      </c>
      <c r="P2734" t="s">
        <v>1267</v>
      </c>
      <c r="Q2734" t="s">
        <v>19</v>
      </c>
      <c r="R2734" t="str">
        <f>HYPERLINK("https://cfpub.epa.gov/ecotox/explore.cfm?ncbi=74068","Explore in ECOTOX")</f>
        <v>Explore in ECOTOX</v>
      </c>
    </row>
    <row r="2735" spans="1:18" x14ac:dyDescent="0.45">
      <c r="A2735" t="s">
        <v>1266</v>
      </c>
      <c r="B2735">
        <v>8</v>
      </c>
      <c r="C2735" t="str">
        <f>HYPERLINK("http://www.ncbi.nlm.nih.gov/protein/KRY59582.1","KRY59582.1")</f>
        <v>KRY59582.1</v>
      </c>
      <c r="D2735">
        <v>20916</v>
      </c>
      <c r="E2735" t="str">
        <f>HYPERLINK("http://www.ncbi.nlm.nih.gov/Taxonomy/Browser/wwwtax.cgi?mode=Info&amp;id=45882&amp;lvl=3&amp;lin=f&amp;keep=1&amp;srchmode=1&amp;unlock","45882")</f>
        <v>45882</v>
      </c>
      <c r="F2735" t="s">
        <v>1060</v>
      </c>
      <c r="G2735" t="str">
        <f>HYPERLINK("http://www.ncbi.nlm.nih.gov/Taxonomy/Browser/wwwtax.cgi?mode=Info&amp;id=45882&amp;lvl=3&amp;lin=f&amp;keep=1&amp;srchmode=1&amp;unlock","Trichinella britovi")</f>
        <v>Trichinella britovi</v>
      </c>
      <c r="H2735" t="s">
        <v>1027</v>
      </c>
      <c r="I2735" t="str">
        <f>HYPERLINK("http://www.ncbi.nlm.nih.gov/protein/KRY59582.1","Ryanodine receptor 44F")</f>
        <v>Ryanodine receptor 44F</v>
      </c>
      <c r="J2735">
        <v>2502.63</v>
      </c>
      <c r="K2735" t="s">
        <v>22</v>
      </c>
      <c r="L2735">
        <v>1210</v>
      </c>
      <c r="M2735">
        <v>7.13</v>
      </c>
      <c r="N2735">
        <v>24.39</v>
      </c>
      <c r="O2735" t="s">
        <v>19</v>
      </c>
      <c r="P2735" t="s">
        <v>1267</v>
      </c>
      <c r="Q2735" t="s">
        <v>19</v>
      </c>
      <c r="R2735" t="str">
        <f>HYPERLINK("https://cfpub.epa.gov/ecotox/explore.cfm?ncbi=45882","Explore in ECOTOX")</f>
        <v>Explore in ECOTOX</v>
      </c>
    </row>
    <row r="2736" spans="1:18" x14ac:dyDescent="0.45">
      <c r="A2736" t="s">
        <v>1266</v>
      </c>
      <c r="B2736">
        <v>8</v>
      </c>
      <c r="C2736" t="str">
        <f>HYPERLINK("http://www.ncbi.nlm.nih.gov/protein/XP_031774553.1","XP_031774553.1")</f>
        <v>XP_031774553.1</v>
      </c>
      <c r="D2736">
        <v>18934</v>
      </c>
      <c r="E2736" t="str">
        <f>HYPERLINK("http://www.ncbi.nlm.nih.gov/Taxonomy/Browser/wwwtax.cgi?mode=Info&amp;id=7463&amp;lvl=3&amp;lin=f&amp;keep=1&amp;srchmode=1&amp;unlock","7463")</f>
        <v>7463</v>
      </c>
      <c r="F2736" t="s">
        <v>760</v>
      </c>
      <c r="G2736" t="str">
        <f>HYPERLINK("http://www.ncbi.nlm.nih.gov/Taxonomy/Browser/wwwtax.cgi?mode=Info&amp;id=7463&amp;lvl=3&amp;lin=f&amp;keep=1&amp;srchmode=1&amp;unlock","Apis florea")</f>
        <v>Apis florea</v>
      </c>
      <c r="H2736" t="s">
        <v>1083</v>
      </c>
      <c r="I2736" t="str">
        <f>HYPERLINK("http://www.ncbi.nlm.nih.gov/protein/XP_031774553.1","LOW QUALITY PROTEIN: ryanodine receptor")</f>
        <v>LOW QUALITY PROTEIN: ryanodine receptor</v>
      </c>
      <c r="J2736">
        <v>2498.7800000000002</v>
      </c>
      <c r="K2736" t="s">
        <v>19</v>
      </c>
      <c r="L2736">
        <v>1210</v>
      </c>
      <c r="M2736">
        <v>7.13</v>
      </c>
      <c r="N2736">
        <v>24.35</v>
      </c>
      <c r="O2736" t="s">
        <v>19</v>
      </c>
      <c r="P2736" t="s">
        <v>1267</v>
      </c>
      <c r="Q2736" t="s">
        <v>19</v>
      </c>
      <c r="R2736" t="str">
        <f>HYPERLINK("https://cfpub.epa.gov/ecotox/explore.cfm?ncbi=7463","Explore in ECOTOX")</f>
        <v>Explore in ECOTOX</v>
      </c>
    </row>
    <row r="2737" spans="1:18" x14ac:dyDescent="0.45">
      <c r="A2737" t="s">
        <v>1266</v>
      </c>
      <c r="B2737">
        <v>8</v>
      </c>
      <c r="C2737" t="str">
        <f>HYPERLINK("http://www.ncbi.nlm.nih.gov/protein/KAK3911259.1","KAK3911259.1")</f>
        <v>KAK3911259.1</v>
      </c>
      <c r="D2737">
        <v>26206</v>
      </c>
      <c r="E2737" t="str">
        <f>HYPERLINK("http://www.ncbi.nlm.nih.gov/Taxonomy/Browser/wwwtax.cgi?mode=Info&amp;id=407009&amp;lvl=3&amp;lin=f&amp;keep=1&amp;srchmode=1&amp;unlock","407009")</f>
        <v>407009</v>
      </c>
      <c r="F2737" t="s">
        <v>760</v>
      </c>
      <c r="G2737" t="str">
        <f>HYPERLINK("http://www.ncbi.nlm.nih.gov/Taxonomy/Browser/wwwtax.cgi?mode=Info&amp;id=407009&amp;lvl=3&amp;lin=f&amp;keep=1&amp;srchmode=1&amp;unlock","Frankliniella fusca")</f>
        <v>Frankliniella fusca</v>
      </c>
      <c r="H2737" t="s">
        <v>1037</v>
      </c>
      <c r="I2737" t="str">
        <f>HYPERLINK("http://www.ncbi.nlm.nih.gov/protein/KAK3911259.1","hypothetical protein KUF71_021040")</f>
        <v>hypothetical protein KUF71_021040</v>
      </c>
      <c r="J2737">
        <v>2498.7800000000002</v>
      </c>
      <c r="K2737" t="s">
        <v>22</v>
      </c>
      <c r="L2737">
        <v>1210</v>
      </c>
      <c r="M2737">
        <v>7.13</v>
      </c>
      <c r="N2737">
        <v>24.35</v>
      </c>
      <c r="O2737" t="s">
        <v>19</v>
      </c>
      <c r="P2737" t="s">
        <v>1267</v>
      </c>
      <c r="Q2737" t="s">
        <v>19</v>
      </c>
      <c r="R2737" t="str">
        <f>HYPERLINK("https://cfpub.epa.gov/ecotox/explore.cfm?ncbi=407009","Explore in ECOTOX")</f>
        <v>Explore in ECOTOX</v>
      </c>
    </row>
    <row r="2738" spans="1:18" x14ac:dyDescent="0.45">
      <c r="A2738" t="s">
        <v>1266</v>
      </c>
      <c r="B2738">
        <v>8</v>
      </c>
      <c r="C2738" t="str">
        <f>HYPERLINK("http://www.ncbi.nlm.nih.gov/protein/XP_037888107.1","XP_037888107.1")</f>
        <v>XP_037888107.1</v>
      </c>
      <c r="D2738">
        <v>38017</v>
      </c>
      <c r="E2738" t="str">
        <f>HYPERLINK("http://www.ncbi.nlm.nih.gov/Taxonomy/Browser/wwwtax.cgi?mode=Info&amp;id=7396&amp;lvl=3&amp;lin=f&amp;keep=1&amp;srchmode=1&amp;unlock","7396")</f>
        <v>7396</v>
      </c>
      <c r="F2738" t="s">
        <v>760</v>
      </c>
      <c r="G2738" t="str">
        <f>HYPERLINK("http://www.ncbi.nlm.nih.gov/Taxonomy/Browser/wwwtax.cgi?mode=Info&amp;id=7396&amp;lvl=3&amp;lin=f&amp;keep=1&amp;srchmode=1&amp;unlock","Glossina fuscipes")</f>
        <v>Glossina fuscipes</v>
      </c>
      <c r="H2738" t="s">
        <v>1077</v>
      </c>
      <c r="I2738" t="str">
        <f>HYPERLINK("http://www.ncbi.nlm.nih.gov/protein/XP_037888107.1","ryanodine receptor isoform X17")</f>
        <v>ryanodine receptor isoform X17</v>
      </c>
      <c r="J2738">
        <v>2498.39</v>
      </c>
      <c r="K2738" t="s">
        <v>19</v>
      </c>
      <c r="L2738">
        <v>1210</v>
      </c>
      <c r="M2738">
        <v>7.13</v>
      </c>
      <c r="N2738">
        <v>24.34</v>
      </c>
      <c r="O2738" t="s">
        <v>19</v>
      </c>
      <c r="P2738" t="s">
        <v>1267</v>
      </c>
      <c r="Q2738" t="s">
        <v>19</v>
      </c>
      <c r="R2738" t="str">
        <f>HYPERLINK("https://cfpub.epa.gov/ecotox/explore.cfm?ncbi=7396","Explore in ECOTOX")</f>
        <v>Explore in ECOTOX</v>
      </c>
    </row>
    <row r="2739" spans="1:18" x14ac:dyDescent="0.45">
      <c r="A2739" t="s">
        <v>1266</v>
      </c>
      <c r="B2739">
        <v>8</v>
      </c>
      <c r="C2739" t="str">
        <f>HYPERLINK("http://www.ncbi.nlm.nih.gov/protein/AHW99829.1","AHW99829.1")</f>
        <v>AHW99829.1</v>
      </c>
      <c r="D2739">
        <v>572</v>
      </c>
      <c r="E2739" t="str">
        <f>HYPERLINK("http://www.ncbi.nlm.nih.gov/Taxonomy/Browser/wwwtax.cgi?mode=Info&amp;id=113103&amp;lvl=3&amp;lin=f&amp;keep=1&amp;srchmode=1&amp;unlock","113103")</f>
        <v>113103</v>
      </c>
      <c r="F2739" t="s">
        <v>760</v>
      </c>
      <c r="G2739" t="str">
        <f>HYPERLINK("http://www.ncbi.nlm.nih.gov/Taxonomy/Browser/wwwtax.cgi?mode=Info&amp;id=113103&amp;lvl=3&amp;lin=f&amp;keep=1&amp;srchmode=1&amp;unlock","Sogatella furcifera")</f>
        <v>Sogatella furcifera</v>
      </c>
      <c r="H2739" t="s">
        <v>1072</v>
      </c>
      <c r="I2739" t="str">
        <f>HYPERLINK("http://www.ncbi.nlm.nih.gov/protein/AHW99829.1","ryanodine receptor")</f>
        <v>ryanodine receptor</v>
      </c>
      <c r="J2739">
        <v>2498.0100000000002</v>
      </c>
      <c r="K2739" t="s">
        <v>22</v>
      </c>
      <c r="L2739">
        <v>1210</v>
      </c>
      <c r="M2739">
        <v>7.13</v>
      </c>
      <c r="N2739">
        <v>24.34</v>
      </c>
      <c r="O2739" t="s">
        <v>19</v>
      </c>
      <c r="P2739" t="s">
        <v>1267</v>
      </c>
      <c r="Q2739" t="s">
        <v>19</v>
      </c>
      <c r="R2739" t="str">
        <f>HYPERLINK("https://cfpub.epa.gov/ecotox/explore.cfm?ncbi=113103","Explore in ECOTOX")</f>
        <v>Explore in ECOTOX</v>
      </c>
    </row>
    <row r="2740" spans="1:18" x14ac:dyDescent="0.45">
      <c r="A2740" t="s">
        <v>1266</v>
      </c>
      <c r="B2740">
        <v>8</v>
      </c>
      <c r="C2740" t="str">
        <f>HYPERLINK("http://www.ncbi.nlm.nih.gov/protein/XP_053999768.1","XP_053999768.1")</f>
        <v>XP_053999768.1</v>
      </c>
      <c r="D2740">
        <v>21709</v>
      </c>
      <c r="E2740" t="str">
        <f>HYPERLINK("http://www.ncbi.nlm.nih.gov/Taxonomy/Browser/wwwtax.cgi?mode=Info&amp;id=313031&amp;lvl=3&amp;lin=f&amp;keep=1&amp;srchmode=1&amp;unlock","313031")</f>
        <v>313031</v>
      </c>
      <c r="F2740" t="s">
        <v>760</v>
      </c>
      <c r="G2740" t="str">
        <f>HYPERLINK("http://www.ncbi.nlm.nih.gov/Taxonomy/Browser/wwwtax.cgi?mode=Info&amp;id=313031&amp;lvl=3&amp;lin=f&amp;keep=1&amp;srchmode=1&amp;unlock","Hylaeus anthracinus")</f>
        <v>Hylaeus anthracinus</v>
      </c>
      <c r="H2740" t="s">
        <v>775</v>
      </c>
      <c r="I2740" t="str">
        <f>HYPERLINK("http://www.ncbi.nlm.nih.gov/protein/XP_053999768.1","ryanodine receptor isoform X9")</f>
        <v>ryanodine receptor isoform X9</v>
      </c>
      <c r="J2740">
        <v>2496.46</v>
      </c>
      <c r="K2740" t="s">
        <v>19</v>
      </c>
      <c r="L2740">
        <v>1210</v>
      </c>
      <c r="M2740">
        <v>7.13</v>
      </c>
      <c r="N2740">
        <v>24.33</v>
      </c>
      <c r="O2740" t="s">
        <v>19</v>
      </c>
      <c r="P2740" t="s">
        <v>1267</v>
      </c>
      <c r="Q2740" t="s">
        <v>19</v>
      </c>
      <c r="R2740" t="str">
        <f>HYPERLINK("https://cfpub.epa.gov/ecotox/explore.cfm?ncbi=313031","Explore in ECOTOX")</f>
        <v>Explore in ECOTOX</v>
      </c>
    </row>
    <row r="2741" spans="1:18" x14ac:dyDescent="0.45">
      <c r="A2741" t="s">
        <v>1266</v>
      </c>
      <c r="B2741">
        <v>8</v>
      </c>
      <c r="C2741" t="str">
        <f>HYPERLINK("http://www.ncbi.nlm.nih.gov/protein/XP_023290527.1","XP_023290527.1")</f>
        <v>XP_023290527.1</v>
      </c>
      <c r="D2741">
        <v>19714</v>
      </c>
      <c r="E2741" t="str">
        <f>HYPERLINK("http://www.ncbi.nlm.nih.gov/Taxonomy/Browser/wwwtax.cgi?mode=Info&amp;id=222816&amp;lvl=3&amp;lin=f&amp;keep=1&amp;srchmode=1&amp;unlock","222816")</f>
        <v>222816</v>
      </c>
      <c r="F2741" t="s">
        <v>760</v>
      </c>
      <c r="G2741" t="str">
        <f>HYPERLINK("http://www.ncbi.nlm.nih.gov/Taxonomy/Browser/wwwtax.cgi?mode=Info&amp;id=222816&amp;lvl=3&amp;lin=f&amp;keep=1&amp;srchmode=1&amp;unlock","Orussus abietinus")</f>
        <v>Orussus abietinus</v>
      </c>
      <c r="H2741" t="s">
        <v>1080</v>
      </c>
      <c r="I2741" t="str">
        <f>HYPERLINK("http://www.ncbi.nlm.nih.gov/protein/XP_023290527.1","ryanodine receptor")</f>
        <v>ryanodine receptor</v>
      </c>
      <c r="J2741">
        <v>2496.08</v>
      </c>
      <c r="K2741" t="s">
        <v>22</v>
      </c>
      <c r="L2741">
        <v>1210</v>
      </c>
      <c r="M2741">
        <v>7.13</v>
      </c>
      <c r="N2741">
        <v>24.32</v>
      </c>
      <c r="O2741" t="s">
        <v>19</v>
      </c>
      <c r="P2741" t="s">
        <v>1267</v>
      </c>
      <c r="Q2741" t="s">
        <v>19</v>
      </c>
      <c r="R2741" t="str">
        <f>HYPERLINK("https://cfpub.epa.gov/ecotox/explore.cfm?ncbi=222816","Explore in ECOTOX")</f>
        <v>Explore in ECOTOX</v>
      </c>
    </row>
    <row r="2742" spans="1:18" x14ac:dyDescent="0.45">
      <c r="A2742" t="s">
        <v>1266</v>
      </c>
      <c r="B2742">
        <v>8</v>
      </c>
      <c r="C2742" t="str">
        <f>HYPERLINK("http://www.ncbi.nlm.nih.gov/protein/XP_053972722.1","XP_053972722.1")</f>
        <v>XP_053972722.1</v>
      </c>
      <c r="D2742">
        <v>24956</v>
      </c>
      <c r="E2742" t="str">
        <f>HYPERLINK("http://www.ncbi.nlm.nih.gov/Taxonomy/Browser/wwwtax.cgi?mode=Info&amp;id=313075&amp;lvl=3&amp;lin=f&amp;keep=1&amp;srchmode=1&amp;unlock","313075")</f>
        <v>313075</v>
      </c>
      <c r="F2742" t="s">
        <v>760</v>
      </c>
      <c r="G2742" t="str">
        <f>HYPERLINK("http://www.ncbi.nlm.nih.gov/Taxonomy/Browser/wwwtax.cgi?mode=Info&amp;id=313075&amp;lvl=3&amp;lin=f&amp;keep=1&amp;srchmode=1&amp;unlock","Hylaeus volcanicus")</f>
        <v>Hylaeus volcanicus</v>
      </c>
      <c r="H2742" t="s">
        <v>775</v>
      </c>
      <c r="I2742" t="str">
        <f>HYPERLINK("http://www.ncbi.nlm.nih.gov/protein/XP_053972722.1","ryanodine receptor isoform X8")</f>
        <v>ryanodine receptor isoform X8</v>
      </c>
      <c r="J2742">
        <v>2495.69</v>
      </c>
      <c r="K2742" t="s">
        <v>19</v>
      </c>
      <c r="L2742">
        <v>1210</v>
      </c>
      <c r="M2742">
        <v>7.13</v>
      </c>
      <c r="N2742">
        <v>24.32</v>
      </c>
      <c r="O2742" t="s">
        <v>19</v>
      </c>
      <c r="P2742" t="s">
        <v>1267</v>
      </c>
      <c r="Q2742" t="s">
        <v>19</v>
      </c>
      <c r="R2742" t="str">
        <f>HYPERLINK("https://cfpub.epa.gov/ecotox/explore.cfm?ncbi=313075","Explore in ECOTOX")</f>
        <v>Explore in ECOTOX</v>
      </c>
    </row>
    <row r="2743" spans="1:18" x14ac:dyDescent="0.45">
      <c r="A2743" t="s">
        <v>1266</v>
      </c>
      <c r="B2743">
        <v>8</v>
      </c>
      <c r="C2743" t="str">
        <f>HYPERLINK("http://www.ncbi.nlm.nih.gov/protein/XP_002424547.1","XP_002424547.1")</f>
        <v>XP_002424547.1</v>
      </c>
      <c r="D2743">
        <v>21887</v>
      </c>
      <c r="E2743" t="str">
        <f>HYPERLINK("http://www.ncbi.nlm.nih.gov/Taxonomy/Browser/wwwtax.cgi?mode=Info&amp;id=121224&amp;lvl=3&amp;lin=f&amp;keep=1&amp;srchmode=1&amp;unlock","121224")</f>
        <v>121224</v>
      </c>
      <c r="F2743" t="s">
        <v>760</v>
      </c>
      <c r="G2743" t="str">
        <f>HYPERLINK("http://www.ncbi.nlm.nih.gov/Taxonomy/Browser/wwwtax.cgi?mode=Info&amp;id=121224&amp;lvl=3&amp;lin=f&amp;keep=1&amp;srchmode=1&amp;unlock","Pediculus humanus corporis")</f>
        <v>Pediculus humanus corporis</v>
      </c>
      <c r="H2743" t="s">
        <v>1049</v>
      </c>
      <c r="I2743" t="str">
        <f>HYPERLINK("http://www.ncbi.nlm.nih.gov/protein/XP_002424547.1","Ryanodine receptor, putative")</f>
        <v>Ryanodine receptor, putative</v>
      </c>
      <c r="J2743">
        <v>2494.54</v>
      </c>
      <c r="K2743" t="s">
        <v>22</v>
      </c>
      <c r="L2743">
        <v>1210</v>
      </c>
      <c r="M2743">
        <v>7.13</v>
      </c>
      <c r="N2743">
        <v>24.31</v>
      </c>
      <c r="O2743" t="s">
        <v>19</v>
      </c>
      <c r="P2743" t="s">
        <v>1267</v>
      </c>
      <c r="Q2743" t="s">
        <v>19</v>
      </c>
      <c r="R2743" t="str">
        <f>HYPERLINK("https://cfpub.epa.gov/ecotox/explore.cfm?ncbi=121224","Explore in ECOTOX")</f>
        <v>Explore in ECOTOX</v>
      </c>
    </row>
    <row r="2744" spans="1:18" x14ac:dyDescent="0.45">
      <c r="A2744" t="s">
        <v>1266</v>
      </c>
      <c r="B2744">
        <v>8</v>
      </c>
      <c r="C2744" t="str">
        <f>HYPERLINK("http://www.ncbi.nlm.nih.gov/protein/KRY90212.1","KRY90212.1")</f>
        <v>KRY90212.1</v>
      </c>
      <c r="D2744">
        <v>81561</v>
      </c>
      <c r="E2744" t="str">
        <f>HYPERLINK("http://www.ncbi.nlm.nih.gov/Taxonomy/Browser/wwwtax.cgi?mode=Info&amp;id=6337&amp;lvl=3&amp;lin=f&amp;keep=1&amp;srchmode=1&amp;unlock","6337")</f>
        <v>6337</v>
      </c>
      <c r="F2744" t="s">
        <v>1060</v>
      </c>
      <c r="G2744" t="str">
        <f>HYPERLINK("http://www.ncbi.nlm.nih.gov/Taxonomy/Browser/wwwtax.cgi?mode=Info&amp;id=6337&amp;lvl=3&amp;lin=f&amp;keep=1&amp;srchmode=1&amp;unlock","Trichinella pseudospiralis")</f>
        <v>Trichinella pseudospiralis</v>
      </c>
      <c r="H2744" t="s">
        <v>1027</v>
      </c>
      <c r="I2744" t="str">
        <f>HYPERLINK("http://www.ncbi.nlm.nih.gov/protein/KRY90212.1","Ryanodine receptor 44F")</f>
        <v>Ryanodine receptor 44F</v>
      </c>
      <c r="J2744">
        <v>2494.15</v>
      </c>
      <c r="K2744" t="s">
        <v>19</v>
      </c>
      <c r="L2744">
        <v>1210</v>
      </c>
      <c r="M2744">
        <v>7.13</v>
      </c>
      <c r="N2744">
        <v>24.3</v>
      </c>
      <c r="O2744" t="s">
        <v>19</v>
      </c>
      <c r="P2744" t="s">
        <v>1267</v>
      </c>
      <c r="Q2744" t="s">
        <v>19</v>
      </c>
      <c r="R2744" t="str">
        <f>HYPERLINK("https://cfpub.epa.gov/ecotox/explore.cfm?ncbi=6337","Explore in ECOTOX")</f>
        <v>Explore in ECOTOX</v>
      </c>
    </row>
    <row r="2745" spans="1:18" x14ac:dyDescent="0.45">
      <c r="A2745" t="s">
        <v>1266</v>
      </c>
      <c r="B2745">
        <v>8</v>
      </c>
      <c r="C2745" t="str">
        <f>HYPERLINK("http://www.ncbi.nlm.nih.gov/protein/XP_017105956.2","XP_017105956.2")</f>
        <v>XP_017105956.2</v>
      </c>
      <c r="D2745">
        <v>33858</v>
      </c>
      <c r="E2745" t="str">
        <f>HYPERLINK("http://www.ncbi.nlm.nih.gov/Taxonomy/Browser/wwwtax.cgi?mode=Info&amp;id=42026&amp;lvl=3&amp;lin=f&amp;keep=1&amp;srchmode=1&amp;unlock","42026")</f>
        <v>42026</v>
      </c>
      <c r="F2745" t="s">
        <v>760</v>
      </c>
      <c r="G2745" t="str">
        <f>HYPERLINK("http://www.ncbi.nlm.nih.gov/Taxonomy/Browser/wwwtax.cgi?mode=Info&amp;id=42026&amp;lvl=3&amp;lin=f&amp;keep=1&amp;srchmode=1&amp;unlock","Drosophila bipectinata")</f>
        <v>Drosophila bipectinata</v>
      </c>
      <c r="H2745" t="s">
        <v>953</v>
      </c>
      <c r="I2745" t="str">
        <f>HYPERLINK("http://www.ncbi.nlm.nih.gov/protein/XP_017105956.2","ryanodine receptor isoform X3")</f>
        <v>ryanodine receptor isoform X3</v>
      </c>
      <c r="J2745">
        <v>2493.77</v>
      </c>
      <c r="K2745" t="s">
        <v>19</v>
      </c>
      <c r="L2745">
        <v>1210</v>
      </c>
      <c r="M2745">
        <v>7.13</v>
      </c>
      <c r="N2745">
        <v>24.3</v>
      </c>
      <c r="O2745" t="s">
        <v>19</v>
      </c>
      <c r="P2745" t="s">
        <v>1267</v>
      </c>
      <c r="Q2745" t="s">
        <v>19</v>
      </c>
      <c r="R2745" t="str">
        <f>HYPERLINK("https://cfpub.epa.gov/ecotox/explore.cfm?ncbi=42026","Explore in ECOTOX")</f>
        <v>Explore in ECOTOX</v>
      </c>
    </row>
    <row r="2746" spans="1:18" x14ac:dyDescent="0.45">
      <c r="A2746" t="s">
        <v>1266</v>
      </c>
      <c r="B2746">
        <v>8</v>
      </c>
      <c r="C2746" t="str">
        <f>HYPERLINK("http://www.ncbi.nlm.nih.gov/protein/XP_032572729.1","XP_032572729.1")</f>
        <v>XP_032572729.1</v>
      </c>
      <c r="D2746">
        <v>40389</v>
      </c>
      <c r="E2746" t="str">
        <f>HYPERLINK("http://www.ncbi.nlm.nih.gov/Taxonomy/Browser/wwwtax.cgi?mode=Info&amp;id=7238&amp;lvl=3&amp;lin=f&amp;keep=1&amp;srchmode=1&amp;unlock","7238")</f>
        <v>7238</v>
      </c>
      <c r="F2746" t="s">
        <v>760</v>
      </c>
      <c r="G2746" t="str">
        <f>HYPERLINK("http://www.ncbi.nlm.nih.gov/Taxonomy/Browser/wwwtax.cgi?mode=Info&amp;id=7238&amp;lvl=3&amp;lin=f&amp;keep=1&amp;srchmode=1&amp;unlock","Drosophila sechellia")</f>
        <v>Drosophila sechellia</v>
      </c>
      <c r="H2746" t="s">
        <v>953</v>
      </c>
      <c r="I2746" t="str">
        <f>HYPERLINK("http://www.ncbi.nlm.nih.gov/protein/XP_032572729.1","ryanodine receptor isoform X7")</f>
        <v>ryanodine receptor isoform X7</v>
      </c>
      <c r="J2746">
        <v>2492.61</v>
      </c>
      <c r="K2746" t="s">
        <v>19</v>
      </c>
      <c r="L2746">
        <v>1210</v>
      </c>
      <c r="M2746">
        <v>7.13</v>
      </c>
      <c r="N2746">
        <v>24.29</v>
      </c>
      <c r="O2746" t="s">
        <v>19</v>
      </c>
      <c r="P2746" t="s">
        <v>1267</v>
      </c>
      <c r="Q2746" t="s">
        <v>19</v>
      </c>
      <c r="R2746" t="str">
        <f>HYPERLINK("https://cfpub.epa.gov/ecotox/explore.cfm?ncbi=7238","Explore in ECOTOX")</f>
        <v>Explore in ECOTOX</v>
      </c>
    </row>
    <row r="2747" spans="1:18" x14ac:dyDescent="0.45">
      <c r="A2747" t="s">
        <v>1266</v>
      </c>
      <c r="B2747">
        <v>8</v>
      </c>
      <c r="C2747" t="str">
        <f>HYPERLINK("http://www.ncbi.nlm.nih.gov/protein/XP_043253046.1","XP_043253046.1")</f>
        <v>XP_043253046.1</v>
      </c>
      <c r="D2747">
        <v>18626</v>
      </c>
      <c r="E2747" t="str">
        <f>HYPERLINK("http://www.ncbi.nlm.nih.gov/Taxonomy/Browser/wwwtax.cgi?mode=Info&amp;id=935657&amp;lvl=3&amp;lin=f&amp;keep=1&amp;srchmode=1&amp;unlock","935657")</f>
        <v>935657</v>
      </c>
      <c r="F2747" t="s">
        <v>760</v>
      </c>
      <c r="G2747" t="str">
        <f>HYPERLINK("http://www.ncbi.nlm.nih.gov/Taxonomy/Browser/wwwtax.cgi?mode=Info&amp;id=935657&amp;lvl=3&amp;lin=f&amp;keep=1&amp;srchmode=1&amp;unlock","Colletes gigas")</f>
        <v>Colletes gigas</v>
      </c>
      <c r="H2747" t="s">
        <v>1065</v>
      </c>
      <c r="I2747" t="str">
        <f>HYPERLINK("http://www.ncbi.nlm.nih.gov/protein/XP_043253046.1","ryanodine receptor isoform X2")</f>
        <v>ryanodine receptor isoform X2</v>
      </c>
      <c r="J2747">
        <v>2492.61</v>
      </c>
      <c r="K2747" t="s">
        <v>19</v>
      </c>
      <c r="L2747">
        <v>1210</v>
      </c>
      <c r="M2747">
        <v>7.13</v>
      </c>
      <c r="N2747">
        <v>24.29</v>
      </c>
      <c r="O2747" t="s">
        <v>19</v>
      </c>
      <c r="P2747" t="s">
        <v>1267</v>
      </c>
      <c r="Q2747" t="s">
        <v>19</v>
      </c>
      <c r="R2747" t="str">
        <f>HYPERLINK("https://cfpub.epa.gov/ecotox/explore.cfm?ncbi=935657","Explore in ECOTOX")</f>
        <v>Explore in ECOTOX</v>
      </c>
    </row>
    <row r="2748" spans="1:18" x14ac:dyDescent="0.45">
      <c r="A2748" t="s">
        <v>1266</v>
      </c>
      <c r="B2748">
        <v>8</v>
      </c>
      <c r="C2748" t="str">
        <f>HYPERLINK("http://www.ncbi.nlm.nih.gov/protein/XP_052124088.1","XP_052124088.1")</f>
        <v>XP_052124088.1</v>
      </c>
      <c r="D2748">
        <v>44628</v>
      </c>
      <c r="E2748" t="str">
        <f>HYPERLINK("http://www.ncbi.nlm.nih.gov/Taxonomy/Browser/wwwtax.cgi?mode=Info&amp;id=133901&amp;lvl=3&amp;lin=f&amp;keep=1&amp;srchmode=1&amp;unlock","133901")</f>
        <v>133901</v>
      </c>
      <c r="F2748" t="s">
        <v>760</v>
      </c>
      <c r="G2748" t="str">
        <f>HYPERLINK("http://www.ncbi.nlm.nih.gov/Taxonomy/Browser/wwwtax.cgi?mode=Info&amp;id=133901&amp;lvl=3&amp;lin=f&amp;keep=1&amp;srchmode=1&amp;unlock","Frankliniella occidentalis")</f>
        <v>Frankliniella occidentalis</v>
      </c>
      <c r="H2748" t="s">
        <v>1031</v>
      </c>
      <c r="I2748" t="str">
        <f>HYPERLINK("http://www.ncbi.nlm.nih.gov/protein/XP_052124088.1","ryanodine receptor")</f>
        <v>ryanodine receptor</v>
      </c>
      <c r="J2748">
        <v>2492.61</v>
      </c>
      <c r="K2748" t="s">
        <v>22</v>
      </c>
      <c r="L2748">
        <v>1210</v>
      </c>
      <c r="M2748">
        <v>7.13</v>
      </c>
      <c r="N2748">
        <v>24.29</v>
      </c>
      <c r="O2748" t="s">
        <v>19</v>
      </c>
      <c r="P2748" t="s">
        <v>1267</v>
      </c>
      <c r="Q2748" t="s">
        <v>19</v>
      </c>
      <c r="R2748" t="str">
        <f>HYPERLINK("https://cfpub.epa.gov/ecotox/explore.cfm?ncbi=133901","Explore in ECOTOX")</f>
        <v>Explore in ECOTOX</v>
      </c>
    </row>
    <row r="2749" spans="1:18" x14ac:dyDescent="0.45">
      <c r="A2749" t="s">
        <v>1266</v>
      </c>
      <c r="B2749">
        <v>8</v>
      </c>
      <c r="C2749" t="str">
        <f>HYPERLINK("http://www.ncbi.nlm.nih.gov/protein/XP_043641237.1","XP_043641237.1")</f>
        <v>XP_043641237.1</v>
      </c>
      <c r="D2749">
        <v>23651</v>
      </c>
      <c r="E2749" t="str">
        <f>HYPERLINK("http://www.ncbi.nlm.nih.gov/Taxonomy/Browser/wwwtax.cgi?mode=Info&amp;id=7243&amp;lvl=3&amp;lin=f&amp;keep=1&amp;srchmode=1&amp;unlock","7243")</f>
        <v>7243</v>
      </c>
      <c r="F2749" t="s">
        <v>760</v>
      </c>
      <c r="G2749" t="str">
        <f>HYPERLINK("http://www.ncbi.nlm.nih.gov/Taxonomy/Browser/wwwtax.cgi?mode=Info&amp;id=7243&amp;lvl=3&amp;lin=f&amp;keep=1&amp;srchmode=1&amp;unlock","Drosophila teissieri")</f>
        <v>Drosophila teissieri</v>
      </c>
      <c r="H2749" t="s">
        <v>953</v>
      </c>
      <c r="I2749" t="str">
        <f>HYPERLINK("http://www.ncbi.nlm.nih.gov/protein/XP_043641237.1","ryanodine receptor isoform X13")</f>
        <v>ryanodine receptor isoform X13</v>
      </c>
      <c r="J2749">
        <v>2492.23</v>
      </c>
      <c r="K2749" t="s">
        <v>19</v>
      </c>
      <c r="L2749">
        <v>1210</v>
      </c>
      <c r="M2749">
        <v>7.13</v>
      </c>
      <c r="N2749">
        <v>24.28</v>
      </c>
      <c r="O2749" t="s">
        <v>19</v>
      </c>
      <c r="P2749" t="s">
        <v>1267</v>
      </c>
      <c r="Q2749" t="s">
        <v>19</v>
      </c>
      <c r="R2749" t="str">
        <f>HYPERLINK("https://cfpub.epa.gov/ecotox/explore.cfm?ncbi=7243","Explore in ECOTOX")</f>
        <v>Explore in ECOTOX</v>
      </c>
    </row>
    <row r="2750" spans="1:18" x14ac:dyDescent="0.45">
      <c r="A2750" t="s">
        <v>1266</v>
      </c>
      <c r="B2750">
        <v>8</v>
      </c>
      <c r="C2750" t="str">
        <f>HYPERLINK("http://www.ncbi.nlm.nih.gov/protein/AKM95170.1","AKM95170.1")</f>
        <v>AKM95170.1</v>
      </c>
      <c r="D2750">
        <v>11</v>
      </c>
      <c r="E2750" t="str">
        <f>HYPERLINK("http://www.ncbi.nlm.nih.gov/Taxonomy/Browser/wwwtax.cgi?mode=Info&amp;id=298404&amp;lvl=3&amp;lin=f&amp;keep=1&amp;srchmode=1&amp;unlock","298404")</f>
        <v>298404</v>
      </c>
      <c r="F2750" t="s">
        <v>760</v>
      </c>
      <c r="G2750" t="str">
        <f>HYPERLINK("http://www.ncbi.nlm.nih.gov/Taxonomy/Browser/wwwtax.cgi?mode=Info&amp;id=298404&amp;lvl=3&amp;lin=f&amp;keep=1&amp;srchmode=1&amp;unlock","Dialeurodes citri")</f>
        <v>Dialeurodes citri</v>
      </c>
      <c r="H2750" t="s">
        <v>944</v>
      </c>
      <c r="I2750" t="str">
        <f>HYPERLINK("http://www.ncbi.nlm.nih.gov/protein/AKM95170.1","ryanodine receptor")</f>
        <v>ryanodine receptor</v>
      </c>
      <c r="J2750">
        <v>2491.84</v>
      </c>
      <c r="K2750" t="s">
        <v>22</v>
      </c>
      <c r="L2750">
        <v>1210</v>
      </c>
      <c r="M2750">
        <v>7.13</v>
      </c>
      <c r="N2750">
        <v>24.28</v>
      </c>
      <c r="O2750" t="s">
        <v>19</v>
      </c>
      <c r="P2750" t="s">
        <v>1267</v>
      </c>
      <c r="Q2750" t="s">
        <v>19</v>
      </c>
      <c r="R2750" t="str">
        <f>HYPERLINK("https://cfpub.epa.gov/ecotox/explore.cfm?ncbi=298404","Explore in ECOTOX")</f>
        <v>Explore in ECOTOX</v>
      </c>
    </row>
    <row r="2751" spans="1:18" x14ac:dyDescent="0.45">
      <c r="A2751" t="s">
        <v>1266</v>
      </c>
      <c r="B2751">
        <v>8</v>
      </c>
      <c r="C2751" t="str">
        <f>HYPERLINK("http://www.ncbi.nlm.nih.gov/protein/XP_039226628.1","XP_039226628.1")</f>
        <v>XP_039226628.1</v>
      </c>
      <c r="D2751">
        <v>50578</v>
      </c>
      <c r="E2751" t="str">
        <f>HYPERLINK("http://www.ncbi.nlm.nih.gov/Taxonomy/Browser/wwwtax.cgi?mode=Info&amp;id=7245&amp;lvl=3&amp;lin=f&amp;keep=1&amp;srchmode=1&amp;unlock","7245")</f>
        <v>7245</v>
      </c>
      <c r="F2751" t="s">
        <v>760</v>
      </c>
      <c r="G2751" t="str">
        <f>HYPERLINK("http://www.ncbi.nlm.nih.gov/Taxonomy/Browser/wwwtax.cgi?mode=Info&amp;id=7245&amp;lvl=3&amp;lin=f&amp;keep=1&amp;srchmode=1&amp;unlock","Drosophila yakuba")</f>
        <v>Drosophila yakuba</v>
      </c>
      <c r="H2751" t="s">
        <v>953</v>
      </c>
      <c r="I2751" t="str">
        <f>HYPERLINK("http://www.ncbi.nlm.nih.gov/protein/XP_039226628.1","ryanodine receptor isoform X13")</f>
        <v>ryanodine receptor isoform X13</v>
      </c>
      <c r="J2751">
        <v>2491.84</v>
      </c>
      <c r="K2751" t="s">
        <v>19</v>
      </c>
      <c r="L2751">
        <v>1210</v>
      </c>
      <c r="M2751">
        <v>7.13</v>
      </c>
      <c r="N2751">
        <v>24.28</v>
      </c>
      <c r="O2751" t="s">
        <v>19</v>
      </c>
      <c r="P2751" t="s">
        <v>1267</v>
      </c>
      <c r="Q2751" t="s">
        <v>19</v>
      </c>
      <c r="R2751" t="str">
        <f>HYPERLINK("https://cfpub.epa.gov/ecotox/explore.cfm?ncbi=7245","Explore in ECOTOX")</f>
        <v>Explore in ECOTOX</v>
      </c>
    </row>
    <row r="2752" spans="1:18" x14ac:dyDescent="0.45">
      <c r="A2752" t="s">
        <v>1266</v>
      </c>
      <c r="B2752">
        <v>8</v>
      </c>
      <c r="C2752" t="str">
        <f>HYPERLINK("http://www.ncbi.nlm.nih.gov/protein/KAG6803327.1","KAG6803327.1")</f>
        <v>KAG6803327.1</v>
      </c>
      <c r="D2752">
        <v>10383</v>
      </c>
      <c r="E2752" t="str">
        <f>HYPERLINK("http://www.ncbi.nlm.nih.gov/Taxonomy/Browser/wwwtax.cgi?mode=Info&amp;id=200407&amp;lvl=3&amp;lin=f&amp;keep=1&amp;srchmode=1&amp;unlock","200407")</f>
        <v>200407</v>
      </c>
      <c r="F2752" t="s">
        <v>760</v>
      </c>
      <c r="G2752" t="str">
        <f>HYPERLINK("http://www.ncbi.nlm.nih.gov/Taxonomy/Browser/wwwtax.cgi?mode=Info&amp;id=200407&amp;lvl=3&amp;lin=f&amp;keep=1&amp;srchmode=1&amp;unlock","Apis mellifera caucasica")</f>
        <v>Apis mellifera caucasica</v>
      </c>
      <c r="H2752" t="s">
        <v>1086</v>
      </c>
      <c r="I2752" t="str">
        <f>HYPERLINK("http://www.ncbi.nlm.nih.gov/protein/KAG6803327.1","ryanodine receptor isoform X1")</f>
        <v>ryanodine receptor isoform X1</v>
      </c>
      <c r="J2752">
        <v>2491.46</v>
      </c>
      <c r="K2752" t="s">
        <v>19</v>
      </c>
      <c r="L2752">
        <v>1210</v>
      </c>
      <c r="M2752">
        <v>7.13</v>
      </c>
      <c r="N2752">
        <v>24.28</v>
      </c>
      <c r="O2752" t="s">
        <v>19</v>
      </c>
      <c r="P2752" t="s">
        <v>1267</v>
      </c>
      <c r="Q2752" t="s">
        <v>19</v>
      </c>
      <c r="R2752" t="str">
        <f>HYPERLINK("https://cfpub.epa.gov/ecotox/explore.cfm?ncbi=200407","Explore in ECOTOX")</f>
        <v>Explore in ECOTOX</v>
      </c>
    </row>
    <row r="2753" spans="1:18" x14ac:dyDescent="0.45">
      <c r="A2753" t="s">
        <v>1266</v>
      </c>
      <c r="B2753">
        <v>8</v>
      </c>
      <c r="C2753" t="str">
        <f>HYPERLINK("http://www.ncbi.nlm.nih.gov/protein/NP_001246209.1","NP_001246209.1")</f>
        <v>NP_001246209.1</v>
      </c>
      <c r="D2753">
        <v>113791</v>
      </c>
      <c r="E2753" t="str">
        <f>HYPERLINK("http://www.ncbi.nlm.nih.gov/Taxonomy/Browser/wwwtax.cgi?mode=Info&amp;id=7227&amp;lvl=3&amp;lin=f&amp;keep=1&amp;srchmode=1&amp;unlock","7227")</f>
        <v>7227</v>
      </c>
      <c r="F2753" t="s">
        <v>760</v>
      </c>
      <c r="G2753" t="str">
        <f>HYPERLINK("http://www.ncbi.nlm.nih.gov/Taxonomy/Browser/wwwtax.cgi?mode=Info&amp;id=7227&amp;lvl=3&amp;lin=f&amp;keep=1&amp;srchmode=1&amp;unlock","Drosophila melanogaster")</f>
        <v>Drosophila melanogaster</v>
      </c>
      <c r="H2753" t="s">
        <v>976</v>
      </c>
      <c r="I2753" t="str">
        <f>HYPERLINK("http://www.ncbi.nlm.nih.gov/protein/NP_001246209.1","ryanodine receptor, isoform G")</f>
        <v>ryanodine receptor, isoform G</v>
      </c>
      <c r="J2753">
        <v>2491.0700000000002</v>
      </c>
      <c r="K2753" t="s">
        <v>19</v>
      </c>
      <c r="L2753">
        <v>1210</v>
      </c>
      <c r="M2753">
        <v>7.13</v>
      </c>
      <c r="N2753">
        <v>24.27</v>
      </c>
      <c r="O2753" t="s">
        <v>19</v>
      </c>
      <c r="P2753" t="s">
        <v>1267</v>
      </c>
      <c r="Q2753" t="s">
        <v>19</v>
      </c>
      <c r="R2753" t="str">
        <f>HYPERLINK("https://cfpub.epa.gov/ecotox/explore.cfm?ncbi=7227","Explore in ECOTOX")</f>
        <v>Explore in ECOTOX</v>
      </c>
    </row>
    <row r="2754" spans="1:18" x14ac:dyDescent="0.45">
      <c r="A2754" t="s">
        <v>1266</v>
      </c>
      <c r="B2754">
        <v>8</v>
      </c>
      <c r="C2754" t="str">
        <f>HYPERLINK("http://www.ncbi.nlm.nih.gov/protein/KQS70842.1","KQS70842.1")</f>
        <v>KQS70842.1</v>
      </c>
      <c r="D2754">
        <v>42776</v>
      </c>
      <c r="E2754" t="str">
        <f>HYPERLINK("http://www.ncbi.nlm.nih.gov/Taxonomy/Browser/wwwtax.cgi?mode=Info&amp;id=7220&amp;lvl=3&amp;lin=f&amp;keep=1&amp;srchmode=1&amp;unlock","7220")</f>
        <v>7220</v>
      </c>
      <c r="F2754" t="s">
        <v>760</v>
      </c>
      <c r="G2754" t="str">
        <f>HYPERLINK("http://www.ncbi.nlm.nih.gov/Taxonomy/Browser/wwwtax.cgi?mode=Info&amp;id=7220&amp;lvl=3&amp;lin=f&amp;keep=1&amp;srchmode=1&amp;unlock","Drosophila erecta")</f>
        <v>Drosophila erecta</v>
      </c>
      <c r="H2754" t="s">
        <v>953</v>
      </c>
      <c r="I2754" t="str">
        <f>HYPERLINK("http://www.ncbi.nlm.nih.gov/protein/KQS70842.1","uncharacterized protein Dere_GG23389, isoform J")</f>
        <v>uncharacterized protein Dere_GG23389, isoform J</v>
      </c>
      <c r="J2754">
        <v>2490.69</v>
      </c>
      <c r="K2754" t="s">
        <v>19</v>
      </c>
      <c r="L2754">
        <v>1210</v>
      </c>
      <c r="M2754">
        <v>7.13</v>
      </c>
      <c r="N2754">
        <v>24.27</v>
      </c>
      <c r="O2754" t="s">
        <v>19</v>
      </c>
      <c r="P2754" t="s">
        <v>1267</v>
      </c>
      <c r="Q2754" t="s">
        <v>19</v>
      </c>
      <c r="R2754" t="str">
        <f>HYPERLINK("https://cfpub.epa.gov/ecotox/explore.cfm?ncbi=7220","Explore in ECOTOX")</f>
        <v>Explore in ECOTOX</v>
      </c>
    </row>
    <row r="2755" spans="1:18" x14ac:dyDescent="0.45">
      <c r="A2755" t="s">
        <v>1266</v>
      </c>
      <c r="B2755">
        <v>8</v>
      </c>
      <c r="C2755" t="str">
        <f>HYPERLINK("http://www.ncbi.nlm.nih.gov/protein/KAG9435291.1","KAG9435291.1")</f>
        <v>KAG9435291.1</v>
      </c>
      <c r="D2755">
        <v>10750</v>
      </c>
      <c r="E2755" t="str">
        <f>HYPERLINK("http://www.ncbi.nlm.nih.gov/Taxonomy/Browser/wwwtax.cgi?mode=Info&amp;id=88217&amp;lvl=3&amp;lin=f&amp;keep=1&amp;srchmode=1&amp;unlock","88217")</f>
        <v>88217</v>
      </c>
      <c r="F2755" t="s">
        <v>760</v>
      </c>
      <c r="G2755" t="str">
        <f>HYPERLINK("http://www.ncbi.nlm.nih.gov/Taxonomy/Browser/wwwtax.cgi?mode=Info&amp;id=88217&amp;lvl=3&amp;lin=f&amp;keep=1&amp;srchmode=1&amp;unlock","Apis mellifera carnica")</f>
        <v>Apis mellifera carnica</v>
      </c>
      <c r="H2755" t="s">
        <v>1087</v>
      </c>
      <c r="I2755" t="str">
        <f>HYPERLINK("http://www.ncbi.nlm.nih.gov/protein/KAG9435291.1","ryanodine receptor isoform X1")</f>
        <v>ryanodine receptor isoform X1</v>
      </c>
      <c r="J2755">
        <v>2490.69</v>
      </c>
      <c r="K2755" t="s">
        <v>19</v>
      </c>
      <c r="L2755">
        <v>1210</v>
      </c>
      <c r="M2755">
        <v>7.13</v>
      </c>
      <c r="N2755">
        <v>24.27</v>
      </c>
      <c r="O2755" t="s">
        <v>19</v>
      </c>
      <c r="P2755" t="s">
        <v>1267</v>
      </c>
      <c r="Q2755" t="s">
        <v>19</v>
      </c>
      <c r="R2755" t="str">
        <f>HYPERLINK("https://cfpub.epa.gov/ecotox/explore.cfm?ncbi=88217","Explore in ECOTOX")</f>
        <v>Explore in ECOTOX</v>
      </c>
    </row>
    <row r="2756" spans="1:18" x14ac:dyDescent="0.45">
      <c r="A2756" t="s">
        <v>1266</v>
      </c>
      <c r="B2756">
        <v>8</v>
      </c>
      <c r="C2756" t="str">
        <f>HYPERLINK("http://www.ncbi.nlm.nih.gov/protein/XP_033156590.1","XP_033156590.1")</f>
        <v>XP_033156590.1</v>
      </c>
      <c r="D2756">
        <v>24094</v>
      </c>
      <c r="E2756" t="str">
        <f>HYPERLINK("http://www.ncbi.nlm.nih.gov/Taxonomy/Browser/wwwtax.cgi?mode=Info&amp;id=7226&amp;lvl=3&amp;lin=f&amp;keep=1&amp;srchmode=1&amp;unlock","7226")</f>
        <v>7226</v>
      </c>
      <c r="F2756" t="s">
        <v>760</v>
      </c>
      <c r="G2756" t="str">
        <f>HYPERLINK("http://www.ncbi.nlm.nih.gov/Taxonomy/Browser/wwwtax.cgi?mode=Info&amp;id=7226&amp;lvl=3&amp;lin=f&amp;keep=1&amp;srchmode=1&amp;unlock","Drosophila mauritiana")</f>
        <v>Drosophila mauritiana</v>
      </c>
      <c r="H2756" t="s">
        <v>953</v>
      </c>
      <c r="I2756" t="str">
        <f>HYPERLINK("http://www.ncbi.nlm.nih.gov/protein/XP_033156590.1","ryanodine receptor isoform X14")</f>
        <v>ryanodine receptor isoform X14</v>
      </c>
      <c r="J2756">
        <v>2490.3000000000002</v>
      </c>
      <c r="K2756" t="s">
        <v>19</v>
      </c>
      <c r="L2756">
        <v>1210</v>
      </c>
      <c r="M2756">
        <v>7.13</v>
      </c>
      <c r="N2756">
        <v>24.27</v>
      </c>
      <c r="O2756" t="s">
        <v>19</v>
      </c>
      <c r="P2756" t="s">
        <v>1267</v>
      </c>
      <c r="Q2756" t="s">
        <v>19</v>
      </c>
      <c r="R2756" t="str">
        <f>HYPERLINK("https://cfpub.epa.gov/ecotox/explore.cfm?ncbi=7226","Explore in ECOTOX")</f>
        <v>Explore in ECOTOX</v>
      </c>
    </row>
    <row r="2757" spans="1:18" x14ac:dyDescent="0.45">
      <c r="A2757" t="s">
        <v>1266</v>
      </c>
      <c r="B2757">
        <v>8</v>
      </c>
      <c r="C2757" t="str">
        <f>HYPERLINK("http://www.ncbi.nlm.nih.gov/protein/XP_039480412.1","XP_039480412.1")</f>
        <v>XP_039480412.1</v>
      </c>
      <c r="D2757">
        <v>25342</v>
      </c>
      <c r="E2757" t="str">
        <f>HYPERLINK("http://www.ncbi.nlm.nih.gov/Taxonomy/Browser/wwwtax.cgi?mode=Info&amp;id=129105&amp;lvl=3&amp;lin=f&amp;keep=1&amp;srchmode=1&amp;unlock","129105")</f>
        <v>129105</v>
      </c>
      <c r="F2757" t="s">
        <v>760</v>
      </c>
      <c r="G2757" t="str">
        <f>HYPERLINK("http://www.ncbi.nlm.nih.gov/Taxonomy/Browser/wwwtax.cgi?mode=Info&amp;id=129105&amp;lvl=3&amp;lin=f&amp;keep=1&amp;srchmode=1&amp;unlock","Drosophila santomea")</f>
        <v>Drosophila santomea</v>
      </c>
      <c r="H2757" t="s">
        <v>953</v>
      </c>
      <c r="I2757" t="str">
        <f>HYPERLINK("http://www.ncbi.nlm.nih.gov/protein/XP_039480412.1","ryanodine receptor isoform X4")</f>
        <v>ryanodine receptor isoform X4</v>
      </c>
      <c r="J2757">
        <v>2490.3000000000002</v>
      </c>
      <c r="K2757" t="s">
        <v>19</v>
      </c>
      <c r="L2757">
        <v>1210</v>
      </c>
      <c r="M2757">
        <v>7.13</v>
      </c>
      <c r="N2757">
        <v>24.27</v>
      </c>
      <c r="O2757" t="s">
        <v>19</v>
      </c>
      <c r="P2757" t="s">
        <v>1267</v>
      </c>
      <c r="Q2757" t="s">
        <v>19</v>
      </c>
      <c r="R2757" t="str">
        <f>HYPERLINK("https://cfpub.epa.gov/ecotox/explore.cfm?ncbi=129105","Explore in ECOTOX")</f>
        <v>Explore in ECOTOX</v>
      </c>
    </row>
    <row r="2758" spans="1:18" x14ac:dyDescent="0.45">
      <c r="A2758" t="s">
        <v>1266</v>
      </c>
      <c r="B2758">
        <v>8</v>
      </c>
      <c r="C2758" t="str">
        <f>HYPERLINK("http://www.ncbi.nlm.nih.gov/protein/KFD64964.1","KFD64964.1")</f>
        <v>KFD64964.1</v>
      </c>
      <c r="D2758">
        <v>38524</v>
      </c>
      <c r="E2758" t="str">
        <f>HYPERLINK("http://www.ncbi.nlm.nih.gov/Taxonomy/Browser/wwwtax.cgi?mode=Info&amp;id=68888&amp;lvl=3&amp;lin=f&amp;keep=1&amp;srchmode=1&amp;unlock","68888")</f>
        <v>68888</v>
      </c>
      <c r="F2758" t="s">
        <v>1060</v>
      </c>
      <c r="G2758" t="str">
        <f>HYPERLINK("http://www.ncbi.nlm.nih.gov/Taxonomy/Browser/wwwtax.cgi?mode=Info&amp;id=68888&amp;lvl=3&amp;lin=f&amp;keep=1&amp;srchmode=1&amp;unlock","Trichuris suis")</f>
        <v>Trichuris suis</v>
      </c>
      <c r="H2758" t="s">
        <v>1107</v>
      </c>
      <c r="I2758" t="str">
        <f>HYPERLINK("http://www.ncbi.nlm.nih.gov/protein/KFD64964.1","hypothetical protein M514_11549")</f>
        <v>hypothetical protein M514_11549</v>
      </c>
      <c r="J2758">
        <v>2490.3000000000002</v>
      </c>
      <c r="K2758" t="s">
        <v>22</v>
      </c>
      <c r="L2758">
        <v>1210</v>
      </c>
      <c r="M2758">
        <v>7.13</v>
      </c>
      <c r="N2758">
        <v>24.27</v>
      </c>
      <c r="O2758" t="s">
        <v>19</v>
      </c>
      <c r="P2758" t="s">
        <v>1267</v>
      </c>
      <c r="Q2758" t="s">
        <v>19</v>
      </c>
      <c r="R2758" t="str">
        <f>HYPERLINK("https://cfpub.epa.gov/ecotox/explore.cfm?ncbi=68888","Explore in ECOTOX")</f>
        <v>Explore in ECOTOX</v>
      </c>
    </row>
    <row r="2759" spans="1:18" x14ac:dyDescent="0.45">
      <c r="A2759" t="s">
        <v>1266</v>
      </c>
      <c r="B2759">
        <v>8</v>
      </c>
      <c r="C2759" t="str">
        <f>HYPERLINK("http://www.ncbi.nlm.nih.gov/protein/XP_039148616.1","XP_039148616.1")</f>
        <v>XP_039148616.1</v>
      </c>
      <c r="D2759">
        <v>73585</v>
      </c>
      <c r="E2759" t="str">
        <f>HYPERLINK("http://www.ncbi.nlm.nih.gov/Taxonomy/Browser/wwwtax.cgi?mode=Info&amp;id=7240&amp;lvl=3&amp;lin=f&amp;keep=1&amp;srchmode=1&amp;unlock","7240")</f>
        <v>7240</v>
      </c>
      <c r="F2759" t="s">
        <v>760</v>
      </c>
      <c r="G2759" t="str">
        <f>HYPERLINK("http://www.ncbi.nlm.nih.gov/Taxonomy/Browser/wwwtax.cgi?mode=Info&amp;id=7240&amp;lvl=3&amp;lin=f&amp;keep=1&amp;srchmode=1&amp;unlock","Drosophila simulans")</f>
        <v>Drosophila simulans</v>
      </c>
      <c r="H2759" t="s">
        <v>953</v>
      </c>
      <c r="I2759" t="str">
        <f>HYPERLINK("http://www.ncbi.nlm.nih.gov/protein/XP_039148616.1","ryanodine receptor isoform X12")</f>
        <v>ryanodine receptor isoform X12</v>
      </c>
      <c r="J2759">
        <v>2490.3000000000002</v>
      </c>
      <c r="K2759" t="s">
        <v>19</v>
      </c>
      <c r="L2759">
        <v>1210</v>
      </c>
      <c r="M2759">
        <v>7.13</v>
      </c>
      <c r="N2759">
        <v>24.27</v>
      </c>
      <c r="O2759" t="s">
        <v>19</v>
      </c>
      <c r="P2759" t="s">
        <v>1267</v>
      </c>
      <c r="Q2759" t="s">
        <v>19</v>
      </c>
      <c r="R2759" t="str">
        <f>HYPERLINK("https://cfpub.epa.gov/ecotox/explore.cfm?ncbi=7240","Explore in ECOTOX")</f>
        <v>Explore in ECOTOX</v>
      </c>
    </row>
    <row r="2760" spans="1:18" x14ac:dyDescent="0.45">
      <c r="A2760" t="s">
        <v>1266</v>
      </c>
      <c r="B2760">
        <v>8</v>
      </c>
      <c r="C2760" t="str">
        <f>HYPERLINK("http://www.ncbi.nlm.nih.gov/protein/XP_041675789.1","XP_041675789.1")</f>
        <v>XP_041675789.1</v>
      </c>
      <c r="D2760">
        <v>22566</v>
      </c>
      <c r="E2760" t="str">
        <f>HYPERLINK("http://www.ncbi.nlm.nih.gov/Taxonomy/Browser/wwwtax.cgi?mode=Info&amp;id=29029&amp;lvl=3&amp;lin=f&amp;keep=1&amp;srchmode=1&amp;unlock","29029")</f>
        <v>29029</v>
      </c>
      <c r="F2760" t="s">
        <v>760</v>
      </c>
      <c r="G2760" t="str">
        <f>HYPERLINK("http://www.ncbi.nlm.nih.gov/Taxonomy/Browser/wwwtax.cgi?mode=Info&amp;id=29029&amp;lvl=3&amp;lin=f&amp;keep=1&amp;srchmode=1&amp;unlock","Drosophila eugracilis")</f>
        <v>Drosophila eugracilis</v>
      </c>
      <c r="H2760" t="s">
        <v>953</v>
      </c>
      <c r="I2760" t="str">
        <f>HYPERLINK("http://www.ncbi.nlm.nih.gov/protein/XP_041675789.1","ryanodine receptor isoform X18")</f>
        <v>ryanodine receptor isoform X18</v>
      </c>
      <c r="J2760">
        <v>2489.15</v>
      </c>
      <c r="K2760" t="s">
        <v>19</v>
      </c>
      <c r="L2760">
        <v>1210</v>
      </c>
      <c r="M2760">
        <v>7.13</v>
      </c>
      <c r="N2760">
        <v>24.25</v>
      </c>
      <c r="O2760" t="s">
        <v>19</v>
      </c>
      <c r="P2760" t="s">
        <v>1267</v>
      </c>
      <c r="Q2760" t="s">
        <v>19</v>
      </c>
      <c r="R2760" t="str">
        <f>HYPERLINK("https://cfpub.epa.gov/ecotox/explore.cfm?ncbi=29029","Explore in ECOTOX")</f>
        <v>Explore in ECOTOX</v>
      </c>
    </row>
    <row r="2761" spans="1:18" x14ac:dyDescent="0.45">
      <c r="A2761" t="s">
        <v>1266</v>
      </c>
      <c r="B2761">
        <v>8</v>
      </c>
      <c r="C2761" t="str">
        <f>HYPERLINK("http://www.ncbi.nlm.nih.gov/protein/XP_020814890.1","XP_020814890.1")</f>
        <v>XP_020814890.1</v>
      </c>
      <c r="D2761">
        <v>32742</v>
      </c>
      <c r="E2761" t="str">
        <f>HYPERLINK("http://www.ncbi.nlm.nih.gov/Taxonomy/Browser/wwwtax.cgi?mode=Info&amp;id=7274&amp;lvl=3&amp;lin=f&amp;keep=1&amp;srchmode=1&amp;unlock","7274")</f>
        <v>7274</v>
      </c>
      <c r="F2761" t="s">
        <v>760</v>
      </c>
      <c r="G2761" t="str">
        <f>HYPERLINK("http://www.ncbi.nlm.nih.gov/Taxonomy/Browser/wwwtax.cgi?mode=Info&amp;id=7274&amp;lvl=3&amp;lin=f&amp;keep=1&amp;srchmode=1&amp;unlock","Drosophila serrata")</f>
        <v>Drosophila serrata</v>
      </c>
      <c r="H2761" t="s">
        <v>953</v>
      </c>
      <c r="I2761" t="str">
        <f>HYPERLINK("http://www.ncbi.nlm.nih.gov/protein/XP_020814890.1","ryanodine receptor isoform X7")</f>
        <v>ryanodine receptor isoform X7</v>
      </c>
      <c r="J2761">
        <v>2489.15</v>
      </c>
      <c r="K2761" t="s">
        <v>19</v>
      </c>
      <c r="L2761">
        <v>1210</v>
      </c>
      <c r="M2761">
        <v>7.13</v>
      </c>
      <c r="N2761">
        <v>24.25</v>
      </c>
      <c r="O2761" t="s">
        <v>19</v>
      </c>
      <c r="P2761" t="s">
        <v>1267</v>
      </c>
      <c r="Q2761" t="s">
        <v>19</v>
      </c>
      <c r="R2761" t="str">
        <f>HYPERLINK("https://cfpub.epa.gov/ecotox/explore.cfm?ncbi=7274","Explore in ECOTOX")</f>
        <v>Explore in ECOTOX</v>
      </c>
    </row>
    <row r="2762" spans="1:18" x14ac:dyDescent="0.45">
      <c r="A2762" t="s">
        <v>1266</v>
      </c>
      <c r="B2762">
        <v>8</v>
      </c>
      <c r="C2762" t="str">
        <f>HYPERLINK("http://www.ncbi.nlm.nih.gov/protein/KAH8277848.1","KAH8277848.1")</f>
        <v>KAH8277848.1</v>
      </c>
      <c r="D2762">
        <v>12676</v>
      </c>
      <c r="E2762" t="str">
        <f>HYPERLINK("http://www.ncbi.nlm.nih.gov/Taxonomy/Browser/wwwtax.cgi?mode=Info&amp;id=2848634&amp;lvl=3&amp;lin=f&amp;keep=1&amp;srchmode=1&amp;unlock","2848634")</f>
        <v>2848634</v>
      </c>
      <c r="F2762" t="s">
        <v>760</v>
      </c>
      <c r="G2762" t="str">
        <f>HYPERLINK("http://www.ncbi.nlm.nih.gov/Taxonomy/Browser/wwwtax.cgi?mode=Info&amp;id=2848634&amp;lvl=3&amp;lin=f&amp;keep=1&amp;srchmode=1&amp;unlock","Drosophila ironensis")</f>
        <v>Drosophila ironensis</v>
      </c>
      <c r="H2762" t="s">
        <v>953</v>
      </c>
      <c r="I2762" t="str">
        <f>HYPERLINK("http://www.ncbi.nlm.nih.gov/protein/KAH8277848.1","hypothetical protein KR018_008532, partial")</f>
        <v>hypothetical protein KR018_008532, partial</v>
      </c>
      <c r="J2762">
        <v>2488.7600000000002</v>
      </c>
      <c r="K2762" t="s">
        <v>19</v>
      </c>
      <c r="L2762">
        <v>1210</v>
      </c>
      <c r="M2762">
        <v>7.13</v>
      </c>
      <c r="N2762">
        <v>24.25</v>
      </c>
      <c r="O2762" t="s">
        <v>19</v>
      </c>
      <c r="P2762" t="s">
        <v>1267</v>
      </c>
      <c r="Q2762" t="s">
        <v>19</v>
      </c>
      <c r="R2762" t="str">
        <f>HYPERLINK("https://cfpub.epa.gov/ecotox/explore.cfm?ncbi=2848634","Explore in ECOTOX")</f>
        <v>Explore in ECOTOX</v>
      </c>
    </row>
    <row r="2763" spans="1:18" x14ac:dyDescent="0.45">
      <c r="A2763" t="s">
        <v>1266</v>
      </c>
      <c r="B2763">
        <v>8</v>
      </c>
      <c r="C2763" t="str">
        <f>HYPERLINK("http://www.ncbi.nlm.nih.gov/protein/XP_016957230.1","XP_016957230.1")</f>
        <v>XP_016957230.1</v>
      </c>
      <c r="D2763">
        <v>26224</v>
      </c>
      <c r="E2763" t="str">
        <f>HYPERLINK("http://www.ncbi.nlm.nih.gov/Taxonomy/Browser/wwwtax.cgi?mode=Info&amp;id=125945&amp;lvl=3&amp;lin=f&amp;keep=1&amp;srchmode=1&amp;unlock","125945")</f>
        <v>125945</v>
      </c>
      <c r="F2763" t="s">
        <v>760</v>
      </c>
      <c r="G2763" t="str">
        <f>HYPERLINK("http://www.ncbi.nlm.nih.gov/Taxonomy/Browser/wwwtax.cgi?mode=Info&amp;id=125945&amp;lvl=3&amp;lin=f&amp;keep=1&amp;srchmode=1&amp;unlock","Drosophila biarmipes")</f>
        <v>Drosophila biarmipes</v>
      </c>
      <c r="H2763" t="s">
        <v>953</v>
      </c>
      <c r="I2763" t="str">
        <f>HYPERLINK("http://www.ncbi.nlm.nih.gov/protein/XP_016957230.1","ryanodine receptor isoform X13")</f>
        <v>ryanodine receptor isoform X13</v>
      </c>
      <c r="J2763">
        <v>2488.7600000000002</v>
      </c>
      <c r="K2763" t="s">
        <v>19</v>
      </c>
      <c r="L2763">
        <v>1210</v>
      </c>
      <c r="M2763">
        <v>7.13</v>
      </c>
      <c r="N2763">
        <v>24.25</v>
      </c>
      <c r="O2763" t="s">
        <v>19</v>
      </c>
      <c r="P2763" t="s">
        <v>1267</v>
      </c>
      <c r="Q2763" t="s">
        <v>19</v>
      </c>
      <c r="R2763" t="str">
        <f>HYPERLINK("https://cfpub.epa.gov/ecotox/explore.cfm?ncbi=125945","Explore in ECOTOX")</f>
        <v>Explore in ECOTOX</v>
      </c>
    </row>
    <row r="2764" spans="1:18" x14ac:dyDescent="0.45">
      <c r="A2764" t="s">
        <v>1266</v>
      </c>
      <c r="B2764">
        <v>8</v>
      </c>
      <c r="C2764" t="str">
        <f>HYPERLINK("http://www.ncbi.nlm.nih.gov/protein/KAJ1521535.1","KAJ1521535.1")</f>
        <v>KAJ1521535.1</v>
      </c>
      <c r="D2764">
        <v>12925</v>
      </c>
      <c r="E2764" t="str">
        <f>HYPERLINK("http://www.ncbi.nlm.nih.gov/Taxonomy/Browser/wwwtax.cgi?mode=Info&amp;id=439358&amp;lvl=3&amp;lin=f&amp;keep=1&amp;srchmode=1&amp;unlock","439358")</f>
        <v>439358</v>
      </c>
      <c r="F2764" t="s">
        <v>760</v>
      </c>
      <c r="G2764" t="str">
        <f>HYPERLINK("http://www.ncbi.nlm.nih.gov/Taxonomy/Browser/wwwtax.cgi?mode=Info&amp;id=439358&amp;lvl=3&amp;lin=f&amp;keep=1&amp;srchmode=1&amp;unlock","Megalurothrips usitatus")</f>
        <v>Megalurothrips usitatus</v>
      </c>
      <c r="H2764" t="s">
        <v>1054</v>
      </c>
      <c r="I2764" t="str">
        <f>HYPERLINK("http://www.ncbi.nlm.nih.gov/protein/KAJ1521535.1","hypothetical protein ONE63_003195")</f>
        <v>hypothetical protein ONE63_003195</v>
      </c>
      <c r="J2764">
        <v>2488.38</v>
      </c>
      <c r="K2764" t="s">
        <v>22</v>
      </c>
      <c r="L2764">
        <v>1210</v>
      </c>
      <c r="M2764">
        <v>7.13</v>
      </c>
      <c r="N2764">
        <v>24.25</v>
      </c>
      <c r="O2764" t="s">
        <v>19</v>
      </c>
      <c r="P2764" t="s">
        <v>1267</v>
      </c>
      <c r="Q2764" t="s">
        <v>19</v>
      </c>
      <c r="R2764" t="str">
        <f>HYPERLINK("https://cfpub.epa.gov/ecotox/explore.cfm?ncbi=439358","Explore in ECOTOX")</f>
        <v>Explore in ECOTOX</v>
      </c>
    </row>
    <row r="2765" spans="1:18" x14ac:dyDescent="0.45">
      <c r="A2765" t="s">
        <v>1266</v>
      </c>
      <c r="B2765">
        <v>8</v>
      </c>
      <c r="C2765" t="str">
        <f>HYPERLINK("http://www.ncbi.nlm.nih.gov/protein/KAH8401143.1","KAH8401143.1")</f>
        <v>KAH8401143.1</v>
      </c>
      <c r="D2765">
        <v>12426</v>
      </c>
      <c r="E2765" t="str">
        <f>HYPERLINK("http://www.ncbi.nlm.nih.gov/Taxonomy/Browser/wwwtax.cgi?mode=Info&amp;id=2848635&amp;lvl=3&amp;lin=f&amp;keep=1&amp;srchmode=1&amp;unlock","2848635")</f>
        <v>2848635</v>
      </c>
      <c r="F2765" t="s">
        <v>760</v>
      </c>
      <c r="G2765" t="str">
        <f>HYPERLINK("http://www.ncbi.nlm.nih.gov/Taxonomy/Browser/wwwtax.cgi?mode=Info&amp;id=2848635&amp;lvl=3&amp;lin=f&amp;keep=1&amp;srchmode=1&amp;unlock","Drosophila setifemur")</f>
        <v>Drosophila setifemur</v>
      </c>
      <c r="H2765" t="s">
        <v>953</v>
      </c>
      <c r="I2765" t="str">
        <f>HYPERLINK("http://www.ncbi.nlm.nih.gov/protein/KAH8401143.1","hypothetical protein KR009_003188")</f>
        <v>hypothetical protein KR009_003188</v>
      </c>
      <c r="J2765">
        <v>2487.9899999999998</v>
      </c>
      <c r="K2765" t="s">
        <v>19</v>
      </c>
      <c r="L2765">
        <v>1210</v>
      </c>
      <c r="M2765">
        <v>7.13</v>
      </c>
      <c r="N2765">
        <v>24.24</v>
      </c>
      <c r="O2765" t="s">
        <v>19</v>
      </c>
      <c r="P2765" t="s">
        <v>1267</v>
      </c>
      <c r="Q2765" t="s">
        <v>19</v>
      </c>
      <c r="R2765" t="str">
        <f>HYPERLINK("https://cfpub.epa.gov/ecotox/explore.cfm?ncbi=2848635","Explore in ECOTOX")</f>
        <v>Explore in ECOTOX</v>
      </c>
    </row>
    <row r="2766" spans="1:18" x14ac:dyDescent="0.45">
      <c r="A2766" t="s">
        <v>1266</v>
      </c>
      <c r="B2766">
        <v>8</v>
      </c>
      <c r="C2766" t="str">
        <f>HYPERLINK("http://www.ncbi.nlm.nih.gov/protein/XP_017027872.1","XP_017027872.1")</f>
        <v>XP_017027872.1</v>
      </c>
      <c r="D2766">
        <v>35880</v>
      </c>
      <c r="E2766" t="str">
        <f>HYPERLINK("http://www.ncbi.nlm.nih.gov/Taxonomy/Browser/wwwtax.cgi?mode=Info&amp;id=30033&amp;lvl=3&amp;lin=f&amp;keep=1&amp;srchmode=1&amp;unlock","30033")</f>
        <v>30033</v>
      </c>
      <c r="F2766" t="s">
        <v>760</v>
      </c>
      <c r="G2766" t="str">
        <f>HYPERLINK("http://www.ncbi.nlm.nih.gov/Taxonomy/Browser/wwwtax.cgi?mode=Info&amp;id=30033&amp;lvl=3&amp;lin=f&amp;keep=1&amp;srchmode=1&amp;unlock","Drosophila kikkawai")</f>
        <v>Drosophila kikkawai</v>
      </c>
      <c r="H2766" t="s">
        <v>953</v>
      </c>
      <c r="I2766" t="str">
        <f>HYPERLINK("http://www.ncbi.nlm.nih.gov/protein/XP_017027872.1","ryanodine receptor isoform X7")</f>
        <v>ryanodine receptor isoform X7</v>
      </c>
      <c r="J2766">
        <v>2487.9899999999998</v>
      </c>
      <c r="K2766" t="s">
        <v>19</v>
      </c>
      <c r="L2766">
        <v>1210</v>
      </c>
      <c r="M2766">
        <v>7.13</v>
      </c>
      <c r="N2766">
        <v>24.24</v>
      </c>
      <c r="O2766" t="s">
        <v>19</v>
      </c>
      <c r="P2766" t="s">
        <v>1267</v>
      </c>
      <c r="Q2766" t="s">
        <v>19</v>
      </c>
      <c r="R2766" t="str">
        <f>HYPERLINK("https://cfpub.epa.gov/ecotox/explore.cfm?ncbi=30033","Explore in ECOTOX")</f>
        <v>Explore in ECOTOX</v>
      </c>
    </row>
    <row r="2767" spans="1:18" x14ac:dyDescent="0.45">
      <c r="A2767" t="s">
        <v>1266</v>
      </c>
      <c r="B2767">
        <v>8</v>
      </c>
      <c r="C2767" t="str">
        <f>HYPERLINK("http://www.ncbi.nlm.nih.gov/protein/XP_032306941.1","XP_032306941.1")</f>
        <v>XP_032306941.1</v>
      </c>
      <c r="D2767">
        <v>47857</v>
      </c>
      <c r="E2767" t="str">
        <f>HYPERLINK("http://www.ncbi.nlm.nih.gov/Taxonomy/Browser/wwwtax.cgi?mode=Info&amp;id=7217&amp;lvl=3&amp;lin=f&amp;keep=1&amp;srchmode=1&amp;unlock","7217")</f>
        <v>7217</v>
      </c>
      <c r="F2767" t="s">
        <v>760</v>
      </c>
      <c r="G2767" t="str">
        <f>HYPERLINK("http://www.ncbi.nlm.nih.gov/Taxonomy/Browser/wwwtax.cgi?mode=Info&amp;id=7217&amp;lvl=3&amp;lin=f&amp;keep=1&amp;srchmode=1&amp;unlock","Drosophila ananassae")</f>
        <v>Drosophila ananassae</v>
      </c>
      <c r="H2767" t="s">
        <v>953</v>
      </c>
      <c r="I2767" t="str">
        <f>HYPERLINK("http://www.ncbi.nlm.nih.gov/protein/XP_032306941.1","ryanodine receptor isoform X15")</f>
        <v>ryanodine receptor isoform X15</v>
      </c>
      <c r="J2767">
        <v>2487.9899999999998</v>
      </c>
      <c r="K2767" t="s">
        <v>19</v>
      </c>
      <c r="L2767">
        <v>1210</v>
      </c>
      <c r="M2767">
        <v>7.13</v>
      </c>
      <c r="N2767">
        <v>24.24</v>
      </c>
      <c r="O2767" t="s">
        <v>19</v>
      </c>
      <c r="P2767" t="s">
        <v>1267</v>
      </c>
      <c r="Q2767" t="s">
        <v>19</v>
      </c>
      <c r="R2767" t="str">
        <f>HYPERLINK("https://cfpub.epa.gov/ecotox/explore.cfm?ncbi=7217","Explore in ECOTOX")</f>
        <v>Explore in ECOTOX</v>
      </c>
    </row>
    <row r="2768" spans="1:18" x14ac:dyDescent="0.45">
      <c r="A2768" t="s">
        <v>1266</v>
      </c>
      <c r="B2768">
        <v>8</v>
      </c>
      <c r="C2768" t="str">
        <f>HYPERLINK("http://www.ncbi.nlm.nih.gov/protein/CAD7622040.1","CAD7622040.1")</f>
        <v>CAD7622040.1</v>
      </c>
      <c r="D2768">
        <v>46733</v>
      </c>
      <c r="E2768" t="str">
        <f>HYPERLINK("http://www.ncbi.nlm.nih.gov/Taxonomy/Browser/wwwtax.cgi?mode=Info&amp;id=1979941&amp;lvl=3&amp;lin=f&amp;keep=1&amp;srchmode=1&amp;unlock","1979941")</f>
        <v>1979941</v>
      </c>
      <c r="F2768" t="s">
        <v>904</v>
      </c>
      <c r="G2768" t="str">
        <f>HYPERLINK("http://www.ncbi.nlm.nih.gov/Taxonomy/Browser/wwwtax.cgi?mode=Info&amp;id=1979941&amp;lvl=3&amp;lin=f&amp;keep=1&amp;srchmode=1&amp;unlock","Medioppia subpectinata")</f>
        <v>Medioppia subpectinata</v>
      </c>
      <c r="H2768" t="s">
        <v>995</v>
      </c>
      <c r="I2768" t="str">
        <f>HYPERLINK("http://www.ncbi.nlm.nih.gov/protein/CAD7622040.1","unnamed protein product")</f>
        <v>unnamed protein product</v>
      </c>
      <c r="J2768">
        <v>2487.6</v>
      </c>
      <c r="K2768" t="s">
        <v>19</v>
      </c>
      <c r="L2768">
        <v>1210</v>
      </c>
      <c r="M2768">
        <v>7.13</v>
      </c>
      <c r="N2768">
        <v>24.24</v>
      </c>
      <c r="O2768" t="s">
        <v>19</v>
      </c>
      <c r="P2768" t="s">
        <v>1267</v>
      </c>
      <c r="Q2768" t="s">
        <v>19</v>
      </c>
      <c r="R2768" t="str">
        <f>HYPERLINK("https://cfpub.epa.gov/ecotox/explore.cfm?ncbi=1979941","Explore in ECOTOX")</f>
        <v>Explore in ECOTOX</v>
      </c>
    </row>
    <row r="2769" spans="1:18" x14ac:dyDescent="0.45">
      <c r="A2769" t="s">
        <v>1266</v>
      </c>
      <c r="B2769">
        <v>8</v>
      </c>
      <c r="C2769" t="str">
        <f>HYPERLINK("http://www.ncbi.nlm.nih.gov/protein/XP_036669773.1","XP_036669773.1")</f>
        <v>XP_036669773.1</v>
      </c>
      <c r="D2769">
        <v>25867</v>
      </c>
      <c r="E2769" t="str">
        <f>HYPERLINK("http://www.ncbi.nlm.nih.gov/Taxonomy/Browser/wwwtax.cgi?mode=Info&amp;id=28584&amp;lvl=3&amp;lin=f&amp;keep=1&amp;srchmode=1&amp;unlock","28584")</f>
        <v>28584</v>
      </c>
      <c r="F2769" t="s">
        <v>760</v>
      </c>
      <c r="G2769" t="str">
        <f>HYPERLINK("http://www.ncbi.nlm.nih.gov/Taxonomy/Browser/wwwtax.cgi?mode=Info&amp;id=28584&amp;lvl=3&amp;lin=f&amp;keep=1&amp;srchmode=1&amp;unlock","Drosophila suzukii")</f>
        <v>Drosophila suzukii</v>
      </c>
      <c r="H2769" t="s">
        <v>953</v>
      </c>
      <c r="I2769" t="str">
        <f>HYPERLINK("http://www.ncbi.nlm.nih.gov/protein/XP_036669773.1","ryanodine receptor isoform X12")</f>
        <v>ryanodine receptor isoform X12</v>
      </c>
      <c r="J2769">
        <v>2487.6</v>
      </c>
      <c r="K2769" t="s">
        <v>19</v>
      </c>
      <c r="L2769">
        <v>1210</v>
      </c>
      <c r="M2769">
        <v>7.13</v>
      </c>
      <c r="N2769">
        <v>24.24</v>
      </c>
      <c r="O2769" t="s">
        <v>19</v>
      </c>
      <c r="P2769" t="s">
        <v>1267</v>
      </c>
      <c r="Q2769" t="s">
        <v>19</v>
      </c>
      <c r="R2769" t="str">
        <f>HYPERLINK("https://cfpub.epa.gov/ecotox/explore.cfm?ncbi=28584","Explore in ECOTOX")</f>
        <v>Explore in ECOTOX</v>
      </c>
    </row>
    <row r="2770" spans="1:18" x14ac:dyDescent="0.45">
      <c r="A2770" t="s">
        <v>1266</v>
      </c>
      <c r="B2770">
        <v>8</v>
      </c>
      <c r="C2770" t="str">
        <f>HYPERLINK("http://www.ncbi.nlm.nih.gov/protein/GBP39010.1","GBP39010.1")</f>
        <v>GBP39010.1</v>
      </c>
      <c r="D2770">
        <v>96443</v>
      </c>
      <c r="E2770" t="str">
        <f>HYPERLINK("http://www.ncbi.nlm.nih.gov/Taxonomy/Browser/wwwtax.cgi?mode=Info&amp;id=151549&amp;lvl=3&amp;lin=f&amp;keep=1&amp;srchmode=1&amp;unlock","151549")</f>
        <v>151549</v>
      </c>
      <c r="F2770" t="s">
        <v>760</v>
      </c>
      <c r="G2770" t="str">
        <f>HYPERLINK("http://www.ncbi.nlm.nih.gov/Taxonomy/Browser/wwwtax.cgi?mode=Info&amp;id=151549&amp;lvl=3&amp;lin=f&amp;keep=1&amp;srchmode=1&amp;unlock","Eumeta japonica")</f>
        <v>Eumeta japonica</v>
      </c>
      <c r="H2770" t="s">
        <v>1088</v>
      </c>
      <c r="I2770" t="str">
        <f>HYPERLINK("http://www.ncbi.nlm.nih.gov/protein/GBP39010.1","Ryanodine receptor")</f>
        <v>Ryanodine receptor</v>
      </c>
      <c r="J2770">
        <v>2487.2199999999998</v>
      </c>
      <c r="K2770" t="s">
        <v>19</v>
      </c>
      <c r="L2770">
        <v>1210</v>
      </c>
      <c r="M2770">
        <v>7.13</v>
      </c>
      <c r="N2770">
        <v>24.24</v>
      </c>
      <c r="O2770" t="s">
        <v>19</v>
      </c>
      <c r="P2770" t="s">
        <v>1267</v>
      </c>
      <c r="Q2770" t="s">
        <v>19</v>
      </c>
      <c r="R2770" t="str">
        <f>HYPERLINK("https://cfpub.epa.gov/ecotox/explore.cfm?ncbi=151549","Explore in ECOTOX")</f>
        <v>Explore in ECOTOX</v>
      </c>
    </row>
    <row r="2771" spans="1:18" x14ac:dyDescent="0.45">
      <c r="A2771" t="s">
        <v>1266</v>
      </c>
      <c r="B2771">
        <v>8</v>
      </c>
      <c r="C2771" t="str">
        <f>HYPERLINK("http://www.ncbi.nlm.nih.gov/protein/CDW52896.1","CDW52896.1")</f>
        <v>CDW52896.1</v>
      </c>
      <c r="D2771">
        <v>9912</v>
      </c>
      <c r="E2771" t="str">
        <f>HYPERLINK("http://www.ncbi.nlm.nih.gov/Taxonomy/Browser/wwwtax.cgi?mode=Info&amp;id=36087&amp;lvl=3&amp;lin=f&amp;keep=1&amp;srchmode=1&amp;unlock","36087")</f>
        <v>36087</v>
      </c>
      <c r="F2771" t="s">
        <v>1060</v>
      </c>
      <c r="G2771" t="str">
        <f>HYPERLINK("http://www.ncbi.nlm.nih.gov/Taxonomy/Browser/wwwtax.cgi?mode=Info&amp;id=36087&amp;lvl=3&amp;lin=f&amp;keep=1&amp;srchmode=1&amp;unlock","Trichuris trichiura")</f>
        <v>Trichuris trichiura</v>
      </c>
      <c r="H2771" t="s">
        <v>1119</v>
      </c>
      <c r="I2771" t="str">
        <f>HYPERLINK("http://www.ncbi.nlm.nih.gov/protein/CDW52896.1","ryanodine receptor")</f>
        <v>ryanodine receptor</v>
      </c>
      <c r="J2771">
        <v>2486.83</v>
      </c>
      <c r="K2771" t="s">
        <v>22</v>
      </c>
      <c r="L2771">
        <v>1210</v>
      </c>
      <c r="M2771">
        <v>7.13</v>
      </c>
      <c r="N2771">
        <v>24.23</v>
      </c>
      <c r="O2771" t="s">
        <v>19</v>
      </c>
      <c r="P2771" t="s">
        <v>1267</v>
      </c>
      <c r="Q2771" t="s">
        <v>19</v>
      </c>
      <c r="R2771" t="str">
        <f>HYPERLINK("https://cfpub.epa.gov/ecotox/explore.cfm?ncbi=36087","Explore in ECOTOX")</f>
        <v>Explore in ECOTOX</v>
      </c>
    </row>
    <row r="2772" spans="1:18" x14ac:dyDescent="0.45">
      <c r="A2772" t="s">
        <v>1266</v>
      </c>
      <c r="B2772">
        <v>8</v>
      </c>
      <c r="C2772" t="str">
        <f>HYPERLINK("http://www.ncbi.nlm.nih.gov/protein/XP_017001769.2","XP_017001769.2")</f>
        <v>XP_017001769.2</v>
      </c>
      <c r="D2772">
        <v>20155</v>
      </c>
      <c r="E2772" t="str">
        <f>HYPERLINK("http://www.ncbi.nlm.nih.gov/Taxonomy/Browser/wwwtax.cgi?mode=Info&amp;id=29030&amp;lvl=3&amp;lin=f&amp;keep=1&amp;srchmode=1&amp;unlock","29030")</f>
        <v>29030</v>
      </c>
      <c r="F2772" t="s">
        <v>760</v>
      </c>
      <c r="G2772" t="str">
        <f>HYPERLINK("http://www.ncbi.nlm.nih.gov/Taxonomy/Browser/wwwtax.cgi?mode=Info&amp;id=29030&amp;lvl=3&amp;lin=f&amp;keep=1&amp;srchmode=1&amp;unlock","Drosophila takahashii")</f>
        <v>Drosophila takahashii</v>
      </c>
      <c r="H2772" t="s">
        <v>953</v>
      </c>
      <c r="I2772" t="str">
        <f>HYPERLINK("http://www.ncbi.nlm.nih.gov/protein/XP_017001769.2","LOW QUALITY PROTEIN: ryanodine receptor")</f>
        <v>LOW QUALITY PROTEIN: ryanodine receptor</v>
      </c>
      <c r="J2772">
        <v>2486.4499999999998</v>
      </c>
      <c r="K2772" t="s">
        <v>19</v>
      </c>
      <c r="L2772">
        <v>1210</v>
      </c>
      <c r="M2772">
        <v>7.13</v>
      </c>
      <c r="N2772">
        <v>24.23</v>
      </c>
      <c r="O2772" t="s">
        <v>19</v>
      </c>
      <c r="P2772" t="s">
        <v>1267</v>
      </c>
      <c r="Q2772" t="s">
        <v>19</v>
      </c>
      <c r="R2772" t="str">
        <f>HYPERLINK("https://cfpub.epa.gov/ecotox/explore.cfm?ncbi=29030","Explore in ECOTOX")</f>
        <v>Explore in ECOTOX</v>
      </c>
    </row>
    <row r="2773" spans="1:18" x14ac:dyDescent="0.45">
      <c r="A2773" t="s">
        <v>1266</v>
      </c>
      <c r="B2773">
        <v>8</v>
      </c>
      <c r="C2773" t="str">
        <f>HYPERLINK("http://www.ncbi.nlm.nih.gov/protein/XP_037717378.1","XP_037717378.1")</f>
        <v>XP_037717378.1</v>
      </c>
      <c r="D2773">
        <v>25724</v>
      </c>
      <c r="E2773" t="str">
        <f>HYPERLINK("http://www.ncbi.nlm.nih.gov/Taxonomy/Browser/wwwtax.cgi?mode=Info&amp;id=1486046&amp;lvl=3&amp;lin=f&amp;keep=1&amp;srchmode=1&amp;unlock","1486046")</f>
        <v>1486046</v>
      </c>
      <c r="F2773" t="s">
        <v>760</v>
      </c>
      <c r="G2773" t="str">
        <f>HYPERLINK("http://www.ncbi.nlm.nih.gov/Taxonomy/Browser/wwwtax.cgi?mode=Info&amp;id=1486046&amp;lvl=3&amp;lin=f&amp;keep=1&amp;srchmode=1&amp;unlock","Drosophila subpulchrella")</f>
        <v>Drosophila subpulchrella</v>
      </c>
      <c r="H2773" t="s">
        <v>953</v>
      </c>
      <c r="I2773" t="str">
        <f>HYPERLINK("http://www.ncbi.nlm.nih.gov/protein/XP_037717378.1","ryanodine receptor isoform X11")</f>
        <v>ryanodine receptor isoform X11</v>
      </c>
      <c r="J2773">
        <v>2486.06</v>
      </c>
      <c r="K2773" t="s">
        <v>19</v>
      </c>
      <c r="L2773">
        <v>1210</v>
      </c>
      <c r="M2773">
        <v>7.13</v>
      </c>
      <c r="N2773">
        <v>24.22</v>
      </c>
      <c r="O2773" t="s">
        <v>19</v>
      </c>
      <c r="P2773" t="s">
        <v>1267</v>
      </c>
      <c r="Q2773" t="s">
        <v>19</v>
      </c>
      <c r="R2773" t="str">
        <f>HYPERLINK("https://cfpub.epa.gov/ecotox/explore.cfm?ncbi=1486046","Explore in ECOTOX")</f>
        <v>Explore in ECOTOX</v>
      </c>
    </row>
    <row r="2774" spans="1:18" x14ac:dyDescent="0.45">
      <c r="A2774" t="s">
        <v>1266</v>
      </c>
      <c r="B2774">
        <v>8</v>
      </c>
      <c r="C2774" t="str">
        <f>HYPERLINK("http://www.ncbi.nlm.nih.gov/protein/XP_049274432.1","XP_049274432.1")</f>
        <v>XP_049274432.1</v>
      </c>
      <c r="D2774">
        <v>56850</v>
      </c>
      <c r="E2774" t="str">
        <f>HYPERLINK("http://www.ncbi.nlm.nih.gov/Taxonomy/Browser/wwwtax.cgi?mode=Info&amp;id=34632&amp;lvl=3&amp;lin=f&amp;keep=1&amp;srchmode=1&amp;unlock","34632")</f>
        <v>34632</v>
      </c>
      <c r="F2774" t="s">
        <v>904</v>
      </c>
      <c r="G2774" t="str">
        <f>HYPERLINK("http://www.ncbi.nlm.nih.gov/Taxonomy/Browser/wwwtax.cgi?mode=Info&amp;id=34632&amp;lvl=3&amp;lin=f&amp;keep=1&amp;srchmode=1&amp;unlock","Rhipicephalus sanguineus")</f>
        <v>Rhipicephalus sanguineus</v>
      </c>
      <c r="H2774" t="s">
        <v>1078</v>
      </c>
      <c r="I2774" t="str">
        <f>HYPERLINK("http://www.ncbi.nlm.nih.gov/protein/XP_049274432.1","LOW QUALITY PROTEIN: ryanodine receptor-like")</f>
        <v>LOW QUALITY PROTEIN: ryanodine receptor-like</v>
      </c>
      <c r="J2774">
        <v>2486.06</v>
      </c>
      <c r="K2774" t="s">
        <v>19</v>
      </c>
      <c r="L2774">
        <v>1210</v>
      </c>
      <c r="M2774">
        <v>7.13</v>
      </c>
      <c r="N2774">
        <v>24.22</v>
      </c>
      <c r="O2774" t="s">
        <v>19</v>
      </c>
      <c r="P2774" t="s">
        <v>1267</v>
      </c>
      <c r="Q2774" t="s">
        <v>19</v>
      </c>
      <c r="R2774" t="str">
        <f>HYPERLINK("https://cfpub.epa.gov/ecotox/explore.cfm?ncbi=34632","Explore in ECOTOX")</f>
        <v>Explore in ECOTOX</v>
      </c>
    </row>
    <row r="2775" spans="1:18" x14ac:dyDescent="0.45">
      <c r="A2775" t="s">
        <v>1266</v>
      </c>
      <c r="B2775">
        <v>8</v>
      </c>
      <c r="C2775" t="str">
        <f>HYPERLINK("http://www.ncbi.nlm.nih.gov/protein/XP_037582055.1","XP_037582055.1")</f>
        <v>XP_037582055.1</v>
      </c>
      <c r="D2775">
        <v>62995</v>
      </c>
      <c r="E2775" t="str">
        <f>HYPERLINK("http://www.ncbi.nlm.nih.gov/Taxonomy/Browser/wwwtax.cgi?mode=Info&amp;id=543639&amp;lvl=3&amp;lin=f&amp;keep=1&amp;srchmode=1&amp;unlock","543639")</f>
        <v>543639</v>
      </c>
      <c r="F2775" t="s">
        <v>904</v>
      </c>
      <c r="G2775" t="str">
        <f>HYPERLINK("http://www.ncbi.nlm.nih.gov/Taxonomy/Browser/wwwtax.cgi?mode=Info&amp;id=543639&amp;lvl=3&amp;lin=f&amp;keep=1&amp;srchmode=1&amp;unlock","Dermacentor silvarum")</f>
        <v>Dermacentor silvarum</v>
      </c>
      <c r="H2775" t="s">
        <v>951</v>
      </c>
      <c r="I2775" t="str">
        <f>HYPERLINK("http://www.ncbi.nlm.nih.gov/protein/XP_037582055.1","LOW QUALITY PROTEIN: ryanodine receptor-like")</f>
        <v>LOW QUALITY PROTEIN: ryanodine receptor-like</v>
      </c>
      <c r="J2775">
        <v>2485.6799999999998</v>
      </c>
      <c r="K2775" t="s">
        <v>19</v>
      </c>
      <c r="L2775">
        <v>1210</v>
      </c>
      <c r="M2775">
        <v>7.13</v>
      </c>
      <c r="N2775">
        <v>24.22</v>
      </c>
      <c r="O2775" t="s">
        <v>19</v>
      </c>
      <c r="P2775" t="s">
        <v>1267</v>
      </c>
      <c r="Q2775" t="s">
        <v>19</v>
      </c>
      <c r="R2775" t="str">
        <f>HYPERLINK("https://cfpub.epa.gov/ecotox/explore.cfm?ncbi=543639","Explore in ECOTOX")</f>
        <v>Explore in ECOTOX</v>
      </c>
    </row>
    <row r="2776" spans="1:18" x14ac:dyDescent="0.45">
      <c r="A2776" t="s">
        <v>1266</v>
      </c>
      <c r="B2776">
        <v>8</v>
      </c>
      <c r="C2776" t="str">
        <f>HYPERLINK("http://www.ncbi.nlm.nih.gov/protein/KAH8321641.1","KAH8321641.1")</f>
        <v>KAH8321641.1</v>
      </c>
      <c r="D2776">
        <v>12716</v>
      </c>
      <c r="E2776" t="str">
        <f>HYPERLINK("http://www.ncbi.nlm.nih.gov/Taxonomy/Browser/wwwtax.cgi?mode=Info&amp;id=65964&amp;lvl=3&amp;lin=f&amp;keep=1&amp;srchmode=1&amp;unlock","65964")</f>
        <v>65964</v>
      </c>
      <c r="F2776" t="s">
        <v>760</v>
      </c>
      <c r="G2776" t="str">
        <f>HYPERLINK("http://www.ncbi.nlm.nih.gov/Taxonomy/Browser/wwwtax.cgi?mode=Info&amp;id=65964&amp;lvl=3&amp;lin=f&amp;keep=1&amp;srchmode=1&amp;unlock","Drosophila pseudoananassae")</f>
        <v>Drosophila pseudoananassae</v>
      </c>
      <c r="H2776" t="s">
        <v>953</v>
      </c>
      <c r="I2776" t="str">
        <f>HYPERLINK("http://www.ncbi.nlm.nih.gov/protein/KAH8321641.1","hypothetical protein KR074_011004")</f>
        <v>hypothetical protein KR074_011004</v>
      </c>
      <c r="J2776">
        <v>2485.6799999999998</v>
      </c>
      <c r="K2776" t="s">
        <v>19</v>
      </c>
      <c r="L2776">
        <v>1210</v>
      </c>
      <c r="M2776">
        <v>7.13</v>
      </c>
      <c r="N2776">
        <v>24.22</v>
      </c>
      <c r="O2776" t="s">
        <v>19</v>
      </c>
      <c r="P2776" t="s">
        <v>1267</v>
      </c>
      <c r="Q2776" t="s">
        <v>19</v>
      </c>
      <c r="R2776" t="str">
        <f>HYPERLINK("https://cfpub.epa.gov/ecotox/explore.cfm?ncbi=65964","Explore in ECOTOX")</f>
        <v>Explore in ECOTOX</v>
      </c>
    </row>
    <row r="2777" spans="1:18" x14ac:dyDescent="0.45">
      <c r="A2777" t="s">
        <v>1266</v>
      </c>
      <c r="B2777">
        <v>8</v>
      </c>
      <c r="C2777" t="str">
        <f>HYPERLINK("http://www.ncbi.nlm.nih.gov/protein/XP_012158412.1","XP_012158412.1")</f>
        <v>XP_012158412.1</v>
      </c>
      <c r="D2777">
        <v>43815</v>
      </c>
      <c r="E2777" t="str">
        <f>HYPERLINK("http://www.ncbi.nlm.nih.gov/Taxonomy/Browser/wwwtax.cgi?mode=Info&amp;id=7213&amp;lvl=3&amp;lin=f&amp;keep=1&amp;srchmode=1&amp;unlock","7213")</f>
        <v>7213</v>
      </c>
      <c r="F2777" t="s">
        <v>760</v>
      </c>
      <c r="G2777" t="str">
        <f>HYPERLINK("http://www.ncbi.nlm.nih.gov/Taxonomy/Browser/wwwtax.cgi?mode=Info&amp;id=7213&amp;lvl=3&amp;lin=f&amp;keep=1&amp;srchmode=1&amp;unlock","Ceratitis capitata")</f>
        <v>Ceratitis capitata</v>
      </c>
      <c r="H2777" t="s">
        <v>1063</v>
      </c>
      <c r="I2777" t="str">
        <f>HYPERLINK("http://www.ncbi.nlm.nih.gov/protein/XP_012158412.1","ryanodine receptor isoform X15")</f>
        <v>ryanodine receptor isoform X15</v>
      </c>
      <c r="J2777">
        <v>2485.29</v>
      </c>
      <c r="K2777" t="s">
        <v>19</v>
      </c>
      <c r="L2777">
        <v>1210</v>
      </c>
      <c r="M2777">
        <v>7.13</v>
      </c>
      <c r="N2777">
        <v>24.22</v>
      </c>
      <c r="O2777" t="s">
        <v>19</v>
      </c>
      <c r="P2777" t="s">
        <v>1267</v>
      </c>
      <c r="Q2777" t="s">
        <v>19</v>
      </c>
      <c r="R2777" t="str">
        <f>HYPERLINK("https://cfpub.epa.gov/ecotox/explore.cfm?ncbi=7213","Explore in ECOTOX")</f>
        <v>Explore in ECOTOX</v>
      </c>
    </row>
    <row r="2778" spans="1:18" x14ac:dyDescent="0.45">
      <c r="A2778" t="s">
        <v>1266</v>
      </c>
      <c r="B2778">
        <v>8</v>
      </c>
      <c r="C2778" t="str">
        <f>HYPERLINK("http://www.ncbi.nlm.nih.gov/protein/KAH8316157.1","KAH8316157.1")</f>
        <v>KAH8316157.1</v>
      </c>
      <c r="D2778">
        <v>13796</v>
      </c>
      <c r="E2778" t="str">
        <f>HYPERLINK("http://www.ncbi.nlm.nih.gov/Taxonomy/Browser/wwwtax.cgi?mode=Info&amp;id=1867034&amp;lvl=3&amp;lin=f&amp;keep=1&amp;srchmode=1&amp;unlock","1867034")</f>
        <v>1867034</v>
      </c>
      <c r="F2778" t="s">
        <v>760</v>
      </c>
      <c r="G2778" t="str">
        <f>HYPERLINK("http://www.ncbi.nlm.nih.gov/Taxonomy/Browser/wwwtax.cgi?mode=Info&amp;id=1867034&amp;lvl=3&amp;lin=f&amp;keep=1&amp;srchmode=1&amp;unlock","Drosophila pandora")</f>
        <v>Drosophila pandora</v>
      </c>
      <c r="H2778" t="s">
        <v>953</v>
      </c>
      <c r="I2778" t="str">
        <f>HYPERLINK("http://www.ncbi.nlm.nih.gov/protein/KAH8316157.1","hypothetical protein KR067_000954")</f>
        <v>hypothetical protein KR067_000954</v>
      </c>
      <c r="J2778">
        <v>2485.29</v>
      </c>
      <c r="K2778" t="s">
        <v>19</v>
      </c>
      <c r="L2778">
        <v>1210</v>
      </c>
      <c r="M2778">
        <v>7.13</v>
      </c>
      <c r="N2778">
        <v>24.22</v>
      </c>
      <c r="O2778" t="s">
        <v>19</v>
      </c>
      <c r="P2778" t="s">
        <v>1267</v>
      </c>
      <c r="Q2778" t="s">
        <v>19</v>
      </c>
      <c r="R2778" t="str">
        <f>HYPERLINK("https://cfpub.epa.gov/ecotox/explore.cfm?ncbi=1867034","Explore in ECOTOX")</f>
        <v>Explore in ECOTOX</v>
      </c>
    </row>
    <row r="2779" spans="1:18" x14ac:dyDescent="0.45">
      <c r="A2779" t="s">
        <v>1266</v>
      </c>
      <c r="B2779">
        <v>8</v>
      </c>
      <c r="C2779" t="str">
        <f>HYPERLINK("http://www.ncbi.nlm.nih.gov/protein/XP_011296557.1","XP_011296557.1")</f>
        <v>XP_011296557.1</v>
      </c>
      <c r="D2779">
        <v>29210</v>
      </c>
      <c r="E2779" t="str">
        <f>HYPERLINK("http://www.ncbi.nlm.nih.gov/Taxonomy/Browser/wwwtax.cgi?mode=Info&amp;id=7370&amp;lvl=3&amp;lin=f&amp;keep=1&amp;srchmode=1&amp;unlock","7370")</f>
        <v>7370</v>
      </c>
      <c r="F2779" t="s">
        <v>760</v>
      </c>
      <c r="G2779" t="str">
        <f>HYPERLINK("http://www.ncbi.nlm.nih.gov/Taxonomy/Browser/wwwtax.cgi?mode=Info&amp;id=7370&amp;lvl=3&amp;lin=f&amp;keep=1&amp;srchmode=1&amp;unlock","Musca domestica")</f>
        <v>Musca domestica</v>
      </c>
      <c r="H2779" t="s">
        <v>965</v>
      </c>
      <c r="I2779" t="str">
        <f>HYPERLINK("http://www.ncbi.nlm.nih.gov/protein/XP_011296557.1","ryanodine receptor isoform X14")</f>
        <v>ryanodine receptor isoform X14</v>
      </c>
      <c r="J2779">
        <v>2484.91</v>
      </c>
      <c r="K2779" t="s">
        <v>19</v>
      </c>
      <c r="L2779">
        <v>1210</v>
      </c>
      <c r="M2779">
        <v>7.13</v>
      </c>
      <c r="N2779">
        <v>24.21</v>
      </c>
      <c r="O2779" t="s">
        <v>19</v>
      </c>
      <c r="P2779" t="s">
        <v>1267</v>
      </c>
      <c r="Q2779" t="s">
        <v>19</v>
      </c>
      <c r="R2779" t="str">
        <f>HYPERLINK("https://cfpub.epa.gov/ecotox/explore.cfm?ncbi=7370","Explore in ECOTOX")</f>
        <v>Explore in ECOTOX</v>
      </c>
    </row>
    <row r="2780" spans="1:18" x14ac:dyDescent="0.45">
      <c r="A2780" t="s">
        <v>1266</v>
      </c>
      <c r="B2780">
        <v>8</v>
      </c>
      <c r="C2780" t="str">
        <f>HYPERLINK("http://www.ncbi.nlm.nih.gov/protein/KAH8237323.1","KAH8237323.1")</f>
        <v>KAH8237323.1</v>
      </c>
      <c r="D2780">
        <v>12188</v>
      </c>
      <c r="E2780" t="str">
        <f>HYPERLINK("http://www.ncbi.nlm.nih.gov/Taxonomy/Browser/wwwtax.cgi?mode=Info&amp;id=244254&amp;lvl=3&amp;lin=f&amp;keep=1&amp;srchmode=1&amp;unlock","244254")</f>
        <v>244254</v>
      </c>
      <c r="F2780" t="s">
        <v>760</v>
      </c>
      <c r="G2780" t="str">
        <f>HYPERLINK("http://www.ncbi.nlm.nih.gov/Taxonomy/Browser/wwwtax.cgi?mode=Info&amp;id=244254&amp;lvl=3&amp;lin=f&amp;keep=1&amp;srchmode=1&amp;unlock","Drosophila bunnanda")</f>
        <v>Drosophila bunnanda</v>
      </c>
      <c r="H2780" t="s">
        <v>953</v>
      </c>
      <c r="I2780" t="str">
        <f>HYPERLINK("http://www.ncbi.nlm.nih.gov/protein/KAH8237323.1","hypothetical protein KR038_009777")</f>
        <v>hypothetical protein KR038_009777</v>
      </c>
      <c r="J2780">
        <v>2484.52</v>
      </c>
      <c r="K2780" t="s">
        <v>19</v>
      </c>
      <c r="L2780">
        <v>1210</v>
      </c>
      <c r="M2780">
        <v>7.13</v>
      </c>
      <c r="N2780">
        <v>24.21</v>
      </c>
      <c r="O2780" t="s">
        <v>19</v>
      </c>
      <c r="P2780" t="s">
        <v>1267</v>
      </c>
      <c r="Q2780" t="s">
        <v>19</v>
      </c>
      <c r="R2780" t="str">
        <f>HYPERLINK("https://cfpub.epa.gov/ecotox/explore.cfm?ncbi=244254","Explore in ECOTOX")</f>
        <v>Explore in ECOTOX</v>
      </c>
    </row>
    <row r="2781" spans="1:18" x14ac:dyDescent="0.45">
      <c r="A2781" t="s">
        <v>1266</v>
      </c>
      <c r="B2781">
        <v>8</v>
      </c>
      <c r="C2781" t="str">
        <f>HYPERLINK("http://www.ncbi.nlm.nih.gov/protein/XP_046810404.1","XP_046810404.1")</f>
        <v>XP_046810404.1</v>
      </c>
      <c r="D2781">
        <v>53449</v>
      </c>
      <c r="E2781" t="str">
        <f>HYPERLINK("http://www.ncbi.nlm.nih.gov/Taxonomy/Browser/wwwtax.cgi?mode=Info&amp;id=7375&amp;lvl=3&amp;lin=f&amp;keep=1&amp;srchmode=1&amp;unlock","7375")</f>
        <v>7375</v>
      </c>
      <c r="F2781" t="s">
        <v>760</v>
      </c>
      <c r="G2781" t="str">
        <f>HYPERLINK("http://www.ncbi.nlm.nih.gov/Taxonomy/Browser/wwwtax.cgi?mode=Info&amp;id=7375&amp;lvl=3&amp;lin=f&amp;keep=1&amp;srchmode=1&amp;unlock","Lucilia cuprina")</f>
        <v>Lucilia cuprina</v>
      </c>
      <c r="H2781" t="s">
        <v>973</v>
      </c>
      <c r="I2781" t="str">
        <f>HYPERLINK("http://www.ncbi.nlm.nih.gov/protein/XP_046810404.1","ryanodine receptor isoform X6")</f>
        <v>ryanodine receptor isoform X6</v>
      </c>
      <c r="J2781">
        <v>2484.52</v>
      </c>
      <c r="K2781" t="s">
        <v>19</v>
      </c>
      <c r="L2781">
        <v>1210</v>
      </c>
      <c r="M2781">
        <v>7.13</v>
      </c>
      <c r="N2781">
        <v>24.21</v>
      </c>
      <c r="O2781" t="s">
        <v>19</v>
      </c>
      <c r="P2781" t="s">
        <v>1267</v>
      </c>
      <c r="Q2781" t="s">
        <v>19</v>
      </c>
      <c r="R2781" t="str">
        <f>HYPERLINK("https://cfpub.epa.gov/ecotox/explore.cfm?ncbi=7375","Explore in ECOTOX")</f>
        <v>Explore in ECOTOX</v>
      </c>
    </row>
    <row r="2782" spans="1:18" x14ac:dyDescent="0.45">
      <c r="A2782" t="s">
        <v>1266</v>
      </c>
      <c r="B2782">
        <v>8</v>
      </c>
      <c r="C2782" t="str">
        <f>HYPERLINK("http://www.ncbi.nlm.nih.gov/protein/KRZ77567.1","KRZ77567.1")</f>
        <v>KRZ77567.1</v>
      </c>
      <c r="D2782">
        <v>16253</v>
      </c>
      <c r="E2782" t="str">
        <f>HYPERLINK("http://www.ncbi.nlm.nih.gov/Taxonomy/Browser/wwwtax.cgi?mode=Info&amp;id=268474&amp;lvl=3&amp;lin=f&amp;keep=1&amp;srchmode=1&amp;unlock","268474")</f>
        <v>268474</v>
      </c>
      <c r="F2782" t="s">
        <v>1060</v>
      </c>
      <c r="G2782" t="str">
        <f>HYPERLINK("http://www.ncbi.nlm.nih.gov/Taxonomy/Browser/wwwtax.cgi?mode=Info&amp;id=268474&amp;lvl=3&amp;lin=f&amp;keep=1&amp;srchmode=1&amp;unlock","Trichinella papuae")</f>
        <v>Trichinella papuae</v>
      </c>
      <c r="H2782" t="s">
        <v>1027</v>
      </c>
      <c r="I2782" t="str">
        <f>HYPERLINK("http://www.ncbi.nlm.nih.gov/protein/KRZ77567.1","Ryanodine receptor 44F, partial")</f>
        <v>Ryanodine receptor 44F, partial</v>
      </c>
      <c r="J2782">
        <v>2484.14</v>
      </c>
      <c r="K2782" t="s">
        <v>19</v>
      </c>
      <c r="L2782">
        <v>1210</v>
      </c>
      <c r="M2782">
        <v>7.13</v>
      </c>
      <c r="N2782">
        <v>24.21</v>
      </c>
      <c r="O2782" t="s">
        <v>19</v>
      </c>
      <c r="P2782" t="s">
        <v>1267</v>
      </c>
      <c r="Q2782" t="s">
        <v>19</v>
      </c>
      <c r="R2782" t="str">
        <f>HYPERLINK("https://cfpub.epa.gov/ecotox/explore.cfm?ncbi=268474","Explore in ECOTOX")</f>
        <v>Explore in ECOTOX</v>
      </c>
    </row>
    <row r="2783" spans="1:18" x14ac:dyDescent="0.45">
      <c r="A2783" t="s">
        <v>1266</v>
      </c>
      <c r="B2783">
        <v>8</v>
      </c>
      <c r="C2783" t="str">
        <f>HYPERLINK("http://www.ncbi.nlm.nih.gov/protein/XP_017766340.1","XP_017766340.1")</f>
        <v>XP_017766340.1</v>
      </c>
      <c r="D2783">
        <v>26863</v>
      </c>
      <c r="E2783" t="str">
        <f>HYPERLINK("http://www.ncbi.nlm.nih.gov/Taxonomy/Browser/wwwtax.cgi?mode=Info&amp;id=516756&amp;lvl=3&amp;lin=f&amp;keep=1&amp;srchmode=1&amp;unlock","516756")</f>
        <v>516756</v>
      </c>
      <c r="F2783" t="s">
        <v>760</v>
      </c>
      <c r="G2783" t="str">
        <f>HYPERLINK("http://www.ncbi.nlm.nih.gov/Taxonomy/Browser/wwwtax.cgi?mode=Info&amp;id=516756&amp;lvl=3&amp;lin=f&amp;keep=1&amp;srchmode=1&amp;unlock","Eufriesea mexicana")</f>
        <v>Eufriesea mexicana</v>
      </c>
      <c r="H2783" t="s">
        <v>1084</v>
      </c>
      <c r="I2783" t="str">
        <f>HYPERLINK("http://www.ncbi.nlm.nih.gov/protein/XP_017766340.1","PREDICTED: LOW QUALITY PROTEIN: ryanodine receptor")</f>
        <v>PREDICTED: LOW QUALITY PROTEIN: ryanodine receptor</v>
      </c>
      <c r="J2783">
        <v>2482.6</v>
      </c>
      <c r="K2783" t="s">
        <v>19</v>
      </c>
      <c r="L2783">
        <v>1210</v>
      </c>
      <c r="M2783">
        <v>7.13</v>
      </c>
      <c r="N2783">
        <v>24.19</v>
      </c>
      <c r="O2783" t="s">
        <v>19</v>
      </c>
      <c r="P2783" t="s">
        <v>1267</v>
      </c>
      <c r="Q2783" t="s">
        <v>19</v>
      </c>
      <c r="R2783" t="str">
        <f>HYPERLINK("https://cfpub.epa.gov/ecotox/explore.cfm?ncbi=516756","Explore in ECOTOX")</f>
        <v>Explore in ECOTOX</v>
      </c>
    </row>
    <row r="2784" spans="1:18" x14ac:dyDescent="0.45">
      <c r="A2784" t="s">
        <v>1266</v>
      </c>
      <c r="B2784">
        <v>8</v>
      </c>
      <c r="C2784" t="str">
        <f>HYPERLINK("http://www.ncbi.nlm.nih.gov/protein/GFR18429.1","GFR18429.1")</f>
        <v>GFR18429.1</v>
      </c>
      <c r="D2784">
        <v>69136</v>
      </c>
      <c r="E2784" t="str">
        <f>HYPERLINK("http://www.ncbi.nlm.nih.gov/Taxonomy/Browser/wwwtax.cgi?mode=Info&amp;id=2740835&amp;lvl=3&amp;lin=f&amp;keep=1&amp;srchmode=1&amp;unlock","2740835")</f>
        <v>2740835</v>
      </c>
      <c r="F2784" t="s">
        <v>904</v>
      </c>
      <c r="G2784" t="str">
        <f>HYPERLINK("http://www.ncbi.nlm.nih.gov/Taxonomy/Browser/wwwtax.cgi?mode=Info&amp;id=2740835&amp;lvl=3&amp;lin=f&amp;keep=1&amp;srchmode=1&amp;unlock","Trichonephila clavata")</f>
        <v>Trichonephila clavata</v>
      </c>
      <c r="H2784" t="s">
        <v>1057</v>
      </c>
      <c r="I2784" t="str">
        <f>HYPERLINK("http://www.ncbi.nlm.nih.gov/protein/GFR18429.1","ryanodine receptor")</f>
        <v>ryanodine receptor</v>
      </c>
      <c r="J2784">
        <v>2482.21</v>
      </c>
      <c r="K2784" t="s">
        <v>19</v>
      </c>
      <c r="L2784">
        <v>1210</v>
      </c>
      <c r="M2784">
        <v>7.13</v>
      </c>
      <c r="N2784">
        <v>24.19</v>
      </c>
      <c r="O2784" t="s">
        <v>19</v>
      </c>
      <c r="P2784" t="s">
        <v>1267</v>
      </c>
      <c r="Q2784" t="s">
        <v>19</v>
      </c>
      <c r="R2784" t="str">
        <f>HYPERLINK("https://cfpub.epa.gov/ecotox/explore.cfm?ncbi=2740835","Explore in ECOTOX")</f>
        <v>Explore in ECOTOX</v>
      </c>
    </row>
    <row r="2785" spans="1:18" x14ac:dyDescent="0.45">
      <c r="A2785" t="s">
        <v>1266</v>
      </c>
      <c r="B2785">
        <v>8</v>
      </c>
      <c r="C2785" t="str">
        <f>HYPERLINK("http://www.ncbi.nlm.nih.gov/protein/XP_023033824.1","XP_023033824.1")</f>
        <v>XP_023033824.1</v>
      </c>
      <c r="D2785">
        <v>36661</v>
      </c>
      <c r="E2785" t="str">
        <f>HYPERLINK("http://www.ncbi.nlm.nih.gov/Taxonomy/Browser/wwwtax.cgi?mode=Info&amp;id=7260&amp;lvl=3&amp;lin=f&amp;keep=1&amp;srchmode=1&amp;unlock","7260")</f>
        <v>7260</v>
      </c>
      <c r="F2785" t="s">
        <v>760</v>
      </c>
      <c r="G2785" t="str">
        <f>HYPERLINK("http://www.ncbi.nlm.nih.gov/Taxonomy/Browser/wwwtax.cgi?mode=Info&amp;id=7260&amp;lvl=3&amp;lin=f&amp;keep=1&amp;srchmode=1&amp;unlock","Drosophila willistoni")</f>
        <v>Drosophila willistoni</v>
      </c>
      <c r="H2785" t="s">
        <v>953</v>
      </c>
      <c r="I2785" t="str">
        <f>HYPERLINK("http://www.ncbi.nlm.nih.gov/protein/XP_023033824.1","ryanodine receptor isoform X7")</f>
        <v>ryanodine receptor isoform X7</v>
      </c>
      <c r="J2785">
        <v>2480.67</v>
      </c>
      <c r="K2785" t="s">
        <v>19</v>
      </c>
      <c r="L2785">
        <v>1210</v>
      </c>
      <c r="M2785">
        <v>7.13</v>
      </c>
      <c r="N2785">
        <v>24.17</v>
      </c>
      <c r="O2785" t="s">
        <v>19</v>
      </c>
      <c r="P2785" t="s">
        <v>1267</v>
      </c>
      <c r="Q2785" t="s">
        <v>19</v>
      </c>
      <c r="R2785" t="str">
        <f>HYPERLINK("https://cfpub.epa.gov/ecotox/explore.cfm?ncbi=7260","Explore in ECOTOX")</f>
        <v>Explore in ECOTOX</v>
      </c>
    </row>
    <row r="2786" spans="1:18" x14ac:dyDescent="0.45">
      <c r="A2786" t="s">
        <v>1266</v>
      </c>
      <c r="B2786">
        <v>8</v>
      </c>
      <c r="C2786" t="str">
        <f>HYPERLINK("http://www.ncbi.nlm.nih.gov/protein/XP_017044343.1","XP_017044343.1")</f>
        <v>XP_017044343.1</v>
      </c>
      <c r="D2786">
        <v>22168</v>
      </c>
      <c r="E2786" t="str">
        <f>HYPERLINK("http://www.ncbi.nlm.nih.gov/Taxonomy/Browser/wwwtax.cgi?mode=Info&amp;id=30025&amp;lvl=3&amp;lin=f&amp;keep=1&amp;srchmode=1&amp;unlock","30025")</f>
        <v>30025</v>
      </c>
      <c r="F2786" t="s">
        <v>760</v>
      </c>
      <c r="G2786" t="str">
        <f>HYPERLINK("http://www.ncbi.nlm.nih.gov/Taxonomy/Browser/wwwtax.cgi?mode=Info&amp;id=30025&amp;lvl=3&amp;lin=f&amp;keep=1&amp;srchmode=1&amp;unlock","Drosophila ficusphila")</f>
        <v>Drosophila ficusphila</v>
      </c>
      <c r="H2786" t="s">
        <v>953</v>
      </c>
      <c r="I2786" t="str">
        <f>HYPERLINK("http://www.ncbi.nlm.nih.gov/protein/XP_017044343.1","LOW QUALITY PROTEIN: ryanodine receptor")</f>
        <v>LOW QUALITY PROTEIN: ryanodine receptor</v>
      </c>
      <c r="J2786">
        <v>2479.13</v>
      </c>
      <c r="K2786" t="s">
        <v>19</v>
      </c>
      <c r="L2786">
        <v>1210</v>
      </c>
      <c r="M2786">
        <v>7.13</v>
      </c>
      <c r="N2786">
        <v>24.16</v>
      </c>
      <c r="O2786" t="s">
        <v>19</v>
      </c>
      <c r="P2786" t="s">
        <v>1267</v>
      </c>
      <c r="Q2786" t="s">
        <v>19</v>
      </c>
      <c r="R2786" t="str">
        <f>HYPERLINK("https://cfpub.epa.gov/ecotox/explore.cfm?ncbi=30025","Explore in ECOTOX")</f>
        <v>Explore in ECOTOX</v>
      </c>
    </row>
    <row r="2787" spans="1:18" x14ac:dyDescent="0.45">
      <c r="A2787" t="s">
        <v>1266</v>
      </c>
      <c r="B2787">
        <v>8</v>
      </c>
      <c r="C2787" t="str">
        <f>HYPERLINK("http://www.ncbi.nlm.nih.gov/protein/XP_061391680.1","XP_061391680.1")</f>
        <v>XP_061391680.1</v>
      </c>
      <c r="D2787">
        <v>17077</v>
      </c>
      <c r="E2787" t="str">
        <f>HYPERLINK("http://www.ncbi.nlm.nih.gov/Taxonomy/Browser/wwwtax.cgi?mode=Info&amp;id=27455&amp;lvl=3&amp;lin=f&amp;keep=1&amp;srchmode=1&amp;unlock","27455")</f>
        <v>27455</v>
      </c>
      <c r="F2787" t="s">
        <v>760</v>
      </c>
      <c r="G2787" t="str">
        <f>HYPERLINK("http://www.ncbi.nlm.nih.gov/Taxonomy/Browser/wwwtax.cgi?mode=Info&amp;id=27455&amp;lvl=3&amp;lin=f&amp;keep=1&amp;srchmode=1&amp;unlock","Musca vetustissima")</f>
        <v>Musca vetustissima</v>
      </c>
      <c r="H2787" t="s">
        <v>962</v>
      </c>
      <c r="I2787" t="str">
        <f>HYPERLINK("http://www.ncbi.nlm.nih.gov/protein/XP_061391680.1","ryanodine receptor isoform X4")</f>
        <v>ryanodine receptor isoform X4</v>
      </c>
      <c r="J2787">
        <v>2476.0500000000002</v>
      </c>
      <c r="K2787" t="s">
        <v>19</v>
      </c>
      <c r="L2787">
        <v>1210</v>
      </c>
      <c r="M2787">
        <v>7.13</v>
      </c>
      <c r="N2787">
        <v>24.13</v>
      </c>
      <c r="O2787" t="s">
        <v>19</v>
      </c>
      <c r="P2787" t="s">
        <v>1267</v>
      </c>
      <c r="Q2787" t="s">
        <v>19</v>
      </c>
      <c r="R2787" t="str">
        <f>HYPERLINK("https://cfpub.epa.gov/ecotox/explore.cfm?ncbi=27455","Explore in ECOTOX")</f>
        <v>Explore in ECOTOX</v>
      </c>
    </row>
    <row r="2788" spans="1:18" x14ac:dyDescent="0.45">
      <c r="A2788" t="s">
        <v>1266</v>
      </c>
      <c r="B2788">
        <v>8</v>
      </c>
      <c r="C2788" t="str">
        <f>HYPERLINK("http://www.ncbi.nlm.nih.gov/protein/KAH8348814.1","KAH8348814.1")</f>
        <v>KAH8348814.1</v>
      </c>
      <c r="D2788">
        <v>13154</v>
      </c>
      <c r="E2788" t="str">
        <f>HYPERLINK("http://www.ncbi.nlm.nih.gov/Taxonomy/Browser/wwwtax.cgi?mode=Info&amp;id=193234&amp;lvl=3&amp;lin=f&amp;keep=1&amp;srchmode=1&amp;unlock","193234")</f>
        <v>193234</v>
      </c>
      <c r="F2788" t="s">
        <v>760</v>
      </c>
      <c r="G2788" t="str">
        <f>HYPERLINK("http://www.ncbi.nlm.nih.gov/Taxonomy/Browser/wwwtax.cgi?mode=Info&amp;id=193234&amp;lvl=3&amp;lin=f&amp;keep=1&amp;srchmode=1&amp;unlock","Drosophila pseudotakahashii")</f>
        <v>Drosophila pseudotakahashii</v>
      </c>
      <c r="H2788" t="s">
        <v>953</v>
      </c>
      <c r="I2788" t="str">
        <f>HYPERLINK("http://www.ncbi.nlm.nih.gov/protein/KAH8348814.1","hypothetical protein KR084_011459")</f>
        <v>hypothetical protein KR084_011459</v>
      </c>
      <c r="J2788">
        <v>2472.58</v>
      </c>
      <c r="K2788" t="s">
        <v>19</v>
      </c>
      <c r="L2788">
        <v>1210</v>
      </c>
      <c r="M2788">
        <v>7.13</v>
      </c>
      <c r="N2788">
        <v>24.09</v>
      </c>
      <c r="O2788" t="s">
        <v>19</v>
      </c>
      <c r="P2788" t="s">
        <v>1267</v>
      </c>
      <c r="Q2788" t="s">
        <v>19</v>
      </c>
      <c r="R2788" t="str">
        <f>HYPERLINK("https://cfpub.epa.gov/ecotox/explore.cfm?ncbi=193234","Explore in ECOTOX")</f>
        <v>Explore in ECOTOX</v>
      </c>
    </row>
    <row r="2789" spans="1:18" x14ac:dyDescent="0.45">
      <c r="A2789" t="s">
        <v>1266</v>
      </c>
      <c r="B2789">
        <v>8</v>
      </c>
      <c r="C2789" t="str">
        <f>HYPERLINK("http://www.ncbi.nlm.nih.gov/protein/BES99791.1","BES99791.1")</f>
        <v>BES99791.1</v>
      </c>
      <c r="D2789">
        <v>41089</v>
      </c>
      <c r="E2789" t="str">
        <f>HYPERLINK("http://www.ncbi.nlm.nih.gov/Taxonomy/Browser/wwwtax.cgi?mode=Info&amp;id=355587&amp;lvl=3&amp;lin=f&amp;keep=1&amp;srchmode=1&amp;unlock","355587")</f>
        <v>355587</v>
      </c>
      <c r="F2789" t="s">
        <v>760</v>
      </c>
      <c r="G2789" t="str">
        <f>HYPERLINK("http://www.ncbi.nlm.nih.gov/Taxonomy/Browser/wwwtax.cgi?mode=Info&amp;id=355587&amp;lvl=3&amp;lin=f&amp;keep=1&amp;srchmode=1&amp;unlock","Nesidiocoris tenuis")</f>
        <v>Nesidiocoris tenuis</v>
      </c>
      <c r="H2789" t="s">
        <v>1062</v>
      </c>
      <c r="I2789" t="str">
        <f>HYPERLINK("http://www.ncbi.nlm.nih.gov/protein/BES99791.1","ryanodine receptor")</f>
        <v>ryanodine receptor</v>
      </c>
      <c r="J2789">
        <v>2469.5</v>
      </c>
      <c r="K2789" t="s">
        <v>22</v>
      </c>
      <c r="L2789">
        <v>1210</v>
      </c>
      <c r="M2789">
        <v>7.13</v>
      </c>
      <c r="N2789">
        <v>24.06</v>
      </c>
      <c r="O2789" t="s">
        <v>19</v>
      </c>
      <c r="P2789" t="s">
        <v>1267</v>
      </c>
      <c r="Q2789" t="s">
        <v>19</v>
      </c>
      <c r="R2789" t="str">
        <f>HYPERLINK("https://cfpub.epa.gov/ecotox/explore.cfm?ncbi=355587","Explore in ECOTOX")</f>
        <v>Explore in ECOTOX</v>
      </c>
    </row>
    <row r="2790" spans="1:18" x14ac:dyDescent="0.45">
      <c r="A2790" t="s">
        <v>1266</v>
      </c>
      <c r="B2790">
        <v>8</v>
      </c>
      <c r="C2790" t="str">
        <f>HYPERLINK("http://www.ncbi.nlm.nih.gov/protein/XP_014249567.1","XP_014249567.1")</f>
        <v>XP_014249567.1</v>
      </c>
      <c r="D2790">
        <v>24343</v>
      </c>
      <c r="E2790" t="str">
        <f>HYPERLINK("http://www.ncbi.nlm.nih.gov/Taxonomy/Browser/wwwtax.cgi?mode=Info&amp;id=79782&amp;lvl=3&amp;lin=f&amp;keep=1&amp;srchmode=1&amp;unlock","79782")</f>
        <v>79782</v>
      </c>
      <c r="F2790" t="s">
        <v>760</v>
      </c>
      <c r="G2790" t="str">
        <f>HYPERLINK("http://www.ncbi.nlm.nih.gov/Taxonomy/Browser/wwwtax.cgi?mode=Info&amp;id=79782&amp;lvl=3&amp;lin=f&amp;keep=1&amp;srchmode=1&amp;unlock","Cimex lectularius")</f>
        <v>Cimex lectularius</v>
      </c>
      <c r="H2790" t="s">
        <v>1085</v>
      </c>
      <c r="I2790" t="str">
        <f>HYPERLINK("http://www.ncbi.nlm.nih.gov/protein/XP_014249567.1","ryanodine receptor isoform X3")</f>
        <v>ryanodine receptor isoform X3</v>
      </c>
      <c r="J2790">
        <v>2468.73</v>
      </c>
      <c r="K2790" t="s">
        <v>19</v>
      </c>
      <c r="L2790">
        <v>1210</v>
      </c>
      <c r="M2790">
        <v>7.13</v>
      </c>
      <c r="N2790">
        <v>24.05</v>
      </c>
      <c r="O2790" t="s">
        <v>19</v>
      </c>
      <c r="P2790" t="s">
        <v>1267</v>
      </c>
      <c r="Q2790" t="s">
        <v>19</v>
      </c>
      <c r="R2790" t="str">
        <f>HYPERLINK("https://cfpub.epa.gov/ecotox/explore.cfm?ncbi=79782","Explore in ECOTOX")</f>
        <v>Explore in ECOTOX</v>
      </c>
    </row>
    <row r="2791" spans="1:18" x14ac:dyDescent="0.45">
      <c r="A2791" t="s">
        <v>1266</v>
      </c>
      <c r="B2791">
        <v>8</v>
      </c>
      <c r="C2791" t="str">
        <f>HYPERLINK("http://www.ncbi.nlm.nih.gov/protein/XP_034245295.1","XP_034245295.1")</f>
        <v>XP_034245295.1</v>
      </c>
      <c r="D2791">
        <v>27733</v>
      </c>
      <c r="E2791" t="str">
        <f>HYPERLINK("http://www.ncbi.nlm.nih.gov/Taxonomy/Browser/wwwtax.cgi?mode=Info&amp;id=161013&amp;lvl=3&amp;lin=f&amp;keep=1&amp;srchmode=1&amp;unlock","161013")</f>
        <v>161013</v>
      </c>
      <c r="F2791" t="s">
        <v>760</v>
      </c>
      <c r="G2791" t="str">
        <f>HYPERLINK("http://www.ncbi.nlm.nih.gov/Taxonomy/Browser/wwwtax.cgi?mode=Info&amp;id=161013&amp;lvl=3&amp;lin=f&amp;keep=1&amp;srchmode=1&amp;unlock","Thrips palmi")</f>
        <v>Thrips palmi</v>
      </c>
      <c r="H2791" t="s">
        <v>1037</v>
      </c>
      <c r="I2791" t="str">
        <f>HYPERLINK("http://www.ncbi.nlm.nih.gov/protein/XP_034245295.1","ryanodine receptor")</f>
        <v>ryanodine receptor</v>
      </c>
      <c r="J2791">
        <v>2466.0300000000002</v>
      </c>
      <c r="K2791" t="s">
        <v>22</v>
      </c>
      <c r="L2791">
        <v>1210</v>
      </c>
      <c r="M2791">
        <v>7.13</v>
      </c>
      <c r="N2791">
        <v>24.03</v>
      </c>
      <c r="O2791" t="s">
        <v>19</v>
      </c>
      <c r="P2791" t="s">
        <v>1267</v>
      </c>
      <c r="Q2791" t="s">
        <v>19</v>
      </c>
      <c r="R2791" t="str">
        <f>HYPERLINK("https://cfpub.epa.gov/ecotox/explore.cfm?ncbi=161013","Explore in ECOTOX")</f>
        <v>Explore in ECOTOX</v>
      </c>
    </row>
    <row r="2792" spans="1:18" x14ac:dyDescent="0.45">
      <c r="A2792" t="s">
        <v>1266</v>
      </c>
      <c r="B2792">
        <v>8</v>
      </c>
      <c r="C2792" t="str">
        <f>HYPERLINK("http://www.ncbi.nlm.nih.gov/protein/CAB3362503.1","CAB3362503.1")</f>
        <v>CAB3362503.1</v>
      </c>
      <c r="D2792">
        <v>31111</v>
      </c>
      <c r="E2792" t="str">
        <f>HYPERLINK("http://www.ncbi.nlm.nih.gov/Taxonomy/Browser/wwwtax.cgi?mode=Info&amp;id=197152&amp;lvl=3&amp;lin=f&amp;keep=1&amp;srchmode=1&amp;unlock","197152")</f>
        <v>197152</v>
      </c>
      <c r="F2792" t="s">
        <v>760</v>
      </c>
      <c r="G2792" t="str">
        <f>HYPERLINK("http://www.ncbi.nlm.nih.gov/Taxonomy/Browser/wwwtax.cgi?mode=Info&amp;id=197152&amp;lvl=3&amp;lin=f&amp;keep=1&amp;srchmode=1&amp;unlock","Cloeon dipterum")</f>
        <v>Cloeon dipterum</v>
      </c>
      <c r="H2792" t="s">
        <v>819</v>
      </c>
      <c r="I2792" t="str">
        <f>HYPERLINK("http://www.ncbi.nlm.nih.gov/protein/CAB3362503.1","Hypothetical predicted protein")</f>
        <v>Hypothetical predicted protein</v>
      </c>
      <c r="J2792">
        <v>2464.88</v>
      </c>
      <c r="K2792" t="s">
        <v>19</v>
      </c>
      <c r="L2792">
        <v>1210</v>
      </c>
      <c r="M2792">
        <v>7.13</v>
      </c>
      <c r="N2792">
        <v>24.02</v>
      </c>
      <c r="O2792" t="s">
        <v>19</v>
      </c>
      <c r="P2792" t="s">
        <v>1267</v>
      </c>
      <c r="Q2792" t="s">
        <v>19</v>
      </c>
      <c r="R2792" t="str">
        <f>HYPERLINK("https://cfpub.epa.gov/ecotox/explore.cfm?ncbi=197152","Explore in ECOTOX")</f>
        <v>Explore in ECOTOX</v>
      </c>
    </row>
    <row r="2793" spans="1:18" x14ac:dyDescent="0.45">
      <c r="A2793" t="s">
        <v>1266</v>
      </c>
      <c r="B2793">
        <v>8</v>
      </c>
      <c r="C2793" t="str">
        <f>HYPERLINK("http://www.ncbi.nlm.nih.gov/protein/CAH0100917.1","CAH0100917.1")</f>
        <v>CAH0100917.1</v>
      </c>
      <c r="D2793">
        <v>16000</v>
      </c>
      <c r="E2793" t="str">
        <f>HYPERLINK("http://www.ncbi.nlm.nih.gov/Taxonomy/Browser/wwwtax.cgi?mode=Info&amp;id=27404&amp;lvl=3&amp;lin=f&amp;keep=1&amp;srchmode=1&amp;unlock","27404")</f>
        <v>27404</v>
      </c>
      <c r="F2793" t="s">
        <v>1073</v>
      </c>
      <c r="G2793" t="str">
        <f>HYPERLINK("http://www.ncbi.nlm.nih.gov/Taxonomy/Browser/wwwtax.cgi?mode=Info&amp;id=27404&amp;lvl=3&amp;lin=f&amp;keep=1&amp;srchmode=1&amp;unlock","Daphnia galeata")</f>
        <v>Daphnia galeata</v>
      </c>
      <c r="H2793" t="s">
        <v>1074</v>
      </c>
      <c r="I2793" t="str">
        <f>HYPERLINK("http://www.ncbi.nlm.nih.gov/protein/CAH0100917.1","unnamed protein product, partial")</f>
        <v>unnamed protein product, partial</v>
      </c>
      <c r="J2793">
        <v>2459.4899999999998</v>
      </c>
      <c r="K2793" t="s">
        <v>19</v>
      </c>
      <c r="L2793">
        <v>1210</v>
      </c>
      <c r="M2793">
        <v>7.13</v>
      </c>
      <c r="N2793">
        <v>23.96</v>
      </c>
      <c r="O2793" t="s">
        <v>19</v>
      </c>
      <c r="P2793" t="s">
        <v>1267</v>
      </c>
      <c r="Q2793" t="s">
        <v>19</v>
      </c>
      <c r="R2793" t="str">
        <f>HYPERLINK("https://cfpub.epa.gov/ecotox/explore.cfm?ncbi=27404","Explore in ECOTOX")</f>
        <v>Explore in ECOTOX</v>
      </c>
    </row>
    <row r="2794" spans="1:18" x14ac:dyDescent="0.45">
      <c r="A2794" t="s">
        <v>1266</v>
      </c>
      <c r="B2794">
        <v>8</v>
      </c>
      <c r="C2794" t="str">
        <f>HYPERLINK("http://www.ncbi.nlm.nih.gov/protein/XP_011300766.1","XP_011300766.1")</f>
        <v>XP_011300766.1</v>
      </c>
      <c r="D2794">
        <v>19063</v>
      </c>
      <c r="E2794" t="str">
        <f>HYPERLINK("http://www.ncbi.nlm.nih.gov/Taxonomy/Browser/wwwtax.cgi?mode=Info&amp;id=64838&amp;lvl=3&amp;lin=f&amp;keep=1&amp;srchmode=1&amp;unlock","64838")</f>
        <v>64838</v>
      </c>
      <c r="F2794" t="s">
        <v>760</v>
      </c>
      <c r="G2794" t="str">
        <f>HYPERLINK("http://www.ncbi.nlm.nih.gov/Taxonomy/Browser/wwwtax.cgi?mode=Info&amp;id=64838&amp;lvl=3&amp;lin=f&amp;keep=1&amp;srchmode=1&amp;unlock","Fopius arisanus")</f>
        <v>Fopius arisanus</v>
      </c>
      <c r="H2794" t="s">
        <v>769</v>
      </c>
      <c r="I2794" t="str">
        <f>HYPERLINK("http://www.ncbi.nlm.nih.gov/protein/XP_011300766.1","PREDICTED: ryanodine receptor 44F isoform X9")</f>
        <v>PREDICTED: ryanodine receptor 44F isoform X9</v>
      </c>
      <c r="J2794">
        <v>2458.71</v>
      </c>
      <c r="K2794" t="s">
        <v>19</v>
      </c>
      <c r="L2794">
        <v>1210</v>
      </c>
      <c r="M2794">
        <v>7.13</v>
      </c>
      <c r="N2794">
        <v>23.96</v>
      </c>
      <c r="O2794" t="s">
        <v>19</v>
      </c>
      <c r="P2794" t="s">
        <v>1267</v>
      </c>
      <c r="Q2794" t="s">
        <v>19</v>
      </c>
      <c r="R2794" t="str">
        <f>HYPERLINK("https://cfpub.epa.gov/ecotox/explore.cfm?ncbi=64838","Explore in ECOTOX")</f>
        <v>Explore in ECOTOX</v>
      </c>
    </row>
    <row r="2795" spans="1:18" x14ac:dyDescent="0.45">
      <c r="A2795" t="s">
        <v>1266</v>
      </c>
      <c r="B2795">
        <v>8</v>
      </c>
      <c r="C2795" t="str">
        <f>HYPERLINK("http://www.ncbi.nlm.nih.gov/protein/XP_046440041.1","XP_046440041.1")</f>
        <v>XP_046440041.1</v>
      </c>
      <c r="D2795">
        <v>62607</v>
      </c>
      <c r="E2795" t="str">
        <f>HYPERLINK("http://www.ncbi.nlm.nih.gov/Taxonomy/Browser/wwwtax.cgi?mode=Info&amp;id=6669&amp;lvl=3&amp;lin=f&amp;keep=1&amp;srchmode=1&amp;unlock","6669")</f>
        <v>6669</v>
      </c>
      <c r="F2795" t="s">
        <v>1073</v>
      </c>
      <c r="G2795" t="str">
        <f>HYPERLINK("http://www.ncbi.nlm.nih.gov/Taxonomy/Browser/wwwtax.cgi?mode=Info&amp;id=6669&amp;lvl=3&amp;lin=f&amp;keep=1&amp;srchmode=1&amp;unlock","Daphnia pulex")</f>
        <v>Daphnia pulex</v>
      </c>
      <c r="H2795" t="s">
        <v>1089</v>
      </c>
      <c r="I2795" t="str">
        <f>HYPERLINK("http://www.ncbi.nlm.nih.gov/protein/XP_046440041.1","ryanodine receptor-like isoform X6")</f>
        <v>ryanodine receptor-like isoform X6</v>
      </c>
      <c r="J2795">
        <v>2454.09</v>
      </c>
      <c r="K2795" t="s">
        <v>19</v>
      </c>
      <c r="L2795">
        <v>1210</v>
      </c>
      <c r="M2795">
        <v>7.13</v>
      </c>
      <c r="N2795">
        <v>23.91</v>
      </c>
      <c r="O2795" t="s">
        <v>19</v>
      </c>
      <c r="P2795" t="s">
        <v>1267</v>
      </c>
      <c r="Q2795" t="s">
        <v>19</v>
      </c>
      <c r="R2795" t="str">
        <f>HYPERLINK("https://cfpub.epa.gov/ecotox/explore.cfm?ncbi=6669","Explore in ECOTOX")</f>
        <v>Explore in ECOTOX</v>
      </c>
    </row>
    <row r="2796" spans="1:18" x14ac:dyDescent="0.45">
      <c r="A2796" t="s">
        <v>1266</v>
      </c>
      <c r="B2796">
        <v>8</v>
      </c>
      <c r="C2796" t="str">
        <f>HYPERLINK("http://www.ncbi.nlm.nih.gov/protein/KAI9557111.1","KAI9557111.1")</f>
        <v>KAI9557111.1</v>
      </c>
      <c r="D2796">
        <v>20141</v>
      </c>
      <c r="E2796" t="str">
        <f>HYPERLINK("http://www.ncbi.nlm.nih.gov/Taxonomy/Browser/wwwtax.cgi?mode=Info&amp;id=1820382&amp;lvl=3&amp;lin=f&amp;keep=1&amp;srchmode=1&amp;unlock","1820382")</f>
        <v>1820382</v>
      </c>
      <c r="F2796" t="s">
        <v>1073</v>
      </c>
      <c r="G2796" t="str">
        <f>HYPERLINK("http://www.ncbi.nlm.nih.gov/Taxonomy/Browser/wwwtax.cgi?mode=Info&amp;id=1820382&amp;lvl=3&amp;lin=f&amp;keep=1&amp;srchmode=1&amp;unlock","Daphnia sinensis")</f>
        <v>Daphnia sinensis</v>
      </c>
      <c r="H2796" t="s">
        <v>1074</v>
      </c>
      <c r="I2796" t="str">
        <f>HYPERLINK("http://www.ncbi.nlm.nih.gov/protein/KAI9557111.1","hypothetical protein GHT06_016909")</f>
        <v>hypothetical protein GHT06_016909</v>
      </c>
      <c r="J2796">
        <v>2452.17</v>
      </c>
      <c r="K2796" t="s">
        <v>19</v>
      </c>
      <c r="L2796">
        <v>1210</v>
      </c>
      <c r="M2796">
        <v>7.13</v>
      </c>
      <c r="N2796">
        <v>23.89</v>
      </c>
      <c r="O2796" t="s">
        <v>19</v>
      </c>
      <c r="P2796" t="s">
        <v>1267</v>
      </c>
      <c r="Q2796" t="s">
        <v>19</v>
      </c>
      <c r="R2796" t="str">
        <f>HYPERLINK("https://cfpub.epa.gov/ecotox/explore.cfm?ncbi=1820382","Explore in ECOTOX")</f>
        <v>Explore in ECOTOX</v>
      </c>
    </row>
    <row r="2797" spans="1:18" x14ac:dyDescent="0.45">
      <c r="A2797" t="s">
        <v>1266</v>
      </c>
      <c r="B2797">
        <v>8</v>
      </c>
      <c r="C2797" t="str">
        <f>HYPERLINK("http://www.ncbi.nlm.nih.gov/protein/XP_046647485.1","XP_046647485.1")</f>
        <v>XP_046647485.1</v>
      </c>
      <c r="D2797">
        <v>28564</v>
      </c>
      <c r="E2797" t="str">
        <f>HYPERLINK("http://www.ncbi.nlm.nih.gov/Taxonomy/Browser/wwwtax.cgi?mode=Info&amp;id=35523&amp;lvl=3&amp;lin=f&amp;keep=1&amp;srchmode=1&amp;unlock","35523")</f>
        <v>35523</v>
      </c>
      <c r="F2797" t="s">
        <v>1073</v>
      </c>
      <c r="G2797" t="str">
        <f>HYPERLINK("http://www.ncbi.nlm.nih.gov/Taxonomy/Browser/wwwtax.cgi?mode=Info&amp;id=35523&amp;lvl=3&amp;lin=f&amp;keep=1&amp;srchmode=1&amp;unlock","Daphnia pulicaria")</f>
        <v>Daphnia pulicaria</v>
      </c>
      <c r="H2797" t="s">
        <v>1074</v>
      </c>
      <c r="I2797" t="str">
        <f>HYPERLINK("http://www.ncbi.nlm.nih.gov/protein/XP_046647485.1","ryanodine receptor-like isoform X2")</f>
        <v>ryanodine receptor-like isoform X2</v>
      </c>
      <c r="J2797">
        <v>2452.17</v>
      </c>
      <c r="K2797" t="s">
        <v>19</v>
      </c>
      <c r="L2797">
        <v>1210</v>
      </c>
      <c r="M2797">
        <v>7.13</v>
      </c>
      <c r="N2797">
        <v>23.89</v>
      </c>
      <c r="O2797" t="s">
        <v>19</v>
      </c>
      <c r="P2797" t="s">
        <v>1267</v>
      </c>
      <c r="Q2797" t="s">
        <v>19</v>
      </c>
      <c r="R2797" t="str">
        <f>HYPERLINK("https://cfpub.epa.gov/ecotox/explore.cfm?ncbi=35523","Explore in ECOTOX")</f>
        <v>Explore in ECOTOX</v>
      </c>
    </row>
    <row r="2798" spans="1:18" x14ac:dyDescent="0.45">
      <c r="A2798" t="s">
        <v>1266</v>
      </c>
      <c r="B2798">
        <v>8</v>
      </c>
      <c r="C2798" t="str">
        <f>HYPERLINK("http://www.ncbi.nlm.nih.gov/protein/XP_059350832.1","XP_059350832.1")</f>
        <v>XP_059350832.1</v>
      </c>
      <c r="D2798">
        <v>18551</v>
      </c>
      <c r="E2798" t="str">
        <f>HYPERLINK("http://www.ncbi.nlm.nih.gov/Taxonomy/Browser/wwwtax.cgi?mode=Info&amp;id=120202&amp;lvl=3&amp;lin=f&amp;keep=1&amp;srchmode=1&amp;unlock","120202")</f>
        <v>120202</v>
      </c>
      <c r="F2798" t="s">
        <v>1073</v>
      </c>
      <c r="G2798" t="str">
        <f>HYPERLINK("http://www.ncbi.nlm.nih.gov/Taxonomy/Browser/wwwtax.cgi?mode=Info&amp;id=120202&amp;lvl=3&amp;lin=f&amp;keep=1&amp;srchmode=1&amp;unlock","Daphnia carinata")</f>
        <v>Daphnia carinata</v>
      </c>
      <c r="H2798" t="s">
        <v>1074</v>
      </c>
      <c r="I2798" t="str">
        <f>HYPERLINK("http://www.ncbi.nlm.nih.gov/protein/XP_059350832.1","ryanodine receptor-like")</f>
        <v>ryanodine receptor-like</v>
      </c>
      <c r="J2798">
        <v>2451.4</v>
      </c>
      <c r="K2798" t="s">
        <v>19</v>
      </c>
      <c r="L2798">
        <v>1210</v>
      </c>
      <c r="M2798">
        <v>7.13</v>
      </c>
      <c r="N2798">
        <v>23.89</v>
      </c>
      <c r="O2798" t="s">
        <v>19</v>
      </c>
      <c r="P2798" t="s">
        <v>1267</v>
      </c>
      <c r="Q2798" t="s">
        <v>19</v>
      </c>
      <c r="R2798" t="str">
        <f>HYPERLINK("https://cfpub.epa.gov/ecotox/explore.cfm?ncbi=120202","Explore in ECOTOX")</f>
        <v>Explore in ECOTOX</v>
      </c>
    </row>
    <row r="2799" spans="1:18" x14ac:dyDescent="0.45">
      <c r="A2799" t="s">
        <v>1266</v>
      </c>
      <c r="B2799">
        <v>8</v>
      </c>
      <c r="C2799" t="str">
        <f>HYPERLINK("http://www.ncbi.nlm.nih.gov/protein/XP_016986328.1","XP_016986328.1")</f>
        <v>XP_016986328.1</v>
      </c>
      <c r="D2799">
        <v>23439</v>
      </c>
      <c r="E2799" t="str">
        <f>HYPERLINK("http://www.ncbi.nlm.nih.gov/Taxonomy/Browser/wwwtax.cgi?mode=Info&amp;id=1041015&amp;lvl=3&amp;lin=f&amp;keep=1&amp;srchmode=1&amp;unlock","1041015")</f>
        <v>1041015</v>
      </c>
      <c r="F2799" t="s">
        <v>760</v>
      </c>
      <c r="G2799" t="str">
        <f>HYPERLINK("http://www.ncbi.nlm.nih.gov/Taxonomy/Browser/wwwtax.cgi?mode=Info&amp;id=1041015&amp;lvl=3&amp;lin=f&amp;keep=1&amp;srchmode=1&amp;unlock","Drosophila rhopaloa")</f>
        <v>Drosophila rhopaloa</v>
      </c>
      <c r="H2799" t="s">
        <v>953</v>
      </c>
      <c r="I2799" t="str">
        <f>HYPERLINK("http://www.ncbi.nlm.nih.gov/protein/XP_016986328.1","LOW QUALITY PROTEIN: ryanodine receptor")</f>
        <v>LOW QUALITY PROTEIN: ryanodine receptor</v>
      </c>
      <c r="J2799">
        <v>2450.63</v>
      </c>
      <c r="K2799" t="s">
        <v>19</v>
      </c>
      <c r="L2799">
        <v>1210</v>
      </c>
      <c r="M2799">
        <v>7.13</v>
      </c>
      <c r="N2799">
        <v>23.88</v>
      </c>
      <c r="O2799" t="s">
        <v>19</v>
      </c>
      <c r="P2799" t="s">
        <v>1267</v>
      </c>
      <c r="Q2799" t="s">
        <v>19</v>
      </c>
      <c r="R2799" t="str">
        <f>HYPERLINK("https://cfpub.epa.gov/ecotox/explore.cfm?ncbi=1041015","Explore in ECOTOX")</f>
        <v>Explore in ECOTOX</v>
      </c>
    </row>
    <row r="2800" spans="1:18" x14ac:dyDescent="0.45">
      <c r="A2800" t="s">
        <v>1266</v>
      </c>
      <c r="B2800">
        <v>8</v>
      </c>
      <c r="C2800" t="str">
        <f>HYPERLINK("http://www.ncbi.nlm.nih.gov/protein/KAH8285501.1","KAH8285501.1")</f>
        <v>KAH8285501.1</v>
      </c>
      <c r="D2800">
        <v>12797</v>
      </c>
      <c r="E2800" t="str">
        <f>HYPERLINK("http://www.ncbi.nlm.nih.gov/Taxonomy/Browser/wwwtax.cgi?mode=Info&amp;id=111875&amp;lvl=3&amp;lin=f&amp;keep=1&amp;srchmode=1&amp;unlock","111875")</f>
        <v>111875</v>
      </c>
      <c r="F2800" t="s">
        <v>760</v>
      </c>
      <c r="G2800" t="str">
        <f>HYPERLINK("http://www.ncbi.nlm.nih.gov/Taxonomy/Browser/wwwtax.cgi?mode=Info&amp;id=111875&amp;lvl=3&amp;lin=f&amp;keep=1&amp;srchmode=1&amp;unlock","Drosophila jambulina")</f>
        <v>Drosophila jambulina</v>
      </c>
      <c r="H2800" t="s">
        <v>953</v>
      </c>
      <c r="I2800" t="str">
        <f>HYPERLINK("http://www.ncbi.nlm.nih.gov/protein/KAH8285501.1","hypothetical protein KR054_010085")</f>
        <v>hypothetical protein KR054_010085</v>
      </c>
      <c r="J2800">
        <v>2450.2399999999998</v>
      </c>
      <c r="K2800" t="s">
        <v>19</v>
      </c>
      <c r="L2800">
        <v>1210</v>
      </c>
      <c r="M2800">
        <v>7.13</v>
      </c>
      <c r="N2800">
        <v>23.87</v>
      </c>
      <c r="O2800" t="s">
        <v>19</v>
      </c>
      <c r="P2800" t="s">
        <v>1267</v>
      </c>
      <c r="Q2800" t="s">
        <v>19</v>
      </c>
      <c r="R2800" t="str">
        <f>HYPERLINK("https://cfpub.epa.gov/ecotox/explore.cfm?ncbi=111875","Explore in ECOTOX")</f>
        <v>Explore in ECOTOX</v>
      </c>
    </row>
    <row r="2801" spans="1:18" x14ac:dyDescent="0.45">
      <c r="A2801" t="s">
        <v>1266</v>
      </c>
      <c r="B2801">
        <v>8</v>
      </c>
      <c r="C2801" t="str">
        <f>HYPERLINK("http://www.ncbi.nlm.nih.gov/protein/KZS04686.1","KZS04686.1")</f>
        <v>KZS04686.1</v>
      </c>
      <c r="D2801">
        <v>93103</v>
      </c>
      <c r="E2801" t="str">
        <f>HYPERLINK("http://www.ncbi.nlm.nih.gov/Taxonomy/Browser/wwwtax.cgi?mode=Info&amp;id=35525&amp;lvl=3&amp;lin=f&amp;keep=1&amp;srchmode=1&amp;unlock","35525")</f>
        <v>35525</v>
      </c>
      <c r="F2801" t="s">
        <v>1073</v>
      </c>
      <c r="G2801" t="str">
        <f>HYPERLINK("http://www.ncbi.nlm.nih.gov/Taxonomy/Browser/wwwtax.cgi?mode=Info&amp;id=35525&amp;lvl=3&amp;lin=f&amp;keep=1&amp;srchmode=1&amp;unlock","Daphnia magna")</f>
        <v>Daphnia magna</v>
      </c>
      <c r="H2801" t="s">
        <v>1074</v>
      </c>
      <c r="I2801" t="str">
        <f>HYPERLINK("http://www.ncbi.nlm.nih.gov/protein/KZS04686.1","Ryanodine receptor")</f>
        <v>Ryanodine receptor</v>
      </c>
      <c r="J2801">
        <v>2448.31</v>
      </c>
      <c r="K2801" t="s">
        <v>19</v>
      </c>
      <c r="L2801">
        <v>1210</v>
      </c>
      <c r="M2801">
        <v>7.13</v>
      </c>
      <c r="N2801">
        <v>23.86</v>
      </c>
      <c r="O2801" t="s">
        <v>19</v>
      </c>
      <c r="P2801" t="s">
        <v>1267</v>
      </c>
      <c r="Q2801" t="s">
        <v>19</v>
      </c>
      <c r="R2801" t="str">
        <f>HYPERLINK("https://cfpub.epa.gov/ecotox/explore.cfm?ncbi=35525","Explore in ECOTOX")</f>
        <v>Explore in ECOTOX</v>
      </c>
    </row>
    <row r="2802" spans="1:18" x14ac:dyDescent="0.45">
      <c r="A2802" t="s">
        <v>1266</v>
      </c>
      <c r="B2802">
        <v>8</v>
      </c>
      <c r="C2802" t="str">
        <f>HYPERLINK("http://www.ncbi.nlm.nih.gov/protein/XP_046909164.1","XP_046909164.1")</f>
        <v>XP_046909164.1</v>
      </c>
      <c r="D2802">
        <v>40247</v>
      </c>
      <c r="E2802" t="str">
        <f>HYPERLINK("http://www.ncbi.nlm.nih.gov/Taxonomy/Browser/wwwtax.cgi?mode=Info&amp;id=6954&amp;lvl=3&amp;lin=f&amp;keep=1&amp;srchmode=1&amp;unlock","6954")</f>
        <v>6954</v>
      </c>
      <c r="F2802" t="s">
        <v>904</v>
      </c>
      <c r="G2802" t="str">
        <f>HYPERLINK("http://www.ncbi.nlm.nih.gov/Taxonomy/Browser/wwwtax.cgi?mode=Info&amp;id=6954&amp;lvl=3&amp;lin=f&amp;keep=1&amp;srchmode=1&amp;unlock","Dermatophagoides farinae")</f>
        <v>Dermatophagoides farinae</v>
      </c>
      <c r="H2802" t="s">
        <v>1001</v>
      </c>
      <c r="I2802" t="str">
        <f>HYPERLINK("http://www.ncbi.nlm.nih.gov/protein/XP_046909164.1","LOW QUALITY PROTEIN: ryanodine receptor-like")</f>
        <v>LOW QUALITY PROTEIN: ryanodine receptor-like</v>
      </c>
      <c r="J2802">
        <v>2446.39</v>
      </c>
      <c r="K2802" t="s">
        <v>22</v>
      </c>
      <c r="L2802">
        <v>1210</v>
      </c>
      <c r="M2802">
        <v>7.13</v>
      </c>
      <c r="N2802">
        <v>23.84</v>
      </c>
      <c r="O2802" t="s">
        <v>19</v>
      </c>
      <c r="P2802" t="s">
        <v>1267</v>
      </c>
      <c r="Q2802" t="s">
        <v>19</v>
      </c>
      <c r="R2802" t="str">
        <f>HYPERLINK("https://cfpub.epa.gov/ecotox/explore.cfm?ncbi=6954","Explore in ECOTOX")</f>
        <v>Explore in ECOTOX</v>
      </c>
    </row>
    <row r="2803" spans="1:18" x14ac:dyDescent="0.45">
      <c r="A2803" t="s">
        <v>1266</v>
      </c>
      <c r="B2803">
        <v>8</v>
      </c>
      <c r="C2803" t="str">
        <f>HYPERLINK("http://www.ncbi.nlm.nih.gov/protein/XP_025830516.1","XP_025830516.1")</f>
        <v>XP_025830516.1</v>
      </c>
      <c r="D2803">
        <v>22260</v>
      </c>
      <c r="E2803" t="str">
        <f>HYPERLINK("http://www.ncbi.nlm.nih.gov/Taxonomy/Browser/wwwtax.cgi?mode=Info&amp;id=224129&amp;lvl=3&amp;lin=f&amp;keep=1&amp;srchmode=1&amp;unlock","224129")</f>
        <v>224129</v>
      </c>
      <c r="F2803" t="s">
        <v>760</v>
      </c>
      <c r="G2803" t="str">
        <f>HYPERLINK("http://www.ncbi.nlm.nih.gov/Taxonomy/Browser/wwwtax.cgi?mode=Info&amp;id=224129&amp;lvl=3&amp;lin=f&amp;keep=1&amp;srchmode=1&amp;unlock","Agrilus planipennis")</f>
        <v>Agrilus planipennis</v>
      </c>
      <c r="H2803" t="s">
        <v>1099</v>
      </c>
      <c r="I2803" t="str">
        <f>HYPERLINK("http://www.ncbi.nlm.nih.gov/protein/XP_025830516.1","ryanodine receptor")</f>
        <v>ryanodine receptor</v>
      </c>
      <c r="J2803">
        <v>2444.85</v>
      </c>
      <c r="K2803" t="s">
        <v>19</v>
      </c>
      <c r="L2803">
        <v>1210</v>
      </c>
      <c r="M2803">
        <v>7.13</v>
      </c>
      <c r="N2803">
        <v>23.82</v>
      </c>
      <c r="O2803" t="s">
        <v>19</v>
      </c>
      <c r="P2803" t="s">
        <v>1267</v>
      </c>
      <c r="Q2803" t="s">
        <v>19</v>
      </c>
      <c r="R2803" t="str">
        <f>HYPERLINK("https://cfpub.epa.gov/ecotox/explore.cfm?ncbi=224129","Explore in ECOTOX")</f>
        <v>Explore in ECOTOX</v>
      </c>
    </row>
    <row r="2804" spans="1:18" x14ac:dyDescent="0.45">
      <c r="A2804" t="s">
        <v>1266</v>
      </c>
      <c r="B2804">
        <v>8</v>
      </c>
      <c r="C2804" t="str">
        <f>HYPERLINK("http://www.ncbi.nlm.nih.gov/protein/KOX73585.1","KOX73585.1")</f>
        <v>KOX73585.1</v>
      </c>
      <c r="D2804">
        <v>14310</v>
      </c>
      <c r="E2804" t="str">
        <f>HYPERLINK("http://www.ncbi.nlm.nih.gov/Taxonomy/Browser/wwwtax.cgi?mode=Info&amp;id=166423&amp;lvl=3&amp;lin=f&amp;keep=1&amp;srchmode=1&amp;unlock","166423")</f>
        <v>166423</v>
      </c>
      <c r="F2804" t="s">
        <v>760</v>
      </c>
      <c r="G2804" t="str">
        <f>HYPERLINK("http://www.ncbi.nlm.nih.gov/Taxonomy/Browser/wwwtax.cgi?mode=Info&amp;id=166423&amp;lvl=3&amp;lin=f&amp;keep=1&amp;srchmode=1&amp;unlock","Melipona quadrifasciata")</f>
        <v>Melipona quadrifasciata</v>
      </c>
      <c r="H2804" t="s">
        <v>817</v>
      </c>
      <c r="I2804" t="str">
        <f>HYPERLINK("http://www.ncbi.nlm.nih.gov/protein/KOX73585.1","Ryanodine receptor 44F, partial")</f>
        <v>Ryanodine receptor 44F, partial</v>
      </c>
      <c r="J2804">
        <v>2442.54</v>
      </c>
      <c r="K2804" t="s">
        <v>19</v>
      </c>
      <c r="L2804">
        <v>1210</v>
      </c>
      <c r="M2804">
        <v>7.13</v>
      </c>
      <c r="N2804">
        <v>23.8</v>
      </c>
      <c r="O2804" t="s">
        <v>19</v>
      </c>
      <c r="P2804" t="s">
        <v>1267</v>
      </c>
      <c r="Q2804" t="s">
        <v>19</v>
      </c>
      <c r="R2804" t="str">
        <f>HYPERLINK("https://cfpub.epa.gov/ecotox/explore.cfm?ncbi=166423","Explore in ECOTOX")</f>
        <v>Explore in ECOTOX</v>
      </c>
    </row>
    <row r="2805" spans="1:18" x14ac:dyDescent="0.45">
      <c r="A2805" t="s">
        <v>1266</v>
      </c>
      <c r="B2805">
        <v>8</v>
      </c>
      <c r="C2805" t="str">
        <f>HYPERLINK("http://www.ncbi.nlm.nih.gov/protein/CAD7393765.1","CAD7393765.1")</f>
        <v>CAD7393765.1</v>
      </c>
      <c r="D2805">
        <v>14355</v>
      </c>
      <c r="E2805" t="str">
        <f>HYPERLINK("http://www.ncbi.nlm.nih.gov/Taxonomy/Browser/wwwtax.cgi?mode=Info&amp;id=61476&amp;lvl=3&amp;lin=f&amp;keep=1&amp;srchmode=1&amp;unlock","61476")</f>
        <v>61476</v>
      </c>
      <c r="F2805" t="s">
        <v>760</v>
      </c>
      <c r="G2805" t="str">
        <f>HYPERLINK("http://www.ncbi.nlm.nih.gov/Taxonomy/Browser/wwwtax.cgi?mode=Info&amp;id=61476&amp;lvl=3&amp;lin=f&amp;keep=1&amp;srchmode=1&amp;unlock","Timema cristinae")</f>
        <v>Timema cristinae</v>
      </c>
      <c r="H2805" t="s">
        <v>1039</v>
      </c>
      <c r="I2805" t="str">
        <f>HYPERLINK("http://www.ncbi.nlm.nih.gov/protein/CAD7393765.1","unnamed protein product")</f>
        <v>unnamed protein product</v>
      </c>
      <c r="J2805">
        <v>2441</v>
      </c>
      <c r="K2805" t="s">
        <v>22</v>
      </c>
      <c r="L2805">
        <v>1210</v>
      </c>
      <c r="M2805">
        <v>7.13</v>
      </c>
      <c r="N2805">
        <v>23.78</v>
      </c>
      <c r="O2805" t="s">
        <v>19</v>
      </c>
      <c r="P2805" t="s">
        <v>1267</v>
      </c>
      <c r="Q2805" t="s">
        <v>19</v>
      </c>
      <c r="R2805" t="str">
        <f>HYPERLINK("https://cfpub.epa.gov/ecotox/explore.cfm?ncbi=61476","Explore in ECOTOX")</f>
        <v>Explore in ECOTOX</v>
      </c>
    </row>
    <row r="2806" spans="1:18" x14ac:dyDescent="0.45">
      <c r="A2806" t="s">
        <v>1266</v>
      </c>
      <c r="B2806">
        <v>8</v>
      </c>
      <c r="C2806" t="str">
        <f>HYPERLINK("http://www.ncbi.nlm.nih.gov/protein/XP_059488121.1","XP_059488121.1")</f>
        <v>XP_059488121.1</v>
      </c>
      <c r="D2806">
        <v>23097</v>
      </c>
      <c r="E2806" t="str">
        <f>HYPERLINK("http://www.ncbi.nlm.nih.gov/Taxonomy/Browser/wwwtax.cgi?mode=Info&amp;id=2078957&amp;lvl=3&amp;lin=f&amp;keep=1&amp;srchmode=1&amp;unlock","2078957")</f>
        <v>2078957</v>
      </c>
      <c r="F2806" t="s">
        <v>760</v>
      </c>
      <c r="G2806" t="str">
        <f>HYPERLINK("http://www.ncbi.nlm.nih.gov/Taxonomy/Browser/wwwtax.cgi?mode=Info&amp;id=2078957&amp;lvl=3&amp;lin=f&amp;keep=1&amp;srchmode=1&amp;unlock","Neocloeon triangulifer")</f>
        <v>Neocloeon triangulifer</v>
      </c>
      <c r="H2806" t="s">
        <v>819</v>
      </c>
      <c r="I2806" t="str">
        <f>HYPERLINK("http://www.ncbi.nlm.nih.gov/protein/XP_059488121.1","LOW QUALITY PROTEIN: ryanodine receptor")</f>
        <v>LOW QUALITY PROTEIN: ryanodine receptor</v>
      </c>
      <c r="J2806">
        <v>2435.9899999999998</v>
      </c>
      <c r="K2806" t="s">
        <v>19</v>
      </c>
      <c r="L2806">
        <v>1210</v>
      </c>
      <c r="M2806">
        <v>7.13</v>
      </c>
      <c r="N2806">
        <v>23.74</v>
      </c>
      <c r="O2806" t="s">
        <v>19</v>
      </c>
      <c r="P2806" t="s">
        <v>1267</v>
      </c>
      <c r="Q2806" t="s">
        <v>19</v>
      </c>
      <c r="R2806" t="str">
        <f>HYPERLINK("https://cfpub.epa.gov/ecotox/explore.cfm?ncbi=2078957","Explore in ECOTOX")</f>
        <v>Explore in ECOTOX</v>
      </c>
    </row>
    <row r="2807" spans="1:18" x14ac:dyDescent="0.45">
      <c r="A2807" t="s">
        <v>1266</v>
      </c>
      <c r="B2807">
        <v>8</v>
      </c>
      <c r="C2807" t="str">
        <f>HYPERLINK("http://www.ncbi.nlm.nih.gov/protein/KAG8184851.1","KAG8184851.1")</f>
        <v>KAG8184851.1</v>
      </c>
      <c r="D2807">
        <v>32264</v>
      </c>
      <c r="E2807" t="str">
        <f>HYPERLINK("http://www.ncbi.nlm.nih.gov/Taxonomy/Browser/wwwtax.cgi?mode=Info&amp;id=931172&amp;lvl=3&amp;lin=f&amp;keep=1&amp;srchmode=1&amp;unlock","931172")</f>
        <v>931172</v>
      </c>
      <c r="F2807" t="s">
        <v>904</v>
      </c>
      <c r="G2807" t="str">
        <f>HYPERLINK("http://www.ncbi.nlm.nih.gov/Taxonomy/Browser/wwwtax.cgi?mode=Info&amp;id=931172&amp;lvl=3&amp;lin=f&amp;keep=1&amp;srchmode=1&amp;unlock","Oedothorax gibbosus")</f>
        <v>Oedothorax gibbosus</v>
      </c>
      <c r="H2807" t="s">
        <v>1082</v>
      </c>
      <c r="I2807" t="str">
        <f>HYPERLINK("http://www.ncbi.nlm.nih.gov/protein/KAG8184851.1","hypothetical protein JTE90_012099")</f>
        <v>hypothetical protein JTE90_012099</v>
      </c>
      <c r="J2807">
        <v>2429.44</v>
      </c>
      <c r="K2807" t="s">
        <v>19</v>
      </c>
      <c r="L2807">
        <v>1210</v>
      </c>
      <c r="M2807">
        <v>7.13</v>
      </c>
      <c r="N2807">
        <v>23.67</v>
      </c>
      <c r="O2807" t="s">
        <v>19</v>
      </c>
      <c r="P2807" t="s">
        <v>1267</v>
      </c>
      <c r="Q2807" t="s">
        <v>19</v>
      </c>
      <c r="R2807" t="str">
        <f>HYPERLINK("https://cfpub.epa.gov/ecotox/explore.cfm?ncbi=931172","Explore in ECOTOX")</f>
        <v>Explore in ECOTOX</v>
      </c>
    </row>
    <row r="2808" spans="1:18" x14ac:dyDescent="0.45">
      <c r="A2808" t="s">
        <v>1266</v>
      </c>
      <c r="B2808">
        <v>8</v>
      </c>
      <c r="C2808" t="str">
        <f>HYPERLINK("http://www.ncbi.nlm.nih.gov/protein/XP_054156136.1","XP_054156136.1")</f>
        <v>XP_054156136.1</v>
      </c>
      <c r="D2808">
        <v>17051</v>
      </c>
      <c r="E2808" t="str">
        <f>HYPERLINK("http://www.ncbi.nlm.nih.gov/Taxonomy/Browser/wwwtax.cgi?mode=Info&amp;id=1686743&amp;lvl=3&amp;lin=f&amp;keep=1&amp;srchmode=1&amp;unlock","1686743")</f>
        <v>1686743</v>
      </c>
      <c r="F2808" t="s">
        <v>904</v>
      </c>
      <c r="G2808" t="str">
        <f>HYPERLINK("http://www.ncbi.nlm.nih.gov/Taxonomy/Browser/wwwtax.cgi?mode=Info&amp;id=1686743&amp;lvl=3&amp;lin=f&amp;keep=1&amp;srchmode=1&amp;unlock","Oppia nitens")</f>
        <v>Oppia nitens</v>
      </c>
      <c r="H2808" t="s">
        <v>995</v>
      </c>
      <c r="I2808" t="str">
        <f>HYPERLINK("http://www.ncbi.nlm.nih.gov/protein/XP_054156136.1","ryanodine receptor-like isoform X6")</f>
        <v>ryanodine receptor-like isoform X6</v>
      </c>
      <c r="J2808">
        <v>2422.5100000000002</v>
      </c>
      <c r="K2808" t="s">
        <v>22</v>
      </c>
      <c r="L2808">
        <v>1210</v>
      </c>
      <c r="M2808">
        <v>7.13</v>
      </c>
      <c r="N2808">
        <v>23.6</v>
      </c>
      <c r="O2808" t="s">
        <v>19</v>
      </c>
      <c r="P2808" t="s">
        <v>1267</v>
      </c>
      <c r="Q2808" t="s">
        <v>19</v>
      </c>
      <c r="R2808" t="str">
        <f>HYPERLINK("https://cfpub.epa.gov/ecotox/explore.cfm?ncbi=1686743","Explore in ECOTOX")</f>
        <v>Explore in ECOTOX</v>
      </c>
    </row>
    <row r="2809" spans="1:18" x14ac:dyDescent="0.45">
      <c r="A2809" t="s">
        <v>1266</v>
      </c>
      <c r="B2809">
        <v>8</v>
      </c>
      <c r="C2809" t="str">
        <f>HYPERLINK("http://www.ncbi.nlm.nih.gov/protein/KAK4295194.1","KAK4295194.1")</f>
        <v>KAK4295194.1</v>
      </c>
      <c r="D2809">
        <v>42854</v>
      </c>
      <c r="E2809" t="str">
        <f>HYPERLINK("http://www.ncbi.nlm.nih.gov/Taxonomy/Browser/wwwtax.cgi?mode=Info&amp;id=1843537&amp;lvl=3&amp;lin=f&amp;keep=1&amp;srchmode=1&amp;unlock","1843537")</f>
        <v>1843537</v>
      </c>
      <c r="F2809" t="s">
        <v>779</v>
      </c>
      <c r="G2809" t="str">
        <f>HYPERLINK("http://www.ncbi.nlm.nih.gov/Taxonomy/Browser/wwwtax.cgi?mode=Info&amp;id=1843537&amp;lvl=3&amp;lin=f&amp;keep=1&amp;srchmode=1&amp;unlock","Petrolisthes manimaculis")</f>
        <v>Petrolisthes manimaculis</v>
      </c>
      <c r="H2809" t="s">
        <v>1091</v>
      </c>
      <c r="I2809" t="str">
        <f>HYPERLINK("http://www.ncbi.nlm.nih.gov/protein/KAK4295194.1","hypothetical protein Pmani_032231, partial")</f>
        <v>hypothetical protein Pmani_032231, partial</v>
      </c>
      <c r="J2809">
        <v>2421.35</v>
      </c>
      <c r="K2809" t="s">
        <v>19</v>
      </c>
      <c r="L2809">
        <v>1210</v>
      </c>
      <c r="M2809">
        <v>7.13</v>
      </c>
      <c r="N2809">
        <v>23.59</v>
      </c>
      <c r="O2809" t="s">
        <v>19</v>
      </c>
      <c r="P2809" t="s">
        <v>1267</v>
      </c>
      <c r="Q2809" t="s">
        <v>19</v>
      </c>
      <c r="R2809" t="str">
        <f>HYPERLINK("https://cfpub.epa.gov/ecotox/explore.cfm?ncbi=1843537","Explore in ECOTOX")</f>
        <v>Explore in ECOTOX</v>
      </c>
    </row>
    <row r="2810" spans="1:18" x14ac:dyDescent="0.45">
      <c r="A2810" t="s">
        <v>1266</v>
      </c>
      <c r="B2810">
        <v>8</v>
      </c>
      <c r="C2810" t="str">
        <f>HYPERLINK("http://www.ncbi.nlm.nih.gov/protein/KAK3867881.1","KAK3867881.1")</f>
        <v>KAK3867881.1</v>
      </c>
      <c r="D2810">
        <v>47484</v>
      </c>
      <c r="E2810" t="str">
        <f>HYPERLINK("http://www.ncbi.nlm.nih.gov/Taxonomy/Browser/wwwtax.cgi?mode=Info&amp;id=88211&amp;lvl=3&amp;lin=f&amp;keep=1&amp;srchmode=1&amp;unlock","88211")</f>
        <v>88211</v>
      </c>
      <c r="F2810" t="s">
        <v>779</v>
      </c>
      <c r="G2810" t="str">
        <f>HYPERLINK("http://www.ncbi.nlm.nih.gov/Taxonomy/Browser/wwwtax.cgi?mode=Info&amp;id=88211&amp;lvl=3&amp;lin=f&amp;keep=1&amp;srchmode=1&amp;unlock","Petrolisthes cinctipes")</f>
        <v>Petrolisthes cinctipes</v>
      </c>
      <c r="H2810" t="s">
        <v>1094</v>
      </c>
      <c r="I2810" t="str">
        <f>HYPERLINK("http://www.ncbi.nlm.nih.gov/protein/KAK3867881.1","hypothetical protein Pcinc_026695, partial")</f>
        <v>hypothetical protein Pcinc_026695, partial</v>
      </c>
      <c r="J2810">
        <v>2419.42</v>
      </c>
      <c r="K2810" t="s">
        <v>19</v>
      </c>
      <c r="L2810">
        <v>1210</v>
      </c>
      <c r="M2810">
        <v>7.13</v>
      </c>
      <c r="N2810">
        <v>23.57</v>
      </c>
      <c r="O2810" t="s">
        <v>19</v>
      </c>
      <c r="P2810" t="s">
        <v>1267</v>
      </c>
      <c r="Q2810" t="s">
        <v>19</v>
      </c>
      <c r="R2810" t="str">
        <f>HYPERLINK("https://cfpub.epa.gov/ecotox/explore.cfm?ncbi=88211","Explore in ECOTOX")</f>
        <v>Explore in ECOTOX</v>
      </c>
    </row>
    <row r="2811" spans="1:18" x14ac:dyDescent="0.45">
      <c r="A2811" t="s">
        <v>1266</v>
      </c>
      <c r="B2811">
        <v>8</v>
      </c>
      <c r="C2811" t="str">
        <f>HYPERLINK("http://www.ncbi.nlm.nih.gov/protein/XP_042241828.1","XP_042241828.1")</f>
        <v>XP_042241828.1</v>
      </c>
      <c r="D2811">
        <v>65984</v>
      </c>
      <c r="E2811" t="str">
        <f>HYPERLINK("http://www.ncbi.nlm.nih.gov/Taxonomy/Browser/wwwtax.cgi?mode=Info&amp;id=6706&amp;lvl=3&amp;lin=f&amp;keep=1&amp;srchmode=1&amp;unlock","6706")</f>
        <v>6706</v>
      </c>
      <c r="F2811" t="s">
        <v>779</v>
      </c>
      <c r="G2811" t="str">
        <f>HYPERLINK("http://www.ncbi.nlm.nih.gov/Taxonomy/Browser/wwwtax.cgi?mode=Info&amp;id=6706&amp;lvl=3&amp;lin=f&amp;keep=1&amp;srchmode=1&amp;unlock","Homarus americanus")</f>
        <v>Homarus americanus</v>
      </c>
      <c r="H2811" t="s">
        <v>1095</v>
      </c>
      <c r="I2811" t="str">
        <f>HYPERLINK("http://www.ncbi.nlm.nih.gov/protein/XP_042241828.1","LOW QUALITY PROTEIN: ryanodine receptor-like")</f>
        <v>LOW QUALITY PROTEIN: ryanodine receptor-like</v>
      </c>
      <c r="J2811">
        <v>2410.1799999999998</v>
      </c>
      <c r="K2811" t="s">
        <v>19</v>
      </c>
      <c r="L2811">
        <v>1210</v>
      </c>
      <c r="M2811">
        <v>7.13</v>
      </c>
      <c r="N2811">
        <v>23.48</v>
      </c>
      <c r="O2811" t="s">
        <v>19</v>
      </c>
      <c r="P2811" t="s">
        <v>1267</v>
      </c>
      <c r="Q2811" t="s">
        <v>19</v>
      </c>
      <c r="R2811" t="str">
        <f>HYPERLINK("https://cfpub.epa.gov/ecotox/explore.cfm?ncbi=6706","Explore in ECOTOX")</f>
        <v>Explore in ECOTOX</v>
      </c>
    </row>
    <row r="2812" spans="1:18" x14ac:dyDescent="0.45">
      <c r="A2812" t="s">
        <v>1266</v>
      </c>
      <c r="B2812">
        <v>8</v>
      </c>
      <c r="C2812" t="str">
        <f>HYPERLINK("http://www.ncbi.nlm.nih.gov/protein/XP_042892545.1","XP_042892545.1")</f>
        <v>XP_042892545.1</v>
      </c>
      <c r="D2812">
        <v>40256</v>
      </c>
      <c r="E2812" t="str">
        <f>HYPERLINK("http://www.ncbi.nlm.nih.gov/Taxonomy/Browser/wwwtax.cgi?mode=Info&amp;id=27405&amp;lvl=3&amp;lin=f&amp;keep=1&amp;srchmode=1&amp;unlock","27405")</f>
        <v>27405</v>
      </c>
      <c r="F2812" t="s">
        <v>779</v>
      </c>
      <c r="G2812" t="str">
        <f>HYPERLINK("http://www.ncbi.nlm.nih.gov/Taxonomy/Browser/wwwtax.cgi?mode=Info&amp;id=27405&amp;lvl=3&amp;lin=f&amp;keep=1&amp;srchmode=1&amp;unlock","Penaeus japonicus")</f>
        <v>Penaeus japonicus</v>
      </c>
      <c r="H2812" t="s">
        <v>824</v>
      </c>
      <c r="I2812" t="str">
        <f>HYPERLINK("http://www.ncbi.nlm.nih.gov/protein/XP_042892545.1","ryanodine receptor-like isoform X7")</f>
        <v>ryanodine receptor-like isoform X7</v>
      </c>
      <c r="J2812">
        <v>2404.02</v>
      </c>
      <c r="K2812" t="s">
        <v>22</v>
      </c>
      <c r="L2812">
        <v>1210</v>
      </c>
      <c r="M2812">
        <v>7.13</v>
      </c>
      <c r="N2812">
        <v>23.42</v>
      </c>
      <c r="O2812" t="s">
        <v>19</v>
      </c>
      <c r="P2812" t="s">
        <v>1267</v>
      </c>
      <c r="Q2812" t="s">
        <v>19</v>
      </c>
      <c r="R2812" t="str">
        <f>HYPERLINK("https://cfpub.epa.gov/ecotox/explore.cfm?ncbi=27405","Explore in ECOTOX")</f>
        <v>Explore in ECOTOX</v>
      </c>
    </row>
    <row r="2813" spans="1:18" x14ac:dyDescent="0.45">
      <c r="A2813" t="s">
        <v>1266</v>
      </c>
      <c r="B2813">
        <v>8</v>
      </c>
      <c r="C2813" t="str">
        <f>HYPERLINK("http://www.ncbi.nlm.nih.gov/protein/XP_027204614.1","XP_027204614.1")</f>
        <v>XP_027204614.1</v>
      </c>
      <c r="D2813">
        <v>27767</v>
      </c>
      <c r="E2813" t="str">
        <f>HYPERLINK("http://www.ncbi.nlm.nih.gov/Taxonomy/Browser/wwwtax.cgi?mode=Info&amp;id=6956&amp;lvl=3&amp;lin=f&amp;keep=1&amp;srchmode=1&amp;unlock","6956")</f>
        <v>6956</v>
      </c>
      <c r="F2813" t="s">
        <v>904</v>
      </c>
      <c r="G2813" t="str">
        <f>HYPERLINK("http://www.ncbi.nlm.nih.gov/Taxonomy/Browser/wwwtax.cgi?mode=Info&amp;id=6956&amp;lvl=3&amp;lin=f&amp;keep=1&amp;srchmode=1&amp;unlock","Dermatophagoides pteronyssinus")</f>
        <v>Dermatophagoides pteronyssinus</v>
      </c>
      <c r="H2813" t="s">
        <v>1103</v>
      </c>
      <c r="I2813" t="str">
        <f>HYPERLINK("http://www.ncbi.nlm.nih.gov/protein/XP_027204614.1","ryanodine receptor-like")</f>
        <v>ryanodine receptor-like</v>
      </c>
      <c r="J2813">
        <v>2402.86</v>
      </c>
      <c r="K2813" t="s">
        <v>22</v>
      </c>
      <c r="L2813">
        <v>1210</v>
      </c>
      <c r="M2813">
        <v>7.13</v>
      </c>
      <c r="N2813">
        <v>23.41</v>
      </c>
      <c r="O2813" t="s">
        <v>19</v>
      </c>
      <c r="P2813" t="s">
        <v>1267</v>
      </c>
      <c r="Q2813" t="s">
        <v>19</v>
      </c>
      <c r="R2813" t="str">
        <f>HYPERLINK("https://cfpub.epa.gov/ecotox/explore.cfm?ncbi=6956","Explore in ECOTOX")</f>
        <v>Explore in ECOTOX</v>
      </c>
    </row>
    <row r="2814" spans="1:18" x14ac:dyDescent="0.45">
      <c r="A2814" t="s">
        <v>1266</v>
      </c>
      <c r="B2814">
        <v>8</v>
      </c>
      <c r="C2814" t="str">
        <f>HYPERLINK("http://www.ncbi.nlm.nih.gov/protein/XP_053626989.1","XP_053626989.1")</f>
        <v>XP_053626989.1</v>
      </c>
      <c r="D2814">
        <v>32058</v>
      </c>
      <c r="E2814" t="str">
        <f>HYPERLINK("http://www.ncbi.nlm.nih.gov/Taxonomy/Browser/wwwtax.cgi?mode=Info&amp;id=27406&amp;lvl=3&amp;lin=f&amp;keep=1&amp;srchmode=1&amp;unlock","27406")</f>
        <v>27406</v>
      </c>
      <c r="F2814" t="s">
        <v>779</v>
      </c>
      <c r="G2814" t="str">
        <f>HYPERLINK("http://www.ncbi.nlm.nih.gov/Taxonomy/Browser/wwwtax.cgi?mode=Info&amp;id=27406&amp;lvl=3&amp;lin=f&amp;keep=1&amp;srchmode=1&amp;unlock","Cherax quadricarinatus")</f>
        <v>Cherax quadricarinatus</v>
      </c>
      <c r="H2814" t="s">
        <v>826</v>
      </c>
      <c r="I2814" t="str">
        <f>HYPERLINK("http://www.ncbi.nlm.nih.gov/protein/XP_053626989.1","LOW QUALITY PROTEIN: ryanodine receptor-like")</f>
        <v>LOW QUALITY PROTEIN: ryanodine receptor-like</v>
      </c>
      <c r="J2814">
        <v>2395.16</v>
      </c>
      <c r="K2814" t="s">
        <v>22</v>
      </c>
      <c r="L2814">
        <v>1210</v>
      </c>
      <c r="M2814">
        <v>7.13</v>
      </c>
      <c r="N2814">
        <v>23.34</v>
      </c>
      <c r="O2814" t="s">
        <v>19</v>
      </c>
      <c r="P2814" t="s">
        <v>1267</v>
      </c>
      <c r="Q2814" t="s">
        <v>19</v>
      </c>
      <c r="R2814" t="str">
        <f>HYPERLINK("https://cfpub.epa.gov/ecotox/explore.cfm?ncbi=27406","Explore in ECOTOX")</f>
        <v>Explore in ECOTOX</v>
      </c>
    </row>
    <row r="2815" spans="1:18" x14ac:dyDescent="0.45">
      <c r="A2815" t="s">
        <v>1266</v>
      </c>
      <c r="B2815">
        <v>8</v>
      </c>
      <c r="C2815" t="str">
        <f>HYPERLINK("http://www.ncbi.nlm.nih.gov/protein/XP_022665128.1","XP_022665128.1")</f>
        <v>XP_022665128.1</v>
      </c>
      <c r="D2815">
        <v>30713</v>
      </c>
      <c r="E2815" t="str">
        <f>HYPERLINK("http://www.ncbi.nlm.nih.gov/Taxonomy/Browser/wwwtax.cgi?mode=Info&amp;id=109461&amp;lvl=3&amp;lin=f&amp;keep=1&amp;srchmode=1&amp;unlock","109461")</f>
        <v>109461</v>
      </c>
      <c r="F2815" t="s">
        <v>904</v>
      </c>
      <c r="G2815" t="str">
        <f>HYPERLINK("http://www.ncbi.nlm.nih.gov/Taxonomy/Browser/wwwtax.cgi?mode=Info&amp;id=109461&amp;lvl=3&amp;lin=f&amp;keep=1&amp;srchmode=1&amp;unlock","Varroa destructor")</f>
        <v>Varroa destructor</v>
      </c>
      <c r="H2815" t="s">
        <v>1101</v>
      </c>
      <c r="I2815" t="str">
        <f>HYPERLINK("http://www.ncbi.nlm.nih.gov/protein/XP_022665128.1","LOW QUALITY PROTEIN: ryanodine receptor-like")</f>
        <v>LOW QUALITY PROTEIN: ryanodine receptor-like</v>
      </c>
      <c r="J2815">
        <v>2382.06</v>
      </c>
      <c r="K2815" t="s">
        <v>22</v>
      </c>
      <c r="L2815">
        <v>1210</v>
      </c>
      <c r="M2815">
        <v>7.13</v>
      </c>
      <c r="N2815">
        <v>23.21</v>
      </c>
      <c r="O2815" t="s">
        <v>19</v>
      </c>
      <c r="P2815" t="s">
        <v>1267</v>
      </c>
      <c r="Q2815" t="s">
        <v>19</v>
      </c>
      <c r="R2815" t="str">
        <f>HYPERLINK("https://cfpub.epa.gov/ecotox/explore.cfm?ncbi=109461","Explore in ECOTOX")</f>
        <v>Explore in ECOTOX</v>
      </c>
    </row>
    <row r="2816" spans="1:18" x14ac:dyDescent="0.45">
      <c r="A2816" t="s">
        <v>1266</v>
      </c>
      <c r="B2816">
        <v>8</v>
      </c>
      <c r="C2816" t="str">
        <f>HYPERLINK("http://www.ncbi.nlm.nih.gov/protein/NWI95812.1","NWI95812.1")</f>
        <v>NWI95812.1</v>
      </c>
      <c r="D2816">
        <v>13920</v>
      </c>
      <c r="E2816" t="str">
        <f>HYPERLINK("http://www.ncbi.nlm.nih.gov/Taxonomy/Browser/wwwtax.cgi?mode=Info&amp;id=9163&amp;lvl=3&amp;lin=f&amp;keep=1&amp;srchmode=1&amp;unlock","9163")</f>
        <v>9163</v>
      </c>
      <c r="F2816" t="s">
        <v>241</v>
      </c>
      <c r="G2816" t="str">
        <f>HYPERLINK("http://www.ncbi.nlm.nih.gov/Taxonomy/Browser/wwwtax.cgi?mode=Info&amp;id=9163&amp;lvl=3&amp;lin=f&amp;keep=1&amp;srchmode=1&amp;unlock","Pitta sordida")</f>
        <v>Pitta sordida</v>
      </c>
      <c r="H2816" t="s">
        <v>1045</v>
      </c>
      <c r="I2816" t="str">
        <f>HYPERLINK("http://www.ncbi.nlm.nih.gov/protein/NWI95812.1","RYR3 protein")</f>
        <v>RYR3 protein</v>
      </c>
      <c r="J2816">
        <v>2382.06</v>
      </c>
      <c r="K2816" t="s">
        <v>22</v>
      </c>
      <c r="L2816">
        <v>1210</v>
      </c>
      <c r="M2816">
        <v>7.13</v>
      </c>
      <c r="N2816">
        <v>23.21</v>
      </c>
      <c r="O2816" t="s">
        <v>19</v>
      </c>
      <c r="P2816" t="s">
        <v>1267</v>
      </c>
      <c r="Q2816" t="s">
        <v>19</v>
      </c>
      <c r="R2816" t="str">
        <f>HYPERLINK("https://cfpub.epa.gov/ecotox/explore.cfm?ncbi=9163","Explore in ECOTOX")</f>
        <v>Explore in ECOTOX</v>
      </c>
    </row>
    <row r="2817" spans="1:18" x14ac:dyDescent="0.45">
      <c r="A2817" t="s">
        <v>1266</v>
      </c>
      <c r="B2817">
        <v>8</v>
      </c>
      <c r="C2817" t="str">
        <f>HYPERLINK("http://www.ncbi.nlm.nih.gov/protein/XP_022694949.1","XP_022694949.1")</f>
        <v>XP_022694949.1</v>
      </c>
      <c r="D2817">
        <v>26020</v>
      </c>
      <c r="E2817" t="str">
        <f>HYPERLINK("http://www.ncbi.nlm.nih.gov/Taxonomy/Browser/wwwtax.cgi?mode=Info&amp;id=62625&amp;lvl=3&amp;lin=f&amp;keep=1&amp;srchmode=1&amp;unlock","62625")</f>
        <v>62625</v>
      </c>
      <c r="F2817" t="s">
        <v>904</v>
      </c>
      <c r="G2817" t="str">
        <f>HYPERLINK("http://www.ncbi.nlm.nih.gov/Taxonomy/Browser/wwwtax.cgi?mode=Info&amp;id=62625&amp;lvl=3&amp;lin=f&amp;keep=1&amp;srchmode=1&amp;unlock","Varroa jacobsoni")</f>
        <v>Varroa jacobsoni</v>
      </c>
      <c r="H2817" t="s">
        <v>992</v>
      </c>
      <c r="I2817" t="str">
        <f>HYPERLINK("http://www.ncbi.nlm.nih.gov/protein/XP_022694949.1","LOW QUALITY PROTEIN: ryanodine receptor-like")</f>
        <v>LOW QUALITY PROTEIN: ryanodine receptor-like</v>
      </c>
      <c r="J2817">
        <v>2381.29</v>
      </c>
      <c r="K2817" t="s">
        <v>22</v>
      </c>
      <c r="L2817">
        <v>1210</v>
      </c>
      <c r="M2817">
        <v>7.13</v>
      </c>
      <c r="N2817">
        <v>23.2</v>
      </c>
      <c r="O2817" t="s">
        <v>19</v>
      </c>
      <c r="P2817" t="s">
        <v>1267</v>
      </c>
      <c r="Q2817" t="s">
        <v>19</v>
      </c>
      <c r="R2817" t="str">
        <f>HYPERLINK("https://cfpub.epa.gov/ecotox/explore.cfm?ncbi=62625","Explore in ECOTOX")</f>
        <v>Explore in ECOTOX</v>
      </c>
    </row>
    <row r="2818" spans="1:18" x14ac:dyDescent="0.45">
      <c r="A2818" t="s">
        <v>1266</v>
      </c>
      <c r="B2818">
        <v>8</v>
      </c>
      <c r="C2818" t="str">
        <f>HYPERLINK("http://www.ncbi.nlm.nih.gov/protein/XP_028968698.1","XP_028968698.1")</f>
        <v>XP_028968698.1</v>
      </c>
      <c r="D2818">
        <v>11907</v>
      </c>
      <c r="E2818" t="str">
        <f>HYPERLINK("http://www.ncbi.nlm.nih.gov/Taxonomy/Browser/wwwtax.cgi?mode=Info&amp;id=34638&amp;lvl=3&amp;lin=f&amp;keep=1&amp;srchmode=1&amp;unlock","34638")</f>
        <v>34638</v>
      </c>
      <c r="F2818" t="s">
        <v>904</v>
      </c>
      <c r="G2818" t="str">
        <f>HYPERLINK("http://www.ncbi.nlm.nih.gov/Taxonomy/Browser/wwwtax.cgi?mode=Info&amp;id=34638&amp;lvl=3&amp;lin=f&amp;keep=1&amp;srchmode=1&amp;unlock","Galendromus occidentalis")</f>
        <v>Galendromus occidentalis</v>
      </c>
      <c r="H2818" t="s">
        <v>1007</v>
      </c>
      <c r="I2818" t="str">
        <f>HYPERLINK("http://www.ncbi.nlm.nih.gov/protein/XP_028968698.1","ryanodine receptor")</f>
        <v>ryanodine receptor</v>
      </c>
      <c r="J2818">
        <v>2369.35</v>
      </c>
      <c r="K2818" t="s">
        <v>22</v>
      </c>
      <c r="L2818">
        <v>1210</v>
      </c>
      <c r="M2818">
        <v>7.13</v>
      </c>
      <c r="N2818">
        <v>23.09</v>
      </c>
      <c r="O2818" t="s">
        <v>19</v>
      </c>
      <c r="P2818" t="s">
        <v>1267</v>
      </c>
      <c r="Q2818" t="s">
        <v>19</v>
      </c>
      <c r="R2818" t="str">
        <f>HYPERLINK("https://cfpub.epa.gov/ecotox/explore.cfm?ncbi=34638","Explore in ECOTOX")</f>
        <v>Explore in ECOTOX</v>
      </c>
    </row>
    <row r="2819" spans="1:18" x14ac:dyDescent="0.45">
      <c r="A2819" t="s">
        <v>1266</v>
      </c>
      <c r="B2819">
        <v>8</v>
      </c>
      <c r="C2819" t="str">
        <f>HYPERLINK("http://www.ncbi.nlm.nih.gov/protein/XP_053210168.1","XP_053210168.1")</f>
        <v>XP_053210168.1</v>
      </c>
      <c r="D2819">
        <v>15055</v>
      </c>
      <c r="E2819" t="str">
        <f>HYPERLINK("http://www.ncbi.nlm.nih.gov/Taxonomy/Browser/wwwtax.cgi?mode=Info&amp;id=50023&amp;lvl=3&amp;lin=f&amp;keep=1&amp;srchmode=1&amp;unlock","50023")</f>
        <v>50023</v>
      </c>
      <c r="F2819" t="s">
        <v>904</v>
      </c>
      <c r="G2819" t="str">
        <f>HYPERLINK("http://www.ncbi.nlm.nih.gov/Taxonomy/Browser/wwwtax.cgi?mode=Info&amp;id=50023&amp;lvl=3&amp;lin=f&amp;keep=1&amp;srchmode=1&amp;unlock","Panonychus citri")</f>
        <v>Panonychus citri</v>
      </c>
      <c r="H2819" t="s">
        <v>1003</v>
      </c>
      <c r="I2819" t="str">
        <f>HYPERLINK("http://www.ncbi.nlm.nih.gov/protein/XP_053210168.1","LOW QUALITY PROTEIN: ryanodine receptor-like")</f>
        <v>LOW QUALITY PROTEIN: ryanodine receptor-like</v>
      </c>
      <c r="J2819">
        <v>2345.08</v>
      </c>
      <c r="K2819" t="s">
        <v>22</v>
      </c>
      <c r="L2819">
        <v>1210</v>
      </c>
      <c r="M2819">
        <v>7.13</v>
      </c>
      <c r="N2819">
        <v>22.85</v>
      </c>
      <c r="O2819" t="s">
        <v>19</v>
      </c>
      <c r="P2819" t="s">
        <v>1267</v>
      </c>
      <c r="Q2819" t="s">
        <v>19</v>
      </c>
      <c r="R2819" t="str">
        <f>HYPERLINK("https://cfpub.epa.gov/ecotox/explore.cfm?ncbi=50023","Explore in ECOTOX")</f>
        <v>Explore in ECOTOX</v>
      </c>
    </row>
    <row r="2820" spans="1:18" x14ac:dyDescent="0.45">
      <c r="A2820" t="s">
        <v>1266</v>
      </c>
      <c r="B2820">
        <v>8</v>
      </c>
      <c r="C2820" t="str">
        <f>HYPERLINK("http://www.ncbi.nlm.nih.gov/protein/KAF2367666.1","KAF2367666.1")</f>
        <v>KAF2367666.1</v>
      </c>
      <c r="D2820">
        <v>26121</v>
      </c>
      <c r="E2820" t="str">
        <f>HYPERLINK("http://www.ncbi.nlm.nih.gov/Taxonomy/Browser/wwwtax.cgi?mode=Info&amp;id=1923959&amp;lvl=3&amp;lin=f&amp;keep=1&amp;srchmode=1&amp;unlock","1923959")</f>
        <v>1923959</v>
      </c>
      <c r="F2820" t="s">
        <v>779</v>
      </c>
      <c r="G2820" t="str">
        <f>HYPERLINK("http://www.ncbi.nlm.nih.gov/Taxonomy/Browser/wwwtax.cgi?mode=Info&amp;id=1923959&amp;lvl=3&amp;lin=f&amp;keep=1&amp;srchmode=1&amp;unlock","Trinorchestia longiramus")</f>
        <v>Trinorchestia longiramus</v>
      </c>
      <c r="H2820" t="s">
        <v>1102</v>
      </c>
      <c r="I2820" t="str">
        <f>HYPERLINK("http://www.ncbi.nlm.nih.gov/protein/KAF2367666.1","Ryanodine receptor Ryr")</f>
        <v>Ryanodine receptor Ryr</v>
      </c>
      <c r="J2820">
        <v>2340.46</v>
      </c>
      <c r="K2820" t="s">
        <v>19</v>
      </c>
      <c r="L2820">
        <v>1210</v>
      </c>
      <c r="M2820">
        <v>7.13</v>
      </c>
      <c r="N2820">
        <v>22.81</v>
      </c>
      <c r="O2820" t="s">
        <v>19</v>
      </c>
      <c r="P2820" t="s">
        <v>1267</v>
      </c>
      <c r="Q2820" t="s">
        <v>19</v>
      </c>
      <c r="R2820" t="str">
        <f>HYPERLINK("https://cfpub.epa.gov/ecotox/explore.cfm?ncbi=1923959","Explore in ECOTOX")</f>
        <v>Explore in ECOTOX</v>
      </c>
    </row>
    <row r="2821" spans="1:18" x14ac:dyDescent="0.45">
      <c r="A2821" t="s">
        <v>1266</v>
      </c>
      <c r="B2821">
        <v>8</v>
      </c>
      <c r="C2821" t="str">
        <f>HYPERLINK("http://www.ncbi.nlm.nih.gov/protein/CAF2384875.1","CAF2384875.1")</f>
        <v>CAF2384875.1</v>
      </c>
      <c r="D2821">
        <v>379546</v>
      </c>
      <c r="E2821" t="str">
        <f>HYPERLINK("http://www.ncbi.nlm.nih.gov/Taxonomy/Browser/wwwtax.cgi?mode=Info&amp;id=2762512&amp;lvl=3&amp;lin=f&amp;keep=1&amp;srchmode=1&amp;unlock","2762512")</f>
        <v>2762512</v>
      </c>
      <c r="F2821" t="s">
        <v>811</v>
      </c>
      <c r="G2821" t="str">
        <f>HYPERLINK("http://www.ncbi.nlm.nih.gov/Taxonomy/Browser/wwwtax.cgi?mode=Info&amp;id=2762512&amp;lvl=3&amp;lin=f&amp;keep=1&amp;srchmode=1&amp;unlock","Rotaria sp. Silwood2")</f>
        <v>Rotaria sp. Silwood2</v>
      </c>
      <c r="H2821" t="s">
        <v>812</v>
      </c>
      <c r="I2821" t="str">
        <f>HYPERLINK("http://www.ncbi.nlm.nih.gov/protein/CAF2384875.1","unnamed protein product")</f>
        <v>unnamed protein product</v>
      </c>
      <c r="J2821">
        <v>2338.15</v>
      </c>
      <c r="K2821" t="s">
        <v>19</v>
      </c>
      <c r="L2821">
        <v>1210</v>
      </c>
      <c r="M2821">
        <v>7.13</v>
      </c>
      <c r="N2821">
        <v>22.78</v>
      </c>
      <c r="O2821" t="s">
        <v>19</v>
      </c>
      <c r="P2821" t="s">
        <v>1267</v>
      </c>
      <c r="Q2821" t="s">
        <v>19</v>
      </c>
      <c r="R2821" t="str">
        <f>HYPERLINK("https://cfpub.epa.gov/ecotox/explore.cfm?ncbi=2762512","Explore in ECOTOX")</f>
        <v>Explore in ECOTOX</v>
      </c>
    </row>
    <row r="2822" spans="1:18" x14ac:dyDescent="0.45">
      <c r="A2822" t="s">
        <v>1266</v>
      </c>
      <c r="B2822">
        <v>8</v>
      </c>
      <c r="C2822" t="str">
        <f>HYPERLINK("http://www.ncbi.nlm.nih.gov/protein/CAF1235207.1","CAF1235207.1")</f>
        <v>CAF1235207.1</v>
      </c>
      <c r="D2822">
        <v>113535</v>
      </c>
      <c r="E2822" t="str">
        <f>HYPERLINK("http://www.ncbi.nlm.nih.gov/Taxonomy/Browser/wwwtax.cgi?mode=Info&amp;id=249248&amp;lvl=3&amp;lin=f&amp;keep=1&amp;srchmode=1&amp;unlock","249248")</f>
        <v>249248</v>
      </c>
      <c r="F2822" t="s">
        <v>811</v>
      </c>
      <c r="G2822" t="str">
        <f>HYPERLINK("http://www.ncbi.nlm.nih.gov/Taxonomy/Browser/wwwtax.cgi?mode=Info&amp;id=249248&amp;lvl=3&amp;lin=f&amp;keep=1&amp;srchmode=1&amp;unlock","Adineta ricciae")</f>
        <v>Adineta ricciae</v>
      </c>
      <c r="H2822" t="s">
        <v>812</v>
      </c>
      <c r="I2822" t="str">
        <f>HYPERLINK("http://www.ncbi.nlm.nih.gov/protein/CAF1235207.1","unnamed protein product")</f>
        <v>unnamed protein product</v>
      </c>
      <c r="J2822">
        <v>2325.8200000000002</v>
      </c>
      <c r="K2822" t="s">
        <v>19</v>
      </c>
      <c r="L2822">
        <v>1210</v>
      </c>
      <c r="M2822">
        <v>7.13</v>
      </c>
      <c r="N2822">
        <v>22.66</v>
      </c>
      <c r="O2822" t="s">
        <v>19</v>
      </c>
      <c r="P2822" t="s">
        <v>1267</v>
      </c>
      <c r="Q2822" t="s">
        <v>19</v>
      </c>
      <c r="R2822" t="str">
        <f>HYPERLINK("https://cfpub.epa.gov/ecotox/explore.cfm?ncbi=249248","Explore in ECOTOX")</f>
        <v>Explore in ECOTOX</v>
      </c>
    </row>
    <row r="2823" spans="1:18" x14ac:dyDescent="0.45">
      <c r="A2823" t="s">
        <v>1266</v>
      </c>
      <c r="B2823">
        <v>8</v>
      </c>
      <c r="C2823" t="str">
        <f>HYPERLINK("http://www.ncbi.nlm.nih.gov/protein/CAF0810497.1","CAF0810497.1")</f>
        <v>CAF0810497.1</v>
      </c>
      <c r="D2823">
        <v>441127</v>
      </c>
      <c r="E2823" t="str">
        <f>HYPERLINK("http://www.ncbi.nlm.nih.gov/Taxonomy/Browser/wwwtax.cgi?mode=Info&amp;id=2762511&amp;lvl=3&amp;lin=f&amp;keep=1&amp;srchmode=1&amp;unlock","2762511")</f>
        <v>2762511</v>
      </c>
      <c r="F2823" t="s">
        <v>811</v>
      </c>
      <c r="G2823" t="str">
        <f>HYPERLINK("http://www.ncbi.nlm.nih.gov/Taxonomy/Browser/wwwtax.cgi?mode=Info&amp;id=2762511&amp;lvl=3&amp;lin=f&amp;keep=1&amp;srchmode=1&amp;unlock","Rotaria sp. Silwood1")</f>
        <v>Rotaria sp. Silwood1</v>
      </c>
      <c r="H2823" t="s">
        <v>812</v>
      </c>
      <c r="I2823" t="str">
        <f>HYPERLINK("http://www.ncbi.nlm.nih.gov/protein/CAF0810497.1","unnamed protein product")</f>
        <v>unnamed protein product</v>
      </c>
      <c r="J2823">
        <v>2324.67</v>
      </c>
      <c r="K2823" t="s">
        <v>19</v>
      </c>
      <c r="L2823">
        <v>1210</v>
      </c>
      <c r="M2823">
        <v>7.13</v>
      </c>
      <c r="N2823">
        <v>22.65</v>
      </c>
      <c r="O2823" t="s">
        <v>19</v>
      </c>
      <c r="P2823" t="s">
        <v>1267</v>
      </c>
      <c r="Q2823" t="s">
        <v>19</v>
      </c>
      <c r="R2823" t="str">
        <f>HYPERLINK("https://cfpub.epa.gov/ecotox/explore.cfm?ncbi=2762511","Explore in ECOTOX")</f>
        <v>Explore in ECOTOX</v>
      </c>
    </row>
    <row r="2824" spans="1:18" x14ac:dyDescent="0.45">
      <c r="A2824" t="s">
        <v>1266</v>
      </c>
      <c r="B2824">
        <v>8</v>
      </c>
      <c r="C2824" t="str">
        <f>HYPERLINK("http://www.ncbi.nlm.nih.gov/protein/CAD7240925.1","CAD7240925.1")</f>
        <v>CAD7240925.1</v>
      </c>
      <c r="D2824">
        <v>31318</v>
      </c>
      <c r="E2824" t="str">
        <f>HYPERLINK("http://www.ncbi.nlm.nih.gov/Taxonomy/Browser/wwwtax.cgi?mode=Info&amp;id=69355&amp;lvl=3&amp;lin=f&amp;keep=1&amp;srchmode=1&amp;unlock","69355")</f>
        <v>69355</v>
      </c>
      <c r="F2824" t="s">
        <v>1105</v>
      </c>
      <c r="G2824" t="str">
        <f>HYPERLINK("http://www.ncbi.nlm.nih.gov/Taxonomy/Browser/wwwtax.cgi?mode=Info&amp;id=69355&amp;lvl=3&amp;lin=f&amp;keep=1&amp;srchmode=1&amp;unlock","Darwinula stevensoni")</f>
        <v>Darwinula stevensoni</v>
      </c>
      <c r="H2824" t="s">
        <v>1106</v>
      </c>
      <c r="I2824" t="str">
        <f>HYPERLINK("http://www.ncbi.nlm.nih.gov/protein/CAD7240925.1","unnamed protein product")</f>
        <v>unnamed protein product</v>
      </c>
      <c r="J2824">
        <v>2319.27</v>
      </c>
      <c r="K2824" t="s">
        <v>19</v>
      </c>
      <c r="L2824">
        <v>1210</v>
      </c>
      <c r="M2824">
        <v>7.13</v>
      </c>
      <c r="N2824">
        <v>22.6</v>
      </c>
      <c r="O2824" t="s">
        <v>19</v>
      </c>
      <c r="P2824" t="s">
        <v>1267</v>
      </c>
      <c r="Q2824" t="s">
        <v>19</v>
      </c>
      <c r="R2824" t="str">
        <f>HYPERLINK("https://cfpub.epa.gov/ecotox/explore.cfm?ncbi=69355","Explore in ECOTOX")</f>
        <v>Explore in ECOTOX</v>
      </c>
    </row>
    <row r="2825" spans="1:18" x14ac:dyDescent="0.45">
      <c r="A2825" t="s">
        <v>1266</v>
      </c>
      <c r="B2825">
        <v>8</v>
      </c>
      <c r="C2825" t="str">
        <f>HYPERLINK("http://www.ncbi.nlm.nih.gov/protein/CAF0715298.1","CAF0715298.1")</f>
        <v>CAF0715298.1</v>
      </c>
      <c r="D2825">
        <v>25519</v>
      </c>
      <c r="E2825" t="str">
        <f>HYPERLINK("http://www.ncbi.nlm.nih.gov/Taxonomy/Browser/wwwtax.cgi?mode=Info&amp;id=104777&amp;lvl=3&amp;lin=f&amp;keep=1&amp;srchmode=1&amp;unlock","104777")</f>
        <v>104777</v>
      </c>
      <c r="F2825" t="s">
        <v>811</v>
      </c>
      <c r="G2825" t="str">
        <f>HYPERLINK("http://www.ncbi.nlm.nih.gov/Taxonomy/Browser/wwwtax.cgi?mode=Info&amp;id=104777&amp;lvl=3&amp;lin=f&amp;keep=1&amp;srchmode=1&amp;unlock","Brachionus calyciflorus")</f>
        <v>Brachionus calyciflorus</v>
      </c>
      <c r="H2825" t="s">
        <v>812</v>
      </c>
      <c r="I2825" t="str">
        <f>HYPERLINK("http://www.ncbi.nlm.nih.gov/protein/CAF0715298.1","unnamed protein product")</f>
        <v>unnamed protein product</v>
      </c>
      <c r="J2825">
        <v>2308.1</v>
      </c>
      <c r="K2825" t="s">
        <v>19</v>
      </c>
      <c r="L2825">
        <v>1210</v>
      </c>
      <c r="M2825">
        <v>7.13</v>
      </c>
      <c r="N2825">
        <v>22.49</v>
      </c>
      <c r="O2825" t="s">
        <v>19</v>
      </c>
      <c r="P2825" t="s">
        <v>1267</v>
      </c>
      <c r="Q2825" t="s">
        <v>19</v>
      </c>
      <c r="R2825" t="str">
        <f>HYPERLINK("https://cfpub.epa.gov/ecotox/explore.cfm?ncbi=104777","Explore in ECOTOX")</f>
        <v>Explore in ECOTOX</v>
      </c>
    </row>
    <row r="2826" spans="1:18" x14ac:dyDescent="0.45">
      <c r="A2826" t="s">
        <v>1266</v>
      </c>
      <c r="B2826">
        <v>8</v>
      </c>
      <c r="C2826" t="str">
        <f>HYPERLINK("http://www.ncbi.nlm.nih.gov/protein/CAF0745111.1","CAF0745111.1")</f>
        <v>CAF0745111.1</v>
      </c>
      <c r="D2826">
        <v>194812</v>
      </c>
      <c r="E2826" t="str">
        <f>HYPERLINK("http://www.ncbi.nlm.nih.gov/Taxonomy/Browser/wwwtax.cgi?mode=Info&amp;id=1234261&amp;lvl=3&amp;lin=f&amp;keep=1&amp;srchmode=1&amp;unlock","1234261")</f>
        <v>1234261</v>
      </c>
      <c r="F2826" t="s">
        <v>811</v>
      </c>
      <c r="G2826" t="str">
        <f>HYPERLINK("http://www.ncbi.nlm.nih.gov/Taxonomy/Browser/wwwtax.cgi?mode=Info&amp;id=1234261&amp;lvl=3&amp;lin=f&amp;keep=1&amp;srchmode=1&amp;unlock","Didymodactylos carnosus")</f>
        <v>Didymodactylos carnosus</v>
      </c>
      <c r="H2826" t="s">
        <v>812</v>
      </c>
      <c r="I2826" t="str">
        <f>HYPERLINK("http://www.ncbi.nlm.nih.gov/protein/CAF0745111.1","unnamed protein product, partial")</f>
        <v>unnamed protein product, partial</v>
      </c>
      <c r="J2826">
        <v>2291.92</v>
      </c>
      <c r="K2826" t="s">
        <v>19</v>
      </c>
      <c r="L2826">
        <v>1210</v>
      </c>
      <c r="M2826">
        <v>7.13</v>
      </c>
      <c r="N2826">
        <v>22.33</v>
      </c>
      <c r="O2826" t="s">
        <v>19</v>
      </c>
      <c r="P2826" t="s">
        <v>1267</v>
      </c>
      <c r="Q2826" t="s">
        <v>19</v>
      </c>
      <c r="R2826" t="str">
        <f>HYPERLINK("https://cfpub.epa.gov/ecotox/explore.cfm?ncbi=1234261","Explore in ECOTOX")</f>
        <v>Explore in ECOTOX</v>
      </c>
    </row>
    <row r="2827" spans="1:18" x14ac:dyDescent="0.45">
      <c r="A2827" t="s">
        <v>1266</v>
      </c>
      <c r="B2827">
        <v>8</v>
      </c>
      <c r="C2827" t="str">
        <f>HYPERLINK("http://www.ncbi.nlm.nih.gov/protein/UJR09568.1","UJR09568.1")</f>
        <v>UJR09568.1</v>
      </c>
      <c r="D2827">
        <v>33135</v>
      </c>
      <c r="E2827" t="str">
        <f>HYPERLINK("http://www.ncbi.nlm.nih.gov/Taxonomy/Browser/wwwtax.cgi?mode=Info&amp;id=104782&amp;lvl=3&amp;lin=f&amp;keep=1&amp;srchmode=1&amp;unlock","104782")</f>
        <v>104782</v>
      </c>
      <c r="F2827" t="s">
        <v>811</v>
      </c>
      <c r="G2827" t="str">
        <f>HYPERLINK("http://www.ncbi.nlm.nih.gov/Taxonomy/Browser/wwwtax.cgi?mode=Info&amp;id=104782&amp;lvl=3&amp;lin=f&amp;keep=1&amp;srchmode=1&amp;unlock","Adineta vaga")</f>
        <v>Adineta vaga</v>
      </c>
      <c r="H2827" t="s">
        <v>812</v>
      </c>
      <c r="I2827" t="str">
        <f>HYPERLINK("http://www.ncbi.nlm.nih.gov/protein/UJR09568.1","hypothetical protein I4U23_013803")</f>
        <v>hypothetical protein I4U23_013803</v>
      </c>
      <c r="J2827">
        <v>2279.98</v>
      </c>
      <c r="K2827" t="s">
        <v>19</v>
      </c>
      <c r="L2827">
        <v>1210</v>
      </c>
      <c r="M2827">
        <v>7.13</v>
      </c>
      <c r="N2827">
        <v>22.22</v>
      </c>
      <c r="O2827" t="s">
        <v>19</v>
      </c>
      <c r="P2827" t="s">
        <v>1267</v>
      </c>
      <c r="Q2827" t="s">
        <v>19</v>
      </c>
      <c r="R2827" t="str">
        <f>HYPERLINK("https://cfpub.epa.gov/ecotox/explore.cfm?ncbi=104782","Explore in ECOTOX")</f>
        <v>Explore in ECOTOX</v>
      </c>
    </row>
    <row r="2828" spans="1:18" x14ac:dyDescent="0.45">
      <c r="A2828" t="s">
        <v>1266</v>
      </c>
      <c r="B2828">
        <v>8</v>
      </c>
      <c r="C2828" t="str">
        <f>HYPERLINK("http://www.ncbi.nlm.nih.gov/protein/KAG6935681.1","KAG6935681.1")</f>
        <v>KAG6935681.1</v>
      </c>
      <c r="D2828">
        <v>21178</v>
      </c>
      <c r="E2828" t="str">
        <f>HYPERLINK("http://www.ncbi.nlm.nih.gov/Taxonomy/Browser/wwwtax.cgi?mode=Info&amp;id=8475&amp;lvl=3&amp;lin=f&amp;keep=1&amp;srchmode=1&amp;unlock","8475")</f>
        <v>8475</v>
      </c>
      <c r="F2828" t="s">
        <v>203</v>
      </c>
      <c r="G2828" t="str">
        <f>HYPERLINK("http://www.ncbi.nlm.nih.gov/Taxonomy/Browser/wwwtax.cgi?mode=Info&amp;id=8475&amp;lvl=3&amp;lin=f&amp;keep=1&amp;srchmode=1&amp;unlock","Chelydra serpentina")</f>
        <v>Chelydra serpentina</v>
      </c>
      <c r="H2828" t="s">
        <v>1100</v>
      </c>
      <c r="I2828" t="str">
        <f>HYPERLINK("http://www.ncbi.nlm.nih.gov/protein/KAG6935681.1","ryanodine receptor 3, partial")</f>
        <v>ryanodine receptor 3, partial</v>
      </c>
      <c r="J2828">
        <v>2267.66</v>
      </c>
      <c r="K2828" t="s">
        <v>22</v>
      </c>
      <c r="L2828">
        <v>1210</v>
      </c>
      <c r="M2828">
        <v>7.13</v>
      </c>
      <c r="N2828">
        <v>22.1</v>
      </c>
      <c r="O2828" t="s">
        <v>19</v>
      </c>
      <c r="P2828" t="s">
        <v>1267</v>
      </c>
      <c r="Q2828" t="s">
        <v>19</v>
      </c>
      <c r="R2828" t="str">
        <f>HYPERLINK("https://cfpub.epa.gov/ecotox/explore.cfm?ncbi=8475","Explore in ECOTOX")</f>
        <v>Explore in ECOTOX</v>
      </c>
    </row>
    <row r="2829" spans="1:18" x14ac:dyDescent="0.45">
      <c r="A2829" t="s">
        <v>1266</v>
      </c>
      <c r="B2829">
        <v>8</v>
      </c>
      <c r="C2829" t="str">
        <f>HYPERLINK("http://www.ncbi.nlm.nih.gov/protein/XP_040569169.1","XP_040569169.1")</f>
        <v>XP_040569169.1</v>
      </c>
      <c r="D2829">
        <v>58277</v>
      </c>
      <c r="E2829" t="str">
        <f>HYPERLINK("http://www.ncbi.nlm.nih.gov/Taxonomy/Browser/wwwtax.cgi?mode=Info&amp;id=72036&amp;lvl=3&amp;lin=f&amp;keep=1&amp;srchmode=1&amp;unlock","72036")</f>
        <v>72036</v>
      </c>
      <c r="F2829" t="s">
        <v>794</v>
      </c>
      <c r="G2829" t="str">
        <f>HYPERLINK("http://www.ncbi.nlm.nih.gov/Taxonomy/Browser/wwwtax.cgi?mode=Info&amp;id=72036&amp;lvl=3&amp;lin=f&amp;keep=1&amp;srchmode=1&amp;unlock","Lepeophtheirus salmonis")</f>
        <v>Lepeophtheirus salmonis</v>
      </c>
      <c r="H2829" t="s">
        <v>1111</v>
      </c>
      <c r="I2829" t="str">
        <f>HYPERLINK("http://www.ncbi.nlm.nih.gov/protein/XP_040569169.1","LOW QUALITY PROTEIN: ryanodine receptor-like")</f>
        <v>LOW QUALITY PROTEIN: ryanodine receptor-like</v>
      </c>
      <c r="J2829">
        <v>2222.1999999999998</v>
      </c>
      <c r="K2829" t="s">
        <v>22</v>
      </c>
      <c r="L2829">
        <v>1210</v>
      </c>
      <c r="M2829">
        <v>7.13</v>
      </c>
      <c r="N2829">
        <v>21.65</v>
      </c>
      <c r="O2829" t="s">
        <v>19</v>
      </c>
      <c r="P2829" t="s">
        <v>1267</v>
      </c>
      <c r="Q2829" t="s">
        <v>19</v>
      </c>
      <c r="R2829" t="str">
        <f>HYPERLINK("https://cfpub.epa.gov/ecotox/explore.cfm?ncbi=72036","Explore in ECOTOX")</f>
        <v>Explore in ECOTOX</v>
      </c>
    </row>
    <row r="2830" spans="1:18" x14ac:dyDescent="0.45">
      <c r="A2830" t="s">
        <v>1266</v>
      </c>
      <c r="B2830">
        <v>8</v>
      </c>
      <c r="C2830" t="str">
        <f>HYPERLINK("http://www.ncbi.nlm.nih.gov/protein/NP_001343819.1","NP_001343819.1")</f>
        <v>NP_001343819.1</v>
      </c>
      <c r="D2830">
        <v>68094</v>
      </c>
      <c r="E2830" t="str">
        <f>HYPERLINK("http://www.ncbi.nlm.nih.gov/Taxonomy/Browser/wwwtax.cgi?mode=Info&amp;id=6239&amp;lvl=3&amp;lin=f&amp;keep=1&amp;srchmode=1&amp;unlock","6239")</f>
        <v>6239</v>
      </c>
      <c r="F2830" t="s">
        <v>1024</v>
      </c>
      <c r="G2830" t="str">
        <f>HYPERLINK("http://www.ncbi.nlm.nih.gov/Taxonomy/Browser/wwwtax.cgi?mode=Info&amp;id=6239&amp;lvl=3&amp;lin=f&amp;keep=1&amp;srchmode=1&amp;unlock","Caenorhabditis elegans")</f>
        <v>Caenorhabditis elegans</v>
      </c>
      <c r="H2830" t="s">
        <v>1027</v>
      </c>
      <c r="I2830" t="str">
        <f>HYPERLINK("http://www.ncbi.nlm.nih.gov/protein/NP_001343819.1","Ryanodine receptor")</f>
        <v>Ryanodine receptor</v>
      </c>
      <c r="J2830">
        <v>2199.09</v>
      </c>
      <c r="K2830" t="s">
        <v>19</v>
      </c>
      <c r="L2830">
        <v>1210</v>
      </c>
      <c r="M2830">
        <v>7.13</v>
      </c>
      <c r="N2830">
        <v>21.43</v>
      </c>
      <c r="O2830" t="s">
        <v>19</v>
      </c>
      <c r="P2830" t="s">
        <v>1267</v>
      </c>
      <c r="Q2830" t="s">
        <v>19</v>
      </c>
      <c r="R2830" t="str">
        <f>HYPERLINK("https://cfpub.epa.gov/ecotox/explore.cfm?ncbi=6239","Explore in ECOTOX")</f>
        <v>Explore in ECOTOX</v>
      </c>
    </row>
    <row r="2831" spans="1:18" x14ac:dyDescent="0.45">
      <c r="A2831" t="s">
        <v>1266</v>
      </c>
      <c r="B2831">
        <v>8</v>
      </c>
      <c r="C2831" t="str">
        <f>HYPERLINK("http://www.ncbi.nlm.nih.gov/protein/XP_038072843.1","XP_038072843.1")</f>
        <v>XP_038072843.1</v>
      </c>
      <c r="D2831">
        <v>35696</v>
      </c>
      <c r="E2831" t="str">
        <f>HYPERLINK("http://www.ncbi.nlm.nih.gov/Taxonomy/Browser/wwwtax.cgi?mode=Info&amp;id=46514&amp;lvl=3&amp;lin=f&amp;keep=1&amp;srchmode=1&amp;unlock","46514")</f>
        <v>46514</v>
      </c>
      <c r="F2831" t="s">
        <v>1022</v>
      </c>
      <c r="G2831" t="str">
        <f>HYPERLINK("http://www.ncbi.nlm.nih.gov/Taxonomy/Browser/wwwtax.cgi?mode=Info&amp;id=46514&amp;lvl=3&amp;lin=f&amp;keep=1&amp;srchmode=1&amp;unlock","Patiria miniata")</f>
        <v>Patiria miniata</v>
      </c>
      <c r="H2831" t="s">
        <v>1268</v>
      </c>
      <c r="I2831" t="str">
        <f>HYPERLINK("http://www.ncbi.nlm.nih.gov/protein/XP_038072843.1","ryanodine receptor 1-like isoform X7")</f>
        <v>ryanodine receptor 1-like isoform X7</v>
      </c>
      <c r="J2831">
        <v>2197.9299999999998</v>
      </c>
      <c r="K2831" t="s">
        <v>19</v>
      </c>
      <c r="L2831">
        <v>1210</v>
      </c>
      <c r="M2831">
        <v>7.13</v>
      </c>
      <c r="N2831">
        <v>21.42</v>
      </c>
      <c r="O2831" t="s">
        <v>19</v>
      </c>
      <c r="P2831" t="s">
        <v>1267</v>
      </c>
      <c r="Q2831" t="s">
        <v>19</v>
      </c>
      <c r="R2831" t="str">
        <f>HYPERLINK("https://cfpub.epa.gov/ecotox/explore.cfm?ncbi=46514","Explore in ECOTOX")</f>
        <v>Explore in ECOTOX</v>
      </c>
    </row>
    <row r="2832" spans="1:18" x14ac:dyDescent="0.45">
      <c r="A2832" t="s">
        <v>1266</v>
      </c>
      <c r="B2832">
        <v>8</v>
      </c>
      <c r="C2832" t="str">
        <f>HYPERLINK("http://www.ncbi.nlm.nih.gov/protein/CAJ0581878.1","CAJ0581878.1")</f>
        <v>CAJ0581878.1</v>
      </c>
      <c r="D2832">
        <v>26771</v>
      </c>
      <c r="E2832" t="str">
        <f>HYPERLINK("http://www.ncbi.nlm.nih.gov/Taxonomy/Browser/wwwtax.cgi?mode=Info&amp;id=96644&amp;lvl=3&amp;lin=f&amp;keep=1&amp;srchmode=1&amp;unlock","96644")</f>
        <v>96644</v>
      </c>
      <c r="F2832" t="s">
        <v>1024</v>
      </c>
      <c r="G2832" t="str">
        <f>HYPERLINK("http://www.ncbi.nlm.nih.gov/Taxonomy/Browser/wwwtax.cgi?mode=Info&amp;id=96644&amp;lvl=3&amp;lin=f&amp;keep=1&amp;srchmode=1&amp;unlock","Mesorhabditis spiculigera")</f>
        <v>Mesorhabditis spiculigera</v>
      </c>
      <c r="H2832" t="s">
        <v>1027</v>
      </c>
      <c r="I2832" t="str">
        <f>HYPERLINK("http://www.ncbi.nlm.nih.gov/protein/CAJ0581878.1","unnamed protein product, partial")</f>
        <v>unnamed protein product, partial</v>
      </c>
      <c r="J2832">
        <v>2173.67</v>
      </c>
      <c r="K2832" t="s">
        <v>19</v>
      </c>
      <c r="L2832">
        <v>1210</v>
      </c>
      <c r="M2832">
        <v>7.13</v>
      </c>
      <c r="N2832">
        <v>21.18</v>
      </c>
      <c r="O2832" t="s">
        <v>19</v>
      </c>
      <c r="P2832" t="s">
        <v>1267</v>
      </c>
      <c r="Q2832" t="s">
        <v>19</v>
      </c>
      <c r="R2832" t="str">
        <f>HYPERLINK("https://cfpub.epa.gov/ecotox/explore.cfm?ncbi=96644","Explore in ECOTOX")</f>
        <v>Explore in ECOTOX</v>
      </c>
    </row>
    <row r="2833" spans="1:18" x14ac:dyDescent="0.45">
      <c r="A2833" t="s">
        <v>1266</v>
      </c>
      <c r="B2833">
        <v>8</v>
      </c>
      <c r="C2833" t="str">
        <f>HYPERLINK("http://www.ncbi.nlm.nih.gov/protein/VDM37968.1","VDM37968.1")</f>
        <v>VDM37968.1</v>
      </c>
      <c r="D2833">
        <v>39069</v>
      </c>
      <c r="E2833" t="str">
        <f>HYPERLINK("http://www.ncbi.nlm.nih.gov/Taxonomy/Browser/wwwtax.cgi?mode=Info&amp;id=6265&amp;lvl=3&amp;lin=f&amp;keep=1&amp;srchmode=1&amp;unlock","6265")</f>
        <v>6265</v>
      </c>
      <c r="F2833" t="s">
        <v>1024</v>
      </c>
      <c r="G2833" t="str">
        <f>HYPERLINK("http://www.ncbi.nlm.nih.gov/Taxonomy/Browser/wwwtax.cgi?mode=Info&amp;id=6265&amp;lvl=3&amp;lin=f&amp;keep=1&amp;srchmode=1&amp;unlock","Toxocara canis")</f>
        <v>Toxocara canis</v>
      </c>
      <c r="H2833" t="s">
        <v>1114</v>
      </c>
      <c r="I2833" t="str">
        <f>HYPERLINK("http://www.ncbi.nlm.nih.gov/protein/VDM37968.1","unnamed protein product")</f>
        <v>unnamed protein product</v>
      </c>
      <c r="J2833">
        <v>2169.8200000000002</v>
      </c>
      <c r="K2833" t="s">
        <v>22</v>
      </c>
      <c r="L2833">
        <v>1210</v>
      </c>
      <c r="M2833">
        <v>7.13</v>
      </c>
      <c r="N2833">
        <v>21.14</v>
      </c>
      <c r="O2833" t="s">
        <v>19</v>
      </c>
      <c r="P2833" t="s">
        <v>1267</v>
      </c>
      <c r="Q2833" t="s">
        <v>19</v>
      </c>
      <c r="R2833" t="str">
        <f>HYPERLINK("https://cfpub.epa.gov/ecotox/explore.cfm?ncbi=6265","Explore in ECOTOX")</f>
        <v>Explore in ECOTOX</v>
      </c>
    </row>
    <row r="2834" spans="1:18" x14ac:dyDescent="0.45">
      <c r="A2834" t="s">
        <v>1266</v>
      </c>
      <c r="B2834">
        <v>8</v>
      </c>
      <c r="C2834" t="str">
        <f>HYPERLINK("http://www.ncbi.nlm.nih.gov/protein/UMM36210.1","UMM36210.1")</f>
        <v>UMM36210.1</v>
      </c>
      <c r="D2834">
        <v>104019</v>
      </c>
      <c r="E2834" t="str">
        <f>HYPERLINK("http://www.ncbi.nlm.nih.gov/Taxonomy/Browser/wwwtax.cgi?mode=Info&amp;id=6238&amp;lvl=3&amp;lin=f&amp;keep=1&amp;srchmode=1&amp;unlock","6238")</f>
        <v>6238</v>
      </c>
      <c r="F2834" t="s">
        <v>1024</v>
      </c>
      <c r="G2834" t="str">
        <f>HYPERLINK("http://www.ncbi.nlm.nih.gov/Taxonomy/Browser/wwwtax.cgi?mode=Info&amp;id=6238&amp;lvl=3&amp;lin=f&amp;keep=1&amp;srchmode=1&amp;unlock","Caenorhabditis briggsae")</f>
        <v>Caenorhabditis briggsae</v>
      </c>
      <c r="H2834" t="s">
        <v>1027</v>
      </c>
      <c r="I2834" t="str">
        <f>HYPERLINK("http://www.ncbi.nlm.nih.gov/protein/UMM36210.1","hypothetical protein L5515_008471")</f>
        <v>hypothetical protein L5515_008471</v>
      </c>
      <c r="J2834">
        <v>2135.5300000000002</v>
      </c>
      <c r="K2834" t="s">
        <v>19</v>
      </c>
      <c r="L2834">
        <v>1210</v>
      </c>
      <c r="M2834">
        <v>7.13</v>
      </c>
      <c r="N2834">
        <v>20.81</v>
      </c>
      <c r="O2834" t="s">
        <v>19</v>
      </c>
      <c r="P2834" t="s">
        <v>1267</v>
      </c>
      <c r="Q2834" t="s">
        <v>19</v>
      </c>
      <c r="R2834" t="str">
        <f>HYPERLINK("https://cfpub.epa.gov/ecotox/explore.cfm?ncbi=6238","Explore in ECOTOX")</f>
        <v>Explore in ECOTOX</v>
      </c>
    </row>
    <row r="2835" spans="1:18" x14ac:dyDescent="0.45">
      <c r="A2835" t="s">
        <v>1266</v>
      </c>
      <c r="B2835">
        <v>8</v>
      </c>
      <c r="C2835" t="str">
        <f>HYPERLINK("http://www.ncbi.nlm.nih.gov/protein/NWR53052.1","NWR53052.1")</f>
        <v>NWR53052.1</v>
      </c>
      <c r="D2835">
        <v>13149</v>
      </c>
      <c r="E2835" t="str">
        <f>HYPERLINK("http://www.ncbi.nlm.nih.gov/Taxonomy/Browser/wwwtax.cgi?mode=Info&amp;id=13245&amp;lvl=3&amp;lin=f&amp;keep=1&amp;srchmode=1&amp;unlock","13245")</f>
        <v>13245</v>
      </c>
      <c r="F2835" t="s">
        <v>241</v>
      </c>
      <c r="G2835" t="str">
        <f>HYPERLINK("http://www.ncbi.nlm.nih.gov/Taxonomy/Browser/wwwtax.cgi?mode=Info&amp;id=13245&amp;lvl=3&amp;lin=f&amp;keep=1&amp;srchmode=1&amp;unlock","Regulus satrapa")</f>
        <v>Regulus satrapa</v>
      </c>
      <c r="H2835" t="s">
        <v>1110</v>
      </c>
      <c r="I2835" t="str">
        <f>HYPERLINK("http://www.ncbi.nlm.nih.gov/protein/NWR53052.1","RYR3 protein")</f>
        <v>RYR3 protein</v>
      </c>
      <c r="J2835">
        <v>2132.84</v>
      </c>
      <c r="K2835" t="s">
        <v>22</v>
      </c>
      <c r="L2835">
        <v>1210</v>
      </c>
      <c r="M2835">
        <v>7.13</v>
      </c>
      <c r="N2835">
        <v>20.78</v>
      </c>
      <c r="O2835" t="s">
        <v>19</v>
      </c>
      <c r="P2835" t="s">
        <v>1267</v>
      </c>
      <c r="Q2835" t="s">
        <v>19</v>
      </c>
      <c r="R2835" t="str">
        <f>HYPERLINK("https://cfpub.epa.gov/ecotox/explore.cfm?ncbi=13245","Explore in ECOTOX")</f>
        <v>Explore in ECOTOX</v>
      </c>
    </row>
    <row r="2836" spans="1:18" x14ac:dyDescent="0.45">
      <c r="A2836" t="s">
        <v>1266</v>
      </c>
      <c r="B2836">
        <v>8</v>
      </c>
      <c r="C2836" t="str">
        <f>HYPERLINK("http://www.ncbi.nlm.nih.gov/protein/KAJ8920013.1","KAJ8920013.1")</f>
        <v>KAJ8920013.1</v>
      </c>
      <c r="D2836">
        <v>16919</v>
      </c>
      <c r="E2836" t="str">
        <f>HYPERLINK("http://www.ncbi.nlm.nih.gov/Taxonomy/Browser/wwwtax.cgi?mode=Info&amp;id=1586481&amp;lvl=3&amp;lin=f&amp;keep=1&amp;srchmode=1&amp;unlock","1586481")</f>
        <v>1586481</v>
      </c>
      <c r="F2836" t="s">
        <v>760</v>
      </c>
      <c r="G2836" t="str">
        <f>HYPERLINK("http://www.ncbi.nlm.nih.gov/Taxonomy/Browser/wwwtax.cgi?mode=Info&amp;id=1586481&amp;lvl=3&amp;lin=f&amp;keep=1&amp;srchmode=1&amp;unlock","Exocentrus adspersus")</f>
        <v>Exocentrus adspersus</v>
      </c>
      <c r="H2836" t="s">
        <v>1115</v>
      </c>
      <c r="I2836" t="str">
        <f>HYPERLINK("http://www.ncbi.nlm.nih.gov/protein/KAJ8920013.1","hypothetical protein NQ315_006544")</f>
        <v>hypothetical protein NQ315_006544</v>
      </c>
      <c r="J2836">
        <v>2120.89</v>
      </c>
      <c r="K2836" t="s">
        <v>22</v>
      </c>
      <c r="L2836">
        <v>1210</v>
      </c>
      <c r="M2836">
        <v>7.13</v>
      </c>
      <c r="N2836">
        <v>20.67</v>
      </c>
      <c r="O2836" t="s">
        <v>19</v>
      </c>
      <c r="P2836" t="s">
        <v>1267</v>
      </c>
      <c r="Q2836" t="s">
        <v>19</v>
      </c>
      <c r="R2836" t="str">
        <f>HYPERLINK("https://cfpub.epa.gov/ecotox/explore.cfm?ncbi=1586481","Explore in ECOTOX")</f>
        <v>Explore in ECOTOX</v>
      </c>
    </row>
    <row r="2837" spans="1:18" x14ac:dyDescent="0.45">
      <c r="A2837" t="s">
        <v>1266</v>
      </c>
      <c r="B2837">
        <v>8</v>
      </c>
      <c r="C2837" t="str">
        <f>HYPERLINK("http://www.ncbi.nlm.nih.gov/protein/PAA86181.1","PAA86181.1")</f>
        <v>PAA86181.1</v>
      </c>
      <c r="D2837">
        <v>49035</v>
      </c>
      <c r="E2837" t="str">
        <f>HYPERLINK("http://www.ncbi.nlm.nih.gov/Taxonomy/Browser/wwwtax.cgi?mode=Info&amp;id=282301&amp;lvl=3&amp;lin=f&amp;keep=1&amp;srchmode=1&amp;unlock","282301")</f>
        <v>282301</v>
      </c>
      <c r="F2837" t="s">
        <v>835</v>
      </c>
      <c r="G2837" t="str">
        <f>HYPERLINK("http://www.ncbi.nlm.nih.gov/Taxonomy/Browser/wwwtax.cgi?mode=Info&amp;id=282301&amp;lvl=3&amp;lin=f&amp;keep=1&amp;srchmode=1&amp;unlock","Macrostomum lignano")</f>
        <v>Macrostomum lignano</v>
      </c>
      <c r="H2837" t="s">
        <v>836</v>
      </c>
      <c r="I2837" t="str">
        <f>HYPERLINK("http://www.ncbi.nlm.nih.gov/protein/PAA86181.1","hypothetical protein BOX15_Mlig033273g1")</f>
        <v>hypothetical protein BOX15_Mlig033273g1</v>
      </c>
      <c r="J2837">
        <v>2117.4299999999998</v>
      </c>
      <c r="K2837" t="s">
        <v>19</v>
      </c>
      <c r="L2837">
        <v>1210</v>
      </c>
      <c r="M2837">
        <v>7.13</v>
      </c>
      <c r="N2837">
        <v>20.63</v>
      </c>
      <c r="O2837" t="s">
        <v>19</v>
      </c>
      <c r="P2837" t="s">
        <v>1267</v>
      </c>
      <c r="Q2837" t="s">
        <v>19</v>
      </c>
      <c r="R2837" t="str">
        <f>HYPERLINK("https://cfpub.epa.gov/ecotox/explore.cfm?ncbi=282301","Explore in ECOTOX")</f>
        <v>Explore in ECOTOX</v>
      </c>
    </row>
    <row r="2838" spans="1:18" x14ac:dyDescent="0.45">
      <c r="A2838" t="s">
        <v>1266</v>
      </c>
      <c r="B2838">
        <v>8</v>
      </c>
      <c r="C2838" t="str">
        <f>HYPERLINK("http://www.ncbi.nlm.nih.gov/protein/GMT12570.1","GMT12570.1")</f>
        <v>GMT12570.1</v>
      </c>
      <c r="D2838">
        <v>29171</v>
      </c>
      <c r="E2838" t="str">
        <f>HYPERLINK("http://www.ncbi.nlm.nih.gov/Taxonomy/Browser/wwwtax.cgi?mode=Info&amp;id=1538716&amp;lvl=3&amp;lin=f&amp;keep=1&amp;srchmode=1&amp;unlock","1538716")</f>
        <v>1538716</v>
      </c>
      <c r="F2838" t="s">
        <v>1024</v>
      </c>
      <c r="G2838" t="str">
        <f>HYPERLINK("http://www.ncbi.nlm.nih.gov/Taxonomy/Browser/wwwtax.cgi?mode=Info&amp;id=1538716&amp;lvl=3&amp;lin=f&amp;keep=1&amp;srchmode=1&amp;unlock","Pristionchus fissidentatus")</f>
        <v>Pristionchus fissidentatus</v>
      </c>
      <c r="H2838" t="s">
        <v>1027</v>
      </c>
      <c r="I2838" t="str">
        <f>HYPERLINK("http://www.ncbi.nlm.nih.gov/protein/GMT12570.1","hypothetical protein PFISCL1PPCAC_3867, partial")</f>
        <v>hypothetical protein PFISCL1PPCAC_3867, partial</v>
      </c>
      <c r="J2838">
        <v>2114.73</v>
      </c>
      <c r="K2838" t="s">
        <v>19</v>
      </c>
      <c r="L2838">
        <v>1210</v>
      </c>
      <c r="M2838">
        <v>7.13</v>
      </c>
      <c r="N2838">
        <v>20.61</v>
      </c>
      <c r="O2838" t="s">
        <v>19</v>
      </c>
      <c r="P2838" t="s">
        <v>1267</v>
      </c>
      <c r="Q2838" t="s">
        <v>19</v>
      </c>
      <c r="R2838" t="str">
        <f>HYPERLINK("https://cfpub.epa.gov/ecotox/explore.cfm?ncbi=1538716","Explore in ECOTOX")</f>
        <v>Explore in ECOTOX</v>
      </c>
    </row>
    <row r="2839" spans="1:18" x14ac:dyDescent="0.45">
      <c r="A2839" t="s">
        <v>1266</v>
      </c>
      <c r="B2839">
        <v>8</v>
      </c>
      <c r="C2839" t="str">
        <f>HYPERLINK("http://www.ncbi.nlm.nih.gov/protein/OBS60282.1","OBS60282.1")</f>
        <v>OBS60282.1</v>
      </c>
      <c r="D2839">
        <v>24524</v>
      </c>
      <c r="E2839" t="str">
        <f>HYPERLINK("http://www.ncbi.nlm.nih.gov/Taxonomy/Browser/wwwtax.cgi?mode=Info&amp;id=56216&amp;lvl=3&amp;lin=f&amp;keep=1&amp;srchmode=1&amp;unlock","56216")</f>
        <v>56216</v>
      </c>
      <c r="F2839" t="s">
        <v>96</v>
      </c>
      <c r="G2839" t="str">
        <f>HYPERLINK("http://www.ncbi.nlm.nih.gov/Taxonomy/Browser/wwwtax.cgi?mode=Info&amp;id=56216&amp;lvl=3&amp;lin=f&amp;keep=1&amp;srchmode=1&amp;unlock","Neotoma lepida")</f>
        <v>Neotoma lepida</v>
      </c>
      <c r="H2839" t="s">
        <v>1033</v>
      </c>
      <c r="I2839" t="str">
        <f>HYPERLINK("http://www.ncbi.nlm.nih.gov/protein/OBS60282.1","hypothetical protein A6R68_08602")</f>
        <v>hypothetical protein A6R68_08602</v>
      </c>
      <c r="J2839">
        <v>2091.62</v>
      </c>
      <c r="K2839" t="s">
        <v>22</v>
      </c>
      <c r="L2839">
        <v>1210</v>
      </c>
      <c r="M2839">
        <v>7.13</v>
      </c>
      <c r="N2839">
        <v>20.38</v>
      </c>
      <c r="O2839" t="s">
        <v>19</v>
      </c>
      <c r="P2839" t="s">
        <v>1267</v>
      </c>
      <c r="Q2839" t="s">
        <v>19</v>
      </c>
      <c r="R2839" t="str">
        <f>HYPERLINK("https://cfpub.epa.gov/ecotox/explore.cfm?ncbi=56216","Explore in ECOTOX")</f>
        <v>Explore in ECOTOX</v>
      </c>
    </row>
    <row r="2840" spans="1:18" x14ac:dyDescent="0.45">
      <c r="A2840" t="s">
        <v>1266</v>
      </c>
      <c r="B2840">
        <v>8</v>
      </c>
      <c r="C2840" t="str">
        <f>HYPERLINK("http://www.ncbi.nlm.nih.gov/protein/PKU46315.1","PKU46315.1")</f>
        <v>PKU46315.1</v>
      </c>
      <c r="D2840">
        <v>23022</v>
      </c>
      <c r="E2840" t="str">
        <f>HYPERLINK("http://www.ncbi.nlm.nih.gov/Taxonomy/Browser/wwwtax.cgi?mode=Info&amp;id=1758121&amp;lvl=3&amp;lin=f&amp;keep=1&amp;srchmode=1&amp;unlock","1758121")</f>
        <v>1758121</v>
      </c>
      <c r="F2840" t="s">
        <v>241</v>
      </c>
      <c r="G2840" t="str">
        <f>HYPERLINK("http://www.ncbi.nlm.nih.gov/Taxonomy/Browser/wwwtax.cgi?mode=Info&amp;id=1758121&amp;lvl=3&amp;lin=f&amp;keep=1&amp;srchmode=1&amp;unlock","Limosa lapponica baueri")</f>
        <v>Limosa lapponica baueri</v>
      </c>
      <c r="H2840" t="s">
        <v>1161</v>
      </c>
      <c r="I2840" t="str">
        <f>HYPERLINK("http://www.ncbi.nlm.nih.gov/protein/PKU46315.1","ryanodine receptor 3")</f>
        <v>ryanodine receptor 3</v>
      </c>
      <c r="J2840">
        <v>2087</v>
      </c>
      <c r="K2840" t="s">
        <v>22</v>
      </c>
      <c r="L2840">
        <v>1210</v>
      </c>
      <c r="M2840">
        <v>7.13</v>
      </c>
      <c r="N2840">
        <v>20.34</v>
      </c>
      <c r="O2840" t="s">
        <v>19</v>
      </c>
      <c r="P2840" t="s">
        <v>1267</v>
      </c>
      <c r="Q2840" t="s">
        <v>19</v>
      </c>
      <c r="R2840" t="str">
        <f>HYPERLINK("https://cfpub.epa.gov/ecotox/explore.cfm?ncbi=1758121","Explore in ECOTOX")</f>
        <v>Explore in ECOTOX</v>
      </c>
    </row>
    <row r="2841" spans="1:18" x14ac:dyDescent="0.45">
      <c r="A2841" t="s">
        <v>1266</v>
      </c>
      <c r="B2841">
        <v>8</v>
      </c>
      <c r="C2841" t="str">
        <f>HYPERLINK("http://www.ncbi.nlm.nih.gov/protein/KAI1309033.1","KAI1309033.1")</f>
        <v>KAI1309033.1</v>
      </c>
      <c r="D2841">
        <v>14608</v>
      </c>
      <c r="E2841" t="str">
        <f>HYPERLINK("http://www.ncbi.nlm.nih.gov/Taxonomy/Browser/wwwtax.cgi?mode=Info&amp;id=2874060&amp;lvl=3&amp;lin=f&amp;keep=1&amp;srchmode=1&amp;unlock","2874060")</f>
        <v>2874060</v>
      </c>
      <c r="F2841" t="s">
        <v>904</v>
      </c>
      <c r="G2841" t="str">
        <f>HYPERLINK("http://www.ncbi.nlm.nih.gov/Taxonomy/Browser/wwwtax.cgi?mode=Info&amp;id=2874060&amp;lvl=3&amp;lin=f&amp;keep=1&amp;srchmode=1&amp;unlock","Halotydeus destructor")</f>
        <v>Halotydeus destructor</v>
      </c>
      <c r="H2841" t="s">
        <v>992</v>
      </c>
      <c r="I2841" t="str">
        <f>HYPERLINK("http://www.ncbi.nlm.nih.gov/protein/KAI1309033.1","Ryanodine receptor")</f>
        <v>Ryanodine receptor</v>
      </c>
      <c r="J2841">
        <v>2068.5100000000002</v>
      </c>
      <c r="K2841" t="s">
        <v>22</v>
      </c>
      <c r="L2841">
        <v>1210</v>
      </c>
      <c r="M2841">
        <v>7.13</v>
      </c>
      <c r="N2841">
        <v>20.16</v>
      </c>
      <c r="O2841" t="s">
        <v>19</v>
      </c>
      <c r="P2841" t="s">
        <v>1267</v>
      </c>
      <c r="Q2841" t="s">
        <v>19</v>
      </c>
      <c r="R2841" t="str">
        <f>HYPERLINK("https://cfpub.epa.gov/ecotox/explore.cfm?ncbi=2874060","Explore in ECOTOX")</f>
        <v>Explore in ECOTOX</v>
      </c>
    </row>
    <row r="2842" spans="1:18" x14ac:dyDescent="0.45">
      <c r="A2842" t="s">
        <v>1266</v>
      </c>
      <c r="B2842">
        <v>8</v>
      </c>
      <c r="C2842" t="str">
        <f>HYPERLINK("http://www.ncbi.nlm.nih.gov/protein/VEN56411.1","VEN56411.1")</f>
        <v>VEN56411.1</v>
      </c>
      <c r="D2842">
        <v>31489</v>
      </c>
      <c r="E2842" t="str">
        <f>HYPERLINK("http://www.ncbi.nlm.nih.gov/Taxonomy/Browser/wwwtax.cgi?mode=Info&amp;id=64391&amp;lvl=3&amp;lin=f&amp;keep=1&amp;srchmode=1&amp;unlock","64391")</f>
        <v>64391</v>
      </c>
      <c r="F2842" t="s">
        <v>760</v>
      </c>
      <c r="G2842" t="str">
        <f>HYPERLINK("http://www.ncbi.nlm.nih.gov/Taxonomy/Browser/wwwtax.cgi?mode=Info&amp;id=64391&amp;lvl=3&amp;lin=f&amp;keep=1&amp;srchmode=1&amp;unlock","Callosobruchus maculatus")</f>
        <v>Callosobruchus maculatus</v>
      </c>
      <c r="H2842" t="s">
        <v>1118</v>
      </c>
      <c r="I2842" t="str">
        <f>HYPERLINK("http://www.ncbi.nlm.nih.gov/protein/VEN56411.1","unnamed protein product, partial")</f>
        <v>unnamed protein product, partial</v>
      </c>
      <c r="J2842">
        <v>2056.1799999999998</v>
      </c>
      <c r="K2842" t="s">
        <v>19</v>
      </c>
      <c r="L2842">
        <v>1210</v>
      </c>
      <c r="M2842">
        <v>7.13</v>
      </c>
      <c r="N2842">
        <v>20.04</v>
      </c>
      <c r="O2842" t="s">
        <v>19</v>
      </c>
      <c r="P2842" t="s">
        <v>1267</v>
      </c>
      <c r="Q2842" t="s">
        <v>19</v>
      </c>
      <c r="R2842" t="str">
        <f>HYPERLINK("https://cfpub.epa.gov/ecotox/explore.cfm?ncbi=64391","Explore in ECOTOX")</f>
        <v>Explore in ECOTOX</v>
      </c>
    </row>
    <row r="2843" spans="1:18" x14ac:dyDescent="0.45">
      <c r="A2843" t="s">
        <v>1266</v>
      </c>
      <c r="B2843">
        <v>8</v>
      </c>
      <c r="C2843" t="str">
        <f>HYPERLINK("http://www.ncbi.nlm.nih.gov/protein/VDM52160.1","VDM52160.1")</f>
        <v>VDM52160.1</v>
      </c>
      <c r="D2843">
        <v>13409</v>
      </c>
      <c r="E2843" t="str">
        <f>HYPERLINK("http://www.ncbi.nlm.nih.gov/Taxonomy/Browser/wwwtax.cgi?mode=Info&amp;id=334426&amp;lvl=3&amp;lin=f&amp;keep=1&amp;srchmode=1&amp;unlock","334426")</f>
        <v>334426</v>
      </c>
      <c r="F2843" t="s">
        <v>1024</v>
      </c>
      <c r="G2843" t="str">
        <f>HYPERLINK("http://www.ncbi.nlm.nih.gov/Taxonomy/Browser/wwwtax.cgi?mode=Info&amp;id=334426&amp;lvl=3&amp;lin=f&amp;keep=1&amp;srchmode=1&amp;unlock","Angiostrongylus costaricensis")</f>
        <v>Angiostrongylus costaricensis</v>
      </c>
      <c r="H2843" t="s">
        <v>1142</v>
      </c>
      <c r="I2843" t="str">
        <f>HYPERLINK("http://www.ncbi.nlm.nih.gov/protein/VDM52160.1","unnamed protein product")</f>
        <v>unnamed protein product</v>
      </c>
      <c r="J2843">
        <v>2037.69</v>
      </c>
      <c r="K2843" t="s">
        <v>22</v>
      </c>
      <c r="L2843">
        <v>1210</v>
      </c>
      <c r="M2843">
        <v>7.13</v>
      </c>
      <c r="N2843">
        <v>19.850000000000001</v>
      </c>
      <c r="O2843" t="s">
        <v>19</v>
      </c>
      <c r="P2843" t="s">
        <v>1267</v>
      </c>
      <c r="Q2843" t="s">
        <v>19</v>
      </c>
      <c r="R2843" t="str">
        <f>HYPERLINK("https://cfpub.epa.gov/ecotox/explore.cfm?ncbi=334426","Explore in ECOTOX")</f>
        <v>Explore in ECOTOX</v>
      </c>
    </row>
    <row r="2844" spans="1:18" x14ac:dyDescent="0.45">
      <c r="A2844" t="s">
        <v>1266</v>
      </c>
      <c r="B2844">
        <v>8</v>
      </c>
      <c r="C2844" t="str">
        <f>HYPERLINK("http://www.ncbi.nlm.nih.gov/protein/XP_045590946.1","XP_045590946.1")</f>
        <v>XP_045590946.1</v>
      </c>
      <c r="D2844">
        <v>46758</v>
      </c>
      <c r="E2844" t="str">
        <f>HYPERLINK("http://www.ncbi.nlm.nih.gov/Taxonomy/Browser/wwwtax.cgi?mode=Info&amp;id=6728&amp;lvl=3&amp;lin=f&amp;keep=1&amp;srchmode=1&amp;unlock","6728")</f>
        <v>6728</v>
      </c>
      <c r="F2844" t="s">
        <v>779</v>
      </c>
      <c r="G2844" t="str">
        <f>HYPERLINK("http://www.ncbi.nlm.nih.gov/Taxonomy/Browser/wwwtax.cgi?mode=Info&amp;id=6728&amp;lvl=3&amp;lin=f&amp;keep=1&amp;srchmode=1&amp;unlock","Procambarus clarkii")</f>
        <v>Procambarus clarkii</v>
      </c>
      <c r="H2844" t="s">
        <v>1120</v>
      </c>
      <c r="I2844" t="str">
        <f>HYPERLINK("http://www.ncbi.nlm.nih.gov/protein/XP_045590946.1","ryanodine receptor-like")</f>
        <v>ryanodine receptor-like</v>
      </c>
      <c r="J2844">
        <v>2003.41</v>
      </c>
      <c r="K2844" t="s">
        <v>19</v>
      </c>
      <c r="L2844">
        <v>1210</v>
      </c>
      <c r="M2844">
        <v>7.13</v>
      </c>
      <c r="N2844">
        <v>19.52</v>
      </c>
      <c r="O2844" t="s">
        <v>19</v>
      </c>
      <c r="P2844" t="s">
        <v>1267</v>
      </c>
      <c r="Q2844" t="s">
        <v>19</v>
      </c>
      <c r="R2844" t="str">
        <f>HYPERLINK("https://cfpub.epa.gov/ecotox/explore.cfm?ncbi=6728","Explore in ECOTOX")</f>
        <v>Explore in ECOTOX</v>
      </c>
    </row>
    <row r="2845" spans="1:18" x14ac:dyDescent="0.45">
      <c r="A2845" t="s">
        <v>1266</v>
      </c>
      <c r="B2845">
        <v>8</v>
      </c>
      <c r="C2845" t="str">
        <f>HYPERLINK("http://www.ncbi.nlm.nih.gov/protein/KAJ8044966.1","KAJ8044966.1")</f>
        <v>KAJ8044966.1</v>
      </c>
      <c r="D2845">
        <v>33969</v>
      </c>
      <c r="E2845" t="str">
        <f>HYPERLINK("http://www.ncbi.nlm.nih.gov/Taxonomy/Browser/wwwtax.cgi?mode=Info&amp;id=206669&amp;lvl=3&amp;lin=f&amp;keep=1&amp;srchmode=1&amp;unlock","206669")</f>
        <v>206669</v>
      </c>
      <c r="F2845" t="s">
        <v>1122</v>
      </c>
      <c r="G2845" t="str">
        <f>HYPERLINK("http://www.ncbi.nlm.nih.gov/Taxonomy/Browser/wwwtax.cgi?mode=Info&amp;id=206669&amp;lvl=3&amp;lin=f&amp;keep=1&amp;srchmode=1&amp;unlock","Holothuria leucospilota")</f>
        <v>Holothuria leucospilota</v>
      </c>
      <c r="H2845" t="s">
        <v>1123</v>
      </c>
      <c r="I2845" t="str">
        <f>HYPERLINK("http://www.ncbi.nlm.nih.gov/protein/KAJ8044966.1","Ryanodine receptor 2")</f>
        <v>Ryanodine receptor 2</v>
      </c>
      <c r="J2845">
        <v>1989.16</v>
      </c>
      <c r="K2845" t="s">
        <v>19</v>
      </c>
      <c r="L2845">
        <v>1210</v>
      </c>
      <c r="M2845">
        <v>7.13</v>
      </c>
      <c r="N2845">
        <v>19.38</v>
      </c>
      <c r="O2845" t="s">
        <v>19</v>
      </c>
      <c r="P2845" t="s">
        <v>1267</v>
      </c>
      <c r="Q2845" t="s">
        <v>19</v>
      </c>
      <c r="R2845" t="str">
        <f>HYPERLINK("https://cfpub.epa.gov/ecotox/explore.cfm?ncbi=206669","Explore in ECOTOX")</f>
        <v>Explore in ECOTOX</v>
      </c>
    </row>
    <row r="2846" spans="1:18" x14ac:dyDescent="0.45">
      <c r="A2846" t="s">
        <v>1266</v>
      </c>
      <c r="B2846">
        <v>8</v>
      </c>
      <c r="C2846" t="str">
        <f>HYPERLINK("http://www.ncbi.nlm.nih.gov/protein/XP_033352158.1","XP_033352158.1")</f>
        <v>XP_033352158.1</v>
      </c>
      <c r="D2846">
        <v>24094</v>
      </c>
      <c r="E2846" t="str">
        <f>HYPERLINK("http://www.ncbi.nlm.nih.gov/Taxonomy/Browser/wwwtax.cgi?mode=Info&amp;id=207650&amp;lvl=3&amp;lin=f&amp;keep=1&amp;srchmode=1&amp;unlock","207650")</f>
        <v>207650</v>
      </c>
      <c r="F2846" t="s">
        <v>760</v>
      </c>
      <c r="G2846" t="str">
        <f>HYPERLINK("http://www.ncbi.nlm.nih.gov/Taxonomy/Browser/wwwtax.cgi?mode=Info&amp;id=207650&amp;lvl=3&amp;lin=f&amp;keep=1&amp;srchmode=1&amp;unlock","Bombus vosnesenskii")</f>
        <v>Bombus vosnesenskii</v>
      </c>
      <c r="H2846" t="s">
        <v>928</v>
      </c>
      <c r="I2846" t="str">
        <f>HYPERLINK("http://www.ncbi.nlm.nih.gov/protein/XP_033352158.1","ryanodine receptor isoform X7")</f>
        <v>ryanodine receptor isoform X7</v>
      </c>
      <c r="J2846">
        <v>1971.44</v>
      </c>
      <c r="K2846" t="s">
        <v>19</v>
      </c>
      <c r="L2846">
        <v>1210</v>
      </c>
      <c r="M2846">
        <v>7.13</v>
      </c>
      <c r="N2846">
        <v>19.21</v>
      </c>
      <c r="O2846" t="s">
        <v>19</v>
      </c>
      <c r="P2846" t="s">
        <v>1267</v>
      </c>
      <c r="Q2846" t="s">
        <v>19</v>
      </c>
      <c r="R2846" t="str">
        <f>HYPERLINK("https://cfpub.epa.gov/ecotox/explore.cfm?ncbi=207650","Explore in ECOTOX")</f>
        <v>Explore in ECOTOX</v>
      </c>
    </row>
    <row r="2847" spans="1:18" x14ac:dyDescent="0.45">
      <c r="A2847" t="s">
        <v>1266</v>
      </c>
      <c r="B2847">
        <v>8</v>
      </c>
      <c r="C2847" t="str">
        <f>HYPERLINK("http://www.ncbi.nlm.nih.gov/protein/XP_021938337.1","XP_021938337.1")</f>
        <v>XP_021938337.1</v>
      </c>
      <c r="D2847">
        <v>44851</v>
      </c>
      <c r="E2847" t="str">
        <f>HYPERLINK("http://www.ncbi.nlm.nih.gov/Taxonomy/Browser/wwwtax.cgi?mode=Info&amp;id=136037&amp;lvl=3&amp;lin=f&amp;keep=1&amp;srchmode=1&amp;unlock","136037")</f>
        <v>136037</v>
      </c>
      <c r="F2847" t="s">
        <v>760</v>
      </c>
      <c r="G2847" t="str">
        <f>HYPERLINK("http://www.ncbi.nlm.nih.gov/Taxonomy/Browser/wwwtax.cgi?mode=Info&amp;id=136037&amp;lvl=3&amp;lin=f&amp;keep=1&amp;srchmode=1&amp;unlock","Zootermopsis nevadensis")</f>
        <v>Zootermopsis nevadensis</v>
      </c>
      <c r="H2847" t="s">
        <v>1121</v>
      </c>
      <c r="I2847" t="str">
        <f>HYPERLINK("http://www.ncbi.nlm.nih.gov/protein/XP_021938337.1","ryanodine receptor-like")</f>
        <v>ryanodine receptor-like</v>
      </c>
      <c r="J2847">
        <v>1927.14</v>
      </c>
      <c r="K2847" t="s">
        <v>22</v>
      </c>
      <c r="L2847">
        <v>1210</v>
      </c>
      <c r="M2847">
        <v>7.13</v>
      </c>
      <c r="N2847">
        <v>18.78</v>
      </c>
      <c r="O2847" t="s">
        <v>19</v>
      </c>
      <c r="P2847" t="s">
        <v>1267</v>
      </c>
      <c r="Q2847" t="s">
        <v>19</v>
      </c>
      <c r="R2847" t="str">
        <f>HYPERLINK("https://cfpub.epa.gov/ecotox/explore.cfm?ncbi=136037","Explore in ECOTOX")</f>
        <v>Explore in ECOTOX</v>
      </c>
    </row>
    <row r="2848" spans="1:18" x14ac:dyDescent="0.45">
      <c r="A2848" t="s">
        <v>1266</v>
      </c>
      <c r="B2848">
        <v>8</v>
      </c>
      <c r="C2848" t="str">
        <f>HYPERLINK("http://www.ncbi.nlm.nih.gov/protein/XP_034326370.1","XP_034326370.1")</f>
        <v>XP_034326370.1</v>
      </c>
      <c r="D2848">
        <v>64679</v>
      </c>
      <c r="E2848" t="str">
        <f>HYPERLINK("http://www.ncbi.nlm.nih.gov/Taxonomy/Browser/wwwtax.cgi?mode=Info&amp;id=29159&amp;lvl=3&amp;lin=f&amp;keep=1&amp;srchmode=1&amp;unlock","29159")</f>
        <v>29159</v>
      </c>
      <c r="F2848" t="s">
        <v>833</v>
      </c>
      <c r="G2848" t="str">
        <f>HYPERLINK("http://www.ncbi.nlm.nih.gov/Taxonomy/Browser/wwwtax.cgi?mode=Info&amp;id=29159&amp;lvl=3&amp;lin=f&amp;keep=1&amp;srchmode=1&amp;unlock","Crassostrea gigas")</f>
        <v>Crassostrea gigas</v>
      </c>
      <c r="H2848" t="s">
        <v>1125</v>
      </c>
      <c r="I2848" t="str">
        <f>HYPERLINK("http://www.ncbi.nlm.nih.gov/protein/XP_034326370.1","ryanodine receptor isoform X8")</f>
        <v>ryanodine receptor isoform X8</v>
      </c>
      <c r="J2848">
        <v>1892.09</v>
      </c>
      <c r="K2848" t="s">
        <v>19</v>
      </c>
      <c r="L2848">
        <v>1210</v>
      </c>
      <c r="M2848">
        <v>7.13</v>
      </c>
      <c r="N2848">
        <v>18.440000000000001</v>
      </c>
      <c r="O2848" t="s">
        <v>19</v>
      </c>
      <c r="P2848" t="s">
        <v>1267</v>
      </c>
      <c r="Q2848" t="s">
        <v>19</v>
      </c>
      <c r="R2848" t="str">
        <f>HYPERLINK("https://cfpub.epa.gov/ecotox/explore.cfm?ncbi=29159","Explore in ECOTOX")</f>
        <v>Explore in ECOTOX</v>
      </c>
    </row>
    <row r="2849" spans="1:18" x14ac:dyDescent="0.45">
      <c r="A2849" t="s">
        <v>1266</v>
      </c>
      <c r="B2849">
        <v>8</v>
      </c>
      <c r="C2849" t="str">
        <f>HYPERLINK("http://www.ncbi.nlm.nih.gov/protein/XP_022104826.1","XP_022104826.1")</f>
        <v>XP_022104826.1</v>
      </c>
      <c r="D2849">
        <v>33561</v>
      </c>
      <c r="E2849" t="str">
        <f>HYPERLINK("http://www.ncbi.nlm.nih.gov/Taxonomy/Browser/wwwtax.cgi?mode=Info&amp;id=133434&amp;lvl=3&amp;lin=f&amp;keep=1&amp;srchmode=1&amp;unlock","133434")</f>
        <v>133434</v>
      </c>
      <c r="F2849" t="s">
        <v>1022</v>
      </c>
      <c r="G2849" t="str">
        <f>HYPERLINK("http://www.ncbi.nlm.nih.gov/Taxonomy/Browser/wwwtax.cgi?mode=Info&amp;id=133434&amp;lvl=3&amp;lin=f&amp;keep=1&amp;srchmode=1&amp;unlock","Acanthaster planci")</f>
        <v>Acanthaster planci</v>
      </c>
      <c r="H2849" t="s">
        <v>1023</v>
      </c>
      <c r="I2849" t="str">
        <f>HYPERLINK("http://www.ncbi.nlm.nih.gov/protein/XP_022104826.1","ryanodine receptor 2-like")</f>
        <v>ryanodine receptor 2-like</v>
      </c>
      <c r="J2849">
        <v>1887.08</v>
      </c>
      <c r="K2849" t="s">
        <v>22</v>
      </c>
      <c r="L2849">
        <v>1210</v>
      </c>
      <c r="M2849">
        <v>7.13</v>
      </c>
      <c r="N2849">
        <v>18.39</v>
      </c>
      <c r="O2849" t="s">
        <v>19</v>
      </c>
      <c r="P2849" t="s">
        <v>1267</v>
      </c>
      <c r="Q2849" t="s">
        <v>19</v>
      </c>
      <c r="R2849" t="str">
        <f>HYPERLINK("https://cfpub.epa.gov/ecotox/explore.cfm?ncbi=133434","Explore in ECOTOX")</f>
        <v>Explore in ECOTOX</v>
      </c>
    </row>
    <row r="2850" spans="1:18" x14ac:dyDescent="0.45">
      <c r="A2850" t="s">
        <v>1266</v>
      </c>
      <c r="B2850">
        <v>8</v>
      </c>
      <c r="C2850" t="str">
        <f>HYPERLINK("http://www.ncbi.nlm.nih.gov/protein/XP_033625850.1","XP_033625850.1")</f>
        <v>XP_033625850.1</v>
      </c>
      <c r="D2850">
        <v>24240</v>
      </c>
      <c r="E2850" t="str">
        <f>HYPERLINK("http://www.ncbi.nlm.nih.gov/Taxonomy/Browser/wwwtax.cgi?mode=Info&amp;id=7604&amp;lvl=3&amp;lin=f&amp;keep=1&amp;srchmode=1&amp;unlock","7604")</f>
        <v>7604</v>
      </c>
      <c r="F2850" t="s">
        <v>1022</v>
      </c>
      <c r="G2850" t="str">
        <f>HYPERLINK("http://www.ncbi.nlm.nih.gov/Taxonomy/Browser/wwwtax.cgi?mode=Info&amp;id=7604&amp;lvl=3&amp;lin=f&amp;keep=1&amp;srchmode=1&amp;unlock","Asterias rubens")</f>
        <v>Asterias rubens</v>
      </c>
      <c r="H2850" t="s">
        <v>1128</v>
      </c>
      <c r="I2850" t="str">
        <f>HYPERLINK("http://www.ncbi.nlm.nih.gov/protein/XP_033625850.1","ryanodine receptor 2-like")</f>
        <v>ryanodine receptor 2-like</v>
      </c>
      <c r="J2850">
        <v>1848.17</v>
      </c>
      <c r="K2850" t="s">
        <v>19</v>
      </c>
      <c r="L2850">
        <v>1210</v>
      </c>
      <c r="M2850">
        <v>7.13</v>
      </c>
      <c r="N2850">
        <v>18.010000000000002</v>
      </c>
      <c r="O2850" t="s">
        <v>19</v>
      </c>
      <c r="P2850" t="s">
        <v>1267</v>
      </c>
      <c r="Q2850" t="s">
        <v>19</v>
      </c>
      <c r="R2850" t="str">
        <f>HYPERLINK("https://cfpub.epa.gov/ecotox/explore.cfm?ncbi=7604","Explore in ECOTOX")</f>
        <v>Explore in ECOTOX</v>
      </c>
    </row>
    <row r="2851" spans="1:18" x14ac:dyDescent="0.45">
      <c r="A2851" t="s">
        <v>1266</v>
      </c>
      <c r="B2851">
        <v>8</v>
      </c>
      <c r="C2851" t="str">
        <f>HYPERLINK("http://www.ncbi.nlm.nih.gov/protein/CAB3399075.1","CAB3399075.1")</f>
        <v>CAB3399075.1</v>
      </c>
      <c r="D2851">
        <v>15165</v>
      </c>
      <c r="E2851" t="str">
        <f>HYPERLINK("http://www.ncbi.nlm.nih.gov/Taxonomy/Browser/wwwtax.cgi?mode=Info&amp;id=2654633&amp;lvl=3&amp;lin=f&amp;keep=1&amp;srchmode=1&amp;unlock","2654633")</f>
        <v>2654633</v>
      </c>
      <c r="F2851" t="s">
        <v>1024</v>
      </c>
      <c r="G2851" t="str">
        <f>HYPERLINK("http://www.ncbi.nlm.nih.gov/Taxonomy/Browser/wwwtax.cgi?mode=Info&amp;id=2654633&amp;lvl=3&amp;lin=f&amp;keep=1&amp;srchmode=1&amp;unlock","Caenorhabditis bovis")</f>
        <v>Caenorhabditis bovis</v>
      </c>
      <c r="H2851" t="s">
        <v>1027</v>
      </c>
      <c r="I2851" t="str">
        <f>HYPERLINK("http://www.ncbi.nlm.nih.gov/protein/CAB3399075.1","unnamed protein product")</f>
        <v>unnamed protein product</v>
      </c>
      <c r="J2851">
        <v>1826.6</v>
      </c>
      <c r="K2851" t="s">
        <v>19</v>
      </c>
      <c r="L2851">
        <v>1210</v>
      </c>
      <c r="M2851">
        <v>7.13</v>
      </c>
      <c r="N2851">
        <v>17.8</v>
      </c>
      <c r="O2851" t="s">
        <v>19</v>
      </c>
      <c r="P2851" t="s">
        <v>1267</v>
      </c>
      <c r="Q2851" t="s">
        <v>19</v>
      </c>
      <c r="R2851" t="str">
        <f>HYPERLINK("https://cfpub.epa.gov/ecotox/explore.cfm?ncbi=2654633","Explore in ECOTOX")</f>
        <v>Explore in ECOTOX</v>
      </c>
    </row>
    <row r="2852" spans="1:18" x14ac:dyDescent="0.45">
      <c r="A2852" t="s">
        <v>1266</v>
      </c>
      <c r="B2852">
        <v>8</v>
      </c>
      <c r="C2852" t="str">
        <f>HYPERLINK("http://www.ncbi.nlm.nih.gov/protein/KAJ3662240.1","KAJ3662240.1")</f>
        <v>KAJ3662240.1</v>
      </c>
      <c r="D2852">
        <v>30307</v>
      </c>
      <c r="E2852" t="str">
        <f>HYPERLINK("http://www.ncbi.nlm.nih.gov/Taxonomy/Browser/wwwtax.cgi?mode=Info&amp;id=2755281&amp;lvl=3&amp;lin=f&amp;keep=1&amp;srchmode=1&amp;unlock","2755281")</f>
        <v>2755281</v>
      </c>
      <c r="F2852" t="s">
        <v>760</v>
      </c>
      <c r="G2852" t="str">
        <f>HYPERLINK("http://www.ncbi.nlm.nih.gov/Taxonomy/Browser/wwwtax.cgi?mode=Info&amp;id=2755281&amp;lvl=3&amp;lin=f&amp;keep=1&amp;srchmode=1&amp;unlock","Zophobas morio")</f>
        <v>Zophobas morio</v>
      </c>
      <c r="H2852" t="s">
        <v>1134</v>
      </c>
      <c r="I2852" t="str">
        <f>HYPERLINK("http://www.ncbi.nlm.nih.gov/protein/KAJ3662240.1","hypothetical protein Zmor_006596")</f>
        <v>hypothetical protein Zmor_006596</v>
      </c>
      <c r="J2852">
        <v>1823.91</v>
      </c>
      <c r="K2852" t="s">
        <v>19</v>
      </c>
      <c r="L2852">
        <v>1210</v>
      </c>
      <c r="M2852">
        <v>7.13</v>
      </c>
      <c r="N2852">
        <v>17.77</v>
      </c>
      <c r="O2852" t="s">
        <v>19</v>
      </c>
      <c r="P2852" t="s">
        <v>1267</v>
      </c>
      <c r="Q2852" t="s">
        <v>19</v>
      </c>
      <c r="R2852" t="str">
        <f>HYPERLINK("https://cfpub.epa.gov/ecotox/explore.cfm?ncbi=2755281","Explore in ECOTOX")</f>
        <v>Explore in ECOTOX</v>
      </c>
    </row>
    <row r="2853" spans="1:18" x14ac:dyDescent="0.45">
      <c r="A2853" t="s">
        <v>1266</v>
      </c>
      <c r="B2853">
        <v>8</v>
      </c>
      <c r="C2853" t="str">
        <f>HYPERLINK("http://www.ncbi.nlm.nih.gov/protein/KAH9399924.1","KAH9399924.1")</f>
        <v>KAH9399924.1</v>
      </c>
      <c r="D2853">
        <v>23349</v>
      </c>
      <c r="E2853" t="str">
        <f>HYPERLINK("http://www.ncbi.nlm.nih.gov/Taxonomy/Browser/wwwtax.cgi?mode=Info&amp;id=59818&amp;lvl=3&amp;lin=f&amp;keep=1&amp;srchmode=1&amp;unlock","59818")</f>
        <v>59818</v>
      </c>
      <c r="F2853" t="s">
        <v>904</v>
      </c>
      <c r="G2853" t="str">
        <f>HYPERLINK("http://www.ncbi.nlm.nih.gov/Taxonomy/Browser/wwwtax.cgi?mode=Info&amp;id=59818&amp;lvl=3&amp;lin=f&amp;keep=1&amp;srchmode=1&amp;unlock","Tyrophagus putrescentiae")</f>
        <v>Tyrophagus putrescentiae</v>
      </c>
      <c r="H2853" t="s">
        <v>1126</v>
      </c>
      <c r="I2853" t="str">
        <f>HYPERLINK("http://www.ncbi.nlm.nih.gov/protein/KAH9399924.1","Ryanodine receptor 2")</f>
        <v>Ryanodine receptor 2</v>
      </c>
      <c r="J2853">
        <v>1815.82</v>
      </c>
      <c r="K2853" t="s">
        <v>22</v>
      </c>
      <c r="L2853">
        <v>1210</v>
      </c>
      <c r="M2853">
        <v>7.13</v>
      </c>
      <c r="N2853">
        <v>17.690000000000001</v>
      </c>
      <c r="O2853" t="s">
        <v>19</v>
      </c>
      <c r="P2853" t="s">
        <v>1267</v>
      </c>
      <c r="Q2853" t="s">
        <v>19</v>
      </c>
      <c r="R2853" t="str">
        <f>HYPERLINK("https://cfpub.epa.gov/ecotox/explore.cfm?ncbi=59818","Explore in ECOTOX")</f>
        <v>Explore in ECOTOX</v>
      </c>
    </row>
    <row r="2854" spans="1:18" x14ac:dyDescent="0.45">
      <c r="A2854" t="s">
        <v>1266</v>
      </c>
      <c r="B2854">
        <v>8</v>
      </c>
      <c r="C2854" t="str">
        <f>HYPERLINK("http://www.ncbi.nlm.nih.gov/protein/EFP05547.1","EFP05547.1")</f>
        <v>EFP05547.1</v>
      </c>
      <c r="D2854">
        <v>85594</v>
      </c>
      <c r="E2854" t="str">
        <f>HYPERLINK("http://www.ncbi.nlm.nih.gov/Taxonomy/Browser/wwwtax.cgi?mode=Info&amp;id=31234&amp;lvl=3&amp;lin=f&amp;keep=1&amp;srchmode=1&amp;unlock","31234")</f>
        <v>31234</v>
      </c>
      <c r="F2854" t="s">
        <v>1024</v>
      </c>
      <c r="G2854" t="str">
        <f>HYPERLINK("http://www.ncbi.nlm.nih.gov/Taxonomy/Browser/wwwtax.cgi?mode=Info&amp;id=31234&amp;lvl=3&amp;lin=f&amp;keep=1&amp;srchmode=1&amp;unlock","Caenorhabditis remanei")</f>
        <v>Caenorhabditis remanei</v>
      </c>
      <c r="H2854" t="s">
        <v>1027</v>
      </c>
      <c r="I2854" t="str">
        <f>HYPERLINK("http://www.ncbi.nlm.nih.gov/protein/EFP05547.1","CRE-UNC-68 protein")</f>
        <v>CRE-UNC-68 protein</v>
      </c>
      <c r="J2854">
        <v>1811.58</v>
      </c>
      <c r="K2854" t="s">
        <v>19</v>
      </c>
      <c r="L2854">
        <v>1210</v>
      </c>
      <c r="M2854">
        <v>7.13</v>
      </c>
      <c r="N2854">
        <v>17.649999999999999</v>
      </c>
      <c r="O2854" t="s">
        <v>19</v>
      </c>
      <c r="P2854" t="s">
        <v>1267</v>
      </c>
      <c r="Q2854" t="s">
        <v>19</v>
      </c>
      <c r="R2854" t="str">
        <f>HYPERLINK("https://cfpub.epa.gov/ecotox/explore.cfm?ncbi=31234","Explore in ECOTOX")</f>
        <v>Explore in ECOTOX</v>
      </c>
    </row>
    <row r="2855" spans="1:18" x14ac:dyDescent="0.45">
      <c r="A2855" t="s">
        <v>1266</v>
      </c>
      <c r="B2855">
        <v>8</v>
      </c>
      <c r="C2855" t="str">
        <f>HYPERLINK("http://www.ncbi.nlm.nih.gov/protein/XP_024501315.1","XP_024501315.1")</f>
        <v>XP_024501315.1</v>
      </c>
      <c r="D2855">
        <v>24981</v>
      </c>
      <c r="E2855" t="str">
        <f>HYPERLINK("http://www.ncbi.nlm.nih.gov/Taxonomy/Browser/wwwtax.cgi?mode=Info&amp;id=34506&amp;lvl=3&amp;lin=f&amp;keep=1&amp;srchmode=1&amp;unlock","34506")</f>
        <v>34506</v>
      </c>
      <c r="F2855" t="s">
        <v>1024</v>
      </c>
      <c r="G2855" t="str">
        <f>HYPERLINK("http://www.ncbi.nlm.nih.gov/Taxonomy/Browser/wwwtax.cgi?mode=Info&amp;id=34506&amp;lvl=3&amp;lin=f&amp;keep=1&amp;srchmode=1&amp;unlock","Strongyloides ratti")</f>
        <v>Strongyloides ratti</v>
      </c>
      <c r="H2855" t="s">
        <v>1027</v>
      </c>
      <c r="I2855" t="str">
        <f>HYPERLINK("http://www.ncbi.nlm.nih.gov/protein/XP_024501315.1","Ryanodine receptor 1")</f>
        <v>Ryanodine receptor 1</v>
      </c>
      <c r="J2855">
        <v>1811.19</v>
      </c>
      <c r="K2855" t="s">
        <v>19</v>
      </c>
      <c r="L2855">
        <v>1210</v>
      </c>
      <c r="M2855">
        <v>7.13</v>
      </c>
      <c r="N2855">
        <v>17.649999999999999</v>
      </c>
      <c r="O2855" t="s">
        <v>19</v>
      </c>
      <c r="P2855" t="s">
        <v>1267</v>
      </c>
      <c r="Q2855" t="s">
        <v>19</v>
      </c>
      <c r="R2855" t="str">
        <f>HYPERLINK("https://cfpub.epa.gov/ecotox/explore.cfm?ncbi=34506","Explore in ECOTOX")</f>
        <v>Explore in ECOTOX</v>
      </c>
    </row>
    <row r="2856" spans="1:18" x14ac:dyDescent="0.45">
      <c r="A2856" t="s">
        <v>1266</v>
      </c>
      <c r="B2856">
        <v>8</v>
      </c>
      <c r="C2856" t="str">
        <f>HYPERLINK("http://www.ncbi.nlm.nih.gov/protein/CAJ0592099.1","CAJ0592099.1")</f>
        <v>CAJ0592099.1</v>
      </c>
      <c r="D2856">
        <v>22772</v>
      </c>
      <c r="E2856" t="str">
        <f>HYPERLINK("http://www.ncbi.nlm.nih.gov/Taxonomy/Browser/wwwtax.cgi?mode=Info&amp;id=53992&amp;lvl=3&amp;lin=f&amp;keep=1&amp;srchmode=1&amp;unlock","53992")</f>
        <v>53992</v>
      </c>
      <c r="F2856" t="s">
        <v>1024</v>
      </c>
      <c r="G2856" t="str">
        <f>HYPERLINK("http://www.ncbi.nlm.nih.gov/Taxonomy/Browser/wwwtax.cgi?mode=Info&amp;id=53992&amp;lvl=3&amp;lin=f&amp;keep=1&amp;srchmode=1&amp;unlock","Cylicocyclus nassatus")</f>
        <v>Cylicocyclus nassatus</v>
      </c>
      <c r="H2856" t="s">
        <v>1025</v>
      </c>
      <c r="I2856" t="str">
        <f>HYPERLINK("http://www.ncbi.nlm.nih.gov/protein/CAJ0592099.1","unnamed protein product")</f>
        <v>unnamed protein product</v>
      </c>
      <c r="J2856">
        <v>1808.11</v>
      </c>
      <c r="K2856" t="s">
        <v>22</v>
      </c>
      <c r="L2856">
        <v>1210</v>
      </c>
      <c r="M2856">
        <v>7.13</v>
      </c>
      <c r="N2856">
        <v>17.62</v>
      </c>
      <c r="O2856" t="s">
        <v>19</v>
      </c>
      <c r="P2856" t="s">
        <v>1267</v>
      </c>
      <c r="Q2856" t="s">
        <v>19</v>
      </c>
      <c r="R2856" t="str">
        <f>HYPERLINK("https://cfpub.epa.gov/ecotox/explore.cfm?ncbi=53992","Explore in ECOTOX")</f>
        <v>Explore in ECOTOX</v>
      </c>
    </row>
    <row r="2857" spans="1:18" x14ac:dyDescent="0.45">
      <c r="A2857" t="s">
        <v>1266</v>
      </c>
      <c r="B2857">
        <v>8</v>
      </c>
      <c r="C2857" t="str">
        <f>HYPERLINK("http://www.ncbi.nlm.nih.gov/protein/BAB84714.1","BAB84714.1")</f>
        <v>BAB84714.1</v>
      </c>
      <c r="D2857">
        <v>224</v>
      </c>
      <c r="E2857" t="str">
        <f>HYPERLINK("http://www.ncbi.nlm.nih.gov/Taxonomy/Browser/wwwtax.cgi?mode=Info&amp;id=7650&amp;lvl=3&amp;lin=f&amp;keep=1&amp;srchmode=1&amp;unlock","7650")</f>
        <v>7650</v>
      </c>
      <c r="F2857" t="s">
        <v>1020</v>
      </c>
      <c r="G2857" t="str">
        <f>HYPERLINK("http://www.ncbi.nlm.nih.gov/Taxonomy/Browser/wwwtax.cgi?mode=Info&amp;id=7650&amp;lvl=3&amp;lin=f&amp;keep=1&amp;srchmode=1&amp;unlock","Hemicentrotus pulcherrimus")</f>
        <v>Hemicentrotus pulcherrimus</v>
      </c>
      <c r="H2857" t="s">
        <v>1130</v>
      </c>
      <c r="I2857" t="str">
        <f>HYPERLINK("http://www.ncbi.nlm.nih.gov/protein/BAB84714.1","ryanodine receptor")</f>
        <v>ryanodine receptor</v>
      </c>
      <c r="J2857">
        <v>1806.96</v>
      </c>
      <c r="K2857" t="s">
        <v>22</v>
      </c>
      <c r="L2857">
        <v>1210</v>
      </c>
      <c r="M2857">
        <v>7.13</v>
      </c>
      <c r="N2857">
        <v>17.61</v>
      </c>
      <c r="O2857" t="s">
        <v>19</v>
      </c>
      <c r="P2857" t="s">
        <v>1267</v>
      </c>
      <c r="Q2857" t="s">
        <v>19</v>
      </c>
      <c r="R2857" t="str">
        <f>HYPERLINK("https://cfpub.epa.gov/ecotox/explore.cfm?ncbi=7650","Explore in ECOTOX")</f>
        <v>Explore in ECOTOX</v>
      </c>
    </row>
    <row r="2858" spans="1:18" x14ac:dyDescent="0.45">
      <c r="A2858" t="s">
        <v>1266</v>
      </c>
      <c r="B2858">
        <v>8</v>
      </c>
      <c r="C2858" t="str">
        <f>HYPERLINK("http://www.ncbi.nlm.nih.gov/protein/VDN59926.1","VDN59926.1")</f>
        <v>VDN59926.1</v>
      </c>
      <c r="D2858">
        <v>11827</v>
      </c>
      <c r="E2858" t="str">
        <f>HYPERLINK("http://www.ncbi.nlm.nih.gov/Taxonomy/Browser/wwwtax.cgi?mode=Info&amp;id=318479&amp;lvl=3&amp;lin=f&amp;keep=1&amp;srchmode=1&amp;unlock","318479")</f>
        <v>318479</v>
      </c>
      <c r="F2858" t="s">
        <v>1024</v>
      </c>
      <c r="G2858" t="str">
        <f>HYPERLINK("http://www.ncbi.nlm.nih.gov/Taxonomy/Browser/wwwtax.cgi?mode=Info&amp;id=318479&amp;lvl=3&amp;lin=f&amp;keep=1&amp;srchmode=1&amp;unlock","Dracunculus medinensis")</f>
        <v>Dracunculus medinensis</v>
      </c>
      <c r="H2858" t="s">
        <v>1166</v>
      </c>
      <c r="I2858" t="str">
        <f>HYPERLINK("http://www.ncbi.nlm.nih.gov/protein/VDN59926.1","unnamed protein product")</f>
        <v>unnamed protein product</v>
      </c>
      <c r="J2858">
        <v>1806.19</v>
      </c>
      <c r="K2858" t="s">
        <v>22</v>
      </c>
      <c r="L2858">
        <v>1210</v>
      </c>
      <c r="M2858">
        <v>7.13</v>
      </c>
      <c r="N2858">
        <v>17.600000000000001</v>
      </c>
      <c r="O2858" t="s">
        <v>19</v>
      </c>
      <c r="P2858" t="s">
        <v>1267</v>
      </c>
      <c r="Q2858" t="s">
        <v>19</v>
      </c>
      <c r="R2858" t="str">
        <f>HYPERLINK("https://cfpub.epa.gov/ecotox/explore.cfm?ncbi=318479","Explore in ECOTOX")</f>
        <v>Explore in ECOTOX</v>
      </c>
    </row>
    <row r="2859" spans="1:18" x14ac:dyDescent="0.45">
      <c r="A2859" t="s">
        <v>1266</v>
      </c>
      <c r="B2859">
        <v>8</v>
      </c>
      <c r="C2859" t="str">
        <f>HYPERLINK("http://www.ncbi.nlm.nih.gov/protein/VDK67515.1","VDK67515.1")</f>
        <v>VDK67515.1</v>
      </c>
      <c r="D2859">
        <v>13787</v>
      </c>
      <c r="E2859" t="str">
        <f>HYPERLINK("http://www.ncbi.nlm.nih.gov/Taxonomy/Browser/wwwtax.cgi?mode=Info&amp;id=42157&amp;lvl=3&amp;lin=f&amp;keep=1&amp;srchmode=1&amp;unlock","42157")</f>
        <v>42157</v>
      </c>
      <c r="F2859" t="s">
        <v>1024</v>
      </c>
      <c r="G2859" t="str">
        <f>HYPERLINK("http://www.ncbi.nlm.nih.gov/Taxonomy/Browser/wwwtax.cgi?mode=Info&amp;id=42157&amp;lvl=3&amp;lin=f&amp;keep=1&amp;srchmode=1&amp;unlock","Onchocerca ochengi")</f>
        <v>Onchocerca ochengi</v>
      </c>
      <c r="H2859" t="s">
        <v>1027</v>
      </c>
      <c r="I2859" t="str">
        <f>HYPERLINK("http://www.ncbi.nlm.nih.gov/protein/VDK67515.1","unnamed protein product, partial")</f>
        <v>unnamed protein product, partial</v>
      </c>
      <c r="J2859">
        <v>1805.42</v>
      </c>
      <c r="K2859" t="s">
        <v>22</v>
      </c>
      <c r="L2859">
        <v>1210</v>
      </c>
      <c r="M2859">
        <v>7.13</v>
      </c>
      <c r="N2859">
        <v>17.59</v>
      </c>
      <c r="O2859" t="s">
        <v>19</v>
      </c>
      <c r="P2859" t="s">
        <v>1267</v>
      </c>
      <c r="Q2859" t="s">
        <v>19</v>
      </c>
      <c r="R2859" t="str">
        <f>HYPERLINK("https://cfpub.epa.gov/ecotox/explore.cfm?ncbi=42157","Explore in ECOTOX")</f>
        <v>Explore in ECOTOX</v>
      </c>
    </row>
    <row r="2860" spans="1:18" x14ac:dyDescent="0.45">
      <c r="A2860" t="s">
        <v>1266</v>
      </c>
      <c r="B2860">
        <v>8</v>
      </c>
      <c r="C2860" t="str">
        <f>HYPERLINK("http://www.ncbi.nlm.nih.gov/protein/CAD5225935.1","CAD5225935.1")</f>
        <v>CAD5225935.1</v>
      </c>
      <c r="D2860">
        <v>29034</v>
      </c>
      <c r="E2860" t="str">
        <f>HYPERLINK("http://www.ncbi.nlm.nih.gov/Taxonomy/Browser/wwwtax.cgi?mode=Info&amp;id=465554&amp;lvl=3&amp;lin=f&amp;keep=1&amp;srchmode=1&amp;unlock","465554")</f>
        <v>465554</v>
      </c>
      <c r="F2860" t="s">
        <v>1024</v>
      </c>
      <c r="G2860" t="str">
        <f>HYPERLINK("http://www.ncbi.nlm.nih.gov/Taxonomy/Browser/wwwtax.cgi?mode=Info&amp;id=465554&amp;lvl=3&amp;lin=f&amp;keep=1&amp;srchmode=1&amp;unlock","Bursaphelenchus okinawaensis")</f>
        <v>Bursaphelenchus okinawaensis</v>
      </c>
      <c r="H2860" t="s">
        <v>1132</v>
      </c>
      <c r="I2860" t="str">
        <f>HYPERLINK("http://www.ncbi.nlm.nih.gov/protein/CAD5225935.1","unnamed protein product")</f>
        <v>unnamed protein product</v>
      </c>
      <c r="J2860">
        <v>1797.71</v>
      </c>
      <c r="K2860" t="s">
        <v>19</v>
      </c>
      <c r="L2860">
        <v>1210</v>
      </c>
      <c r="M2860">
        <v>7.13</v>
      </c>
      <c r="N2860">
        <v>17.52</v>
      </c>
      <c r="O2860" t="s">
        <v>19</v>
      </c>
      <c r="P2860" t="s">
        <v>1267</v>
      </c>
      <c r="Q2860" t="s">
        <v>19</v>
      </c>
      <c r="R2860" t="str">
        <f>HYPERLINK("https://cfpub.epa.gov/ecotox/explore.cfm?ncbi=465554","Explore in ECOTOX")</f>
        <v>Explore in ECOTOX</v>
      </c>
    </row>
    <row r="2861" spans="1:18" x14ac:dyDescent="0.45">
      <c r="A2861" t="s">
        <v>1266</v>
      </c>
      <c r="B2861">
        <v>8</v>
      </c>
      <c r="C2861" t="str">
        <f>HYPERLINK("http://www.ncbi.nlm.nih.gov/protein/XP_030855111.1","XP_030855111.1")</f>
        <v>XP_030855111.1</v>
      </c>
      <c r="D2861">
        <v>40843</v>
      </c>
      <c r="E2861" t="str">
        <f>HYPERLINK("http://www.ncbi.nlm.nih.gov/Taxonomy/Browser/wwwtax.cgi?mode=Info&amp;id=7668&amp;lvl=3&amp;lin=f&amp;keep=1&amp;srchmode=1&amp;unlock","7668")</f>
        <v>7668</v>
      </c>
      <c r="F2861" t="s">
        <v>1020</v>
      </c>
      <c r="G2861" t="str">
        <f>HYPERLINK("http://www.ncbi.nlm.nih.gov/Taxonomy/Browser/wwwtax.cgi?mode=Info&amp;id=7668&amp;lvl=3&amp;lin=f&amp;keep=1&amp;srchmode=1&amp;unlock","Strongylocentrotus purpuratus")</f>
        <v>Strongylocentrotus purpuratus</v>
      </c>
      <c r="H2861" t="s">
        <v>1133</v>
      </c>
      <c r="I2861" t="str">
        <f>HYPERLINK("http://www.ncbi.nlm.nih.gov/protein/XP_030855111.1","ryanodine receptor 2")</f>
        <v>ryanodine receptor 2</v>
      </c>
      <c r="J2861">
        <v>1795.02</v>
      </c>
      <c r="K2861" t="s">
        <v>22</v>
      </c>
      <c r="L2861">
        <v>1210</v>
      </c>
      <c r="M2861">
        <v>7.13</v>
      </c>
      <c r="N2861">
        <v>17.489999999999998</v>
      </c>
      <c r="O2861" t="s">
        <v>19</v>
      </c>
      <c r="P2861" t="s">
        <v>1267</v>
      </c>
      <c r="Q2861" t="s">
        <v>19</v>
      </c>
      <c r="R2861" t="str">
        <f>HYPERLINK("https://cfpub.epa.gov/ecotox/explore.cfm?ncbi=7668","Explore in ECOTOX")</f>
        <v>Explore in ECOTOX</v>
      </c>
    </row>
    <row r="2862" spans="1:18" x14ac:dyDescent="0.45">
      <c r="A2862" t="s">
        <v>1266</v>
      </c>
      <c r="B2862">
        <v>8</v>
      </c>
      <c r="C2862" t="str">
        <f>HYPERLINK("http://www.ncbi.nlm.nih.gov/protein/VDP02284.1","VDP02284.1")</f>
        <v>VDP02284.1</v>
      </c>
      <c r="D2862">
        <v>13207</v>
      </c>
      <c r="E2862" t="str">
        <f>HYPERLINK("http://www.ncbi.nlm.nih.gov/Taxonomy/Browser/wwwtax.cgi?mode=Info&amp;id=241478&amp;lvl=3&amp;lin=f&amp;keep=1&amp;srchmode=1&amp;unlock","241478")</f>
        <v>241478</v>
      </c>
      <c r="F2862" t="s">
        <v>1060</v>
      </c>
      <c r="G2862" t="str">
        <f>HYPERLINK("http://www.ncbi.nlm.nih.gov/Taxonomy/Browser/wwwtax.cgi?mode=Info&amp;id=241478&amp;lvl=3&amp;lin=f&amp;keep=1&amp;srchmode=1&amp;unlock","Soboliphyme baturini")</f>
        <v>Soboliphyme baturini</v>
      </c>
      <c r="H2862" t="s">
        <v>1027</v>
      </c>
      <c r="I2862" t="str">
        <f>HYPERLINK("http://www.ncbi.nlm.nih.gov/protein/VDP02284.1","unnamed protein product")</f>
        <v>unnamed protein product</v>
      </c>
      <c r="J2862">
        <v>1794.63</v>
      </c>
      <c r="K2862" t="s">
        <v>19</v>
      </c>
      <c r="L2862">
        <v>1210</v>
      </c>
      <c r="M2862">
        <v>7.13</v>
      </c>
      <c r="N2862">
        <v>17.489999999999998</v>
      </c>
      <c r="O2862" t="s">
        <v>19</v>
      </c>
      <c r="P2862" t="s">
        <v>1267</v>
      </c>
      <c r="Q2862" t="s">
        <v>19</v>
      </c>
      <c r="R2862" t="str">
        <f>HYPERLINK("https://cfpub.epa.gov/ecotox/explore.cfm?ncbi=241478","Explore in ECOTOX")</f>
        <v>Explore in ECOTOX</v>
      </c>
    </row>
    <row r="2863" spans="1:18" x14ac:dyDescent="0.45">
      <c r="A2863" t="s">
        <v>1266</v>
      </c>
      <c r="B2863">
        <v>8</v>
      </c>
      <c r="C2863" t="str">
        <f>HYPERLINK("http://www.ncbi.nlm.nih.gov/protein/CAD5230370.1","CAD5230370.1")</f>
        <v>CAD5230370.1</v>
      </c>
      <c r="D2863">
        <v>32147</v>
      </c>
      <c r="E2863" t="str">
        <f>HYPERLINK("http://www.ncbi.nlm.nih.gov/Taxonomy/Browser/wwwtax.cgi?mode=Info&amp;id=6326&amp;lvl=3&amp;lin=f&amp;keep=1&amp;srchmode=1&amp;unlock","6326")</f>
        <v>6326</v>
      </c>
      <c r="F2863" t="s">
        <v>1024</v>
      </c>
      <c r="G2863" t="str">
        <f>HYPERLINK("http://www.ncbi.nlm.nih.gov/Taxonomy/Browser/wwwtax.cgi?mode=Info&amp;id=6326&amp;lvl=3&amp;lin=f&amp;keep=1&amp;srchmode=1&amp;unlock","Bursaphelenchus xylophilus")</f>
        <v>Bursaphelenchus xylophilus</v>
      </c>
      <c r="H2863" t="s">
        <v>1129</v>
      </c>
      <c r="I2863" t="str">
        <f>HYPERLINK("http://www.ncbi.nlm.nih.gov/protein/CAD5230370.1","unnamed protein product")</f>
        <v>unnamed protein product</v>
      </c>
      <c r="J2863">
        <v>1792.32</v>
      </c>
      <c r="K2863" t="s">
        <v>19</v>
      </c>
      <c r="L2863">
        <v>1210</v>
      </c>
      <c r="M2863">
        <v>7.13</v>
      </c>
      <c r="N2863">
        <v>17.46</v>
      </c>
      <c r="O2863" t="s">
        <v>19</v>
      </c>
      <c r="P2863" t="s">
        <v>1267</v>
      </c>
      <c r="Q2863" t="s">
        <v>19</v>
      </c>
      <c r="R2863" t="str">
        <f>HYPERLINK("https://cfpub.epa.gov/ecotox/explore.cfm?ncbi=6326","Explore in ECOTOX")</f>
        <v>Explore in ECOTOX</v>
      </c>
    </row>
    <row r="2864" spans="1:18" x14ac:dyDescent="0.45">
      <c r="A2864" t="s">
        <v>1266</v>
      </c>
      <c r="B2864">
        <v>8</v>
      </c>
      <c r="C2864" t="str">
        <f>HYPERLINK("http://www.ncbi.nlm.nih.gov/protein/CAJ0957143.1","CAJ0957143.1")</f>
        <v>CAJ0957143.1</v>
      </c>
      <c r="D2864">
        <v>23205</v>
      </c>
      <c r="E2864" t="str">
        <f>HYPERLINK("http://www.ncbi.nlm.nih.gov/Taxonomy/Browser/wwwtax.cgi?mode=Info&amp;id=2138241&amp;lvl=3&amp;lin=f&amp;keep=1&amp;srchmode=1&amp;unlock","2138241")</f>
        <v>2138241</v>
      </c>
      <c r="F2864" t="s">
        <v>1024</v>
      </c>
      <c r="G2864" t="str">
        <f>HYPERLINK("http://www.ncbi.nlm.nih.gov/Taxonomy/Browser/wwwtax.cgi?mode=Info&amp;id=2138241&amp;lvl=3&amp;lin=f&amp;keep=1&amp;srchmode=1&amp;unlock","Mesorhabditis belari")</f>
        <v>Mesorhabditis belari</v>
      </c>
      <c r="H2864" t="s">
        <v>1027</v>
      </c>
      <c r="I2864" t="str">
        <f>HYPERLINK("http://www.ncbi.nlm.nih.gov/protein/CAJ0957143.1","unnamed protein product, partial")</f>
        <v>unnamed protein product, partial</v>
      </c>
      <c r="J2864">
        <v>1791.16</v>
      </c>
      <c r="K2864" t="s">
        <v>19</v>
      </c>
      <c r="L2864">
        <v>1210</v>
      </c>
      <c r="M2864">
        <v>7.13</v>
      </c>
      <c r="N2864">
        <v>17.45</v>
      </c>
      <c r="O2864" t="s">
        <v>19</v>
      </c>
      <c r="P2864" t="s">
        <v>1267</v>
      </c>
      <c r="Q2864" t="s">
        <v>19</v>
      </c>
      <c r="R2864" t="str">
        <f>HYPERLINK("https://cfpub.epa.gov/ecotox/explore.cfm?ncbi=2138241","Explore in ECOTOX")</f>
        <v>Explore in ECOTOX</v>
      </c>
    </row>
    <row r="2865" spans="1:18" x14ac:dyDescent="0.45">
      <c r="A2865" t="s">
        <v>1266</v>
      </c>
      <c r="B2865">
        <v>8</v>
      </c>
      <c r="C2865" t="str">
        <f>HYPERLINK("http://www.ncbi.nlm.nih.gov/protein/KAG8317291.1","KAG8317291.1")</f>
        <v>KAG8317291.1</v>
      </c>
      <c r="D2865">
        <v>129479</v>
      </c>
      <c r="E2865" t="str">
        <f>HYPERLINK("http://www.ncbi.nlm.nih.gov/Taxonomy/Browser/wwwtax.cgi?mode=Info&amp;id=197043&amp;lvl=3&amp;lin=f&amp;keep=1&amp;srchmode=1&amp;unlock","197043")</f>
        <v>197043</v>
      </c>
      <c r="F2865" t="s">
        <v>760</v>
      </c>
      <c r="G2865" t="str">
        <f>HYPERLINK("http://www.ncbi.nlm.nih.gov/Taxonomy/Browser/wwwtax.cgi?mode=Info&amp;id=197043&amp;lvl=3&amp;lin=f&amp;keep=1&amp;srchmode=1&amp;unlock","Homalodisca vitripennis")</f>
        <v>Homalodisca vitripennis</v>
      </c>
      <c r="H2865" t="s">
        <v>1136</v>
      </c>
      <c r="I2865" t="str">
        <f>HYPERLINK("http://www.ncbi.nlm.nih.gov/protein/KAG8317291.1","Ryanodine receptor 2")</f>
        <v>Ryanodine receptor 2</v>
      </c>
      <c r="J2865">
        <v>1784.23</v>
      </c>
      <c r="K2865" t="s">
        <v>19</v>
      </c>
      <c r="L2865">
        <v>1210</v>
      </c>
      <c r="M2865">
        <v>7.13</v>
      </c>
      <c r="N2865">
        <v>17.39</v>
      </c>
      <c r="O2865" t="s">
        <v>19</v>
      </c>
      <c r="P2865" t="s">
        <v>1267</v>
      </c>
      <c r="Q2865" t="s">
        <v>19</v>
      </c>
      <c r="R2865" t="str">
        <f>HYPERLINK("https://cfpub.epa.gov/ecotox/explore.cfm?ncbi=197043","Explore in ECOTOX")</f>
        <v>Explore in ECOTOX</v>
      </c>
    </row>
    <row r="2866" spans="1:18" x14ac:dyDescent="0.45">
      <c r="A2866" t="s">
        <v>1266</v>
      </c>
      <c r="B2866">
        <v>8</v>
      </c>
      <c r="C2866" t="str">
        <f>HYPERLINK("http://www.ncbi.nlm.nih.gov/protein/KAI6237110.1","KAI6237110.1")</f>
        <v>KAI6237110.1</v>
      </c>
      <c r="D2866">
        <v>46386</v>
      </c>
      <c r="E2866" t="str">
        <f>HYPERLINK("http://www.ncbi.nlm.nih.gov/Taxonomy/Browser/wwwtax.cgi?mode=Info&amp;id=269767&amp;lvl=3&amp;lin=f&amp;keep=1&amp;srchmode=1&amp;unlock","269767")</f>
        <v>269767</v>
      </c>
      <c r="F2866" t="s">
        <v>1024</v>
      </c>
      <c r="G2866" t="str">
        <f>HYPERLINK("http://www.ncbi.nlm.nih.gov/Taxonomy/Browser/wwwtax.cgi?mode=Info&amp;id=269767&amp;lvl=3&amp;lin=f&amp;keep=1&amp;srchmode=1&amp;unlock","Aphelenchoides besseyi")</f>
        <v>Aphelenchoides besseyi</v>
      </c>
      <c r="H2866" t="s">
        <v>1027</v>
      </c>
      <c r="I2866" t="str">
        <f>HYPERLINK("http://www.ncbi.nlm.nih.gov/protein/KAI6237110.1","hypothetical protein M3Y95_00230500")</f>
        <v>hypothetical protein M3Y95_00230500</v>
      </c>
      <c r="J2866">
        <v>1783.46</v>
      </c>
      <c r="K2866" t="s">
        <v>22</v>
      </c>
      <c r="L2866">
        <v>1210</v>
      </c>
      <c r="M2866">
        <v>7.13</v>
      </c>
      <c r="N2866">
        <v>17.38</v>
      </c>
      <c r="O2866" t="s">
        <v>19</v>
      </c>
      <c r="P2866" t="s">
        <v>1267</v>
      </c>
      <c r="Q2866" t="s">
        <v>19</v>
      </c>
      <c r="R2866" t="str">
        <f>HYPERLINK("https://cfpub.epa.gov/ecotox/explore.cfm?ncbi=269767","Explore in ECOTOX")</f>
        <v>Explore in ECOTOX</v>
      </c>
    </row>
    <row r="2867" spans="1:18" x14ac:dyDescent="0.45">
      <c r="A2867" t="s">
        <v>1266</v>
      </c>
      <c r="B2867">
        <v>8</v>
      </c>
      <c r="C2867" t="str">
        <f>HYPERLINK("http://www.ncbi.nlm.nih.gov/protein/CAI4225083.1","CAI4225083.1")</f>
        <v>CAI4225083.1</v>
      </c>
      <c r="D2867">
        <v>13146</v>
      </c>
      <c r="E2867" t="str">
        <f>HYPERLINK("http://www.ncbi.nlm.nih.gov/Taxonomy/Browser/wwwtax.cgi?mode=Info&amp;id=2878363&amp;lvl=3&amp;lin=f&amp;keep=1&amp;srchmode=1&amp;unlock","2878363")</f>
        <v>2878363</v>
      </c>
      <c r="F2867" t="s">
        <v>1024</v>
      </c>
      <c r="G2867" t="str">
        <f>HYPERLINK("http://www.ncbi.nlm.nih.gov/Taxonomy/Browser/wwwtax.cgi?mode=Info&amp;id=2878363&amp;lvl=3&amp;lin=f&amp;keep=1&amp;srchmode=1&amp;unlock","Auanema sp. JU1783")</f>
        <v>Auanema sp. JU1783</v>
      </c>
      <c r="H2867" t="s">
        <v>1027</v>
      </c>
      <c r="I2867" t="str">
        <f>HYPERLINK("http://www.ncbi.nlm.nih.gov/protein/CAI4225083.1","unnamed protein product")</f>
        <v>unnamed protein product</v>
      </c>
      <c r="J2867">
        <v>1781.92</v>
      </c>
      <c r="K2867" t="s">
        <v>19</v>
      </c>
      <c r="L2867">
        <v>1210</v>
      </c>
      <c r="M2867">
        <v>7.13</v>
      </c>
      <c r="N2867">
        <v>17.36</v>
      </c>
      <c r="O2867" t="s">
        <v>19</v>
      </c>
      <c r="P2867" t="s">
        <v>1267</v>
      </c>
      <c r="Q2867" t="s">
        <v>19</v>
      </c>
      <c r="R2867" t="str">
        <f>HYPERLINK("https://cfpub.epa.gov/ecotox/explore.cfm?ncbi=2878363","Explore in ECOTOX")</f>
        <v>Explore in ECOTOX</v>
      </c>
    </row>
    <row r="2868" spans="1:18" x14ac:dyDescent="0.45">
      <c r="A2868" t="s">
        <v>1266</v>
      </c>
      <c r="B2868">
        <v>8</v>
      </c>
      <c r="C2868" t="str">
        <f>HYPERLINK("http://www.ncbi.nlm.nih.gov/protein/KAH7730344.1","KAH7730344.1")</f>
        <v>KAH7730344.1</v>
      </c>
      <c r="D2868">
        <v>43195</v>
      </c>
      <c r="E2868" t="str">
        <f>HYPERLINK("http://www.ncbi.nlm.nih.gov/Taxonomy/Browser/wwwtax.cgi?mode=Info&amp;id=70226&amp;lvl=3&amp;lin=f&amp;keep=1&amp;srchmode=1&amp;unlock","70226")</f>
        <v>70226</v>
      </c>
      <c r="F2868" t="s">
        <v>1024</v>
      </c>
      <c r="G2868" t="str">
        <f>HYPERLINK("http://www.ncbi.nlm.nih.gov/Taxonomy/Browser/wwwtax.cgi?mode=Info&amp;id=70226&amp;lvl=3&amp;lin=f&amp;keep=1&amp;srchmode=1&amp;unlock","Aphelenchus avenae")</f>
        <v>Aphelenchus avenae</v>
      </c>
      <c r="H2868" t="s">
        <v>1027</v>
      </c>
      <c r="I2868" t="str">
        <f>HYPERLINK("http://www.ncbi.nlm.nih.gov/protein/KAH7730344.1","skeletal muscle ryanodine receptor isoform alpha")</f>
        <v>skeletal muscle ryanodine receptor isoform alpha</v>
      </c>
      <c r="J2868">
        <v>1778.07</v>
      </c>
      <c r="K2868" t="s">
        <v>19</v>
      </c>
      <c r="L2868">
        <v>1210</v>
      </c>
      <c r="M2868">
        <v>7.13</v>
      </c>
      <c r="N2868">
        <v>17.329999999999998</v>
      </c>
      <c r="O2868" t="s">
        <v>19</v>
      </c>
      <c r="P2868" t="s">
        <v>1267</v>
      </c>
      <c r="Q2868" t="s">
        <v>19</v>
      </c>
      <c r="R2868" t="str">
        <f>HYPERLINK("https://cfpub.epa.gov/ecotox/explore.cfm?ncbi=70226","Explore in ECOTOX")</f>
        <v>Explore in ECOTOX</v>
      </c>
    </row>
    <row r="2869" spans="1:18" x14ac:dyDescent="0.45">
      <c r="A2869" t="s">
        <v>1266</v>
      </c>
      <c r="B2869">
        <v>8</v>
      </c>
      <c r="C2869" t="str">
        <f>HYPERLINK("http://www.ncbi.nlm.nih.gov/protein/GFU98107.1","GFU98107.1")</f>
        <v>GFU98107.1</v>
      </c>
      <c r="D2869">
        <v>515731</v>
      </c>
      <c r="E2869" t="str">
        <f>HYPERLINK("http://www.ncbi.nlm.nih.gov/Taxonomy/Browser/wwwtax.cgi?mode=Info&amp;id=2585209&amp;lvl=3&amp;lin=f&amp;keep=1&amp;srchmode=1&amp;unlock","2585209")</f>
        <v>2585209</v>
      </c>
      <c r="F2869" t="s">
        <v>904</v>
      </c>
      <c r="G2869" t="str">
        <f>HYPERLINK("http://www.ncbi.nlm.nih.gov/Taxonomy/Browser/wwwtax.cgi?mode=Info&amp;id=2585209&amp;lvl=3&amp;lin=f&amp;keep=1&amp;srchmode=1&amp;unlock","Trichonephila clavipes")</f>
        <v>Trichonephila clavipes</v>
      </c>
      <c r="H2869" t="s">
        <v>905</v>
      </c>
      <c r="I2869" t="str">
        <f>HYPERLINK("http://www.ncbi.nlm.nih.gov/protein/GFU98107.1","ryanodine receptor")</f>
        <v>ryanodine receptor</v>
      </c>
      <c r="J2869">
        <v>1765.36</v>
      </c>
      <c r="K2869" t="s">
        <v>22</v>
      </c>
      <c r="L2869">
        <v>1210</v>
      </c>
      <c r="M2869">
        <v>7.13</v>
      </c>
      <c r="N2869">
        <v>17.2</v>
      </c>
      <c r="O2869" t="s">
        <v>19</v>
      </c>
      <c r="P2869" t="s">
        <v>1267</v>
      </c>
      <c r="Q2869" t="s">
        <v>19</v>
      </c>
      <c r="R2869" t="str">
        <f>HYPERLINK("https://cfpub.epa.gov/ecotox/explore.cfm?ncbi=2585209","Explore in ECOTOX")</f>
        <v>Explore in ECOTOX</v>
      </c>
    </row>
    <row r="2870" spans="1:18" x14ac:dyDescent="0.45">
      <c r="A2870" t="s">
        <v>1266</v>
      </c>
      <c r="B2870">
        <v>8</v>
      </c>
      <c r="C2870" t="str">
        <f>HYPERLINK("http://www.ncbi.nlm.nih.gov/protein/XP_026324427.1","XP_026324427.1")</f>
        <v>XP_026324427.1</v>
      </c>
      <c r="D2870">
        <v>20440</v>
      </c>
      <c r="E2870" t="str">
        <f>HYPERLINK("http://www.ncbi.nlm.nih.gov/Taxonomy/Browser/wwwtax.cgi?mode=Info&amp;id=1477025&amp;lvl=3&amp;lin=f&amp;keep=1&amp;srchmode=1&amp;unlock","1477025")</f>
        <v>1477025</v>
      </c>
      <c r="F2870" t="s">
        <v>760</v>
      </c>
      <c r="G2870" t="str">
        <f>HYPERLINK("http://www.ncbi.nlm.nih.gov/Taxonomy/Browser/wwwtax.cgi?mode=Info&amp;id=1477025&amp;lvl=3&amp;lin=f&amp;keep=1&amp;srchmode=1&amp;unlock","Hyposmocoma kahamanoa")</f>
        <v>Hyposmocoma kahamanoa</v>
      </c>
      <c r="H2870" t="s">
        <v>1135</v>
      </c>
      <c r="I2870" t="str">
        <f>HYPERLINK("http://www.ncbi.nlm.nih.gov/protein/XP_026324427.1","ryanodine receptor")</f>
        <v>ryanodine receptor</v>
      </c>
      <c r="J2870">
        <v>1762.66</v>
      </c>
      <c r="K2870" t="s">
        <v>19</v>
      </c>
      <c r="L2870">
        <v>1210</v>
      </c>
      <c r="M2870">
        <v>7.13</v>
      </c>
      <c r="N2870">
        <v>17.18</v>
      </c>
      <c r="O2870" t="s">
        <v>19</v>
      </c>
      <c r="P2870" t="s">
        <v>1267</v>
      </c>
      <c r="Q2870" t="s">
        <v>19</v>
      </c>
      <c r="R2870" t="str">
        <f>HYPERLINK("https://cfpub.epa.gov/ecotox/explore.cfm?ncbi=1477025","Explore in ECOTOX")</f>
        <v>Explore in ECOTOX</v>
      </c>
    </row>
    <row r="2871" spans="1:18" x14ac:dyDescent="0.45">
      <c r="A2871" t="s">
        <v>1266</v>
      </c>
      <c r="B2871">
        <v>8</v>
      </c>
      <c r="C2871" t="str">
        <f>HYPERLINK("http://www.ncbi.nlm.nih.gov/protein/KAI1723322.1","KAI1723322.1")</f>
        <v>KAI1723322.1</v>
      </c>
      <c r="D2871">
        <v>42965</v>
      </c>
      <c r="E2871" t="str">
        <f>HYPERLINK("http://www.ncbi.nlm.nih.gov/Taxonomy/Browser/wwwtax.cgi?mode=Info&amp;id=166010&amp;lvl=3&amp;lin=f&amp;keep=1&amp;srchmode=1&amp;unlock","166010")</f>
        <v>166010</v>
      </c>
      <c r="F2871" t="s">
        <v>1024</v>
      </c>
      <c r="G2871" t="str">
        <f>HYPERLINK("http://www.ncbi.nlm.nih.gov/Taxonomy/Browser/wwwtax.cgi?mode=Info&amp;id=166010&amp;lvl=3&amp;lin=f&amp;keep=1&amp;srchmode=1&amp;unlock","Ditylenchus destructor")</f>
        <v>Ditylenchus destructor</v>
      </c>
      <c r="H2871" t="s">
        <v>1027</v>
      </c>
      <c r="I2871" t="str">
        <f>HYPERLINK("http://www.ncbi.nlm.nih.gov/protein/KAI1723322.1","RIH domain-containing protein")</f>
        <v>RIH domain-containing protein</v>
      </c>
      <c r="J2871">
        <v>1758.42</v>
      </c>
      <c r="K2871" t="s">
        <v>19</v>
      </c>
      <c r="L2871">
        <v>1210</v>
      </c>
      <c r="M2871">
        <v>7.13</v>
      </c>
      <c r="N2871">
        <v>17.13</v>
      </c>
      <c r="O2871" t="s">
        <v>19</v>
      </c>
      <c r="P2871" t="s">
        <v>1267</v>
      </c>
      <c r="Q2871" t="s">
        <v>19</v>
      </c>
      <c r="R2871" t="str">
        <f>HYPERLINK("https://cfpub.epa.gov/ecotox/explore.cfm?ncbi=166010","Explore in ECOTOX")</f>
        <v>Explore in ECOTOX</v>
      </c>
    </row>
    <row r="2872" spans="1:18" x14ac:dyDescent="0.45">
      <c r="A2872" t="s">
        <v>1266</v>
      </c>
      <c r="B2872">
        <v>8</v>
      </c>
      <c r="C2872" t="str">
        <f>HYPERLINK("http://www.ncbi.nlm.nih.gov/protein/KAG4070342.1","KAG4070342.1")</f>
        <v>KAG4070342.1</v>
      </c>
      <c r="D2872">
        <v>16503</v>
      </c>
      <c r="E2872" t="str">
        <f>HYPERLINK("http://www.ncbi.nlm.nih.gov/Taxonomy/Browser/wwwtax.cgi?mode=Info&amp;id=1564500&amp;lvl=3&amp;lin=f&amp;keep=1&amp;srchmode=1&amp;unlock","1564500")</f>
        <v>1564500</v>
      </c>
      <c r="F2872" t="s">
        <v>760</v>
      </c>
      <c r="G2872" t="str">
        <f>HYPERLINK("http://www.ncbi.nlm.nih.gov/Taxonomy/Browser/wwwtax.cgi?mode=Info&amp;id=1564500&amp;lvl=3&amp;lin=f&amp;keep=1&amp;srchmode=1&amp;unlock","Bradysia odoriphaga")</f>
        <v>Bradysia odoriphaga</v>
      </c>
      <c r="H2872" t="s">
        <v>1096</v>
      </c>
      <c r="I2872" t="str">
        <f>HYPERLINK("http://www.ncbi.nlm.nih.gov/protein/KAG4070342.1","hypothetical protein HA402_006484, partial")</f>
        <v>hypothetical protein HA402_006484, partial</v>
      </c>
      <c r="J2872">
        <v>1743.01</v>
      </c>
      <c r="K2872" t="s">
        <v>19</v>
      </c>
      <c r="L2872">
        <v>1210</v>
      </c>
      <c r="M2872">
        <v>7.13</v>
      </c>
      <c r="N2872">
        <v>16.98</v>
      </c>
      <c r="O2872" t="s">
        <v>19</v>
      </c>
      <c r="P2872" t="s">
        <v>1267</v>
      </c>
      <c r="Q2872" t="s">
        <v>19</v>
      </c>
      <c r="R2872" t="str">
        <f>HYPERLINK("https://cfpub.epa.gov/ecotox/explore.cfm?ncbi=1564500","Explore in ECOTOX")</f>
        <v>Explore in ECOTOX</v>
      </c>
    </row>
    <row r="2873" spans="1:18" x14ac:dyDescent="0.45">
      <c r="A2873" t="s">
        <v>1266</v>
      </c>
      <c r="B2873">
        <v>8</v>
      </c>
      <c r="C2873" t="str">
        <f>HYPERLINK("http://www.ncbi.nlm.nih.gov/protein/XP_018645937.1","XP_018645937.1")</f>
        <v>XP_018645937.1</v>
      </c>
      <c r="D2873">
        <v>14775</v>
      </c>
      <c r="E2873" t="str">
        <f>HYPERLINK("http://www.ncbi.nlm.nih.gov/Taxonomy/Browser/wwwtax.cgi?mode=Info&amp;id=6183&amp;lvl=3&amp;lin=f&amp;keep=1&amp;srchmode=1&amp;unlock","6183")</f>
        <v>6183</v>
      </c>
      <c r="F2873" t="s">
        <v>1140</v>
      </c>
      <c r="G2873" t="str">
        <f>HYPERLINK("http://www.ncbi.nlm.nih.gov/Taxonomy/Browser/wwwtax.cgi?mode=Info&amp;id=6183&amp;lvl=3&amp;lin=f&amp;keep=1&amp;srchmode=1&amp;unlock","Schistosoma mansoni")</f>
        <v>Schistosoma mansoni</v>
      </c>
      <c r="H2873" t="s">
        <v>1141</v>
      </c>
      <c r="I2873" t="str">
        <f>HYPERLINK("http://www.ncbi.nlm.nih.gov/protein/XP_018645937.1","ryanodine receptor related")</f>
        <v>ryanodine receptor related</v>
      </c>
      <c r="J2873">
        <v>1741.86</v>
      </c>
      <c r="K2873" t="s">
        <v>22</v>
      </c>
      <c r="L2873">
        <v>1210</v>
      </c>
      <c r="M2873">
        <v>7.13</v>
      </c>
      <c r="N2873">
        <v>16.97</v>
      </c>
      <c r="O2873" t="s">
        <v>19</v>
      </c>
      <c r="P2873" t="s">
        <v>1267</v>
      </c>
      <c r="Q2873" t="s">
        <v>19</v>
      </c>
      <c r="R2873" t="str">
        <f>HYPERLINK("https://cfpub.epa.gov/ecotox/explore.cfm?ncbi=6183","Explore in ECOTOX")</f>
        <v>Explore in ECOTOX</v>
      </c>
    </row>
    <row r="2874" spans="1:18" x14ac:dyDescent="0.45">
      <c r="A2874" t="s">
        <v>1266</v>
      </c>
      <c r="B2874">
        <v>8</v>
      </c>
      <c r="C2874" t="str">
        <f>HYPERLINK("http://www.ncbi.nlm.nih.gov/protein/KAI6190070.1","KAI6190070.1")</f>
        <v>KAI6190070.1</v>
      </c>
      <c r="D2874">
        <v>10670</v>
      </c>
      <c r="E2874" t="str">
        <f>HYPERLINK("http://www.ncbi.nlm.nih.gov/Taxonomy/Browser/wwwtax.cgi?mode=Info&amp;id=293665&amp;lvl=3&amp;lin=f&amp;keep=1&amp;srchmode=1&amp;unlock","293665")</f>
        <v>293665</v>
      </c>
      <c r="F2874" t="s">
        <v>1024</v>
      </c>
      <c r="G2874" t="str">
        <f>HYPERLINK("http://www.ncbi.nlm.nih.gov/Taxonomy/Browser/wwwtax.cgi?mode=Info&amp;id=293665&amp;lvl=3&amp;lin=f&amp;keep=1&amp;srchmode=1&amp;unlock","Aphelenchoides bicaudatus")</f>
        <v>Aphelenchoides bicaudatus</v>
      </c>
      <c r="H2874" t="s">
        <v>1027</v>
      </c>
      <c r="I2874" t="str">
        <f>HYPERLINK("http://www.ncbi.nlm.nih.gov/protein/KAI6190070.1","hypothetical protein M3Y97_00077000")</f>
        <v>hypothetical protein M3Y97_00077000</v>
      </c>
      <c r="J2874">
        <v>1741.09</v>
      </c>
      <c r="K2874" t="s">
        <v>19</v>
      </c>
      <c r="L2874">
        <v>1210</v>
      </c>
      <c r="M2874">
        <v>7.13</v>
      </c>
      <c r="N2874">
        <v>16.96</v>
      </c>
      <c r="O2874" t="s">
        <v>19</v>
      </c>
      <c r="P2874" t="s">
        <v>1267</v>
      </c>
      <c r="Q2874" t="s">
        <v>19</v>
      </c>
      <c r="R2874" t="str">
        <f>HYPERLINK("https://cfpub.epa.gov/ecotox/explore.cfm?ncbi=293665","Explore in ECOTOX")</f>
        <v>Explore in ECOTOX</v>
      </c>
    </row>
    <row r="2875" spans="1:18" x14ac:dyDescent="0.45">
      <c r="A2875" t="s">
        <v>1266</v>
      </c>
      <c r="B2875">
        <v>8</v>
      </c>
      <c r="C2875" t="str">
        <f>HYPERLINK("http://www.ncbi.nlm.nih.gov/protein/KAF6037198.1","KAF6037198.1")</f>
        <v>KAF6037198.1</v>
      </c>
      <c r="D2875">
        <v>25611</v>
      </c>
      <c r="E2875" t="str">
        <f>HYPERLINK("http://www.ncbi.nlm.nih.gov/Taxonomy/Browser/wwwtax.cgi?mode=Info&amp;id=10212&amp;lvl=3&amp;lin=f&amp;keep=1&amp;srchmode=1&amp;unlock","10212")</f>
        <v>10212</v>
      </c>
      <c r="F2875" t="s">
        <v>1143</v>
      </c>
      <c r="G2875" t="str">
        <f>HYPERLINK("http://www.ncbi.nlm.nih.gov/Taxonomy/Browser/wwwtax.cgi?mode=Info&amp;id=10212&amp;lvl=3&amp;lin=f&amp;keep=1&amp;srchmode=1&amp;unlock","Bugula neritina")</f>
        <v>Bugula neritina</v>
      </c>
      <c r="H2875" t="s">
        <v>1144</v>
      </c>
      <c r="I2875" t="str">
        <f>HYPERLINK("http://www.ncbi.nlm.nih.gov/protein/KAF6037198.1","RyR")</f>
        <v>RyR</v>
      </c>
      <c r="J2875">
        <v>1729.92</v>
      </c>
      <c r="K2875" t="s">
        <v>19</v>
      </c>
      <c r="L2875">
        <v>1210</v>
      </c>
      <c r="M2875">
        <v>7.13</v>
      </c>
      <c r="N2875">
        <v>16.86</v>
      </c>
      <c r="O2875" t="s">
        <v>19</v>
      </c>
      <c r="P2875" t="s">
        <v>1267</v>
      </c>
      <c r="Q2875" t="s">
        <v>19</v>
      </c>
      <c r="R2875" t="str">
        <f>HYPERLINK("https://cfpub.epa.gov/ecotox/explore.cfm?ncbi=10212","Explore in ECOTOX")</f>
        <v>Explore in ECOTOX</v>
      </c>
    </row>
    <row r="2876" spans="1:18" x14ac:dyDescent="0.45">
      <c r="A2876" t="s">
        <v>1266</v>
      </c>
      <c r="B2876">
        <v>8</v>
      </c>
      <c r="C2876" t="str">
        <f>HYPERLINK("http://www.ncbi.nlm.nih.gov/protein/GAV02139.1","GAV02139.1")</f>
        <v>GAV02139.1</v>
      </c>
      <c r="D2876">
        <v>23078</v>
      </c>
      <c r="E2876" t="str">
        <f>HYPERLINK("http://www.ncbi.nlm.nih.gov/Taxonomy/Browser/wwwtax.cgi?mode=Info&amp;id=947166&amp;lvl=3&amp;lin=f&amp;keep=1&amp;srchmode=1&amp;unlock","947166")</f>
        <v>947166</v>
      </c>
      <c r="F2876" t="s">
        <v>1092</v>
      </c>
      <c r="G2876" t="str">
        <f>HYPERLINK("http://www.ncbi.nlm.nih.gov/Taxonomy/Browser/wwwtax.cgi?mode=Info&amp;id=947166&amp;lvl=3&amp;lin=f&amp;keep=1&amp;srchmode=1&amp;unlock","Ramazzottius varieornatus")</f>
        <v>Ramazzottius varieornatus</v>
      </c>
      <c r="H2876" t="s">
        <v>1093</v>
      </c>
      <c r="I2876" t="str">
        <f>HYPERLINK("http://www.ncbi.nlm.nih.gov/protein/GAV02139.1","hypothetical protein RvY_12740")</f>
        <v>hypothetical protein RvY_12740</v>
      </c>
      <c r="J2876">
        <v>1710.27</v>
      </c>
      <c r="K2876" t="s">
        <v>22</v>
      </c>
      <c r="L2876">
        <v>1210</v>
      </c>
      <c r="M2876">
        <v>7.13</v>
      </c>
      <c r="N2876">
        <v>16.66</v>
      </c>
      <c r="O2876" t="s">
        <v>19</v>
      </c>
      <c r="P2876" t="s">
        <v>1267</v>
      </c>
      <c r="Q2876" t="s">
        <v>19</v>
      </c>
      <c r="R2876" t="str">
        <f>HYPERLINK("https://cfpub.epa.gov/ecotox/explore.cfm?ncbi=947166","Explore in ECOTOX")</f>
        <v>Explore in ECOTOX</v>
      </c>
    </row>
    <row r="2877" spans="1:18" x14ac:dyDescent="0.45">
      <c r="A2877" t="s">
        <v>1266</v>
      </c>
      <c r="B2877">
        <v>8</v>
      </c>
      <c r="C2877" t="str">
        <f>HYPERLINK("http://www.ncbi.nlm.nih.gov/protein/XP_042905951.1","XP_042905951.1")</f>
        <v>XP_042905951.1</v>
      </c>
      <c r="D2877">
        <v>33376</v>
      </c>
      <c r="E2877" t="str">
        <f>HYPERLINK("http://www.ncbi.nlm.nih.gov/Taxonomy/Browser/wwwtax.cgi?mode=Info&amp;id=114398&amp;lvl=3&amp;lin=f&amp;keep=1&amp;srchmode=1&amp;unlock","114398")</f>
        <v>114398</v>
      </c>
      <c r="F2877" t="s">
        <v>904</v>
      </c>
      <c r="G2877" t="str">
        <f>HYPERLINK("http://www.ncbi.nlm.nih.gov/Taxonomy/Browser/wwwtax.cgi?mode=Info&amp;id=114398&amp;lvl=3&amp;lin=f&amp;keep=1&amp;srchmode=1&amp;unlock","Parasteatoda tepidariorum")</f>
        <v>Parasteatoda tepidariorum</v>
      </c>
      <c r="H2877" t="s">
        <v>988</v>
      </c>
      <c r="I2877" t="str">
        <f>HYPERLINK("http://www.ncbi.nlm.nih.gov/protein/XP_042905951.1","ryanodine receptor")</f>
        <v>ryanodine receptor</v>
      </c>
      <c r="J2877">
        <v>1707.96</v>
      </c>
      <c r="K2877" t="s">
        <v>22</v>
      </c>
      <c r="L2877">
        <v>1210</v>
      </c>
      <c r="M2877">
        <v>7.13</v>
      </c>
      <c r="N2877">
        <v>16.64</v>
      </c>
      <c r="O2877" t="s">
        <v>19</v>
      </c>
      <c r="P2877" t="s">
        <v>1267</v>
      </c>
      <c r="Q2877" t="s">
        <v>19</v>
      </c>
      <c r="R2877" t="str">
        <f>HYPERLINK("https://cfpub.epa.gov/ecotox/explore.cfm?ncbi=114398","Explore in ECOTOX")</f>
        <v>Explore in ECOTOX</v>
      </c>
    </row>
    <row r="2878" spans="1:18" x14ac:dyDescent="0.45">
      <c r="A2878" t="s">
        <v>1266</v>
      </c>
      <c r="B2878">
        <v>8</v>
      </c>
      <c r="C2878" t="str">
        <f>HYPERLINK("http://www.ncbi.nlm.nih.gov/protein/KAK2153791.1","KAK2153791.1")</f>
        <v>KAK2153791.1</v>
      </c>
      <c r="D2878">
        <v>24702</v>
      </c>
      <c r="E2878" t="str">
        <f>HYPERLINK("http://www.ncbi.nlm.nih.gov/Taxonomy/Browser/wwwtax.cgi?mode=Info&amp;id=53620&amp;lvl=3&amp;lin=f&amp;keep=1&amp;srchmode=1&amp;unlock","53620")</f>
        <v>53620</v>
      </c>
      <c r="F2878" t="s">
        <v>862</v>
      </c>
      <c r="G2878" t="str">
        <f>HYPERLINK("http://www.ncbi.nlm.nih.gov/Taxonomy/Browser/wwwtax.cgi?mode=Info&amp;id=53620&amp;lvl=3&amp;lin=f&amp;keep=1&amp;srchmode=1&amp;unlock","Paralvinella palmiformis")</f>
        <v>Paralvinella palmiformis</v>
      </c>
      <c r="H2878" t="s">
        <v>1139</v>
      </c>
      <c r="I2878" t="str">
        <f>HYPERLINK("http://www.ncbi.nlm.nih.gov/protein/KAK2153791.1","hypothetical protein LSH36_286g03070")</f>
        <v>hypothetical protein LSH36_286g03070</v>
      </c>
      <c r="J2878">
        <v>1696.79</v>
      </c>
      <c r="K2878" t="s">
        <v>19</v>
      </c>
      <c r="L2878">
        <v>1210</v>
      </c>
      <c r="M2878">
        <v>7.13</v>
      </c>
      <c r="N2878">
        <v>16.53</v>
      </c>
      <c r="O2878" t="s">
        <v>19</v>
      </c>
      <c r="P2878" t="s">
        <v>1267</v>
      </c>
      <c r="Q2878" t="s">
        <v>19</v>
      </c>
      <c r="R2878" t="str">
        <f>HYPERLINK("https://cfpub.epa.gov/ecotox/explore.cfm?ncbi=53620","Explore in ECOTOX")</f>
        <v>Explore in ECOTOX</v>
      </c>
    </row>
    <row r="2879" spans="1:18" x14ac:dyDescent="0.45">
      <c r="A2879" t="s">
        <v>1266</v>
      </c>
      <c r="B2879">
        <v>8</v>
      </c>
      <c r="C2879" t="str">
        <f>HYPERLINK("http://www.ncbi.nlm.nih.gov/protein/KAI8433758.1","KAI8433758.1")</f>
        <v>KAI8433758.1</v>
      </c>
      <c r="D2879">
        <v>23130</v>
      </c>
      <c r="E2879" t="str">
        <f>HYPERLINK("http://www.ncbi.nlm.nih.gov/Taxonomy/Browser/wwwtax.cgi?mode=Info&amp;id=7141&amp;lvl=3&amp;lin=f&amp;keep=1&amp;srchmode=1&amp;unlock","7141")</f>
        <v>7141</v>
      </c>
      <c r="F2879" t="s">
        <v>760</v>
      </c>
      <c r="G2879" t="str">
        <f>HYPERLINK("http://www.ncbi.nlm.nih.gov/Taxonomy/Browser/wwwtax.cgi?mode=Info&amp;id=7141&amp;lvl=3&amp;lin=f&amp;keep=1&amp;srchmode=1&amp;unlock","Choristoneura fumiferana")</f>
        <v>Choristoneura fumiferana</v>
      </c>
      <c r="H2879" t="s">
        <v>1146</v>
      </c>
      <c r="I2879" t="str">
        <f>HYPERLINK("http://www.ncbi.nlm.nih.gov/protein/KAI8433758.1","hypothetical protein MSG28_015736")</f>
        <v>hypothetical protein MSG28_015736</v>
      </c>
      <c r="J2879">
        <v>1689.09</v>
      </c>
      <c r="K2879" t="s">
        <v>19</v>
      </c>
      <c r="L2879">
        <v>1210</v>
      </c>
      <c r="M2879">
        <v>7.13</v>
      </c>
      <c r="N2879">
        <v>16.46</v>
      </c>
      <c r="O2879" t="s">
        <v>19</v>
      </c>
      <c r="P2879" t="s">
        <v>1267</v>
      </c>
      <c r="Q2879" t="s">
        <v>19</v>
      </c>
      <c r="R2879" t="str">
        <f>HYPERLINK("https://cfpub.epa.gov/ecotox/explore.cfm?ncbi=7141","Explore in ECOTOX")</f>
        <v>Explore in ECOTOX</v>
      </c>
    </row>
    <row r="2880" spans="1:18" x14ac:dyDescent="0.45">
      <c r="A2880" t="s">
        <v>1266</v>
      </c>
      <c r="B2880">
        <v>8</v>
      </c>
      <c r="C2880" t="str">
        <f>HYPERLINK("http://www.ncbi.nlm.nih.gov/protein/OTF76149.1","OTF76149.1")</f>
        <v>OTF76149.1</v>
      </c>
      <c r="D2880">
        <v>15267</v>
      </c>
      <c r="E2880" t="str">
        <f>HYPERLINK("http://www.ncbi.nlm.nih.gov/Taxonomy/Browser/wwwtax.cgi?mode=Info&amp;id=6958&amp;lvl=3&amp;lin=f&amp;keep=1&amp;srchmode=1&amp;unlock","6958")</f>
        <v>6958</v>
      </c>
      <c r="F2880" t="s">
        <v>904</v>
      </c>
      <c r="G2880" t="str">
        <f>HYPERLINK("http://www.ncbi.nlm.nih.gov/Taxonomy/Browser/wwwtax.cgi?mode=Info&amp;id=6958&amp;lvl=3&amp;lin=f&amp;keep=1&amp;srchmode=1&amp;unlock","Euroglyphus maynei")</f>
        <v>Euroglyphus maynei</v>
      </c>
      <c r="H2880" t="s">
        <v>1148</v>
      </c>
      <c r="I2880" t="str">
        <f>HYPERLINK("http://www.ncbi.nlm.nih.gov/protein/OTF76149.1","hypothetical protein BLA29_000325")</f>
        <v>hypothetical protein BLA29_000325</v>
      </c>
      <c r="J2880">
        <v>1675.22</v>
      </c>
      <c r="K2880" t="s">
        <v>19</v>
      </c>
      <c r="L2880">
        <v>1210</v>
      </c>
      <c r="M2880">
        <v>7.13</v>
      </c>
      <c r="N2880">
        <v>16.32</v>
      </c>
      <c r="O2880" t="s">
        <v>19</v>
      </c>
      <c r="P2880" t="s">
        <v>1267</v>
      </c>
      <c r="Q2880" t="s">
        <v>19</v>
      </c>
      <c r="R2880" t="str">
        <f>HYPERLINK("https://cfpub.epa.gov/ecotox/explore.cfm?ncbi=6958","Explore in ECOTOX")</f>
        <v>Explore in ECOTOX</v>
      </c>
    </row>
    <row r="2881" spans="1:18" x14ac:dyDescent="0.45">
      <c r="A2881" t="s">
        <v>1266</v>
      </c>
      <c r="B2881">
        <v>8</v>
      </c>
      <c r="C2881" t="str">
        <f>HYPERLINK("http://www.ncbi.nlm.nih.gov/protein/KAK2706501.1","KAK2706501.1")</f>
        <v>KAK2706501.1</v>
      </c>
      <c r="D2881">
        <v>28048</v>
      </c>
      <c r="E2881" t="str">
        <f>HYPERLINK("http://www.ncbi.nlm.nih.gov/Taxonomy/Browser/wwwtax.cgi?mode=Info&amp;id=6661&amp;lvl=3&amp;lin=f&amp;keep=1&amp;srchmode=1&amp;unlock","6661")</f>
        <v>6661</v>
      </c>
      <c r="F2881" t="s">
        <v>1073</v>
      </c>
      <c r="G2881" t="str">
        <f>HYPERLINK("http://www.ncbi.nlm.nih.gov/Taxonomy/Browser/wwwtax.cgi?mode=Info&amp;id=6661&amp;lvl=3&amp;lin=f&amp;keep=1&amp;srchmode=1&amp;unlock","Artemia franciscana")</f>
        <v>Artemia franciscana</v>
      </c>
      <c r="H2881" t="s">
        <v>1145</v>
      </c>
      <c r="I2881" t="str">
        <f>HYPERLINK("http://www.ncbi.nlm.nih.gov/protein/KAK2706501.1","hypothetical protein QYM36_016513")</f>
        <v>hypothetical protein QYM36_016513</v>
      </c>
      <c r="J2881">
        <v>1656.73</v>
      </c>
      <c r="K2881" t="s">
        <v>19</v>
      </c>
      <c r="L2881">
        <v>1210</v>
      </c>
      <c r="M2881">
        <v>7.13</v>
      </c>
      <c r="N2881">
        <v>16.14</v>
      </c>
      <c r="O2881" t="s">
        <v>19</v>
      </c>
      <c r="P2881" t="s">
        <v>1267</v>
      </c>
      <c r="Q2881" t="s">
        <v>19</v>
      </c>
      <c r="R2881" t="str">
        <f>HYPERLINK("https://cfpub.epa.gov/ecotox/explore.cfm?ncbi=6661","Explore in ECOTOX")</f>
        <v>Explore in ECOTOX</v>
      </c>
    </row>
    <row r="2882" spans="1:18" x14ac:dyDescent="0.45">
      <c r="A2882" t="s">
        <v>1266</v>
      </c>
      <c r="B2882">
        <v>8</v>
      </c>
      <c r="C2882" t="str">
        <f>HYPERLINK("http://www.ncbi.nlm.nih.gov/protein/KAF2882575.1","KAF2882575.1")</f>
        <v>KAF2882575.1</v>
      </c>
      <c r="D2882">
        <v>27570</v>
      </c>
      <c r="E2882" t="str">
        <f>HYPERLINK("http://www.ncbi.nlm.nih.gov/Taxonomy/Browser/wwwtax.cgi?mode=Info&amp;id=2038154&amp;lvl=3&amp;lin=f&amp;keep=1&amp;srchmode=1&amp;unlock","2038154")</f>
        <v>2038154</v>
      </c>
      <c r="F2882" t="s">
        <v>760</v>
      </c>
      <c r="G2882" t="str">
        <f>HYPERLINK("http://www.ncbi.nlm.nih.gov/Taxonomy/Browser/wwwtax.cgi?mode=Info&amp;id=2038154&amp;lvl=3&amp;lin=f&amp;keep=1&amp;srchmode=1&amp;unlock","Ignelater luminosus")</f>
        <v>Ignelater luminosus</v>
      </c>
      <c r="H2882" t="s">
        <v>1150</v>
      </c>
      <c r="I2882" t="str">
        <f>HYPERLINK("http://www.ncbi.nlm.nih.gov/protein/KAF2882575.1","hypothetical protein ILUMI_23592")</f>
        <v>hypothetical protein ILUMI_23592</v>
      </c>
      <c r="J2882">
        <v>1654.8</v>
      </c>
      <c r="K2882" t="s">
        <v>19</v>
      </c>
      <c r="L2882">
        <v>1210</v>
      </c>
      <c r="M2882">
        <v>7.13</v>
      </c>
      <c r="N2882">
        <v>16.12</v>
      </c>
      <c r="O2882" t="s">
        <v>19</v>
      </c>
      <c r="P2882" t="s">
        <v>1267</v>
      </c>
      <c r="Q2882" t="s">
        <v>19</v>
      </c>
      <c r="R2882" t="str">
        <f>HYPERLINK("https://cfpub.epa.gov/ecotox/explore.cfm?ncbi=2038154","Explore in ECOTOX")</f>
        <v>Explore in ECOTOX</v>
      </c>
    </row>
    <row r="2883" spans="1:18" x14ac:dyDescent="0.45">
      <c r="A2883" t="s">
        <v>1266</v>
      </c>
      <c r="B2883">
        <v>8</v>
      </c>
      <c r="C2883" t="str">
        <f>HYPERLINK("http://www.ncbi.nlm.nih.gov/protein/CAI9729939.1","CAI9729939.1")</f>
        <v>CAI9729939.1</v>
      </c>
      <c r="D2883">
        <v>30776</v>
      </c>
      <c r="E2883" t="str">
        <f>HYPERLINK("http://www.ncbi.nlm.nih.gov/Taxonomy/Browser/wwwtax.cgi?mode=Info&amp;id=6645&amp;lvl=3&amp;lin=f&amp;keep=1&amp;srchmode=1&amp;unlock","6645")</f>
        <v>6645</v>
      </c>
      <c r="F2883" t="s">
        <v>1010</v>
      </c>
      <c r="G2883" t="str">
        <f>HYPERLINK("http://www.ncbi.nlm.nih.gov/Taxonomy/Browser/wwwtax.cgi?mode=Info&amp;id=6645&amp;lvl=3&amp;lin=f&amp;keep=1&amp;srchmode=1&amp;unlock","Octopus vulgaris")</f>
        <v>Octopus vulgaris</v>
      </c>
      <c r="H2883" t="s">
        <v>1012</v>
      </c>
      <c r="I2883" t="str">
        <f>HYPERLINK("http://www.ncbi.nlm.nih.gov/protein/CAI9729939.1","ryanodine receptor-like isoform X8")</f>
        <v>ryanodine receptor-like isoform X8</v>
      </c>
      <c r="J2883">
        <v>1651.34</v>
      </c>
      <c r="K2883" t="s">
        <v>22</v>
      </c>
      <c r="L2883">
        <v>1210</v>
      </c>
      <c r="M2883">
        <v>7.13</v>
      </c>
      <c r="N2883">
        <v>16.09</v>
      </c>
      <c r="O2883" t="s">
        <v>19</v>
      </c>
      <c r="P2883" t="s">
        <v>1267</v>
      </c>
      <c r="Q2883" t="s">
        <v>19</v>
      </c>
      <c r="R2883" t="str">
        <f>HYPERLINK("https://cfpub.epa.gov/ecotox/explore.cfm?ncbi=6645","Explore in ECOTOX")</f>
        <v>Explore in ECOTOX</v>
      </c>
    </row>
    <row r="2884" spans="1:18" x14ac:dyDescent="0.45">
      <c r="A2884" t="s">
        <v>1266</v>
      </c>
      <c r="B2884">
        <v>8</v>
      </c>
      <c r="C2884" t="str">
        <f>HYPERLINK("http://www.ncbi.nlm.nih.gov/protein/ODN01392.1","ODN01392.1")</f>
        <v>ODN01392.1</v>
      </c>
      <c r="D2884">
        <v>20402</v>
      </c>
      <c r="E2884" t="str">
        <f>HYPERLINK("http://www.ncbi.nlm.nih.gov/Taxonomy/Browser/wwwtax.cgi?mode=Info&amp;id=48709&amp;lvl=3&amp;lin=f&amp;keep=1&amp;srchmode=1&amp;unlock","48709")</f>
        <v>48709</v>
      </c>
      <c r="F2884" t="s">
        <v>999</v>
      </c>
      <c r="G2884" t="str">
        <f>HYPERLINK("http://www.ncbi.nlm.nih.gov/Taxonomy/Browser/wwwtax.cgi?mode=Info&amp;id=48709&amp;lvl=3&amp;lin=f&amp;keep=1&amp;srchmode=1&amp;unlock","Orchesella cincta")</f>
        <v>Orchesella cincta</v>
      </c>
      <c r="H2884" t="s">
        <v>1147</v>
      </c>
      <c r="I2884" t="str">
        <f>HYPERLINK("http://www.ncbi.nlm.nih.gov/protein/ODN01392.1","Ryanodine receptor 44F")</f>
        <v>Ryanodine receptor 44F</v>
      </c>
      <c r="J2884">
        <v>1649.03</v>
      </c>
      <c r="K2884" t="s">
        <v>19</v>
      </c>
      <c r="L2884">
        <v>1210</v>
      </c>
      <c r="M2884">
        <v>7.13</v>
      </c>
      <c r="N2884">
        <v>16.07</v>
      </c>
      <c r="O2884" t="s">
        <v>19</v>
      </c>
      <c r="P2884" t="s">
        <v>1267</v>
      </c>
      <c r="Q2884" t="s">
        <v>19</v>
      </c>
      <c r="R2884" t="str">
        <f>HYPERLINK("https://cfpub.epa.gov/ecotox/explore.cfm?ncbi=48709","Explore in ECOTOX")</f>
        <v>Explore in ECOTOX</v>
      </c>
    </row>
    <row r="2885" spans="1:18" x14ac:dyDescent="0.45">
      <c r="A2885" t="s">
        <v>1266</v>
      </c>
      <c r="B2885">
        <v>8</v>
      </c>
      <c r="C2885" t="str">
        <f>HYPERLINK("http://www.ncbi.nlm.nih.gov/protein/KRT85744.1","KRT85744.1")</f>
        <v>KRT85744.1</v>
      </c>
      <c r="D2885">
        <v>8838</v>
      </c>
      <c r="E2885" t="str">
        <f>HYPERLINK("http://www.ncbi.nlm.nih.gov/Taxonomy/Browser/wwwtax.cgi?mode=Info&amp;id=1629725&amp;lvl=3&amp;lin=f&amp;keep=1&amp;srchmode=1&amp;unlock","1629725")</f>
        <v>1629725</v>
      </c>
      <c r="F2885" t="s">
        <v>760</v>
      </c>
      <c r="G2885" t="str">
        <f>HYPERLINK("http://www.ncbi.nlm.nih.gov/Taxonomy/Browser/wwwtax.cgi?mode=Info&amp;id=1629725&amp;lvl=3&amp;lin=f&amp;keep=1&amp;srchmode=1&amp;unlock","Oryctes borbonicus")</f>
        <v>Oryctes borbonicus</v>
      </c>
      <c r="H2885" t="s">
        <v>1149</v>
      </c>
      <c r="I2885" t="str">
        <f>HYPERLINK("http://www.ncbi.nlm.nih.gov/protein/KRT85744.1","hypothetical protein AMK59_1464")</f>
        <v>hypothetical protein AMK59_1464</v>
      </c>
      <c r="J2885">
        <v>1642.09</v>
      </c>
      <c r="K2885" t="s">
        <v>22</v>
      </c>
      <c r="L2885">
        <v>1210</v>
      </c>
      <c r="M2885">
        <v>7.13</v>
      </c>
      <c r="N2885">
        <v>16</v>
      </c>
      <c r="O2885" t="s">
        <v>19</v>
      </c>
      <c r="P2885" t="s">
        <v>1267</v>
      </c>
      <c r="Q2885" t="s">
        <v>19</v>
      </c>
      <c r="R2885" t="str">
        <f>HYPERLINK("https://cfpub.epa.gov/ecotox/explore.cfm?ncbi=1629725","Explore in ECOTOX")</f>
        <v>Explore in ECOTOX</v>
      </c>
    </row>
    <row r="2886" spans="1:18" x14ac:dyDescent="0.45">
      <c r="A2886" t="s">
        <v>1266</v>
      </c>
      <c r="B2886">
        <v>8</v>
      </c>
      <c r="C2886" t="str">
        <f>HYPERLINK("http://www.ncbi.nlm.nih.gov/protein/CAF4905992.1","CAF4905992.1")</f>
        <v>CAF4905992.1</v>
      </c>
      <c r="D2886">
        <v>18656</v>
      </c>
      <c r="E2886" t="str">
        <f>HYPERLINK("http://www.ncbi.nlm.nih.gov/Taxonomy/Browser/wwwtax.cgi?mode=Info&amp;id=345717&amp;lvl=3&amp;lin=f&amp;keep=1&amp;srchmode=1&amp;unlock","345717")</f>
        <v>345717</v>
      </c>
      <c r="F2886" t="s">
        <v>760</v>
      </c>
      <c r="G2886" t="str">
        <f>HYPERLINK("http://www.ncbi.nlm.nih.gov/Taxonomy/Browser/wwwtax.cgi?mode=Info&amp;id=345717&amp;lvl=3&amp;lin=f&amp;keep=1&amp;srchmode=1&amp;unlock","Pieris macdunnoughi")</f>
        <v>Pieris macdunnoughi</v>
      </c>
      <c r="H2886" t="s">
        <v>891</v>
      </c>
      <c r="I2886" t="str">
        <f>HYPERLINK("http://www.ncbi.nlm.nih.gov/protein/CAF4905992.1","unnamed protein product")</f>
        <v>unnamed protein product</v>
      </c>
      <c r="J2886">
        <v>1617.44</v>
      </c>
      <c r="K2886" t="s">
        <v>22</v>
      </c>
      <c r="L2886">
        <v>1210</v>
      </c>
      <c r="M2886">
        <v>7.13</v>
      </c>
      <c r="N2886">
        <v>15.76</v>
      </c>
      <c r="O2886" t="s">
        <v>19</v>
      </c>
      <c r="P2886" t="s">
        <v>1267</v>
      </c>
      <c r="Q2886" t="s">
        <v>19</v>
      </c>
      <c r="R2886" t="str">
        <f>HYPERLINK("https://cfpub.epa.gov/ecotox/explore.cfm?ncbi=345717","Explore in ECOTOX")</f>
        <v>Explore in ECOTOX</v>
      </c>
    </row>
    <row r="2887" spans="1:18" x14ac:dyDescent="0.45">
      <c r="A2887" t="s">
        <v>1266</v>
      </c>
      <c r="B2887">
        <v>8</v>
      </c>
      <c r="C2887" t="str">
        <f>HYPERLINK("http://www.ncbi.nlm.nih.gov/protein/CAH2098706.1","CAH2098706.1")</f>
        <v>CAH2098706.1</v>
      </c>
      <c r="D2887">
        <v>26296</v>
      </c>
      <c r="E2887" t="str">
        <f>HYPERLINK("http://www.ncbi.nlm.nih.gov/Taxonomy/Browser/wwwtax.cgi?mode=Info&amp;id=104508&amp;lvl=3&amp;lin=f&amp;keep=1&amp;srchmode=1&amp;unlock","104508")</f>
        <v>104508</v>
      </c>
      <c r="F2887" t="s">
        <v>760</v>
      </c>
      <c r="G2887" t="str">
        <f>HYPERLINK("http://www.ncbi.nlm.nih.gov/Taxonomy/Browser/wwwtax.cgi?mode=Info&amp;id=104508&amp;lvl=3&amp;lin=f&amp;keep=1&amp;srchmode=1&amp;unlock","Euphydryas editha")</f>
        <v>Euphydryas editha</v>
      </c>
      <c r="H2887" t="s">
        <v>1165</v>
      </c>
      <c r="I2887" t="str">
        <f>HYPERLINK("http://www.ncbi.nlm.nih.gov/protein/CAH2098706.1","unnamed protein product")</f>
        <v>unnamed protein product</v>
      </c>
      <c r="J2887">
        <v>1603.57</v>
      </c>
      <c r="K2887" t="s">
        <v>22</v>
      </c>
      <c r="L2887">
        <v>1210</v>
      </c>
      <c r="M2887">
        <v>7.13</v>
      </c>
      <c r="N2887">
        <v>15.62</v>
      </c>
      <c r="O2887" t="s">
        <v>19</v>
      </c>
      <c r="P2887" t="s">
        <v>1267</v>
      </c>
      <c r="Q2887" t="s">
        <v>19</v>
      </c>
      <c r="R2887" t="str">
        <f>HYPERLINK("https://cfpub.epa.gov/ecotox/explore.cfm?ncbi=104508","Explore in ECOTOX")</f>
        <v>Explore in ECOTOX</v>
      </c>
    </row>
    <row r="2888" spans="1:18" x14ac:dyDescent="0.45">
      <c r="A2888" t="s">
        <v>1266</v>
      </c>
      <c r="B2888">
        <v>8</v>
      </c>
      <c r="C2888" t="str">
        <f>HYPERLINK("http://www.ncbi.nlm.nih.gov/protein/CAB3245101.1","CAB3245101.1")</f>
        <v>CAB3245101.1</v>
      </c>
      <c r="D2888">
        <v>38591</v>
      </c>
      <c r="E2888" t="str">
        <f>HYPERLINK("http://www.ncbi.nlm.nih.gov/Taxonomy/Browser/wwwtax.cgi?mode=Info&amp;id=874455&amp;lvl=3&amp;lin=f&amp;keep=1&amp;srchmode=1&amp;unlock","874455")</f>
        <v>874455</v>
      </c>
      <c r="F2888" t="s">
        <v>760</v>
      </c>
      <c r="G2888" t="str">
        <f>HYPERLINK("http://www.ncbi.nlm.nih.gov/Taxonomy/Browser/wwwtax.cgi?mode=Info&amp;id=874455&amp;lvl=3&amp;lin=f&amp;keep=1&amp;srchmode=1&amp;unlock","Arctia plantaginis")</f>
        <v>Arctia plantaginis</v>
      </c>
      <c r="H2888" t="s">
        <v>1153</v>
      </c>
      <c r="I2888" t="str">
        <f>HYPERLINK("http://www.ncbi.nlm.nih.gov/protein/CAB3245101.1","unnamed protein product")</f>
        <v>unnamed protein product</v>
      </c>
      <c r="J2888">
        <v>1596.25</v>
      </c>
      <c r="K2888" t="s">
        <v>22</v>
      </c>
      <c r="L2888">
        <v>1210</v>
      </c>
      <c r="M2888">
        <v>7.13</v>
      </c>
      <c r="N2888">
        <v>15.55</v>
      </c>
      <c r="O2888" t="s">
        <v>19</v>
      </c>
      <c r="P2888" t="s">
        <v>1267</v>
      </c>
      <c r="Q2888" t="s">
        <v>19</v>
      </c>
      <c r="R2888" t="str">
        <f>HYPERLINK("https://cfpub.epa.gov/ecotox/explore.cfm?ncbi=874455","Explore in ECOTOX")</f>
        <v>Explore in ECOTOX</v>
      </c>
    </row>
    <row r="2889" spans="1:18" x14ac:dyDescent="0.45">
      <c r="A2889" t="s">
        <v>1266</v>
      </c>
      <c r="B2889">
        <v>8</v>
      </c>
      <c r="C2889" t="str">
        <f>HYPERLINK("http://www.ncbi.nlm.nih.gov/protein/CAI9554169.1","CAI9554169.1")</f>
        <v>CAI9554169.1</v>
      </c>
      <c r="D2889">
        <v>92601</v>
      </c>
      <c r="E2889" t="str">
        <f>HYPERLINK("http://www.ncbi.nlm.nih.gov/Taxonomy/Browser/wwwtax.cgi?mode=Info&amp;id=386267&amp;lvl=3&amp;lin=f&amp;keep=1&amp;srchmode=1&amp;unlock","386267")</f>
        <v>386267</v>
      </c>
      <c r="F2889" t="s">
        <v>177</v>
      </c>
      <c r="G2889" t="str">
        <f>HYPERLINK("http://www.ncbi.nlm.nih.gov/Taxonomy/Browser/wwwtax.cgi?mode=Info&amp;id=386267&amp;lvl=3&amp;lin=f&amp;keep=1&amp;srchmode=1&amp;unlock","Staurois parvus")</f>
        <v>Staurois parvus</v>
      </c>
      <c r="H2889" t="s">
        <v>1124</v>
      </c>
      <c r="I2889" t="str">
        <f>HYPERLINK("http://www.ncbi.nlm.nih.gov/protein/CAI9554169.1","unnamed protein product")</f>
        <v>unnamed protein product</v>
      </c>
      <c r="J2889">
        <v>1593.56</v>
      </c>
      <c r="K2889" t="s">
        <v>22</v>
      </c>
      <c r="L2889">
        <v>1210</v>
      </c>
      <c r="M2889">
        <v>7.13</v>
      </c>
      <c r="N2889">
        <v>15.53</v>
      </c>
      <c r="O2889" t="s">
        <v>19</v>
      </c>
      <c r="P2889" t="s">
        <v>1267</v>
      </c>
      <c r="Q2889" t="s">
        <v>19</v>
      </c>
      <c r="R2889" t="str">
        <f>HYPERLINK("https://cfpub.epa.gov/ecotox/explore.cfm?ncbi=386267","Explore in ECOTOX")</f>
        <v>Explore in ECOTOX</v>
      </c>
    </row>
    <row r="2890" spans="1:18" x14ac:dyDescent="0.45">
      <c r="A2890" t="s">
        <v>1266</v>
      </c>
      <c r="B2890">
        <v>8</v>
      </c>
      <c r="C2890" t="str">
        <f>HYPERLINK("http://www.ncbi.nlm.nih.gov/protein/KAI3389454.1","KAI3389454.1")</f>
        <v>KAI3389454.1</v>
      </c>
      <c r="D2890">
        <v>12272</v>
      </c>
      <c r="E2890" t="str">
        <f>HYPERLINK("http://www.ncbi.nlm.nih.gov/Taxonomy/Browser/wwwtax.cgi?mode=Info&amp;id=104778&amp;lvl=3&amp;lin=f&amp;keep=1&amp;srchmode=1&amp;unlock","104778")</f>
        <v>104778</v>
      </c>
      <c r="F2890" t="s">
        <v>1189</v>
      </c>
      <c r="G2890" t="str">
        <f>HYPERLINK("http://www.ncbi.nlm.nih.gov/Taxonomy/Browser/wwwtax.cgi?mode=Info&amp;id=104778&amp;lvl=3&amp;lin=f&amp;keep=1&amp;srchmode=1&amp;unlock","Seison nebaliae")</f>
        <v>Seison nebaliae</v>
      </c>
      <c r="H2890" t="s">
        <v>812</v>
      </c>
      <c r="I2890" t="str">
        <f>HYPERLINK("http://www.ncbi.nlm.nih.gov/protein/KAI3389454.1","hypothetical protein SNEBB_011471")</f>
        <v>hypothetical protein SNEBB_011471</v>
      </c>
      <c r="J2890">
        <v>1590.09</v>
      </c>
      <c r="K2890" t="s">
        <v>19</v>
      </c>
      <c r="L2890">
        <v>1210</v>
      </c>
      <c r="M2890">
        <v>7.13</v>
      </c>
      <c r="N2890">
        <v>15.49</v>
      </c>
      <c r="O2890" t="s">
        <v>19</v>
      </c>
      <c r="P2890" t="s">
        <v>1267</v>
      </c>
      <c r="Q2890" t="s">
        <v>19</v>
      </c>
      <c r="R2890" t="str">
        <f>HYPERLINK("https://cfpub.epa.gov/ecotox/explore.cfm?ncbi=104778","Explore in ECOTOX")</f>
        <v>Explore in ECOTOX</v>
      </c>
    </row>
    <row r="2891" spans="1:18" x14ac:dyDescent="0.45">
      <c r="A2891" t="s">
        <v>1266</v>
      </c>
      <c r="B2891">
        <v>8</v>
      </c>
      <c r="C2891" t="str">
        <f>HYPERLINK("http://www.ncbi.nlm.nih.gov/protein/KAK2088355.1","KAK2088355.1")</f>
        <v>KAK2088355.1</v>
      </c>
      <c r="D2891">
        <v>41200</v>
      </c>
      <c r="E2891" t="str">
        <f>HYPERLINK("http://www.ncbi.nlm.nih.gov/Taxonomy/Browser/wwwtax.cgi?mode=Info&amp;id=9490&amp;lvl=3&amp;lin=f&amp;keep=1&amp;srchmode=1&amp;unlock","9490")</f>
        <v>9490</v>
      </c>
      <c r="F2891" t="s">
        <v>96</v>
      </c>
      <c r="G2891" t="str">
        <f>HYPERLINK("http://www.ncbi.nlm.nih.gov/Taxonomy/Browser/wwwtax.cgi?mode=Info&amp;id=9490&amp;lvl=3&amp;lin=f&amp;keep=1&amp;srchmode=1&amp;unlock","Saguinus oedipus")</f>
        <v>Saguinus oedipus</v>
      </c>
      <c r="H2891" t="s">
        <v>1131</v>
      </c>
      <c r="I2891" t="str">
        <f>HYPERLINK("http://www.ncbi.nlm.nih.gov/protein/KAK2088355.1","Ryanodine receptor 1")</f>
        <v>Ryanodine receptor 1</v>
      </c>
      <c r="J2891">
        <v>1579.69</v>
      </c>
      <c r="K2891" t="s">
        <v>22</v>
      </c>
      <c r="L2891">
        <v>1210</v>
      </c>
      <c r="M2891">
        <v>7.13</v>
      </c>
      <c r="N2891">
        <v>15.39</v>
      </c>
      <c r="O2891" t="s">
        <v>19</v>
      </c>
      <c r="P2891" t="s">
        <v>1267</v>
      </c>
      <c r="Q2891" t="s">
        <v>19</v>
      </c>
      <c r="R2891" t="str">
        <f>HYPERLINK("https://cfpub.epa.gov/ecotox/explore.cfm?ncbi=9490","Explore in ECOTOX")</f>
        <v>Explore in ECOTOX</v>
      </c>
    </row>
    <row r="2892" spans="1:18" x14ac:dyDescent="0.45">
      <c r="A2892" t="s">
        <v>1266</v>
      </c>
      <c r="B2892">
        <v>8</v>
      </c>
      <c r="C2892" t="str">
        <f>HYPERLINK("http://www.ncbi.nlm.nih.gov/protein/CAG9572904.1","CAG9572904.1")</f>
        <v>CAG9572904.1</v>
      </c>
      <c r="D2892">
        <v>19579</v>
      </c>
      <c r="E2892" t="str">
        <f>HYPERLINK("http://www.ncbi.nlm.nih.gov/Taxonomy/Browser/wwwtax.cgi?mode=Info&amp;id=151541&amp;lvl=3&amp;lin=f&amp;keep=1&amp;srchmode=1&amp;unlock","151541")</f>
        <v>151541</v>
      </c>
      <c r="F2892" t="s">
        <v>760</v>
      </c>
      <c r="G2892" t="str">
        <f>HYPERLINK("http://www.ncbi.nlm.nih.gov/Taxonomy/Browser/wwwtax.cgi?mode=Info&amp;id=151541&amp;lvl=3&amp;lin=f&amp;keep=1&amp;srchmode=1&amp;unlock","Danaus chrysippus")</f>
        <v>Danaus chrysippus</v>
      </c>
      <c r="H2892" t="s">
        <v>1154</v>
      </c>
      <c r="I2892" t="str">
        <f>HYPERLINK("http://www.ncbi.nlm.nih.gov/protein/CAG9572904.1","unnamed protein product")</f>
        <v>unnamed protein product</v>
      </c>
      <c r="J2892">
        <v>1578.92</v>
      </c>
      <c r="K2892" t="s">
        <v>22</v>
      </c>
      <c r="L2892">
        <v>1210</v>
      </c>
      <c r="M2892">
        <v>7.13</v>
      </c>
      <c r="N2892">
        <v>15.38</v>
      </c>
      <c r="O2892" t="s">
        <v>19</v>
      </c>
      <c r="P2892" t="s">
        <v>1267</v>
      </c>
      <c r="Q2892" t="s">
        <v>19</v>
      </c>
      <c r="R2892" t="str">
        <f>HYPERLINK("https://cfpub.epa.gov/ecotox/explore.cfm?ncbi=151541","Explore in ECOTOX")</f>
        <v>Explore in ECOTOX</v>
      </c>
    </row>
    <row r="2893" spans="1:18" x14ac:dyDescent="0.45">
      <c r="A2893" t="s">
        <v>1266</v>
      </c>
      <c r="B2893">
        <v>8</v>
      </c>
      <c r="C2893" t="str">
        <f>HYPERLINK("http://www.ncbi.nlm.nih.gov/protein/KAH9519509.1","KAH9519509.1")</f>
        <v>KAH9519509.1</v>
      </c>
      <c r="D2893">
        <v>26550</v>
      </c>
      <c r="E2893" t="str">
        <f>HYPERLINK("http://www.ncbi.nlm.nih.gov/Taxonomy/Browser/wwwtax.cgi?mode=Info&amp;id=55810&amp;lvl=3&amp;lin=f&amp;keep=1&amp;srchmode=1&amp;unlock","55810")</f>
        <v>55810</v>
      </c>
      <c r="F2893" t="s">
        <v>757</v>
      </c>
      <c r="G2893" t="str">
        <f>HYPERLINK("http://www.ncbi.nlm.nih.gov/Taxonomy/Browser/wwwtax.cgi?mode=Info&amp;id=55810&amp;lvl=3&amp;lin=f&amp;keep=1&amp;srchmode=1&amp;unlock","Bulinus truncatus")</f>
        <v>Bulinus truncatus</v>
      </c>
      <c r="H2893" t="s">
        <v>832</v>
      </c>
      <c r="I2893" t="str">
        <f>HYPERLINK("http://www.ncbi.nlm.nih.gov/protein/KAH9519509.1","hypothetical protein Btru_002897, partial")</f>
        <v>hypothetical protein Btru_002897, partial</v>
      </c>
      <c r="J2893">
        <v>1565.82</v>
      </c>
      <c r="K2893" t="s">
        <v>19</v>
      </c>
      <c r="L2893">
        <v>1210</v>
      </c>
      <c r="M2893">
        <v>7.13</v>
      </c>
      <c r="N2893">
        <v>15.26</v>
      </c>
      <c r="O2893" t="s">
        <v>19</v>
      </c>
      <c r="P2893" t="s">
        <v>1267</v>
      </c>
      <c r="Q2893" t="s">
        <v>19</v>
      </c>
      <c r="R2893" t="str">
        <f>HYPERLINK("https://cfpub.epa.gov/ecotox/explore.cfm?ncbi=55810","Explore in ECOTOX")</f>
        <v>Explore in ECOTOX</v>
      </c>
    </row>
    <row r="2894" spans="1:18" x14ac:dyDescent="0.45">
      <c r="A2894" t="s">
        <v>1266</v>
      </c>
      <c r="B2894">
        <v>8</v>
      </c>
      <c r="C2894" t="str">
        <f>HYPERLINK("http://www.ncbi.nlm.nih.gov/protein/VDM18808.1","VDM18808.1")</f>
        <v>VDM18808.1</v>
      </c>
      <c r="D2894">
        <v>32682</v>
      </c>
      <c r="E2894" t="str">
        <f>HYPERLINK("http://www.ncbi.nlm.nih.gov/Taxonomy/Browser/wwwtax.cgi?mode=Info&amp;id=6293&amp;lvl=3&amp;lin=f&amp;keep=1&amp;srchmode=1&amp;unlock","6293")</f>
        <v>6293</v>
      </c>
      <c r="F2894" t="s">
        <v>1024</v>
      </c>
      <c r="G2894" t="str">
        <f>HYPERLINK("http://www.ncbi.nlm.nih.gov/Taxonomy/Browser/wwwtax.cgi?mode=Info&amp;id=6293&amp;lvl=3&amp;lin=f&amp;keep=1&amp;srchmode=1&amp;unlock","Wuchereria bancrofti")</f>
        <v>Wuchereria bancrofti</v>
      </c>
      <c r="H2894" t="s">
        <v>1108</v>
      </c>
      <c r="I2894" t="str">
        <f>HYPERLINK("http://www.ncbi.nlm.nih.gov/protein/VDM18808.1","unnamed protein product")</f>
        <v>unnamed protein product</v>
      </c>
      <c r="J2894">
        <v>1562.36</v>
      </c>
      <c r="K2894" t="s">
        <v>22</v>
      </c>
      <c r="L2894">
        <v>1210</v>
      </c>
      <c r="M2894">
        <v>7.13</v>
      </c>
      <c r="N2894">
        <v>15.22</v>
      </c>
      <c r="O2894" t="s">
        <v>19</v>
      </c>
      <c r="P2894" t="s">
        <v>1267</v>
      </c>
      <c r="Q2894" t="s">
        <v>19</v>
      </c>
      <c r="R2894" t="str">
        <f>HYPERLINK("https://cfpub.epa.gov/ecotox/explore.cfm?ncbi=6293","Explore in ECOTOX")</f>
        <v>Explore in ECOTOX</v>
      </c>
    </row>
    <row r="2895" spans="1:18" x14ac:dyDescent="0.45">
      <c r="A2895" t="s">
        <v>1266</v>
      </c>
      <c r="B2895">
        <v>8</v>
      </c>
      <c r="C2895" t="str">
        <f>HYPERLINK("http://www.ncbi.nlm.nih.gov/protein/CAD7437731.1","CAD7437731.1")</f>
        <v>CAD7437731.1</v>
      </c>
      <c r="D2895">
        <v>14365</v>
      </c>
      <c r="E2895" t="str">
        <f>HYPERLINK("http://www.ncbi.nlm.nih.gov/Taxonomy/Browser/wwwtax.cgi?mode=Info&amp;id=61472&amp;lvl=3&amp;lin=f&amp;keep=1&amp;srchmode=1&amp;unlock","61472")</f>
        <v>61472</v>
      </c>
      <c r="F2895" t="s">
        <v>760</v>
      </c>
      <c r="G2895" t="str">
        <f>HYPERLINK("http://www.ncbi.nlm.nih.gov/Taxonomy/Browser/wwwtax.cgi?mode=Info&amp;id=61472&amp;lvl=3&amp;lin=f&amp;keep=1&amp;srchmode=1&amp;unlock","Timema bartmani")</f>
        <v>Timema bartmani</v>
      </c>
      <c r="H2895" t="s">
        <v>1039</v>
      </c>
      <c r="I2895" t="str">
        <f>HYPERLINK("http://www.ncbi.nlm.nih.gov/protein/CAD7437731.1","unnamed protein product")</f>
        <v>unnamed protein product</v>
      </c>
      <c r="J2895">
        <v>1557.73</v>
      </c>
      <c r="K2895" t="s">
        <v>22</v>
      </c>
      <c r="L2895">
        <v>1210</v>
      </c>
      <c r="M2895">
        <v>7.13</v>
      </c>
      <c r="N2895">
        <v>15.18</v>
      </c>
      <c r="O2895" t="s">
        <v>19</v>
      </c>
      <c r="P2895" t="s">
        <v>1267</v>
      </c>
      <c r="Q2895" t="s">
        <v>19</v>
      </c>
      <c r="R2895" t="str">
        <f>HYPERLINK("https://cfpub.epa.gov/ecotox/explore.cfm?ncbi=61472","Explore in ECOTOX")</f>
        <v>Explore in ECOTOX</v>
      </c>
    </row>
    <row r="2896" spans="1:18" x14ac:dyDescent="0.45">
      <c r="A2896" t="s">
        <v>1266</v>
      </c>
      <c r="B2896">
        <v>8</v>
      </c>
      <c r="C2896" t="str">
        <f>HYPERLINK("http://www.ncbi.nlm.nih.gov/protein/PIC27807.1","PIC27807.1")</f>
        <v>PIC27807.1</v>
      </c>
      <c r="D2896">
        <v>44575</v>
      </c>
      <c r="E2896" t="str">
        <f>HYPERLINK("http://www.ncbi.nlm.nih.gov/Taxonomy/Browser/wwwtax.cgi?mode=Info&amp;id=1611254&amp;lvl=3&amp;lin=f&amp;keep=1&amp;srchmode=1&amp;unlock","1611254")</f>
        <v>1611254</v>
      </c>
      <c r="F2896" t="s">
        <v>1024</v>
      </c>
      <c r="G2896" t="str">
        <f>HYPERLINK("http://www.ncbi.nlm.nih.gov/Taxonomy/Browser/wwwtax.cgi?mode=Info&amp;id=1611254&amp;lvl=3&amp;lin=f&amp;keep=1&amp;srchmode=1&amp;unlock","Caenorhabditis nigoni")</f>
        <v>Caenorhabditis nigoni</v>
      </c>
      <c r="H2896" t="s">
        <v>1027</v>
      </c>
      <c r="I2896" t="str">
        <f>HYPERLINK("http://www.ncbi.nlm.nih.gov/protein/PIC27807.1","hypothetical protein B9Z55_019948")</f>
        <v>hypothetical protein B9Z55_019948</v>
      </c>
      <c r="J2896">
        <v>1557.73</v>
      </c>
      <c r="K2896" t="s">
        <v>19</v>
      </c>
      <c r="L2896">
        <v>1210</v>
      </c>
      <c r="M2896">
        <v>7.13</v>
      </c>
      <c r="N2896">
        <v>15.18</v>
      </c>
      <c r="O2896" t="s">
        <v>19</v>
      </c>
      <c r="P2896" t="s">
        <v>1267</v>
      </c>
      <c r="Q2896" t="s">
        <v>19</v>
      </c>
      <c r="R2896" t="str">
        <f>HYPERLINK("https://cfpub.epa.gov/ecotox/explore.cfm?ncbi=1611254","Explore in ECOTOX")</f>
        <v>Explore in ECOTOX</v>
      </c>
    </row>
    <row r="2897" spans="1:18" x14ac:dyDescent="0.45">
      <c r="A2897" t="s">
        <v>1266</v>
      </c>
      <c r="B2897">
        <v>8</v>
      </c>
      <c r="C2897" t="str">
        <f>HYPERLINK("http://www.ncbi.nlm.nih.gov/protein/GFO35387.1","GFO35387.1")</f>
        <v>GFO35387.1</v>
      </c>
      <c r="D2897">
        <v>77250</v>
      </c>
      <c r="E2897" t="str">
        <f>HYPERLINK("http://www.ncbi.nlm.nih.gov/Taxonomy/Browser/wwwtax.cgi?mode=Info&amp;id=259542&amp;lvl=3&amp;lin=f&amp;keep=1&amp;srchmode=1&amp;unlock","259542")</f>
        <v>259542</v>
      </c>
      <c r="F2897" t="s">
        <v>757</v>
      </c>
      <c r="G2897" t="str">
        <f>HYPERLINK("http://www.ncbi.nlm.nih.gov/Taxonomy/Browser/wwwtax.cgi?mode=Info&amp;id=259542&amp;lvl=3&amp;lin=f&amp;keep=1&amp;srchmode=1&amp;unlock","Plakobranchus ocellatus")</f>
        <v>Plakobranchus ocellatus</v>
      </c>
      <c r="H2897" t="s">
        <v>832</v>
      </c>
      <c r="I2897" t="str">
        <f>HYPERLINK("http://www.ncbi.nlm.nih.gov/protein/GFO35387.1","ryanodine receptor")</f>
        <v>ryanodine receptor</v>
      </c>
      <c r="J2897">
        <v>1556.96</v>
      </c>
      <c r="K2897" t="s">
        <v>19</v>
      </c>
      <c r="L2897">
        <v>1210</v>
      </c>
      <c r="M2897">
        <v>7.13</v>
      </c>
      <c r="N2897">
        <v>15.17</v>
      </c>
      <c r="O2897" t="s">
        <v>19</v>
      </c>
      <c r="P2897" t="s">
        <v>1267</v>
      </c>
      <c r="Q2897" t="s">
        <v>19</v>
      </c>
      <c r="R2897" t="str">
        <f>HYPERLINK("https://cfpub.epa.gov/ecotox/explore.cfm?ncbi=259542","Explore in ECOTOX")</f>
        <v>Explore in ECOTOX</v>
      </c>
    </row>
    <row r="2898" spans="1:18" x14ac:dyDescent="0.45">
      <c r="A2898" t="s">
        <v>1266</v>
      </c>
      <c r="B2898">
        <v>8</v>
      </c>
      <c r="C2898" t="str">
        <f>HYPERLINK("http://www.ncbi.nlm.nih.gov/protein/KAG1707004.1","KAG1707004.1")</f>
        <v>KAG1707004.1</v>
      </c>
      <c r="D2898">
        <v>28507</v>
      </c>
      <c r="E2898" t="str">
        <f>HYPERLINK("http://www.ncbi.nlm.nih.gov/Taxonomy/Browser/wwwtax.cgi?mode=Info&amp;id=424472&amp;lvl=3&amp;lin=f&amp;keep=1&amp;srchmode=1&amp;unlock","424472")</f>
        <v>424472</v>
      </c>
      <c r="F2898" t="s">
        <v>1157</v>
      </c>
      <c r="G2898" t="str">
        <f>HYPERLINK("http://www.ncbi.nlm.nih.gov/Taxonomy/Browser/wwwtax.cgi?mode=Info&amp;id=424472&amp;lvl=3&amp;lin=f&amp;keep=1&amp;srchmode=1&amp;unlock","Nymphon striatum")</f>
        <v>Nymphon striatum</v>
      </c>
      <c r="H2898" t="s">
        <v>1158</v>
      </c>
      <c r="I2898" t="str">
        <f>HYPERLINK("http://www.ncbi.nlm.nih.gov/protein/KAG1707004.1","Ryanodine receptor")</f>
        <v>Ryanodine receptor</v>
      </c>
      <c r="J2898">
        <v>1552.34</v>
      </c>
      <c r="K2898" t="s">
        <v>19</v>
      </c>
      <c r="L2898">
        <v>1210</v>
      </c>
      <c r="M2898">
        <v>7.13</v>
      </c>
      <c r="N2898">
        <v>15.13</v>
      </c>
      <c r="O2898" t="s">
        <v>19</v>
      </c>
      <c r="P2898" t="s">
        <v>1267</v>
      </c>
      <c r="Q2898" t="s">
        <v>19</v>
      </c>
      <c r="R2898" t="str">
        <f>HYPERLINK("https://cfpub.epa.gov/ecotox/explore.cfm?ncbi=424472","Explore in ECOTOX")</f>
        <v>Explore in ECOTOX</v>
      </c>
    </row>
    <row r="2899" spans="1:18" x14ac:dyDescent="0.45">
      <c r="A2899" t="s">
        <v>1266</v>
      </c>
      <c r="B2899">
        <v>8</v>
      </c>
      <c r="C2899" t="str">
        <f>HYPERLINK("http://www.ncbi.nlm.nih.gov/protein/XP_037072504.1","XP_037072504.1")</f>
        <v>XP_037072504.1</v>
      </c>
      <c r="D2899">
        <v>27129</v>
      </c>
      <c r="E2899" t="str">
        <f>HYPERLINK("http://www.ncbi.nlm.nih.gov/Taxonomy/Browser/wwwtax.cgi?mode=Info&amp;id=41117&amp;lvl=3&amp;lin=f&amp;keep=1&amp;srchmode=1&amp;unlock","41117")</f>
        <v>41117</v>
      </c>
      <c r="F2899" t="s">
        <v>997</v>
      </c>
      <c r="G2899" t="str">
        <f>HYPERLINK("http://www.ncbi.nlm.nih.gov/Taxonomy/Browser/wwwtax.cgi?mode=Info&amp;id=41117&amp;lvl=3&amp;lin=f&amp;keep=1&amp;srchmode=1&amp;unlock","Pollicipes pollicipes")</f>
        <v>Pollicipes pollicipes</v>
      </c>
      <c r="H2899" t="s">
        <v>1156</v>
      </c>
      <c r="I2899" t="str">
        <f>HYPERLINK("http://www.ncbi.nlm.nih.gov/protein/XP_037072504.1","ryanodine receptor-like isoform X3")</f>
        <v>ryanodine receptor-like isoform X3</v>
      </c>
      <c r="J2899">
        <v>1548.49</v>
      </c>
      <c r="K2899" t="s">
        <v>19</v>
      </c>
      <c r="L2899">
        <v>1210</v>
      </c>
      <c r="M2899">
        <v>7.13</v>
      </c>
      <c r="N2899">
        <v>15.09</v>
      </c>
      <c r="O2899" t="s">
        <v>19</v>
      </c>
      <c r="P2899" t="s">
        <v>1267</v>
      </c>
      <c r="Q2899" t="s">
        <v>19</v>
      </c>
      <c r="R2899" t="str">
        <f>HYPERLINK("https://cfpub.epa.gov/ecotox/explore.cfm?ncbi=41117","Explore in ECOTOX")</f>
        <v>Explore in ECOTOX</v>
      </c>
    </row>
    <row r="2900" spans="1:18" x14ac:dyDescent="0.45">
      <c r="A2900" t="s">
        <v>1266</v>
      </c>
      <c r="B2900">
        <v>8</v>
      </c>
      <c r="C2900" t="str">
        <f>HYPERLINK("http://www.ncbi.nlm.nih.gov/protein/TNN87248.1","TNN87248.1")</f>
        <v>TNN87248.1</v>
      </c>
      <c r="D2900">
        <v>68319</v>
      </c>
      <c r="E2900" t="str">
        <f>HYPERLINK("http://www.ncbi.nlm.nih.gov/Taxonomy/Browser/wwwtax.cgi?mode=Info&amp;id=230148&amp;lvl=3&amp;lin=f&amp;keep=1&amp;srchmode=1&amp;unlock","230148")</f>
        <v>230148</v>
      </c>
      <c r="F2900" t="s">
        <v>17</v>
      </c>
      <c r="G2900" t="str">
        <f>HYPERLINK("http://www.ncbi.nlm.nih.gov/Taxonomy/Browser/wwwtax.cgi?mode=Info&amp;id=230148&amp;lvl=3&amp;lin=f&amp;keep=1&amp;srchmode=1&amp;unlock","Liparis tanakae")</f>
        <v>Liparis tanakae</v>
      </c>
      <c r="H2900" t="s">
        <v>1138</v>
      </c>
      <c r="I2900" t="str">
        <f>HYPERLINK("http://www.ncbi.nlm.nih.gov/protein/TNN87248.1","Ryanodine receptor 3")</f>
        <v>Ryanodine receptor 3</v>
      </c>
      <c r="J2900">
        <v>1543.87</v>
      </c>
      <c r="K2900" t="s">
        <v>22</v>
      </c>
      <c r="L2900">
        <v>1210</v>
      </c>
      <c r="M2900">
        <v>7.13</v>
      </c>
      <c r="N2900">
        <v>15.04</v>
      </c>
      <c r="O2900" t="s">
        <v>19</v>
      </c>
      <c r="P2900" t="s">
        <v>1267</v>
      </c>
      <c r="Q2900" t="s">
        <v>19</v>
      </c>
      <c r="R2900" t="str">
        <f>HYPERLINK("https://cfpub.epa.gov/ecotox/explore.cfm?ncbi=230148","Explore in ECOTOX")</f>
        <v>Explore in ECOTOX</v>
      </c>
    </row>
    <row r="2901" spans="1:18" x14ac:dyDescent="0.45">
      <c r="A2901" t="s">
        <v>1266</v>
      </c>
      <c r="B2901">
        <v>8</v>
      </c>
      <c r="C2901" t="str">
        <f>HYPERLINK("http://www.ncbi.nlm.nih.gov/protein/KAK0411649.1","KAK0411649.1")</f>
        <v>KAK0411649.1</v>
      </c>
      <c r="D2901">
        <v>36282</v>
      </c>
      <c r="E2901" t="str">
        <f>HYPERLINK("http://www.ncbi.nlm.nih.gov/Taxonomy/Browser/wwwtax.cgi?mode=Info&amp;id=289476&amp;lvl=3&amp;lin=f&amp;keep=1&amp;srchmode=1&amp;unlock","289476")</f>
        <v>289476</v>
      </c>
      <c r="F2901" t="s">
        <v>1024</v>
      </c>
      <c r="G2901" t="str">
        <f>HYPERLINK("http://www.ncbi.nlm.nih.gov/Taxonomy/Browser/wwwtax.cgi?mode=Info&amp;id=289476&amp;lvl=3&amp;lin=f&amp;keep=1&amp;srchmode=1&amp;unlock","Steinernema hermaphroditum")</f>
        <v>Steinernema hermaphroditum</v>
      </c>
      <c r="H2901" t="s">
        <v>1027</v>
      </c>
      <c r="I2901" t="str">
        <f>HYPERLINK("http://www.ncbi.nlm.nih.gov/protein/KAK0411649.1","hypothetical protein QR680_005766")</f>
        <v>hypothetical protein QR680_005766</v>
      </c>
      <c r="J2901">
        <v>1543.1</v>
      </c>
      <c r="K2901" t="s">
        <v>19</v>
      </c>
      <c r="L2901">
        <v>1210</v>
      </c>
      <c r="M2901">
        <v>7.13</v>
      </c>
      <c r="N2901">
        <v>15.04</v>
      </c>
      <c r="O2901" t="s">
        <v>19</v>
      </c>
      <c r="P2901" t="s">
        <v>1267</v>
      </c>
      <c r="Q2901" t="s">
        <v>19</v>
      </c>
      <c r="R2901" t="str">
        <f>HYPERLINK("https://cfpub.epa.gov/ecotox/explore.cfm?ncbi=289476","Explore in ECOTOX")</f>
        <v>Explore in ECOTOX</v>
      </c>
    </row>
    <row r="2902" spans="1:18" x14ac:dyDescent="0.45">
      <c r="A2902" t="s">
        <v>1266</v>
      </c>
      <c r="B2902">
        <v>8</v>
      </c>
      <c r="C2902" t="str">
        <f>HYPERLINK("http://www.ncbi.nlm.nih.gov/protein/XP_023248075.1","XP_023248075.1")</f>
        <v>XP_023248075.1</v>
      </c>
      <c r="D2902">
        <v>17647</v>
      </c>
      <c r="E2902" t="str">
        <f>HYPERLINK("http://www.ncbi.nlm.nih.gov/Taxonomy/Browser/wwwtax.cgi?mode=Info&amp;id=29053&amp;lvl=3&amp;lin=f&amp;keep=1&amp;srchmode=1&amp;unlock","29053")</f>
        <v>29053</v>
      </c>
      <c r="F2902" t="s">
        <v>760</v>
      </c>
      <c r="G2902" t="str">
        <f>HYPERLINK("http://www.ncbi.nlm.nih.gov/Taxonomy/Browser/wwwtax.cgi?mode=Info&amp;id=29053&amp;lvl=3&amp;lin=f&amp;keep=1&amp;srchmode=1&amp;unlock","Copidosoma floridanum")</f>
        <v>Copidosoma floridanum</v>
      </c>
      <c r="H2902" t="s">
        <v>769</v>
      </c>
      <c r="I2902" t="str">
        <f>HYPERLINK("http://www.ncbi.nlm.nih.gov/protein/XP_023248075.1","ryanodine receptor")</f>
        <v>ryanodine receptor</v>
      </c>
      <c r="J2902">
        <v>1536.93</v>
      </c>
      <c r="K2902" t="s">
        <v>22</v>
      </c>
      <c r="L2902">
        <v>1210</v>
      </c>
      <c r="M2902">
        <v>7.13</v>
      </c>
      <c r="N2902">
        <v>14.98</v>
      </c>
      <c r="O2902" t="s">
        <v>19</v>
      </c>
      <c r="P2902" t="s">
        <v>1267</v>
      </c>
      <c r="Q2902" t="s">
        <v>19</v>
      </c>
      <c r="R2902" t="str">
        <f>HYPERLINK("https://cfpub.epa.gov/ecotox/explore.cfm?ncbi=29053","Explore in ECOTOX")</f>
        <v>Explore in ECOTOX</v>
      </c>
    </row>
    <row r="2903" spans="1:18" x14ac:dyDescent="0.45">
      <c r="A2903" t="s">
        <v>1266</v>
      </c>
      <c r="B2903">
        <v>8</v>
      </c>
      <c r="C2903" t="str">
        <f>HYPERLINK("http://www.ncbi.nlm.nih.gov/protein/CAD7395323.1","CAD7395323.1")</f>
        <v>CAD7395323.1</v>
      </c>
      <c r="D2903">
        <v>15929</v>
      </c>
      <c r="E2903" t="str">
        <f>HYPERLINK("http://www.ncbi.nlm.nih.gov/Taxonomy/Browser/wwwtax.cgi?mode=Info&amp;id=170557&amp;lvl=3&amp;lin=f&amp;keep=1&amp;srchmode=1&amp;unlock","170557")</f>
        <v>170557</v>
      </c>
      <c r="F2903" t="s">
        <v>760</v>
      </c>
      <c r="G2903" t="str">
        <f>HYPERLINK("http://www.ncbi.nlm.nih.gov/Taxonomy/Browser/wwwtax.cgi?mode=Info&amp;id=170557&amp;lvl=3&amp;lin=f&amp;keep=1&amp;srchmode=1&amp;unlock","Timema poppensis")</f>
        <v>Timema poppensis</v>
      </c>
      <c r="H2903" t="s">
        <v>1039</v>
      </c>
      <c r="I2903" t="str">
        <f>HYPERLINK("http://www.ncbi.nlm.nih.gov/protein/CAD7395323.1","unnamed protein product")</f>
        <v>unnamed protein product</v>
      </c>
      <c r="J2903">
        <v>1535.78</v>
      </c>
      <c r="K2903" t="s">
        <v>19</v>
      </c>
      <c r="L2903">
        <v>1210</v>
      </c>
      <c r="M2903">
        <v>7.13</v>
      </c>
      <c r="N2903">
        <v>14.96</v>
      </c>
      <c r="O2903" t="s">
        <v>19</v>
      </c>
      <c r="P2903" t="s">
        <v>1267</v>
      </c>
      <c r="Q2903" t="s">
        <v>19</v>
      </c>
      <c r="R2903" t="str">
        <f>HYPERLINK("https://cfpub.epa.gov/ecotox/explore.cfm?ncbi=170557","Explore in ECOTOX")</f>
        <v>Explore in ECOTOX</v>
      </c>
    </row>
    <row r="2904" spans="1:18" x14ac:dyDescent="0.45">
      <c r="A2904" t="s">
        <v>1266</v>
      </c>
      <c r="B2904">
        <v>8</v>
      </c>
      <c r="C2904" t="str">
        <f>HYPERLINK("http://www.ncbi.nlm.nih.gov/protein/KAF6201051.1","KAF6201051.1")</f>
        <v>KAF6201051.1</v>
      </c>
      <c r="D2904">
        <v>20547</v>
      </c>
      <c r="E2904" t="str">
        <f>HYPERLINK("http://www.ncbi.nlm.nih.gov/Taxonomy/Browser/wwwtax.cgi?mode=Info&amp;id=248454&amp;lvl=3&amp;lin=f&amp;keep=1&amp;srchmode=1&amp;unlock","248454")</f>
        <v>248454</v>
      </c>
      <c r="F2904" t="s">
        <v>760</v>
      </c>
      <c r="G2904" t="str">
        <f>HYPERLINK("http://www.ncbi.nlm.nih.gov/Taxonomy/Browser/wwwtax.cgi?mode=Info&amp;id=248454&amp;lvl=3&amp;lin=f&amp;keep=1&amp;srchmode=1&amp;unlock","Apolygus lucorum")</f>
        <v>Apolygus lucorum</v>
      </c>
      <c r="H2904" t="s">
        <v>1062</v>
      </c>
      <c r="I2904" t="str">
        <f>HYPERLINK("http://www.ncbi.nlm.nih.gov/protein/KAF6201051.1","hypothetical protein GE061_005498, partial")</f>
        <v>hypothetical protein GE061_005498, partial</v>
      </c>
      <c r="J2904">
        <v>1525.76</v>
      </c>
      <c r="K2904" t="s">
        <v>22</v>
      </c>
      <c r="L2904">
        <v>1210</v>
      </c>
      <c r="M2904">
        <v>7.13</v>
      </c>
      <c r="N2904">
        <v>14.87</v>
      </c>
      <c r="O2904" t="s">
        <v>19</v>
      </c>
      <c r="P2904" t="s">
        <v>1267</v>
      </c>
      <c r="Q2904" t="s">
        <v>19</v>
      </c>
      <c r="R2904" t="str">
        <f>HYPERLINK("https://cfpub.epa.gov/ecotox/explore.cfm?ncbi=248454","Explore in ECOTOX")</f>
        <v>Explore in ECOTOX</v>
      </c>
    </row>
    <row r="2905" spans="1:18" x14ac:dyDescent="0.45">
      <c r="A2905" t="s">
        <v>1266</v>
      </c>
      <c r="B2905">
        <v>8</v>
      </c>
      <c r="C2905" t="str">
        <f>HYPERLINK("http://www.ncbi.nlm.nih.gov/protein/CAD7645150.1","CAD7645150.1")</f>
        <v>CAD7645150.1</v>
      </c>
      <c r="D2905">
        <v>47472</v>
      </c>
      <c r="E2905" t="str">
        <f>HYPERLINK("http://www.ncbi.nlm.nih.gov/Taxonomy/Browser/wwwtax.cgi?mode=Info&amp;id=334625&amp;lvl=3&amp;lin=f&amp;keep=1&amp;srchmode=1&amp;unlock","334625")</f>
        <v>334625</v>
      </c>
      <c r="F2905" t="s">
        <v>904</v>
      </c>
      <c r="G2905" t="str">
        <f>HYPERLINK("http://www.ncbi.nlm.nih.gov/Taxonomy/Browser/wwwtax.cgi?mode=Info&amp;id=334625&amp;lvl=3&amp;lin=f&amp;keep=1&amp;srchmode=1&amp;unlock","Oppiella nova")</f>
        <v>Oppiella nova</v>
      </c>
      <c r="H2905" t="s">
        <v>995</v>
      </c>
      <c r="I2905" t="str">
        <f>HYPERLINK("http://www.ncbi.nlm.nih.gov/protein/CAD7645150.1","unnamed protein product")</f>
        <v>unnamed protein product</v>
      </c>
      <c r="J2905">
        <v>1524.99</v>
      </c>
      <c r="K2905" t="s">
        <v>19</v>
      </c>
      <c r="L2905">
        <v>1210</v>
      </c>
      <c r="M2905">
        <v>7.13</v>
      </c>
      <c r="N2905">
        <v>14.86</v>
      </c>
      <c r="O2905" t="s">
        <v>19</v>
      </c>
      <c r="P2905" t="s">
        <v>1267</v>
      </c>
      <c r="Q2905" t="s">
        <v>19</v>
      </c>
      <c r="R2905" t="str">
        <f>HYPERLINK("https://cfpub.epa.gov/ecotox/explore.cfm?ncbi=334625","Explore in ECOTOX")</f>
        <v>Explore in ECOTOX</v>
      </c>
    </row>
    <row r="2906" spans="1:18" x14ac:dyDescent="0.45">
      <c r="A2906" t="s">
        <v>1266</v>
      </c>
      <c r="B2906">
        <v>8</v>
      </c>
      <c r="C2906" t="str">
        <f>HYPERLINK("http://www.ncbi.nlm.nih.gov/protein/CAD7279292.1","CAD7279292.1")</f>
        <v>CAD7279292.1</v>
      </c>
      <c r="D2906">
        <v>28124</v>
      </c>
      <c r="E2906" t="str">
        <f>HYPERLINK("http://www.ncbi.nlm.nih.gov/Taxonomy/Browser/wwwtax.cgi?mode=Info&amp;id=399045&amp;lvl=3&amp;lin=f&amp;keep=1&amp;srchmode=1&amp;unlock","399045")</f>
        <v>399045</v>
      </c>
      <c r="F2906" t="s">
        <v>1105</v>
      </c>
      <c r="G2906" t="str">
        <f>HYPERLINK("http://www.ncbi.nlm.nih.gov/Taxonomy/Browser/wwwtax.cgi?mode=Info&amp;id=399045&amp;lvl=3&amp;lin=f&amp;keep=1&amp;srchmode=1&amp;unlock","Notodromas monacha")</f>
        <v>Notodromas monacha</v>
      </c>
      <c r="H2906" t="s">
        <v>1106</v>
      </c>
      <c r="I2906" t="str">
        <f>HYPERLINK("http://www.ncbi.nlm.nih.gov/protein/CAD7279292.1","unnamed protein product")</f>
        <v>unnamed protein product</v>
      </c>
      <c r="J2906">
        <v>1520.75</v>
      </c>
      <c r="K2906" t="s">
        <v>22</v>
      </c>
      <c r="L2906">
        <v>1210</v>
      </c>
      <c r="M2906">
        <v>7.13</v>
      </c>
      <c r="N2906">
        <v>14.82</v>
      </c>
      <c r="O2906" t="s">
        <v>19</v>
      </c>
      <c r="P2906" t="s">
        <v>1267</v>
      </c>
      <c r="Q2906" t="s">
        <v>19</v>
      </c>
      <c r="R2906" t="str">
        <f>HYPERLINK("https://cfpub.epa.gov/ecotox/explore.cfm?ncbi=399045","Explore in ECOTOX")</f>
        <v>Explore in ECOTOX</v>
      </c>
    </row>
    <row r="2907" spans="1:18" x14ac:dyDescent="0.45">
      <c r="A2907" t="s">
        <v>1266</v>
      </c>
      <c r="B2907">
        <v>8</v>
      </c>
      <c r="C2907" t="str">
        <f>HYPERLINK("http://www.ncbi.nlm.nih.gov/protein/CAH2061840.1","CAH2061840.1")</f>
        <v>CAH2061840.1</v>
      </c>
      <c r="D2907">
        <v>20252</v>
      </c>
      <c r="E2907" t="str">
        <f>HYPERLINK("http://www.ncbi.nlm.nih.gov/Taxonomy/Browser/wwwtax.cgi?mode=Info&amp;id=110791&amp;lvl=3&amp;lin=f&amp;keep=1&amp;srchmode=1&amp;unlock","110791")</f>
        <v>110791</v>
      </c>
      <c r="F2907" t="s">
        <v>760</v>
      </c>
      <c r="G2907" t="str">
        <f>HYPERLINK("http://www.ncbi.nlm.nih.gov/Taxonomy/Browser/wwwtax.cgi?mode=Info&amp;id=110791&amp;lvl=3&amp;lin=f&amp;keep=1&amp;srchmode=1&amp;unlock","Iphiclides podalirius")</f>
        <v>Iphiclides podalirius</v>
      </c>
      <c r="H2907" t="s">
        <v>1164</v>
      </c>
      <c r="I2907" t="str">
        <f>HYPERLINK("http://www.ncbi.nlm.nih.gov/protein/CAH2061840.1","unnamed protein product, partial")</f>
        <v>unnamed protein product, partial</v>
      </c>
      <c r="J2907">
        <v>1512.66</v>
      </c>
      <c r="K2907" t="s">
        <v>19</v>
      </c>
      <c r="L2907">
        <v>1210</v>
      </c>
      <c r="M2907">
        <v>7.13</v>
      </c>
      <c r="N2907">
        <v>14.74</v>
      </c>
      <c r="O2907" t="s">
        <v>19</v>
      </c>
      <c r="P2907" t="s">
        <v>1267</v>
      </c>
      <c r="Q2907" t="s">
        <v>19</v>
      </c>
      <c r="R2907" t="str">
        <f>HYPERLINK("https://cfpub.epa.gov/ecotox/explore.cfm?ncbi=110791","Explore in ECOTOX")</f>
        <v>Explore in ECOTOX</v>
      </c>
    </row>
    <row r="2908" spans="1:18" x14ac:dyDescent="0.45">
      <c r="A2908" t="s">
        <v>1266</v>
      </c>
      <c r="B2908">
        <v>8</v>
      </c>
      <c r="C2908" t="str">
        <f>HYPERLINK("http://www.ncbi.nlm.nih.gov/protein/VDK79751.1","VDK79751.1")</f>
        <v>VDK79751.1</v>
      </c>
      <c r="D2908">
        <v>10062</v>
      </c>
      <c r="E2908" t="str">
        <f>HYPERLINK("http://www.ncbi.nlm.nih.gov/Taxonomy/Browser/wwwtax.cgi?mode=Info&amp;id=42156&amp;lvl=3&amp;lin=f&amp;keep=1&amp;srchmode=1&amp;unlock","42156")</f>
        <v>42156</v>
      </c>
      <c r="F2908" t="s">
        <v>1024</v>
      </c>
      <c r="G2908" t="str">
        <f>HYPERLINK("http://www.ncbi.nlm.nih.gov/Taxonomy/Browser/wwwtax.cgi?mode=Info&amp;id=42156&amp;lvl=3&amp;lin=f&amp;keep=1&amp;srchmode=1&amp;unlock","Litomosoides sigmodontis")</f>
        <v>Litomosoides sigmodontis</v>
      </c>
      <c r="H2908" t="s">
        <v>1027</v>
      </c>
      <c r="I2908" t="str">
        <f>HYPERLINK("http://www.ncbi.nlm.nih.gov/protein/VDK79751.1","unnamed protein product")</f>
        <v>unnamed protein product</v>
      </c>
      <c r="J2908">
        <v>1508.81</v>
      </c>
      <c r="K2908" t="s">
        <v>19</v>
      </c>
      <c r="L2908">
        <v>1210</v>
      </c>
      <c r="M2908">
        <v>7.13</v>
      </c>
      <c r="N2908">
        <v>14.7</v>
      </c>
      <c r="O2908" t="s">
        <v>19</v>
      </c>
      <c r="P2908" t="s">
        <v>1267</v>
      </c>
      <c r="Q2908" t="s">
        <v>19</v>
      </c>
      <c r="R2908" t="str">
        <f>HYPERLINK("https://cfpub.epa.gov/ecotox/explore.cfm?ncbi=42156","Explore in ECOTOX")</f>
        <v>Explore in ECOTOX</v>
      </c>
    </row>
    <row r="2909" spans="1:18" x14ac:dyDescent="0.45">
      <c r="A2909" t="s">
        <v>1266</v>
      </c>
      <c r="B2909">
        <v>8</v>
      </c>
      <c r="C2909" t="str">
        <f>HYPERLINK("http://www.ncbi.nlm.nih.gov/protein/XP_036363619.1","XP_036363619.1")</f>
        <v>XP_036363619.1</v>
      </c>
      <c r="D2909">
        <v>36138</v>
      </c>
      <c r="E2909" t="str">
        <f>HYPERLINK("http://www.ncbi.nlm.nih.gov/Taxonomy/Browser/wwwtax.cgi?mode=Info&amp;id=2607531&amp;lvl=3&amp;lin=f&amp;keep=1&amp;srchmode=1&amp;unlock","2607531")</f>
        <v>2607531</v>
      </c>
      <c r="F2909" t="s">
        <v>1010</v>
      </c>
      <c r="G2909" t="str">
        <f>HYPERLINK("http://www.ncbi.nlm.nih.gov/Taxonomy/Browser/wwwtax.cgi?mode=Info&amp;id=2607531&amp;lvl=3&amp;lin=f&amp;keep=1&amp;srchmode=1&amp;unlock","Octopus sinensis")</f>
        <v>Octopus sinensis</v>
      </c>
      <c r="H2909" t="s">
        <v>1160</v>
      </c>
      <c r="I2909" t="str">
        <f>HYPERLINK("http://www.ncbi.nlm.nih.gov/protein/XP_036363619.1","ryanodine receptor isoform X1")</f>
        <v>ryanodine receptor isoform X1</v>
      </c>
      <c r="J2909">
        <v>1505.73</v>
      </c>
      <c r="K2909" t="s">
        <v>22</v>
      </c>
      <c r="L2909">
        <v>1210</v>
      </c>
      <c r="M2909">
        <v>7.13</v>
      </c>
      <c r="N2909">
        <v>14.67</v>
      </c>
      <c r="O2909" t="s">
        <v>19</v>
      </c>
      <c r="P2909" t="s">
        <v>1267</v>
      </c>
      <c r="Q2909" t="s">
        <v>19</v>
      </c>
      <c r="R2909" t="str">
        <f>HYPERLINK("https://cfpub.epa.gov/ecotox/explore.cfm?ncbi=2607531","Explore in ECOTOX")</f>
        <v>Explore in ECOTOX</v>
      </c>
    </row>
    <row r="2910" spans="1:18" x14ac:dyDescent="0.45">
      <c r="A2910" t="s">
        <v>1266</v>
      </c>
      <c r="B2910">
        <v>8</v>
      </c>
      <c r="C2910" t="str">
        <f>HYPERLINK("http://www.ncbi.nlm.nih.gov/protein/KAF0766242.1","KAF0766242.1")</f>
        <v>KAF0766242.1</v>
      </c>
      <c r="D2910">
        <v>32418</v>
      </c>
      <c r="E2910" t="str">
        <f>HYPERLINK("http://www.ncbi.nlm.nih.gov/Taxonomy/Browser/wwwtax.cgi?mode=Info&amp;id=307492&amp;lvl=3&amp;lin=f&amp;keep=1&amp;srchmode=1&amp;unlock","307492")</f>
        <v>307492</v>
      </c>
      <c r="F2910" t="s">
        <v>760</v>
      </c>
      <c r="G2910" t="str">
        <f>HYPERLINK("http://www.ncbi.nlm.nih.gov/Taxonomy/Browser/wwwtax.cgi?mode=Info&amp;id=307492&amp;lvl=3&amp;lin=f&amp;keep=1&amp;srchmode=1&amp;unlock","Aphis craccivora")</f>
        <v>Aphis craccivora</v>
      </c>
      <c r="H2910" t="s">
        <v>1163</v>
      </c>
      <c r="I2910" t="str">
        <f>HYPERLINK("http://www.ncbi.nlm.nih.gov/protein/KAF0766242.1","Uncharacterized protein FWK35_00003306, partial")</f>
        <v>Uncharacterized protein FWK35_00003306, partial</v>
      </c>
      <c r="J2910">
        <v>1494.95</v>
      </c>
      <c r="K2910" t="s">
        <v>22</v>
      </c>
      <c r="L2910">
        <v>1210</v>
      </c>
      <c r="M2910">
        <v>7.13</v>
      </c>
      <c r="N2910">
        <v>14.57</v>
      </c>
      <c r="O2910" t="s">
        <v>19</v>
      </c>
      <c r="P2910" t="s">
        <v>1267</v>
      </c>
      <c r="Q2910" t="s">
        <v>19</v>
      </c>
      <c r="R2910" t="str">
        <f>HYPERLINK("https://cfpub.epa.gov/ecotox/explore.cfm?ncbi=307492","Explore in ECOTOX")</f>
        <v>Explore in ECOTOX</v>
      </c>
    </row>
    <row r="2911" spans="1:18" x14ac:dyDescent="0.45">
      <c r="A2911" t="s">
        <v>1266</v>
      </c>
      <c r="B2911">
        <v>8</v>
      </c>
      <c r="C2911" t="str">
        <f>HYPERLINK("http://www.ncbi.nlm.nih.gov/protein/KAJ8982736.1","KAJ8982736.1")</f>
        <v>KAJ8982736.1</v>
      </c>
      <c r="D2911">
        <v>18609</v>
      </c>
      <c r="E2911" t="str">
        <f>HYPERLINK("http://www.ncbi.nlm.nih.gov/Taxonomy/Browser/wwwtax.cgi?mode=Info&amp;id=1323400&amp;lvl=3&amp;lin=f&amp;keep=1&amp;srchmode=1&amp;unlock","1323400")</f>
        <v>1323400</v>
      </c>
      <c r="F2911" t="s">
        <v>760</v>
      </c>
      <c r="G2911" t="str">
        <f>HYPERLINK("http://www.ncbi.nlm.nih.gov/Taxonomy/Browser/wwwtax.cgi?mode=Info&amp;id=1323400&amp;lvl=3&amp;lin=f&amp;keep=1&amp;srchmode=1&amp;unlock","Molorchus minor")</f>
        <v>Molorchus minor</v>
      </c>
      <c r="H2911" t="s">
        <v>1115</v>
      </c>
      <c r="I2911" t="str">
        <f>HYPERLINK("http://www.ncbi.nlm.nih.gov/protein/KAJ8982736.1","hypothetical protein NQ317_014034")</f>
        <v>hypothetical protein NQ317_014034</v>
      </c>
      <c r="J2911">
        <v>1494.95</v>
      </c>
      <c r="K2911" t="s">
        <v>19</v>
      </c>
      <c r="L2911">
        <v>1210</v>
      </c>
      <c r="M2911">
        <v>7.13</v>
      </c>
      <c r="N2911">
        <v>14.57</v>
      </c>
      <c r="O2911" t="s">
        <v>19</v>
      </c>
      <c r="P2911" t="s">
        <v>1267</v>
      </c>
      <c r="Q2911" t="s">
        <v>19</v>
      </c>
      <c r="R2911" t="str">
        <f>HYPERLINK("https://cfpub.epa.gov/ecotox/explore.cfm?ncbi=1323400","Explore in ECOTOX")</f>
        <v>Explore in ECOTOX</v>
      </c>
    </row>
    <row r="2912" spans="1:18" x14ac:dyDescent="0.45">
      <c r="A2912" t="s">
        <v>1266</v>
      </c>
      <c r="B2912">
        <v>8</v>
      </c>
      <c r="C2912" t="str">
        <f>HYPERLINK("http://www.ncbi.nlm.nih.gov/protein/PIK56122.1","PIK56122.1")</f>
        <v>PIK56122.1</v>
      </c>
      <c r="D2912">
        <v>30963</v>
      </c>
      <c r="E2912" t="str">
        <f>HYPERLINK("http://www.ncbi.nlm.nih.gov/Taxonomy/Browser/wwwtax.cgi?mode=Info&amp;id=307972&amp;lvl=3&amp;lin=f&amp;keep=1&amp;srchmode=1&amp;unlock","307972")</f>
        <v>307972</v>
      </c>
      <c r="F2912" t="s">
        <v>1122</v>
      </c>
      <c r="G2912" t="str">
        <f>HYPERLINK("http://www.ncbi.nlm.nih.gov/Taxonomy/Browser/wwwtax.cgi?mode=Info&amp;id=307972&amp;lvl=3&amp;lin=f&amp;keep=1&amp;srchmode=1&amp;unlock","Apostichopus japonicus")</f>
        <v>Apostichopus japonicus</v>
      </c>
      <c r="H2912" t="s">
        <v>1162</v>
      </c>
      <c r="I2912" t="str">
        <f>HYPERLINK("http://www.ncbi.nlm.nih.gov/protein/PIK56122.1","putative ryanodine receptor 2")</f>
        <v>putative ryanodine receptor 2</v>
      </c>
      <c r="J2912">
        <v>1488.4</v>
      </c>
      <c r="K2912" t="s">
        <v>19</v>
      </c>
      <c r="L2912">
        <v>1210</v>
      </c>
      <c r="M2912">
        <v>7.13</v>
      </c>
      <c r="N2912">
        <v>14.5</v>
      </c>
      <c r="O2912" t="s">
        <v>19</v>
      </c>
      <c r="P2912" t="s">
        <v>1267</v>
      </c>
      <c r="Q2912" t="s">
        <v>19</v>
      </c>
      <c r="R2912" t="str">
        <f>HYPERLINK("https://cfpub.epa.gov/ecotox/explore.cfm?ncbi=307972","Explore in ECOTOX")</f>
        <v>Explore in ECOTOX</v>
      </c>
    </row>
    <row r="2913" spans="1:18" x14ac:dyDescent="0.45">
      <c r="A2913" t="s">
        <v>1266</v>
      </c>
      <c r="B2913">
        <v>8</v>
      </c>
      <c r="C2913" t="str">
        <f>HYPERLINK("http://www.ncbi.nlm.nih.gov/protein/KAK2180258.1","KAK2180258.1")</f>
        <v>KAK2180258.1</v>
      </c>
      <c r="D2913">
        <v>31499</v>
      </c>
      <c r="E2913" t="str">
        <f>HYPERLINK("http://www.ncbi.nlm.nih.gov/Taxonomy/Browser/wwwtax.cgi?mode=Info&amp;id=27915&amp;lvl=3&amp;lin=f&amp;keep=1&amp;srchmode=1&amp;unlock","27915")</f>
        <v>27915</v>
      </c>
      <c r="F2913" t="s">
        <v>862</v>
      </c>
      <c r="G2913" t="str">
        <f>HYPERLINK("http://www.ncbi.nlm.nih.gov/Taxonomy/Browser/wwwtax.cgi?mode=Info&amp;id=27915&amp;lvl=3&amp;lin=f&amp;keep=1&amp;srchmode=1&amp;unlock","Ridgeia piscesae")</f>
        <v>Ridgeia piscesae</v>
      </c>
      <c r="H2913" t="s">
        <v>1159</v>
      </c>
      <c r="I2913" t="str">
        <f>HYPERLINK("http://www.ncbi.nlm.nih.gov/protein/KAK2180258.1","hypothetical protein NP493_449g01004")</f>
        <v>hypothetical protein NP493_449g01004</v>
      </c>
      <c r="J2913">
        <v>1447.95</v>
      </c>
      <c r="K2913" t="s">
        <v>22</v>
      </c>
      <c r="L2913">
        <v>1210</v>
      </c>
      <c r="M2913">
        <v>7.13</v>
      </c>
      <c r="N2913">
        <v>14.11</v>
      </c>
      <c r="O2913" t="s">
        <v>19</v>
      </c>
      <c r="P2913" t="s">
        <v>1267</v>
      </c>
      <c r="Q2913" t="s">
        <v>19</v>
      </c>
      <c r="R2913" t="str">
        <f>HYPERLINK("https://cfpub.epa.gov/ecotox/explore.cfm?ncbi=27915","Explore in ECOTOX")</f>
        <v>Explore in ECOTOX</v>
      </c>
    </row>
    <row r="2914" spans="1:18" x14ac:dyDescent="0.45">
      <c r="A2914" t="s">
        <v>1266</v>
      </c>
      <c r="B2914">
        <v>8</v>
      </c>
      <c r="C2914" t="str">
        <f>HYPERLINK("http://www.ncbi.nlm.nih.gov/protein/CAH2243740.1","CAH2243740.1")</f>
        <v>CAH2243740.1</v>
      </c>
      <c r="D2914">
        <v>28895</v>
      </c>
      <c r="E2914" t="str">
        <f>HYPERLINK("http://www.ncbi.nlm.nih.gov/Taxonomy/Browser/wwwtax.cgi?mode=Info&amp;id=348720&amp;lvl=3&amp;lin=f&amp;keep=1&amp;srchmode=1&amp;unlock","348720")</f>
        <v>348720</v>
      </c>
      <c r="F2914" t="s">
        <v>760</v>
      </c>
      <c r="G2914" t="str">
        <f>HYPERLINK("http://www.ncbi.nlm.nih.gov/Taxonomy/Browser/wwwtax.cgi?mode=Info&amp;id=348720&amp;lvl=3&amp;lin=f&amp;keep=1&amp;srchmode=1&amp;unlock","Pararge aegeria aegeria")</f>
        <v>Pararge aegeria aegeria</v>
      </c>
      <c r="H2914" t="s">
        <v>894</v>
      </c>
      <c r="I2914" t="str">
        <f>HYPERLINK("http://www.ncbi.nlm.nih.gov/protein/CAH2243740.1","jg7116")</f>
        <v>jg7116</v>
      </c>
      <c r="J2914">
        <v>1435.24</v>
      </c>
      <c r="K2914" t="s">
        <v>22</v>
      </c>
      <c r="L2914">
        <v>1210</v>
      </c>
      <c r="M2914">
        <v>7.13</v>
      </c>
      <c r="N2914">
        <v>13.98</v>
      </c>
      <c r="O2914" t="s">
        <v>19</v>
      </c>
      <c r="P2914" t="s">
        <v>1267</v>
      </c>
      <c r="Q2914" t="s">
        <v>19</v>
      </c>
      <c r="R2914" t="str">
        <f>HYPERLINK("https://cfpub.epa.gov/ecotox/explore.cfm?ncbi=348720","Explore in ECOTOX")</f>
        <v>Explore in ECOTOX</v>
      </c>
    </row>
    <row r="2915" spans="1:18" x14ac:dyDescent="0.45">
      <c r="A2915" t="s">
        <v>1266</v>
      </c>
      <c r="B2915">
        <v>8</v>
      </c>
      <c r="C2915" t="str">
        <f>HYPERLINK("http://www.ncbi.nlm.nih.gov/protein/CAD7256110.1","CAD7256110.1")</f>
        <v>CAD7256110.1</v>
      </c>
      <c r="D2915">
        <v>14260</v>
      </c>
      <c r="E2915" t="str">
        <f>HYPERLINK("http://www.ncbi.nlm.nih.gov/Taxonomy/Browser/wwwtax.cgi?mode=Info&amp;id=629360&amp;lvl=3&amp;lin=f&amp;keep=1&amp;srchmode=1&amp;unlock","629360")</f>
        <v>629360</v>
      </c>
      <c r="F2915" t="s">
        <v>760</v>
      </c>
      <c r="G2915" t="str">
        <f>HYPERLINK("http://www.ncbi.nlm.nih.gov/Taxonomy/Browser/wwwtax.cgi?mode=Info&amp;id=629360&amp;lvl=3&amp;lin=f&amp;keep=1&amp;srchmode=1&amp;unlock","Timema shepardi")</f>
        <v>Timema shepardi</v>
      </c>
      <c r="H2915" t="s">
        <v>1039</v>
      </c>
      <c r="I2915" t="str">
        <f>HYPERLINK("http://www.ncbi.nlm.nih.gov/protein/CAD7256110.1","unnamed protein product")</f>
        <v>unnamed protein product</v>
      </c>
      <c r="J2915">
        <v>1427.92</v>
      </c>
      <c r="K2915" t="s">
        <v>22</v>
      </c>
      <c r="L2915">
        <v>1210</v>
      </c>
      <c r="M2915">
        <v>7.13</v>
      </c>
      <c r="N2915">
        <v>13.91</v>
      </c>
      <c r="O2915" t="s">
        <v>19</v>
      </c>
      <c r="P2915" t="s">
        <v>1267</v>
      </c>
      <c r="Q2915" t="s">
        <v>19</v>
      </c>
      <c r="R2915" t="str">
        <f>HYPERLINK("https://cfpub.epa.gov/ecotox/explore.cfm?ncbi=629360","Explore in ECOTOX")</f>
        <v>Explore in ECOTOX</v>
      </c>
    </row>
    <row r="2916" spans="1:18" x14ac:dyDescent="0.45">
      <c r="A2916" t="s">
        <v>1266</v>
      </c>
      <c r="B2916">
        <v>8</v>
      </c>
      <c r="C2916" t="str">
        <f>HYPERLINK("http://www.ncbi.nlm.nih.gov/protein/KAE9549703.1","KAE9549703.1")</f>
        <v>KAE9549703.1</v>
      </c>
      <c r="D2916">
        <v>10997</v>
      </c>
      <c r="E2916" t="str">
        <f>HYPERLINK("http://www.ncbi.nlm.nih.gov/Taxonomy/Browser/wwwtax.cgi?mode=Info&amp;id=2598192&amp;lvl=3&amp;lin=f&amp;keep=1&amp;srchmode=1&amp;unlock","2598192")</f>
        <v>2598192</v>
      </c>
      <c r="F2916" t="s">
        <v>1024</v>
      </c>
      <c r="G2916" t="str">
        <f>HYPERLINK("http://www.ncbi.nlm.nih.gov/Taxonomy/Browser/wwwtax.cgi?mode=Info&amp;id=2598192&amp;lvl=3&amp;lin=f&amp;keep=1&amp;srchmode=1&amp;unlock","Halicephalobus sp. NKZ332")</f>
        <v>Halicephalobus sp. NKZ332</v>
      </c>
      <c r="H2916" t="s">
        <v>1027</v>
      </c>
      <c r="I2916" t="str">
        <f>HYPERLINK("http://www.ncbi.nlm.nih.gov/protein/KAE9549703.1","hypothetical protein FO519_007091")</f>
        <v>hypothetical protein FO519_007091</v>
      </c>
      <c r="J2916">
        <v>1423.3</v>
      </c>
      <c r="K2916" t="s">
        <v>22</v>
      </c>
      <c r="L2916">
        <v>1210</v>
      </c>
      <c r="M2916">
        <v>7.13</v>
      </c>
      <c r="N2916">
        <v>13.87</v>
      </c>
      <c r="O2916" t="s">
        <v>19</v>
      </c>
      <c r="P2916" t="s">
        <v>1267</v>
      </c>
      <c r="Q2916" t="s">
        <v>19</v>
      </c>
      <c r="R2916" t="str">
        <f>HYPERLINK("https://cfpub.epa.gov/ecotox/explore.cfm?ncbi=2598192","Explore in ECOTOX")</f>
        <v>Explore in ECOTOX</v>
      </c>
    </row>
    <row r="2917" spans="1:18" x14ac:dyDescent="0.45">
      <c r="A2917" t="s">
        <v>1266</v>
      </c>
      <c r="B2917">
        <v>8</v>
      </c>
      <c r="C2917" t="str">
        <f>HYPERLINK("http://www.ncbi.nlm.nih.gov/protein/XP_014664675.1","XP_014664675.1")</f>
        <v>XP_014664675.1</v>
      </c>
      <c r="D2917">
        <v>20882</v>
      </c>
      <c r="E2917" t="str">
        <f>HYPERLINK("http://www.ncbi.nlm.nih.gov/Taxonomy/Browser/wwwtax.cgi?mode=Info&amp;id=37621&amp;lvl=3&amp;lin=f&amp;keep=1&amp;srchmode=1&amp;unlock","37621")</f>
        <v>37621</v>
      </c>
      <c r="F2917" t="s">
        <v>1168</v>
      </c>
      <c r="G2917" t="str">
        <f>HYPERLINK("http://www.ncbi.nlm.nih.gov/Taxonomy/Browser/wwwtax.cgi?mode=Info&amp;id=37621&amp;lvl=3&amp;lin=f&amp;keep=1&amp;srchmode=1&amp;unlock","Priapulus caudatus")</f>
        <v>Priapulus caudatus</v>
      </c>
      <c r="H2917" t="s">
        <v>1169</v>
      </c>
      <c r="I2917" t="str">
        <f>HYPERLINK("http://www.ncbi.nlm.nih.gov/protein/XP_014664675.1","PREDICTED: ryanodine receptor-like")</f>
        <v>PREDICTED: ryanodine receptor-like</v>
      </c>
      <c r="J2917">
        <v>1414.44</v>
      </c>
      <c r="K2917" t="s">
        <v>19</v>
      </c>
      <c r="L2917">
        <v>1210</v>
      </c>
      <c r="M2917">
        <v>7.13</v>
      </c>
      <c r="N2917">
        <v>13.78</v>
      </c>
      <c r="O2917" t="s">
        <v>19</v>
      </c>
      <c r="P2917" t="s">
        <v>1267</v>
      </c>
      <c r="Q2917" t="s">
        <v>19</v>
      </c>
      <c r="R2917" t="str">
        <f>HYPERLINK("https://cfpub.epa.gov/ecotox/explore.cfm?ncbi=37621","Explore in ECOTOX")</f>
        <v>Explore in ECOTOX</v>
      </c>
    </row>
    <row r="2918" spans="1:18" x14ac:dyDescent="0.45">
      <c r="A2918" t="s">
        <v>1266</v>
      </c>
      <c r="B2918">
        <v>8</v>
      </c>
      <c r="C2918" t="str">
        <f>HYPERLINK("http://www.ncbi.nlm.nih.gov/protein/XP_050406916.2","XP_050406916.2")</f>
        <v>XP_050406916.2</v>
      </c>
      <c r="D2918">
        <v>27850</v>
      </c>
      <c r="E2918" t="str">
        <f>HYPERLINK("http://www.ncbi.nlm.nih.gov/Taxonomy/Browser/wwwtax.cgi?mode=Info&amp;id=6465&amp;lvl=3&amp;lin=f&amp;keep=1&amp;srchmode=1&amp;unlock","6465")</f>
        <v>6465</v>
      </c>
      <c r="F2918" t="s">
        <v>757</v>
      </c>
      <c r="G2918" t="str">
        <f>HYPERLINK("http://www.ncbi.nlm.nih.gov/Taxonomy/Browser/wwwtax.cgi?mode=Info&amp;id=6465&amp;lvl=3&amp;lin=f&amp;keep=1&amp;srchmode=1&amp;unlock","Patella vulgata")</f>
        <v>Patella vulgata</v>
      </c>
      <c r="H2918" t="s">
        <v>1167</v>
      </c>
      <c r="I2918" t="str">
        <f>HYPERLINK("http://www.ncbi.nlm.nih.gov/protein/XP_050406916.2","ryanodine receptor")</f>
        <v>ryanodine receptor</v>
      </c>
      <c r="J2918">
        <v>1407.51</v>
      </c>
      <c r="K2918" t="s">
        <v>22</v>
      </c>
      <c r="L2918">
        <v>1210</v>
      </c>
      <c r="M2918">
        <v>7.13</v>
      </c>
      <c r="N2918">
        <v>13.71</v>
      </c>
      <c r="O2918" t="s">
        <v>19</v>
      </c>
      <c r="P2918" t="s">
        <v>1267</v>
      </c>
      <c r="Q2918" t="s">
        <v>19</v>
      </c>
      <c r="R2918" t="str">
        <f>HYPERLINK("https://cfpub.epa.gov/ecotox/explore.cfm?ncbi=6465","Explore in ECOTOX")</f>
        <v>Explore in ECOTOX</v>
      </c>
    </row>
    <row r="2919" spans="1:18" x14ac:dyDescent="0.45">
      <c r="A2919" t="s">
        <v>1266</v>
      </c>
      <c r="B2919">
        <v>8</v>
      </c>
      <c r="C2919" t="str">
        <f>HYPERLINK("http://www.ncbi.nlm.nih.gov/protein/XP_009010146.1","XP_009010146.1")</f>
        <v>XP_009010146.1</v>
      </c>
      <c r="D2919">
        <v>46878</v>
      </c>
      <c r="E2919" t="str">
        <f>HYPERLINK("http://www.ncbi.nlm.nih.gov/Taxonomy/Browser/wwwtax.cgi?mode=Info&amp;id=6412&amp;lvl=3&amp;lin=f&amp;keep=1&amp;srchmode=1&amp;unlock","6412")</f>
        <v>6412</v>
      </c>
      <c r="F2919" t="s">
        <v>1180</v>
      </c>
      <c r="G2919" t="str">
        <f>HYPERLINK("http://www.ncbi.nlm.nih.gov/Taxonomy/Browser/wwwtax.cgi?mode=Info&amp;id=6412&amp;lvl=3&amp;lin=f&amp;keep=1&amp;srchmode=1&amp;unlock","Helobdella robusta")</f>
        <v>Helobdella robusta</v>
      </c>
      <c r="H2919" t="s">
        <v>1181</v>
      </c>
      <c r="I2919" t="str">
        <f>HYPERLINK("http://www.ncbi.nlm.nih.gov/protein/XP_009010146.1","hypothetical protein HELRODRAFT_71772, partial")</f>
        <v>hypothetical protein HELRODRAFT_71772, partial</v>
      </c>
      <c r="J2919">
        <v>1407.51</v>
      </c>
      <c r="K2919" t="s">
        <v>19</v>
      </c>
      <c r="L2919">
        <v>1210</v>
      </c>
      <c r="M2919">
        <v>7.13</v>
      </c>
      <c r="N2919">
        <v>13.71</v>
      </c>
      <c r="O2919" t="s">
        <v>19</v>
      </c>
      <c r="P2919" t="s">
        <v>1267</v>
      </c>
      <c r="Q2919" t="s">
        <v>19</v>
      </c>
      <c r="R2919" t="str">
        <f>HYPERLINK("https://cfpub.epa.gov/ecotox/explore.cfm?ncbi=6412","Explore in ECOTOX")</f>
        <v>Explore in ECOTOX</v>
      </c>
    </row>
    <row r="2920" spans="1:18" x14ac:dyDescent="0.45">
      <c r="A2920" t="s">
        <v>1266</v>
      </c>
      <c r="B2920">
        <v>8</v>
      </c>
      <c r="C2920" t="str">
        <f>HYPERLINK("http://www.ncbi.nlm.nih.gov/protein/OWK16374.1","OWK16374.1")</f>
        <v>OWK16374.1</v>
      </c>
      <c r="D2920">
        <v>19276</v>
      </c>
      <c r="E2920" t="str">
        <f>HYPERLINK("http://www.ncbi.nlm.nih.gov/Taxonomy/Browser/wwwtax.cgi?mode=Info&amp;id=46360&amp;lvl=3&amp;lin=f&amp;keep=1&amp;srchmode=1&amp;unlock","46360")</f>
        <v>46360</v>
      </c>
      <c r="F2920" t="s">
        <v>96</v>
      </c>
      <c r="G2920" t="str">
        <f>HYPERLINK("http://www.ncbi.nlm.nih.gov/Taxonomy/Browser/wwwtax.cgi?mode=Info&amp;id=46360&amp;lvl=3&amp;lin=f&amp;keep=1&amp;srchmode=1&amp;unlock","Cervus elaphus hippelaphus")</f>
        <v>Cervus elaphus hippelaphus</v>
      </c>
      <c r="H2920" t="s">
        <v>576</v>
      </c>
      <c r="I2920" t="str">
        <f>HYPERLINK("http://www.ncbi.nlm.nih.gov/protein/OWK16374.1","RYR1")</f>
        <v>RYR1</v>
      </c>
      <c r="J2920">
        <v>1404.42</v>
      </c>
      <c r="K2920" t="s">
        <v>22</v>
      </c>
      <c r="L2920">
        <v>1210</v>
      </c>
      <c r="M2920">
        <v>7.13</v>
      </c>
      <c r="N2920">
        <v>13.68</v>
      </c>
      <c r="O2920" t="s">
        <v>19</v>
      </c>
      <c r="P2920" t="s">
        <v>1267</v>
      </c>
      <c r="Q2920" t="s">
        <v>19</v>
      </c>
      <c r="R2920" t="str">
        <f>HYPERLINK("https://cfpub.epa.gov/ecotox/explore.cfm?ncbi=46360","Explore in ECOTOX")</f>
        <v>Explore in ECOTOX</v>
      </c>
    </row>
    <row r="2921" spans="1:18" x14ac:dyDescent="0.45">
      <c r="A2921" t="s">
        <v>1266</v>
      </c>
      <c r="B2921">
        <v>8</v>
      </c>
      <c r="C2921" t="str">
        <f>HYPERLINK("http://www.ncbi.nlm.nih.gov/protein/CAH1792831.1","CAH1792831.1")</f>
        <v>CAH1792831.1</v>
      </c>
      <c r="D2921">
        <v>30867</v>
      </c>
      <c r="E2921" t="str">
        <f>HYPERLINK("http://www.ncbi.nlm.nih.gov/Taxonomy/Browser/wwwtax.cgi?mode=Info&amp;id=6347&amp;lvl=3&amp;lin=f&amp;keep=1&amp;srchmode=1&amp;unlock","6347")</f>
        <v>6347</v>
      </c>
      <c r="F2921" t="s">
        <v>862</v>
      </c>
      <c r="G2921" t="str">
        <f>HYPERLINK("http://www.ncbi.nlm.nih.gov/Taxonomy/Browser/wwwtax.cgi?mode=Info&amp;id=6347&amp;lvl=3&amp;lin=f&amp;keep=1&amp;srchmode=1&amp;unlock","Owenia fusiformis")</f>
        <v>Owenia fusiformis</v>
      </c>
      <c r="H2921" t="s">
        <v>863</v>
      </c>
      <c r="I2921" t="str">
        <f>HYPERLINK("http://www.ncbi.nlm.nih.gov/protein/CAH1792831.1","unnamed protein product")</f>
        <v>unnamed protein product</v>
      </c>
      <c r="J2921">
        <v>1402.11</v>
      </c>
      <c r="K2921" t="s">
        <v>22</v>
      </c>
      <c r="L2921">
        <v>1210</v>
      </c>
      <c r="M2921">
        <v>7.13</v>
      </c>
      <c r="N2921">
        <v>13.66</v>
      </c>
      <c r="O2921" t="s">
        <v>19</v>
      </c>
      <c r="P2921" t="s">
        <v>1267</v>
      </c>
      <c r="Q2921" t="s">
        <v>19</v>
      </c>
      <c r="R2921" t="str">
        <f>HYPERLINK("https://cfpub.epa.gov/ecotox/explore.cfm?ncbi=6347","Explore in ECOTOX")</f>
        <v>Explore in ECOTOX</v>
      </c>
    </row>
    <row r="2922" spans="1:18" x14ac:dyDescent="0.45">
      <c r="A2922" t="s">
        <v>1266</v>
      </c>
      <c r="B2922">
        <v>8</v>
      </c>
      <c r="C2922" t="str">
        <f>HYPERLINK("http://www.ncbi.nlm.nih.gov/protein/OZC09631.1","OZC09631.1")</f>
        <v>OZC09631.1</v>
      </c>
      <c r="D2922">
        <v>24246</v>
      </c>
      <c r="E2922" t="str">
        <f>HYPERLINK("http://www.ncbi.nlm.nih.gov/Taxonomy/Browser/wwwtax.cgi?mode=Info&amp;id=387005&amp;lvl=3&amp;lin=f&amp;keep=1&amp;srchmode=1&amp;unlock","387005")</f>
        <v>387005</v>
      </c>
      <c r="F2922" t="s">
        <v>1024</v>
      </c>
      <c r="G2922" t="str">
        <f>HYPERLINK("http://www.ncbi.nlm.nih.gov/Taxonomy/Browser/wwwtax.cgi?mode=Info&amp;id=387005&amp;lvl=3&amp;lin=f&amp;keep=1&amp;srchmode=1&amp;unlock","Onchocerca flexuosa")</f>
        <v>Onchocerca flexuosa</v>
      </c>
      <c r="H2922" t="s">
        <v>1027</v>
      </c>
      <c r="I2922" t="str">
        <f>HYPERLINK("http://www.ncbi.nlm.nih.gov/protein/OZC09631.1","RIH domain protein")</f>
        <v>RIH domain protein</v>
      </c>
      <c r="J2922">
        <v>1388.25</v>
      </c>
      <c r="K2922" t="s">
        <v>19</v>
      </c>
      <c r="L2922">
        <v>1210</v>
      </c>
      <c r="M2922">
        <v>7.13</v>
      </c>
      <c r="N2922">
        <v>13.53</v>
      </c>
      <c r="O2922" t="s">
        <v>19</v>
      </c>
      <c r="P2922" t="s">
        <v>1267</v>
      </c>
      <c r="Q2922" t="s">
        <v>19</v>
      </c>
      <c r="R2922" t="str">
        <f>HYPERLINK("https://cfpub.epa.gov/ecotox/explore.cfm?ncbi=387005","Explore in ECOTOX")</f>
        <v>Explore in ECOTOX</v>
      </c>
    </row>
    <row r="2923" spans="1:18" x14ac:dyDescent="0.45">
      <c r="A2923" t="s">
        <v>1266</v>
      </c>
      <c r="B2923">
        <v>8</v>
      </c>
      <c r="C2923" t="str">
        <f>HYPERLINK("http://www.ncbi.nlm.nih.gov/protein/VDO20009.1","VDO20009.1")</f>
        <v>VDO20009.1</v>
      </c>
      <c r="D2923">
        <v>15879</v>
      </c>
      <c r="E2923" t="str">
        <f>HYPERLINK("http://www.ncbi.nlm.nih.gov/Taxonomy/Browser/wwwtax.cgi?mode=Info&amp;id=42155&amp;lvl=3&amp;lin=f&amp;keep=1&amp;srchmode=1&amp;unlock","42155")</f>
        <v>42155</v>
      </c>
      <c r="F2923" t="s">
        <v>1024</v>
      </c>
      <c r="G2923" t="str">
        <f>HYPERLINK("http://www.ncbi.nlm.nih.gov/Taxonomy/Browser/wwwtax.cgi?mode=Info&amp;id=42155&amp;lvl=3&amp;lin=f&amp;keep=1&amp;srchmode=1&amp;unlock","Brugia timori")</f>
        <v>Brugia timori</v>
      </c>
      <c r="H2923" t="s">
        <v>1027</v>
      </c>
      <c r="I2923" t="str">
        <f>HYPERLINK("http://www.ncbi.nlm.nih.gov/protein/VDO20009.1","unnamed protein product")</f>
        <v>unnamed protein product</v>
      </c>
      <c r="J2923">
        <v>1377.07</v>
      </c>
      <c r="K2923" t="s">
        <v>22</v>
      </c>
      <c r="L2923">
        <v>1210</v>
      </c>
      <c r="M2923">
        <v>7.13</v>
      </c>
      <c r="N2923">
        <v>13.42</v>
      </c>
      <c r="O2923" t="s">
        <v>19</v>
      </c>
      <c r="P2923" t="s">
        <v>1267</v>
      </c>
      <c r="Q2923" t="s">
        <v>19</v>
      </c>
      <c r="R2923" t="str">
        <f>HYPERLINK("https://cfpub.epa.gov/ecotox/explore.cfm?ncbi=42155","Explore in ECOTOX")</f>
        <v>Explore in ECOTOX</v>
      </c>
    </row>
    <row r="2924" spans="1:18" x14ac:dyDescent="0.45">
      <c r="A2924" t="s">
        <v>1266</v>
      </c>
      <c r="B2924">
        <v>8</v>
      </c>
      <c r="C2924" t="str">
        <f>HYPERLINK("http://www.ncbi.nlm.nih.gov/protein/XP_013300378.1","XP_013300378.1")</f>
        <v>XP_013300378.1</v>
      </c>
      <c r="D2924">
        <v>38507</v>
      </c>
      <c r="E2924" t="str">
        <f>HYPERLINK("http://www.ncbi.nlm.nih.gov/Taxonomy/Browser/wwwtax.cgi?mode=Info&amp;id=51031&amp;lvl=3&amp;lin=f&amp;keep=1&amp;srchmode=1&amp;unlock","51031")</f>
        <v>51031</v>
      </c>
      <c r="F2924" t="s">
        <v>1024</v>
      </c>
      <c r="G2924" t="str">
        <f>HYPERLINK("http://www.ncbi.nlm.nih.gov/Taxonomy/Browser/wwwtax.cgi?mode=Info&amp;id=51031&amp;lvl=3&amp;lin=f&amp;keep=1&amp;srchmode=1&amp;unlock","Necator americanus")</f>
        <v>Necator americanus</v>
      </c>
      <c r="H2924" t="s">
        <v>1127</v>
      </c>
      <c r="I2924" t="str">
        <f>HYPERLINK("http://www.ncbi.nlm.nih.gov/protein/XP_013300378.1","hypothetical protein NECAME_10550")</f>
        <v>hypothetical protein NECAME_10550</v>
      </c>
      <c r="J2924">
        <v>1375.15</v>
      </c>
      <c r="K2924" t="s">
        <v>22</v>
      </c>
      <c r="L2924">
        <v>1210</v>
      </c>
      <c r="M2924">
        <v>7.13</v>
      </c>
      <c r="N2924">
        <v>13.4</v>
      </c>
      <c r="O2924" t="s">
        <v>19</v>
      </c>
      <c r="P2924" t="s">
        <v>1267</v>
      </c>
      <c r="Q2924" t="s">
        <v>19</v>
      </c>
      <c r="R2924" t="str">
        <f>HYPERLINK("https://cfpub.epa.gov/ecotox/explore.cfm?ncbi=51031","Explore in ECOTOX")</f>
        <v>Explore in ECOTOX</v>
      </c>
    </row>
    <row r="2925" spans="1:18" x14ac:dyDescent="0.45">
      <c r="A2925" t="s">
        <v>1266</v>
      </c>
      <c r="B2925">
        <v>8</v>
      </c>
      <c r="C2925" t="str">
        <f>HYPERLINK("http://www.ncbi.nlm.nih.gov/protein/GMR59737.1","GMR59737.1")</f>
        <v>GMR59737.1</v>
      </c>
      <c r="D2925">
        <v>33456</v>
      </c>
      <c r="E2925" t="str">
        <f>HYPERLINK("http://www.ncbi.nlm.nih.gov/Taxonomy/Browser/wwwtax.cgi?mode=Info&amp;id=1317129&amp;lvl=3&amp;lin=f&amp;keep=1&amp;srchmode=1&amp;unlock","1317129")</f>
        <v>1317129</v>
      </c>
      <c r="F2925" t="s">
        <v>1024</v>
      </c>
      <c r="G2925" t="str">
        <f>HYPERLINK("http://www.ncbi.nlm.nih.gov/Taxonomy/Browser/wwwtax.cgi?mode=Info&amp;id=1317129&amp;lvl=3&amp;lin=f&amp;keep=1&amp;srchmode=1&amp;unlock","Pristionchus mayeri")</f>
        <v>Pristionchus mayeri</v>
      </c>
      <c r="H2925" t="s">
        <v>1027</v>
      </c>
      <c r="I2925" t="str">
        <f>HYPERLINK("http://www.ncbi.nlm.nih.gov/protein/GMR59737.1","hypothetical protein PMAYCL1PPCAC_29932, partial")</f>
        <v>hypothetical protein PMAYCL1PPCAC_29932, partial</v>
      </c>
      <c r="J2925">
        <v>1370.53</v>
      </c>
      <c r="K2925" t="s">
        <v>22</v>
      </c>
      <c r="L2925">
        <v>1210</v>
      </c>
      <c r="M2925">
        <v>7.13</v>
      </c>
      <c r="N2925">
        <v>13.35</v>
      </c>
      <c r="O2925" t="s">
        <v>19</v>
      </c>
      <c r="P2925" t="s">
        <v>1267</v>
      </c>
      <c r="Q2925" t="s">
        <v>19</v>
      </c>
      <c r="R2925" t="str">
        <f>HYPERLINK("https://cfpub.epa.gov/ecotox/explore.cfm?ncbi=1317129","Explore in ECOTOX")</f>
        <v>Explore in ECOTOX</v>
      </c>
    </row>
    <row r="2926" spans="1:18" x14ac:dyDescent="0.45">
      <c r="A2926" t="s">
        <v>1266</v>
      </c>
      <c r="B2926">
        <v>8</v>
      </c>
      <c r="C2926" t="str">
        <f>HYPERLINK("http://www.ncbi.nlm.nih.gov/protein/KAI6242082.1","KAI6242082.1")</f>
        <v>KAI6242082.1</v>
      </c>
      <c r="D2926">
        <v>17490</v>
      </c>
      <c r="E2926" t="str">
        <f>HYPERLINK("http://www.ncbi.nlm.nih.gov/Taxonomy/Browser/wwwtax.cgi?mode=Info&amp;id=1052528&amp;lvl=3&amp;lin=f&amp;keep=1&amp;srchmode=1&amp;unlock","1052528")</f>
        <v>1052528</v>
      </c>
      <c r="F2926" t="s">
        <v>1024</v>
      </c>
      <c r="G2926" t="str">
        <f>HYPERLINK("http://www.ncbi.nlm.nih.gov/Taxonomy/Browser/wwwtax.cgi?mode=Info&amp;id=1052528&amp;lvl=3&amp;lin=f&amp;keep=1&amp;srchmode=1&amp;unlock","Aphelenchoides fujianensis")</f>
        <v>Aphelenchoides fujianensis</v>
      </c>
      <c r="H2926" t="s">
        <v>1027</v>
      </c>
      <c r="I2926" t="str">
        <f>HYPERLINK("http://www.ncbi.nlm.nih.gov/protein/KAI6242082.1","Ryanodine receptor 1")</f>
        <v>Ryanodine receptor 1</v>
      </c>
      <c r="J2926">
        <v>1368.21</v>
      </c>
      <c r="K2926" t="s">
        <v>22</v>
      </c>
      <c r="L2926">
        <v>1210</v>
      </c>
      <c r="M2926">
        <v>7.13</v>
      </c>
      <c r="N2926">
        <v>13.33</v>
      </c>
      <c r="O2926" t="s">
        <v>19</v>
      </c>
      <c r="P2926" t="s">
        <v>1267</v>
      </c>
      <c r="Q2926" t="s">
        <v>19</v>
      </c>
      <c r="R2926" t="str">
        <f>HYPERLINK("https://cfpub.epa.gov/ecotox/explore.cfm?ncbi=1052528","Explore in ECOTOX")</f>
        <v>Explore in ECOTOX</v>
      </c>
    </row>
    <row r="2927" spans="1:18" x14ac:dyDescent="0.45">
      <c r="A2927" t="s">
        <v>1266</v>
      </c>
      <c r="B2927">
        <v>8</v>
      </c>
      <c r="C2927" t="str">
        <f>HYPERLINK("http://www.ncbi.nlm.nih.gov/protein/CAD7587799.1","CAD7587799.1")</f>
        <v>CAD7587799.1</v>
      </c>
      <c r="D2927">
        <v>12278</v>
      </c>
      <c r="E2927" t="str">
        <f>HYPERLINK("http://www.ncbi.nlm.nih.gov/Taxonomy/Browser/wwwtax.cgi?mode=Info&amp;id=629358&amp;lvl=3&amp;lin=f&amp;keep=1&amp;srchmode=1&amp;unlock","629358")</f>
        <v>629358</v>
      </c>
      <c r="F2927" t="s">
        <v>760</v>
      </c>
      <c r="G2927" t="str">
        <f>HYPERLINK("http://www.ncbi.nlm.nih.gov/Taxonomy/Browser/wwwtax.cgi?mode=Info&amp;id=629358&amp;lvl=3&amp;lin=f&amp;keep=1&amp;srchmode=1&amp;unlock","Timema genevievae")</f>
        <v>Timema genevievae</v>
      </c>
      <c r="H2927" t="s">
        <v>1039</v>
      </c>
      <c r="I2927" t="str">
        <f>HYPERLINK("http://www.ncbi.nlm.nih.gov/protein/CAD7587799.1","unnamed protein product")</f>
        <v>unnamed protein product</v>
      </c>
      <c r="J2927">
        <v>1366.29</v>
      </c>
      <c r="K2927" t="s">
        <v>22</v>
      </c>
      <c r="L2927">
        <v>1210</v>
      </c>
      <c r="M2927">
        <v>7.13</v>
      </c>
      <c r="N2927">
        <v>13.31</v>
      </c>
      <c r="O2927" t="s">
        <v>19</v>
      </c>
      <c r="P2927" t="s">
        <v>1267</v>
      </c>
      <c r="Q2927" t="s">
        <v>19</v>
      </c>
      <c r="R2927" t="str">
        <f>HYPERLINK("https://cfpub.epa.gov/ecotox/explore.cfm?ncbi=629358","Explore in ECOTOX")</f>
        <v>Explore in ECOTOX</v>
      </c>
    </row>
    <row r="2928" spans="1:18" x14ac:dyDescent="0.45">
      <c r="A2928" t="s">
        <v>1266</v>
      </c>
      <c r="B2928">
        <v>8</v>
      </c>
      <c r="C2928" t="str">
        <f>HYPERLINK("http://www.ncbi.nlm.nih.gov/protein/KMQ97692.1","KMQ97692.1")</f>
        <v>KMQ97692.1</v>
      </c>
      <c r="D2928">
        <v>18399</v>
      </c>
      <c r="E2928" t="str">
        <f>HYPERLINK("http://www.ncbi.nlm.nih.gov/Taxonomy/Browser/wwwtax.cgi?mode=Info&amp;id=67767&amp;lvl=3&amp;lin=f&amp;keep=1&amp;srchmode=1&amp;unlock","67767")</f>
        <v>67767</v>
      </c>
      <c r="F2928" t="s">
        <v>760</v>
      </c>
      <c r="G2928" t="str">
        <f>HYPERLINK("http://www.ncbi.nlm.nih.gov/Taxonomy/Browser/wwwtax.cgi?mode=Info&amp;id=67767&amp;lvl=3&amp;lin=f&amp;keep=1&amp;srchmode=1&amp;unlock","Lasius niger")</f>
        <v>Lasius niger</v>
      </c>
      <c r="H2928" t="s">
        <v>769</v>
      </c>
      <c r="I2928" t="str">
        <f>HYPERLINK("http://www.ncbi.nlm.nih.gov/protein/KMQ97692.1","ryanodine receptor 44f")</f>
        <v>ryanodine receptor 44f</v>
      </c>
      <c r="J2928">
        <v>1363.98</v>
      </c>
      <c r="K2928" t="s">
        <v>22</v>
      </c>
      <c r="L2928">
        <v>1210</v>
      </c>
      <c r="M2928">
        <v>7.13</v>
      </c>
      <c r="N2928">
        <v>13.29</v>
      </c>
      <c r="O2928" t="s">
        <v>19</v>
      </c>
      <c r="P2928" t="s">
        <v>1267</v>
      </c>
      <c r="Q2928" t="s">
        <v>19</v>
      </c>
      <c r="R2928" t="str">
        <f>HYPERLINK("https://cfpub.epa.gov/ecotox/explore.cfm?ncbi=67767","Explore in ECOTOX")</f>
        <v>Explore in ECOTOX</v>
      </c>
    </row>
    <row r="2929" spans="1:18" x14ac:dyDescent="0.45">
      <c r="A2929" t="s">
        <v>1266</v>
      </c>
      <c r="B2929">
        <v>8</v>
      </c>
      <c r="C2929" t="str">
        <f>HYPERLINK("http://www.ncbi.nlm.nih.gov/protein/KAI5643472.1","KAI5643472.1")</f>
        <v>KAI5643472.1</v>
      </c>
      <c r="D2929">
        <v>16704</v>
      </c>
      <c r="E2929" t="str">
        <f>HYPERLINK("http://www.ncbi.nlm.nih.gov/Taxonomy/Browser/wwwtax.cgi?mode=Info&amp;id=192464&amp;lvl=3&amp;lin=f&amp;keep=1&amp;srchmode=1&amp;unlock","192464")</f>
        <v>192464</v>
      </c>
      <c r="F2929" t="s">
        <v>760</v>
      </c>
      <c r="G2929" t="str">
        <f>HYPERLINK("http://www.ncbi.nlm.nih.gov/Taxonomy/Browser/wwwtax.cgi?mode=Info&amp;id=192464&amp;lvl=3&amp;lin=f&amp;keep=1&amp;srchmode=1&amp;unlock","Phthorimaea operculella")</f>
        <v>Phthorimaea operculella</v>
      </c>
      <c r="H2929" t="s">
        <v>1171</v>
      </c>
      <c r="I2929" t="str">
        <f>HYPERLINK("http://www.ncbi.nlm.nih.gov/protein/KAI5643472.1","ryanodine receptor TM 4-6 domain-containing protein")</f>
        <v>ryanodine receptor TM 4-6 domain-containing protein</v>
      </c>
      <c r="J2929">
        <v>1344.72</v>
      </c>
      <c r="K2929" t="s">
        <v>19</v>
      </c>
      <c r="L2929">
        <v>1210</v>
      </c>
      <c r="M2929">
        <v>7.13</v>
      </c>
      <c r="N2929">
        <v>13.1</v>
      </c>
      <c r="O2929" t="s">
        <v>19</v>
      </c>
      <c r="P2929" t="s">
        <v>1267</v>
      </c>
      <c r="Q2929" t="s">
        <v>19</v>
      </c>
      <c r="R2929" t="str">
        <f>HYPERLINK("https://cfpub.epa.gov/ecotox/explore.cfm?ncbi=192464","Explore in ECOTOX")</f>
        <v>Explore in ECOTOX</v>
      </c>
    </row>
    <row r="2930" spans="1:18" x14ac:dyDescent="0.45">
      <c r="A2930" t="s">
        <v>1266</v>
      </c>
      <c r="B2930">
        <v>8</v>
      </c>
      <c r="C2930" t="str">
        <f>HYPERLINK("http://www.ncbi.nlm.nih.gov/protein/GFS48413.1","GFS48413.1")</f>
        <v>GFS48413.1</v>
      </c>
      <c r="D2930">
        <v>72770</v>
      </c>
      <c r="E2930" t="str">
        <f>HYPERLINK("http://www.ncbi.nlm.nih.gov/Taxonomy/Browser/wwwtax.cgi?mode=Info&amp;id=299642&amp;lvl=3&amp;lin=f&amp;keep=1&amp;srchmode=1&amp;unlock","299642")</f>
        <v>299642</v>
      </c>
      <c r="F2930" t="s">
        <v>904</v>
      </c>
      <c r="G2930" t="str">
        <f>HYPERLINK("http://www.ncbi.nlm.nih.gov/Taxonomy/Browser/wwwtax.cgi?mode=Info&amp;id=299642&amp;lvl=3&amp;lin=f&amp;keep=1&amp;srchmode=1&amp;unlock","Nephila pilipes")</f>
        <v>Nephila pilipes</v>
      </c>
      <c r="H2930" t="s">
        <v>1177</v>
      </c>
      <c r="I2930" t="str">
        <f>HYPERLINK("http://www.ncbi.nlm.nih.gov/protein/GFS48413.1","ryanodine receptor, partial")</f>
        <v>ryanodine receptor, partial</v>
      </c>
      <c r="J2930">
        <v>1344.72</v>
      </c>
      <c r="K2930" t="s">
        <v>22</v>
      </c>
      <c r="L2930">
        <v>1210</v>
      </c>
      <c r="M2930">
        <v>7.13</v>
      </c>
      <c r="N2930">
        <v>13.1</v>
      </c>
      <c r="O2930" t="s">
        <v>19</v>
      </c>
      <c r="P2930" t="s">
        <v>1267</v>
      </c>
      <c r="Q2930" t="s">
        <v>19</v>
      </c>
      <c r="R2930" t="str">
        <f>HYPERLINK("https://cfpub.epa.gov/ecotox/explore.cfm?ncbi=299642","Explore in ECOTOX")</f>
        <v>Explore in ECOTOX</v>
      </c>
    </row>
    <row r="2931" spans="1:18" x14ac:dyDescent="0.45">
      <c r="A2931" t="s">
        <v>1266</v>
      </c>
      <c r="B2931">
        <v>8</v>
      </c>
      <c r="C2931" t="str">
        <f>HYPERLINK("http://www.ncbi.nlm.nih.gov/protein/XP_027222950.1","XP_027222950.1")</f>
        <v>XP_027222950.1</v>
      </c>
      <c r="D2931">
        <v>60260</v>
      </c>
      <c r="E2931" t="str">
        <f>HYPERLINK("http://www.ncbi.nlm.nih.gov/Taxonomy/Browser/wwwtax.cgi?mode=Info&amp;id=6689&amp;lvl=3&amp;lin=f&amp;keep=1&amp;srchmode=1&amp;unlock","6689")</f>
        <v>6689</v>
      </c>
      <c r="F2931" t="s">
        <v>779</v>
      </c>
      <c r="G2931" t="str">
        <f>HYPERLINK("http://www.ncbi.nlm.nih.gov/Taxonomy/Browser/wwwtax.cgi?mode=Info&amp;id=6689&amp;lvl=3&amp;lin=f&amp;keep=1&amp;srchmode=1&amp;unlock","Penaeus vannamei")</f>
        <v>Penaeus vannamei</v>
      </c>
      <c r="H2931" t="s">
        <v>1069</v>
      </c>
      <c r="I2931" t="str">
        <f>HYPERLINK("http://www.ncbi.nlm.nih.gov/protein/XP_027222950.1","LOW QUALITY PROTEIN: ryanodine receptor-like")</f>
        <v>LOW QUALITY PROTEIN: ryanodine receptor-like</v>
      </c>
      <c r="J2931">
        <v>1343.56</v>
      </c>
      <c r="K2931" t="s">
        <v>22</v>
      </c>
      <c r="L2931">
        <v>1210</v>
      </c>
      <c r="M2931">
        <v>7.13</v>
      </c>
      <c r="N2931">
        <v>13.09</v>
      </c>
      <c r="O2931" t="s">
        <v>19</v>
      </c>
      <c r="P2931" t="s">
        <v>1267</v>
      </c>
      <c r="Q2931" t="s">
        <v>19</v>
      </c>
      <c r="R2931" t="str">
        <f>HYPERLINK("https://cfpub.epa.gov/ecotox/explore.cfm?ncbi=6689","Explore in ECOTOX")</f>
        <v>Explore in ECOTOX</v>
      </c>
    </row>
    <row r="2932" spans="1:18" x14ac:dyDescent="0.45">
      <c r="A2932" t="s">
        <v>1266</v>
      </c>
      <c r="B2932">
        <v>8</v>
      </c>
      <c r="C2932" t="str">
        <f>HYPERLINK("http://www.ncbi.nlm.nih.gov/protein/VDO61855.1","VDO61855.1")</f>
        <v>VDO61855.1</v>
      </c>
      <c r="D2932">
        <v>27550</v>
      </c>
      <c r="E2932" t="str">
        <f>HYPERLINK("http://www.ncbi.nlm.nih.gov/Taxonomy/Browser/wwwtax.cgi?mode=Info&amp;id=6339&amp;lvl=3&amp;lin=f&amp;keep=1&amp;srchmode=1&amp;unlock","6339")</f>
        <v>6339</v>
      </c>
      <c r="F2932" t="s">
        <v>1024</v>
      </c>
      <c r="G2932" t="str">
        <f>HYPERLINK("http://www.ncbi.nlm.nih.gov/Taxonomy/Browser/wwwtax.cgi?mode=Info&amp;id=6339&amp;lvl=3&amp;lin=f&amp;keep=1&amp;srchmode=1&amp;unlock","Heligmosomoides polygyrus")</f>
        <v>Heligmosomoides polygyrus</v>
      </c>
      <c r="H2932" t="s">
        <v>1025</v>
      </c>
      <c r="I2932" t="str">
        <f>HYPERLINK("http://www.ncbi.nlm.nih.gov/protein/VDO61855.1","unnamed protein product")</f>
        <v>unnamed protein product</v>
      </c>
      <c r="J2932">
        <v>1339.71</v>
      </c>
      <c r="K2932" t="s">
        <v>19</v>
      </c>
      <c r="L2932">
        <v>1210</v>
      </c>
      <c r="M2932">
        <v>7.13</v>
      </c>
      <c r="N2932">
        <v>13.05</v>
      </c>
      <c r="O2932" t="s">
        <v>19</v>
      </c>
      <c r="P2932" t="s">
        <v>1267</v>
      </c>
      <c r="Q2932" t="s">
        <v>19</v>
      </c>
      <c r="R2932" t="str">
        <f>HYPERLINK("https://cfpub.epa.gov/ecotox/explore.cfm?ncbi=6339","Explore in ECOTOX")</f>
        <v>Explore in ECOTOX</v>
      </c>
    </row>
    <row r="2933" spans="1:18" x14ac:dyDescent="0.45">
      <c r="A2933" t="s">
        <v>1266</v>
      </c>
      <c r="B2933">
        <v>8</v>
      </c>
      <c r="C2933" t="str">
        <f>HYPERLINK("http://www.ncbi.nlm.nih.gov/protein/KAF7414747.1","KAF7414747.1")</f>
        <v>KAF7414747.1</v>
      </c>
      <c r="D2933">
        <v>17414</v>
      </c>
      <c r="E2933" t="str">
        <f>HYPERLINK("http://www.ncbi.nlm.nih.gov/Taxonomy/Browser/wwwtax.cgi?mode=Info&amp;id=30212&amp;lvl=3&amp;lin=f&amp;keep=1&amp;srchmode=1&amp;unlock","30212")</f>
        <v>30212</v>
      </c>
      <c r="F2933" t="s">
        <v>760</v>
      </c>
      <c r="G2933" t="str">
        <f>HYPERLINK("http://www.ncbi.nlm.nih.gov/Taxonomy/Browser/wwwtax.cgi?mode=Info&amp;id=30212&amp;lvl=3&amp;lin=f&amp;keep=1&amp;srchmode=1&amp;unlock","Vespula germanica")</f>
        <v>Vespula germanica</v>
      </c>
      <c r="H2933" t="s">
        <v>805</v>
      </c>
      <c r="I2933" t="str">
        <f>HYPERLINK("http://www.ncbi.nlm.nih.gov/protein/KAF7414747.1","hypothetical protein HZH68_003236")</f>
        <v>hypothetical protein HZH68_003236</v>
      </c>
      <c r="J2933">
        <v>1335.09</v>
      </c>
      <c r="K2933" t="s">
        <v>19</v>
      </c>
      <c r="L2933">
        <v>1210</v>
      </c>
      <c r="M2933">
        <v>7.13</v>
      </c>
      <c r="N2933">
        <v>13.01</v>
      </c>
      <c r="O2933" t="s">
        <v>19</v>
      </c>
      <c r="P2933" t="s">
        <v>1267</v>
      </c>
      <c r="Q2933" t="s">
        <v>19</v>
      </c>
      <c r="R2933" t="str">
        <f>HYPERLINK("https://cfpub.epa.gov/ecotox/explore.cfm?ncbi=30212","Explore in ECOTOX")</f>
        <v>Explore in ECOTOX</v>
      </c>
    </row>
    <row r="2934" spans="1:18" x14ac:dyDescent="0.45">
      <c r="A2934" t="s">
        <v>1266</v>
      </c>
      <c r="B2934">
        <v>8</v>
      </c>
      <c r="C2934" t="str">
        <f>HYPERLINK("http://www.ncbi.nlm.nih.gov/protein/CAD5123938.1","CAD5123938.1")</f>
        <v>CAD5123938.1</v>
      </c>
      <c r="D2934">
        <v>16184</v>
      </c>
      <c r="E2934" t="str">
        <f>HYPERLINK("http://www.ncbi.nlm.nih.gov/Taxonomy/Browser/wwwtax.cgi?mode=Info&amp;id=2664684&amp;lvl=3&amp;lin=f&amp;keep=1&amp;srchmode=1&amp;unlock","2664684")</f>
        <v>2664684</v>
      </c>
      <c r="F2934" t="s">
        <v>862</v>
      </c>
      <c r="G2934" t="str">
        <f>HYPERLINK("http://www.ncbi.nlm.nih.gov/Taxonomy/Browser/wwwtax.cgi?mode=Info&amp;id=2664684&amp;lvl=3&amp;lin=f&amp;keep=1&amp;srchmode=1&amp;unlock","Dimorphilus gyrociliatus")</f>
        <v>Dimorphilus gyrociliatus</v>
      </c>
      <c r="H2934" t="s">
        <v>863</v>
      </c>
      <c r="I2934" t="str">
        <f>HYPERLINK("http://www.ncbi.nlm.nih.gov/protein/CAD5123938.1","DgyrCDS12246")</f>
        <v>DgyrCDS12246</v>
      </c>
      <c r="J2934">
        <v>1328.92</v>
      </c>
      <c r="K2934" t="s">
        <v>22</v>
      </c>
      <c r="L2934">
        <v>1210</v>
      </c>
      <c r="M2934">
        <v>7.13</v>
      </c>
      <c r="N2934">
        <v>12.95</v>
      </c>
      <c r="O2934" t="s">
        <v>19</v>
      </c>
      <c r="P2934" t="s">
        <v>1267</v>
      </c>
      <c r="Q2934" t="s">
        <v>19</v>
      </c>
      <c r="R2934" t="str">
        <f>HYPERLINK("https://cfpub.epa.gov/ecotox/explore.cfm?ncbi=2664684","Explore in ECOTOX")</f>
        <v>Explore in ECOTOX</v>
      </c>
    </row>
    <row r="2935" spans="1:18" x14ac:dyDescent="0.45">
      <c r="A2935" t="s">
        <v>1266</v>
      </c>
      <c r="B2935">
        <v>8</v>
      </c>
      <c r="C2935" t="str">
        <f>HYPERLINK("http://www.ncbi.nlm.nih.gov/protein/CAD2136698.1","CAD2136698.1")</f>
        <v>CAD2136698.1</v>
      </c>
      <c r="D2935">
        <v>59798</v>
      </c>
      <c r="E2935" t="str">
        <f>HYPERLINK("http://www.ncbi.nlm.nih.gov/Taxonomy/Browser/wwwtax.cgi?mode=Info&amp;id=390850&amp;lvl=3&amp;lin=f&amp;keep=1&amp;srchmode=1&amp;unlock","390850")</f>
        <v>390850</v>
      </c>
      <c r="F2935" t="s">
        <v>1024</v>
      </c>
      <c r="G2935" t="str">
        <f>HYPERLINK("http://www.ncbi.nlm.nih.gov/Taxonomy/Browser/wwwtax.cgi?mode=Info&amp;id=390850&amp;lvl=3&amp;lin=f&amp;keep=1&amp;srchmode=1&amp;unlock","Meloidogyne enterolobii")</f>
        <v>Meloidogyne enterolobii</v>
      </c>
      <c r="H2935" t="s">
        <v>1027</v>
      </c>
      <c r="I2935" t="str">
        <f>HYPERLINK("http://www.ncbi.nlm.nih.gov/protein/CAD2136698.1","unnamed protein product")</f>
        <v>unnamed protein product</v>
      </c>
      <c r="J2935">
        <v>1326.23</v>
      </c>
      <c r="K2935" t="s">
        <v>19</v>
      </c>
      <c r="L2935">
        <v>1210</v>
      </c>
      <c r="M2935">
        <v>7.13</v>
      </c>
      <c r="N2935">
        <v>12.92</v>
      </c>
      <c r="O2935" t="s">
        <v>19</v>
      </c>
      <c r="P2935" t="s">
        <v>1267</v>
      </c>
      <c r="Q2935" t="s">
        <v>19</v>
      </c>
      <c r="R2935" t="str">
        <f>HYPERLINK("https://cfpub.epa.gov/ecotox/explore.cfm?ncbi=390850","Explore in ECOTOX")</f>
        <v>Explore in ECOTOX</v>
      </c>
    </row>
    <row r="2936" spans="1:18" x14ac:dyDescent="0.45">
      <c r="A2936" t="s">
        <v>1266</v>
      </c>
      <c r="B2936">
        <v>8</v>
      </c>
      <c r="C2936" t="str">
        <f>HYPERLINK("http://www.ncbi.nlm.nih.gov/protein/CAD7567814.1","CAD7567814.1")</f>
        <v>CAD7567814.1</v>
      </c>
      <c r="D2936">
        <v>14803</v>
      </c>
      <c r="E2936" t="str">
        <f>HYPERLINK("http://www.ncbi.nlm.nih.gov/Taxonomy/Browser/wwwtax.cgi?mode=Info&amp;id=61474&amp;lvl=3&amp;lin=f&amp;keep=1&amp;srchmode=1&amp;unlock","61474")</f>
        <v>61474</v>
      </c>
      <c r="F2936" t="s">
        <v>760</v>
      </c>
      <c r="G2936" t="str">
        <f>HYPERLINK("http://www.ncbi.nlm.nih.gov/Taxonomy/Browser/wwwtax.cgi?mode=Info&amp;id=61474&amp;lvl=3&amp;lin=f&amp;keep=1&amp;srchmode=1&amp;unlock","Timema californicum")</f>
        <v>Timema californicum</v>
      </c>
      <c r="H2936" t="s">
        <v>1175</v>
      </c>
      <c r="I2936" t="str">
        <f>HYPERLINK("http://www.ncbi.nlm.nih.gov/protein/CAD7567814.1","unnamed protein product")</f>
        <v>unnamed protein product</v>
      </c>
      <c r="J2936">
        <v>1324.69</v>
      </c>
      <c r="K2936" t="s">
        <v>19</v>
      </c>
      <c r="L2936">
        <v>1210</v>
      </c>
      <c r="M2936">
        <v>7.13</v>
      </c>
      <c r="N2936">
        <v>12.91</v>
      </c>
      <c r="O2936" t="s">
        <v>19</v>
      </c>
      <c r="P2936" t="s">
        <v>1267</v>
      </c>
      <c r="Q2936" t="s">
        <v>19</v>
      </c>
      <c r="R2936" t="str">
        <f>HYPERLINK("https://cfpub.epa.gov/ecotox/explore.cfm?ncbi=61474","Explore in ECOTOX")</f>
        <v>Explore in ECOTOX</v>
      </c>
    </row>
    <row r="2937" spans="1:18" x14ac:dyDescent="0.45">
      <c r="A2937" t="s">
        <v>1266</v>
      </c>
      <c r="B2937">
        <v>8</v>
      </c>
      <c r="C2937" t="str">
        <f>HYPERLINK("http://www.ncbi.nlm.nih.gov/protein/KAF8381623.1","KAF8381623.1")</f>
        <v>KAF8381623.1</v>
      </c>
      <c r="D2937">
        <v>28590</v>
      </c>
      <c r="E2937" t="str">
        <f>HYPERLINK("http://www.ncbi.nlm.nih.gov/Taxonomy/Browser/wwwtax.cgi?mode=Info&amp;id=54126&amp;lvl=3&amp;lin=f&amp;keep=1&amp;srchmode=1&amp;unlock","54126")</f>
        <v>54126</v>
      </c>
      <c r="F2937" t="s">
        <v>1024</v>
      </c>
      <c r="G2937" t="str">
        <f>HYPERLINK("http://www.ncbi.nlm.nih.gov/Taxonomy/Browser/wwwtax.cgi?mode=Info&amp;id=54126&amp;lvl=3&amp;lin=f&amp;keep=1&amp;srchmode=1&amp;unlock","Pristionchus pacificus")</f>
        <v>Pristionchus pacificus</v>
      </c>
      <c r="H2937" t="s">
        <v>1027</v>
      </c>
      <c r="I2937" t="str">
        <f>HYPERLINK("http://www.ncbi.nlm.nih.gov/protein/KAF8381623.1","unc-68")</f>
        <v>unc-68</v>
      </c>
      <c r="J2937">
        <v>1321.22</v>
      </c>
      <c r="K2937" t="s">
        <v>22</v>
      </c>
      <c r="L2937">
        <v>1210</v>
      </c>
      <c r="M2937">
        <v>7.13</v>
      </c>
      <c r="N2937">
        <v>12.87</v>
      </c>
      <c r="O2937" t="s">
        <v>19</v>
      </c>
      <c r="P2937" t="s">
        <v>1267</v>
      </c>
      <c r="Q2937" t="s">
        <v>19</v>
      </c>
      <c r="R2937" t="str">
        <f>HYPERLINK("https://cfpub.epa.gov/ecotox/explore.cfm?ncbi=54126","Explore in ECOTOX")</f>
        <v>Explore in ECOTOX</v>
      </c>
    </row>
    <row r="2938" spans="1:18" x14ac:dyDescent="0.45">
      <c r="A2938" t="s">
        <v>1266</v>
      </c>
      <c r="B2938">
        <v>8</v>
      </c>
      <c r="C2938" t="str">
        <f>HYPERLINK("http://www.ncbi.nlm.nih.gov/protein/EGT47004.1","EGT47004.1")</f>
        <v>EGT47004.1</v>
      </c>
      <c r="D2938">
        <v>31593</v>
      </c>
      <c r="E2938" t="str">
        <f>HYPERLINK("http://www.ncbi.nlm.nih.gov/Taxonomy/Browser/wwwtax.cgi?mode=Info&amp;id=135651&amp;lvl=3&amp;lin=f&amp;keep=1&amp;srchmode=1&amp;unlock","135651")</f>
        <v>135651</v>
      </c>
      <c r="F2938" t="s">
        <v>1024</v>
      </c>
      <c r="G2938" t="str">
        <f>HYPERLINK("http://www.ncbi.nlm.nih.gov/Taxonomy/Browser/wwwtax.cgi?mode=Info&amp;id=135651&amp;lvl=3&amp;lin=f&amp;keep=1&amp;srchmode=1&amp;unlock","Caenorhabditis brenneri")</f>
        <v>Caenorhabditis brenneri</v>
      </c>
      <c r="H2938" t="s">
        <v>1027</v>
      </c>
      <c r="I2938" t="str">
        <f>HYPERLINK("http://www.ncbi.nlm.nih.gov/protein/EGT47004.1","CBN-UNC-68 protein")</f>
        <v>CBN-UNC-68 protein</v>
      </c>
      <c r="J2938">
        <v>1318.52</v>
      </c>
      <c r="K2938" t="s">
        <v>19</v>
      </c>
      <c r="L2938">
        <v>1210</v>
      </c>
      <c r="M2938">
        <v>7.13</v>
      </c>
      <c r="N2938">
        <v>12.85</v>
      </c>
      <c r="O2938" t="s">
        <v>19</v>
      </c>
      <c r="P2938" t="s">
        <v>1267</v>
      </c>
      <c r="Q2938" t="s">
        <v>19</v>
      </c>
      <c r="R2938" t="str">
        <f>HYPERLINK("https://cfpub.epa.gov/ecotox/explore.cfm?ncbi=135651","Explore in ECOTOX")</f>
        <v>Explore in ECOTOX</v>
      </c>
    </row>
    <row r="2939" spans="1:18" x14ac:dyDescent="0.45">
      <c r="A2939" t="s">
        <v>1266</v>
      </c>
      <c r="B2939">
        <v>8</v>
      </c>
      <c r="C2939" t="str">
        <f>HYPERLINK("http://www.ncbi.nlm.nih.gov/protein/CRL01689.1","CRL01689.1")</f>
        <v>CRL01689.1</v>
      </c>
      <c r="D2939">
        <v>22646</v>
      </c>
      <c r="E2939" t="str">
        <f>HYPERLINK("http://www.ncbi.nlm.nih.gov/Taxonomy/Browser/wwwtax.cgi?mode=Info&amp;id=568069&amp;lvl=3&amp;lin=f&amp;keep=1&amp;srchmode=1&amp;unlock","568069")</f>
        <v>568069</v>
      </c>
      <c r="F2939" t="s">
        <v>760</v>
      </c>
      <c r="G2939" t="str">
        <f>HYPERLINK("http://www.ncbi.nlm.nih.gov/Taxonomy/Browser/wwwtax.cgi?mode=Info&amp;id=568069&amp;lvl=3&amp;lin=f&amp;keep=1&amp;srchmode=1&amp;unlock","Clunio marinus")</f>
        <v>Clunio marinus</v>
      </c>
      <c r="H2939" t="s">
        <v>974</v>
      </c>
      <c r="I2939" t="str">
        <f>HYPERLINK("http://www.ncbi.nlm.nih.gov/protein/CRL01689.1","CLUMA_CG014907, isoform B")</f>
        <v>CLUMA_CG014907, isoform B</v>
      </c>
      <c r="J2939">
        <v>1316.98</v>
      </c>
      <c r="K2939" t="s">
        <v>22</v>
      </c>
      <c r="L2939">
        <v>1210</v>
      </c>
      <c r="M2939">
        <v>7.13</v>
      </c>
      <c r="N2939">
        <v>12.83</v>
      </c>
      <c r="O2939" t="s">
        <v>19</v>
      </c>
      <c r="P2939" t="s">
        <v>1267</v>
      </c>
      <c r="Q2939" t="s">
        <v>19</v>
      </c>
      <c r="R2939" t="str">
        <f>HYPERLINK("https://cfpub.epa.gov/ecotox/explore.cfm?ncbi=568069","Explore in ECOTOX")</f>
        <v>Explore in ECOTOX</v>
      </c>
    </row>
    <row r="2940" spans="1:18" x14ac:dyDescent="0.45">
      <c r="A2940" t="s">
        <v>1266</v>
      </c>
      <c r="B2940">
        <v>8</v>
      </c>
      <c r="C2940" t="str">
        <f>HYPERLINK("http://www.ncbi.nlm.nih.gov/protein/CAI5451931.1","CAI5451931.1")</f>
        <v>CAI5451931.1</v>
      </c>
      <c r="D2940">
        <v>19530</v>
      </c>
      <c r="E2940" t="str">
        <f>HYPERLINK("http://www.ncbi.nlm.nih.gov/Taxonomy/Browser/wwwtax.cgi?mode=Info&amp;id=860376&amp;lvl=3&amp;lin=f&amp;keep=1&amp;srchmode=1&amp;unlock","860376")</f>
        <v>860376</v>
      </c>
      <c r="F2940" t="s">
        <v>1024</v>
      </c>
      <c r="G2940" t="str">
        <f>HYPERLINK("http://www.ncbi.nlm.nih.gov/Taxonomy/Browser/wwwtax.cgi?mode=Info&amp;id=860376&amp;lvl=3&amp;lin=f&amp;keep=1&amp;srchmode=1&amp;unlock","Caenorhabditis angaria")</f>
        <v>Caenorhabditis angaria</v>
      </c>
      <c r="H2940" t="s">
        <v>1027</v>
      </c>
      <c r="I2940" t="str">
        <f>HYPERLINK("http://www.ncbi.nlm.nih.gov/protein/CAI5451931.1","unnamed protein product")</f>
        <v>unnamed protein product</v>
      </c>
      <c r="J2940">
        <v>1308.1199999999999</v>
      </c>
      <c r="K2940" t="s">
        <v>19</v>
      </c>
      <c r="L2940">
        <v>1210</v>
      </c>
      <c r="M2940">
        <v>7.13</v>
      </c>
      <c r="N2940">
        <v>12.75</v>
      </c>
      <c r="O2940" t="s">
        <v>19</v>
      </c>
      <c r="P2940" t="s">
        <v>1267</v>
      </c>
      <c r="Q2940" t="s">
        <v>19</v>
      </c>
      <c r="R2940" t="str">
        <f>HYPERLINK("https://cfpub.epa.gov/ecotox/explore.cfm?ncbi=860376","Explore in ECOTOX")</f>
        <v>Explore in ECOTOX</v>
      </c>
    </row>
    <row r="2941" spans="1:18" x14ac:dyDescent="0.45">
      <c r="A2941" t="s">
        <v>1266</v>
      </c>
      <c r="B2941">
        <v>8</v>
      </c>
      <c r="C2941" t="str">
        <f>HYPERLINK("http://www.ncbi.nlm.nih.gov/protein/KAJ4442003.1","KAJ4442003.1")</f>
        <v>KAJ4442003.1</v>
      </c>
      <c r="D2941">
        <v>27727</v>
      </c>
      <c r="E2941" t="str">
        <f>HYPERLINK("http://www.ncbi.nlm.nih.gov/Taxonomy/Browser/wwwtax.cgi?mode=Info&amp;id=6978&amp;lvl=3&amp;lin=f&amp;keep=1&amp;srchmode=1&amp;unlock","6978")</f>
        <v>6978</v>
      </c>
      <c r="F2941" t="s">
        <v>760</v>
      </c>
      <c r="G2941" t="str">
        <f>HYPERLINK("http://www.ncbi.nlm.nih.gov/Taxonomy/Browser/wwwtax.cgi?mode=Info&amp;id=6978&amp;lvl=3&amp;lin=f&amp;keep=1&amp;srchmode=1&amp;unlock","Periplaneta americana")</f>
        <v>Periplaneta americana</v>
      </c>
      <c r="H2941" t="s">
        <v>1176</v>
      </c>
      <c r="I2941" t="str">
        <f>HYPERLINK("http://www.ncbi.nlm.nih.gov/protein/KAJ4442003.1","hypothetical protein ANN_11867, partial")</f>
        <v>hypothetical protein ANN_11867, partial</v>
      </c>
      <c r="J2941">
        <v>1305.81</v>
      </c>
      <c r="K2941" t="s">
        <v>22</v>
      </c>
      <c r="L2941">
        <v>1210</v>
      </c>
      <c r="M2941">
        <v>7.13</v>
      </c>
      <c r="N2941">
        <v>12.72</v>
      </c>
      <c r="O2941" t="s">
        <v>19</v>
      </c>
      <c r="P2941" t="s">
        <v>1267</v>
      </c>
      <c r="Q2941" t="s">
        <v>19</v>
      </c>
      <c r="R2941" t="str">
        <f>HYPERLINK("https://cfpub.epa.gov/ecotox/explore.cfm?ncbi=6978","Explore in ECOTOX")</f>
        <v>Explore in ECOTOX</v>
      </c>
    </row>
    <row r="2942" spans="1:18" x14ac:dyDescent="0.45">
      <c r="A2942" t="s">
        <v>1266</v>
      </c>
      <c r="B2942">
        <v>8</v>
      </c>
      <c r="C2942" t="str">
        <f>HYPERLINK("http://www.ncbi.nlm.nih.gov/protein/CAE1305662.1","CAE1305662.1")</f>
        <v>CAE1305662.1</v>
      </c>
      <c r="D2942">
        <v>53722</v>
      </c>
      <c r="E2942" t="str">
        <f>HYPERLINK("http://www.ncbi.nlm.nih.gov/Taxonomy/Browser/wwwtax.cgi?mode=Info&amp;id=158019&amp;lvl=3&amp;lin=f&amp;keep=1&amp;srchmode=1&amp;unlock","158019")</f>
        <v>158019</v>
      </c>
      <c r="F2942" t="s">
        <v>1010</v>
      </c>
      <c r="G2942" t="str">
        <f>HYPERLINK("http://www.ncbi.nlm.nih.gov/Taxonomy/Browser/wwwtax.cgi?mode=Info&amp;id=158019&amp;lvl=3&amp;lin=f&amp;keep=1&amp;srchmode=1&amp;unlock","Sepia pharaonis")</f>
        <v>Sepia pharaonis</v>
      </c>
      <c r="H2942" t="s">
        <v>1172</v>
      </c>
      <c r="I2942" t="str">
        <f>HYPERLINK("http://www.ncbi.nlm.nih.gov/protein/CAE1305662.1","RYR2")</f>
        <v>RYR2</v>
      </c>
      <c r="J2942">
        <v>1305.04</v>
      </c>
      <c r="K2942" t="s">
        <v>22</v>
      </c>
      <c r="L2942">
        <v>1210</v>
      </c>
      <c r="M2942">
        <v>7.13</v>
      </c>
      <c r="N2942">
        <v>12.72</v>
      </c>
      <c r="O2942" t="s">
        <v>19</v>
      </c>
      <c r="P2942" t="s">
        <v>1267</v>
      </c>
      <c r="Q2942" t="s">
        <v>19</v>
      </c>
      <c r="R2942" t="str">
        <f>HYPERLINK("https://cfpub.epa.gov/ecotox/explore.cfm?ncbi=158019","Explore in ECOTOX")</f>
        <v>Explore in ECOTOX</v>
      </c>
    </row>
    <row r="2943" spans="1:18" x14ac:dyDescent="0.45">
      <c r="A2943" t="s">
        <v>1266</v>
      </c>
      <c r="B2943">
        <v>8</v>
      </c>
      <c r="C2943" t="str">
        <f>HYPERLINK("http://www.ncbi.nlm.nih.gov/protein/OQR66500.1","OQR66500.1")</f>
        <v>OQR66500.1</v>
      </c>
      <c r="D2943">
        <v>14418</v>
      </c>
      <c r="E2943" t="str">
        <f>HYPERLINK("http://www.ncbi.nlm.nih.gov/Taxonomy/Browser/wwwtax.cgi?mode=Info&amp;id=418985&amp;lvl=3&amp;lin=f&amp;keep=1&amp;srchmode=1&amp;unlock","418985")</f>
        <v>418985</v>
      </c>
      <c r="F2943" t="s">
        <v>904</v>
      </c>
      <c r="G2943" t="str">
        <f>HYPERLINK("http://www.ncbi.nlm.nih.gov/Taxonomy/Browser/wwwtax.cgi?mode=Info&amp;id=418985&amp;lvl=3&amp;lin=f&amp;keep=1&amp;srchmode=1&amp;unlock","Tropilaelaps mercedesae")</f>
        <v>Tropilaelaps mercedesae</v>
      </c>
      <c r="H2943" t="s">
        <v>992</v>
      </c>
      <c r="I2943" t="str">
        <f>HYPERLINK("http://www.ncbi.nlm.nih.gov/protein/OQR66500.1","ryanodine receptor 44F-like, partial")</f>
        <v>ryanodine receptor 44F-like, partial</v>
      </c>
      <c r="J2943">
        <v>1298.8800000000001</v>
      </c>
      <c r="K2943" t="s">
        <v>19</v>
      </c>
      <c r="L2943">
        <v>1210</v>
      </c>
      <c r="M2943">
        <v>7.13</v>
      </c>
      <c r="N2943">
        <v>12.66</v>
      </c>
      <c r="O2943" t="s">
        <v>19</v>
      </c>
      <c r="P2943" t="s">
        <v>1267</v>
      </c>
      <c r="Q2943" t="s">
        <v>19</v>
      </c>
      <c r="R2943" t="str">
        <f>HYPERLINK("https://cfpub.epa.gov/ecotox/explore.cfm?ncbi=418985","Explore in ECOTOX")</f>
        <v>Explore in ECOTOX</v>
      </c>
    </row>
    <row r="2944" spans="1:18" x14ac:dyDescent="0.45">
      <c r="A2944" t="s">
        <v>1266</v>
      </c>
      <c r="B2944">
        <v>8</v>
      </c>
      <c r="C2944" t="str">
        <f>HYPERLINK("http://www.ncbi.nlm.nih.gov/protein/VDN03294.1","VDN03294.1")</f>
        <v>VDN03294.1</v>
      </c>
      <c r="D2944">
        <v>11062</v>
      </c>
      <c r="E2944" t="str">
        <f>HYPERLINK("http://www.ncbi.nlm.nih.gov/Taxonomy/Browser/wwwtax.cgi?mode=Info&amp;id=103827&amp;lvl=3&amp;lin=f&amp;keep=1&amp;srchmode=1&amp;unlock","103827")</f>
        <v>103827</v>
      </c>
      <c r="F2944" t="s">
        <v>1024</v>
      </c>
      <c r="G2944" t="str">
        <f>HYPERLINK("http://www.ncbi.nlm.nih.gov/Taxonomy/Browser/wwwtax.cgi?mode=Info&amp;id=103827&amp;lvl=3&amp;lin=f&amp;keep=1&amp;srchmode=1&amp;unlock","Thelazia callipaeda")</f>
        <v>Thelazia callipaeda</v>
      </c>
      <c r="H2944" t="s">
        <v>1174</v>
      </c>
      <c r="I2944" t="str">
        <f>HYPERLINK("http://www.ncbi.nlm.nih.gov/protein/VDN03294.1","unnamed protein product")</f>
        <v>unnamed protein product</v>
      </c>
      <c r="J2944">
        <v>1292.33</v>
      </c>
      <c r="K2944" t="s">
        <v>22</v>
      </c>
      <c r="L2944">
        <v>1210</v>
      </c>
      <c r="M2944">
        <v>7.13</v>
      </c>
      <c r="N2944">
        <v>12.59</v>
      </c>
      <c r="O2944" t="s">
        <v>19</v>
      </c>
      <c r="P2944" t="s">
        <v>1267</v>
      </c>
      <c r="Q2944" t="s">
        <v>19</v>
      </c>
      <c r="R2944" t="str">
        <f>HYPERLINK("https://cfpub.epa.gov/ecotox/explore.cfm?ncbi=103827","Explore in ECOTOX")</f>
        <v>Explore in ECOTOX</v>
      </c>
    </row>
    <row r="2945" spans="1:18" x14ac:dyDescent="0.45">
      <c r="A2945" t="s">
        <v>1266</v>
      </c>
      <c r="B2945">
        <v>8</v>
      </c>
      <c r="C2945" t="str">
        <f>HYPERLINK("http://www.ncbi.nlm.nih.gov/protein/CAD7456747.1","CAD7456747.1")</f>
        <v>CAD7456747.1</v>
      </c>
      <c r="D2945">
        <v>13064</v>
      </c>
      <c r="E2945" t="str">
        <f>HYPERLINK("http://www.ncbi.nlm.nih.gov/Taxonomy/Browser/wwwtax.cgi?mode=Info&amp;id=61484&amp;lvl=3&amp;lin=f&amp;keep=1&amp;srchmode=1&amp;unlock","61484")</f>
        <v>61484</v>
      </c>
      <c r="F2945" t="s">
        <v>760</v>
      </c>
      <c r="G2945" t="str">
        <f>HYPERLINK("http://www.ncbi.nlm.nih.gov/Taxonomy/Browser/wwwtax.cgi?mode=Info&amp;id=61484&amp;lvl=3&amp;lin=f&amp;keep=1&amp;srchmode=1&amp;unlock","Timema tahoe")</f>
        <v>Timema tahoe</v>
      </c>
      <c r="H2945" t="s">
        <v>1039</v>
      </c>
      <c r="I2945" t="str">
        <f>HYPERLINK("http://www.ncbi.nlm.nih.gov/protein/CAD7456747.1","unnamed protein product")</f>
        <v>unnamed protein product</v>
      </c>
      <c r="J2945">
        <v>1286.55</v>
      </c>
      <c r="K2945" t="s">
        <v>22</v>
      </c>
      <c r="L2945">
        <v>1210</v>
      </c>
      <c r="M2945">
        <v>7.13</v>
      </c>
      <c r="N2945">
        <v>12.54</v>
      </c>
      <c r="O2945" t="s">
        <v>19</v>
      </c>
      <c r="P2945" t="s">
        <v>1267</v>
      </c>
      <c r="Q2945" t="s">
        <v>19</v>
      </c>
      <c r="R2945" t="str">
        <f>HYPERLINK("https://cfpub.epa.gov/ecotox/explore.cfm?ncbi=61484","Explore in ECOTOX")</f>
        <v>Explore in ECOTOX</v>
      </c>
    </row>
    <row r="2946" spans="1:18" x14ac:dyDescent="0.45">
      <c r="A2946" t="s">
        <v>1266</v>
      </c>
      <c r="B2946">
        <v>8</v>
      </c>
      <c r="C2946" t="str">
        <f>HYPERLINK("http://www.ncbi.nlm.nih.gov/protein/XP_037796492.1","XP_037796492.1")</f>
        <v>XP_037796492.1</v>
      </c>
      <c r="D2946">
        <v>33837</v>
      </c>
      <c r="E2946" t="str">
        <f>HYPERLINK("http://www.ncbi.nlm.nih.gov/Taxonomy/Browser/wwwtax.cgi?mode=Info&amp;id=6687&amp;lvl=3&amp;lin=f&amp;keep=1&amp;srchmode=1&amp;unlock","6687")</f>
        <v>6687</v>
      </c>
      <c r="F2946" t="s">
        <v>779</v>
      </c>
      <c r="G2946" t="str">
        <f>HYPERLINK("http://www.ncbi.nlm.nih.gov/Taxonomy/Browser/wwwtax.cgi?mode=Info&amp;id=6687&amp;lvl=3&amp;lin=f&amp;keep=1&amp;srchmode=1&amp;unlock","Penaeus monodon")</f>
        <v>Penaeus monodon</v>
      </c>
      <c r="H2946" t="s">
        <v>1155</v>
      </c>
      <c r="I2946" t="str">
        <f>HYPERLINK("http://www.ncbi.nlm.nih.gov/protein/XP_037796492.1","ryanodine receptor-like")</f>
        <v>ryanodine receptor-like</v>
      </c>
      <c r="J2946">
        <v>1282.7</v>
      </c>
      <c r="K2946" t="s">
        <v>22</v>
      </c>
      <c r="L2946">
        <v>1210</v>
      </c>
      <c r="M2946">
        <v>7.13</v>
      </c>
      <c r="N2946">
        <v>12.5</v>
      </c>
      <c r="O2946" t="s">
        <v>19</v>
      </c>
      <c r="P2946" t="s">
        <v>1267</v>
      </c>
      <c r="Q2946" t="s">
        <v>19</v>
      </c>
      <c r="R2946" t="str">
        <f>HYPERLINK("https://cfpub.epa.gov/ecotox/explore.cfm?ncbi=6687","Explore in ECOTOX")</f>
        <v>Explore in ECOTOX</v>
      </c>
    </row>
    <row r="2947" spans="1:18" x14ac:dyDescent="0.45">
      <c r="A2947" t="s">
        <v>1266</v>
      </c>
      <c r="B2947">
        <v>8</v>
      </c>
      <c r="C2947" t="str">
        <f>HYPERLINK("http://www.ncbi.nlm.nih.gov/protein/XP_023220971.1","XP_023220971.1")</f>
        <v>XP_023220971.1</v>
      </c>
      <c r="D2947">
        <v>35594</v>
      </c>
      <c r="E2947" t="str">
        <f>HYPERLINK("http://www.ncbi.nlm.nih.gov/Taxonomy/Browser/wwwtax.cgi?mode=Info&amp;id=218467&amp;lvl=3&amp;lin=f&amp;keep=1&amp;srchmode=1&amp;unlock","218467")</f>
        <v>218467</v>
      </c>
      <c r="F2947" t="s">
        <v>904</v>
      </c>
      <c r="G2947" t="str">
        <f>HYPERLINK("http://www.ncbi.nlm.nih.gov/Taxonomy/Browser/wwwtax.cgi?mode=Info&amp;id=218467&amp;lvl=3&amp;lin=f&amp;keep=1&amp;srchmode=1&amp;unlock","Centruroides sculpturatus")</f>
        <v>Centruroides sculpturatus</v>
      </c>
      <c r="H2947" t="s">
        <v>1178</v>
      </c>
      <c r="I2947" t="str">
        <f>HYPERLINK("http://www.ncbi.nlm.nih.gov/protein/XP_023220971.1","ryanodine receptor-like")</f>
        <v>ryanodine receptor-like</v>
      </c>
      <c r="J2947">
        <v>1268.83</v>
      </c>
      <c r="K2947" t="s">
        <v>22</v>
      </c>
      <c r="L2947">
        <v>1210</v>
      </c>
      <c r="M2947">
        <v>7.13</v>
      </c>
      <c r="N2947">
        <v>12.36</v>
      </c>
      <c r="O2947" t="s">
        <v>19</v>
      </c>
      <c r="P2947" t="s">
        <v>1267</v>
      </c>
      <c r="Q2947" t="s">
        <v>19</v>
      </c>
      <c r="R2947" t="str">
        <f>HYPERLINK("https://cfpub.epa.gov/ecotox/explore.cfm?ncbi=218467","Explore in ECOTOX")</f>
        <v>Explore in ECOTOX</v>
      </c>
    </row>
    <row r="2948" spans="1:18" x14ac:dyDescent="0.45">
      <c r="A2948" t="s">
        <v>1266</v>
      </c>
      <c r="B2948">
        <v>8</v>
      </c>
      <c r="C2948" t="str">
        <f>HYPERLINK("http://www.ncbi.nlm.nih.gov/protein/OQV16826.1","OQV16826.1")</f>
        <v>OQV16826.1</v>
      </c>
      <c r="D2948">
        <v>20884</v>
      </c>
      <c r="E2948" t="str">
        <f>HYPERLINK("http://www.ncbi.nlm.nih.gov/Taxonomy/Browser/wwwtax.cgi?mode=Info&amp;id=2072580&amp;lvl=3&amp;lin=f&amp;keep=1&amp;srchmode=1&amp;unlock","2072580")</f>
        <v>2072580</v>
      </c>
      <c r="F2948" t="s">
        <v>1092</v>
      </c>
      <c r="G2948" t="str">
        <f>HYPERLINK("http://www.ncbi.nlm.nih.gov/Taxonomy/Browser/wwwtax.cgi?mode=Info&amp;id=2072580&amp;lvl=3&amp;lin=f&amp;keep=1&amp;srchmode=1&amp;unlock","Hypsibius exemplaris")</f>
        <v>Hypsibius exemplaris</v>
      </c>
      <c r="H2948" t="s">
        <v>1093</v>
      </c>
      <c r="I2948" t="str">
        <f>HYPERLINK("http://www.ncbi.nlm.nih.gov/protein/OQV16826.1","Ryanodine receptor")</f>
        <v>Ryanodine receptor</v>
      </c>
      <c r="J2948">
        <v>1267.29</v>
      </c>
      <c r="K2948" t="s">
        <v>19</v>
      </c>
      <c r="L2948">
        <v>1210</v>
      </c>
      <c r="M2948">
        <v>7.13</v>
      </c>
      <c r="N2948">
        <v>12.35</v>
      </c>
      <c r="O2948" t="s">
        <v>19</v>
      </c>
      <c r="P2948" t="s">
        <v>1267</v>
      </c>
      <c r="Q2948" t="s">
        <v>19</v>
      </c>
      <c r="R2948" t="str">
        <f>HYPERLINK("https://cfpub.epa.gov/ecotox/explore.cfm?ncbi=2072580","Explore in ECOTOX")</f>
        <v>Explore in ECOTOX</v>
      </c>
    </row>
    <row r="2949" spans="1:18" x14ac:dyDescent="0.45">
      <c r="A2949" t="s">
        <v>1266</v>
      </c>
      <c r="B2949">
        <v>8</v>
      </c>
      <c r="C2949" t="str">
        <f>HYPERLINK("http://www.ncbi.nlm.nih.gov/protein/CDJ83440.1","CDJ83440.1")</f>
        <v>CDJ83440.1</v>
      </c>
      <c r="D2949">
        <v>19926</v>
      </c>
      <c r="E2949" t="str">
        <f>HYPERLINK("http://www.ncbi.nlm.nih.gov/Taxonomy/Browser/wwwtax.cgi?mode=Info&amp;id=6289&amp;lvl=3&amp;lin=f&amp;keep=1&amp;srchmode=1&amp;unlock","6289")</f>
        <v>6289</v>
      </c>
      <c r="F2949" t="s">
        <v>1024</v>
      </c>
      <c r="G2949" t="str">
        <f>HYPERLINK("http://www.ncbi.nlm.nih.gov/Taxonomy/Browser/wwwtax.cgi?mode=Info&amp;id=6289&amp;lvl=3&amp;lin=f&amp;keep=1&amp;srchmode=1&amp;unlock","Haemonchus contortus")</f>
        <v>Haemonchus contortus</v>
      </c>
      <c r="H2949" t="s">
        <v>1179</v>
      </c>
      <c r="I2949" t="str">
        <f>HYPERLINK("http://www.ncbi.nlm.nih.gov/protein/CDJ83440.1","RyR IP3R Homology associated and EF hand and Ryanodine Receptor TM 4-6 and Ion transport domain containing protein")</f>
        <v>RyR IP3R Homology associated and EF hand and Ryanodine Receptor TM 4-6 and Ion transport domain containing protein</v>
      </c>
      <c r="J2949">
        <v>1264.5999999999999</v>
      </c>
      <c r="K2949" t="s">
        <v>19</v>
      </c>
      <c r="L2949">
        <v>1210</v>
      </c>
      <c r="M2949">
        <v>7.13</v>
      </c>
      <c r="N2949">
        <v>12.32</v>
      </c>
      <c r="O2949" t="s">
        <v>19</v>
      </c>
      <c r="P2949" t="s">
        <v>1267</v>
      </c>
      <c r="Q2949" t="s">
        <v>19</v>
      </c>
      <c r="R2949" t="str">
        <f>HYPERLINK("https://cfpub.epa.gov/ecotox/explore.cfm?ncbi=6289","Explore in ECOTOX")</f>
        <v>Explore in ECOTOX</v>
      </c>
    </row>
    <row r="2950" spans="1:18" x14ac:dyDescent="0.45">
      <c r="A2950" t="s">
        <v>1266</v>
      </c>
      <c r="B2950">
        <v>8</v>
      </c>
      <c r="C2950" t="str">
        <f>HYPERLINK("http://www.ncbi.nlm.nih.gov/protein/KAJ8959410.1","KAJ8959410.1")</f>
        <v>KAJ8959410.1</v>
      </c>
      <c r="D2950">
        <v>22157</v>
      </c>
      <c r="E2950" t="str">
        <f>HYPERLINK("http://www.ncbi.nlm.nih.gov/Taxonomy/Browser/wwwtax.cgi?mode=Info&amp;id=1265417&amp;lvl=3&amp;lin=f&amp;keep=1&amp;srchmode=1&amp;unlock","1265417")</f>
        <v>1265417</v>
      </c>
      <c r="F2950" t="s">
        <v>760</v>
      </c>
      <c r="G2950" t="str">
        <f>HYPERLINK("http://www.ncbi.nlm.nih.gov/Taxonomy/Browser/wwwtax.cgi?mode=Info&amp;id=1265417&amp;lvl=3&amp;lin=f&amp;keep=1&amp;srchmode=1&amp;unlock","Aromia moschata")</f>
        <v>Aromia moschata</v>
      </c>
      <c r="H2950" t="s">
        <v>1115</v>
      </c>
      <c r="I2950" t="str">
        <f>HYPERLINK("http://www.ncbi.nlm.nih.gov/protein/KAJ8959410.1","hypothetical protein NQ318_022100")</f>
        <v>hypothetical protein NQ318_022100</v>
      </c>
      <c r="J2950">
        <v>1250.3399999999999</v>
      </c>
      <c r="K2950" t="s">
        <v>19</v>
      </c>
      <c r="L2950">
        <v>1210</v>
      </c>
      <c r="M2950">
        <v>7.13</v>
      </c>
      <c r="N2950">
        <v>12.18</v>
      </c>
      <c r="O2950" t="s">
        <v>19</v>
      </c>
      <c r="P2950" t="s">
        <v>1267</v>
      </c>
      <c r="Q2950" t="s">
        <v>19</v>
      </c>
      <c r="R2950" t="str">
        <f>HYPERLINK("https://cfpub.epa.gov/ecotox/explore.cfm?ncbi=1265417","Explore in ECOTOX")</f>
        <v>Explore in ECOTOX</v>
      </c>
    </row>
    <row r="2951" spans="1:18" x14ac:dyDescent="0.45">
      <c r="A2951" t="s">
        <v>1266</v>
      </c>
      <c r="B2951">
        <v>8</v>
      </c>
      <c r="C2951" t="str">
        <f>HYPERLINK("http://www.ncbi.nlm.nih.gov/protein/CAD6199567.1","CAD6199567.1")</f>
        <v>CAD6199567.1</v>
      </c>
      <c r="D2951">
        <v>16266</v>
      </c>
      <c r="E2951" t="str">
        <f>HYPERLINK("http://www.ncbi.nlm.nih.gov/Taxonomy/Browser/wwwtax.cgi?mode=Info&amp;id=2777116&amp;lvl=3&amp;lin=f&amp;keep=1&amp;srchmode=1&amp;unlock","2777116")</f>
        <v>2777116</v>
      </c>
      <c r="F2951" t="s">
        <v>1024</v>
      </c>
      <c r="G2951" t="str">
        <f>HYPERLINK("http://www.ncbi.nlm.nih.gov/Taxonomy/Browser/wwwtax.cgi?mode=Info&amp;id=2777116&amp;lvl=3&amp;lin=f&amp;keep=1&amp;srchmode=1&amp;unlock","Caenorhabditis auriculariae")</f>
        <v>Caenorhabditis auriculariae</v>
      </c>
      <c r="H2951" t="s">
        <v>1027</v>
      </c>
      <c r="I2951" t="str">
        <f>HYPERLINK("http://www.ncbi.nlm.nih.gov/protein/CAD6199567.1","unnamed protein product")</f>
        <v>unnamed protein product</v>
      </c>
      <c r="J2951">
        <v>1235.32</v>
      </c>
      <c r="K2951" t="s">
        <v>22</v>
      </c>
      <c r="L2951">
        <v>1210</v>
      </c>
      <c r="M2951">
        <v>7.13</v>
      </c>
      <c r="N2951">
        <v>12.04</v>
      </c>
      <c r="O2951" t="s">
        <v>19</v>
      </c>
      <c r="P2951" t="s">
        <v>1267</v>
      </c>
      <c r="Q2951" t="s">
        <v>19</v>
      </c>
      <c r="R2951" t="str">
        <f>HYPERLINK("https://cfpub.epa.gov/ecotox/explore.cfm?ncbi=2777116","Explore in ECOTOX")</f>
        <v>Explore in ECOTOX</v>
      </c>
    </row>
    <row r="2952" spans="1:18" x14ac:dyDescent="0.45">
      <c r="A2952" t="s">
        <v>1266</v>
      </c>
      <c r="B2952">
        <v>8</v>
      </c>
      <c r="C2952" t="str">
        <f>HYPERLINK("http://www.ncbi.nlm.nih.gov/protein/EYC08904.1","EYC08904.1")</f>
        <v>EYC08904.1</v>
      </c>
      <c r="D2952">
        <v>81607</v>
      </c>
      <c r="E2952" t="str">
        <f>HYPERLINK("http://www.ncbi.nlm.nih.gov/Taxonomy/Browser/wwwtax.cgi?mode=Info&amp;id=53326&amp;lvl=3&amp;lin=f&amp;keep=1&amp;srchmode=1&amp;unlock","53326")</f>
        <v>53326</v>
      </c>
      <c r="F2952" t="s">
        <v>1024</v>
      </c>
      <c r="G2952" t="str">
        <f>HYPERLINK("http://www.ncbi.nlm.nih.gov/Taxonomy/Browser/wwwtax.cgi?mode=Info&amp;id=53326&amp;lvl=3&amp;lin=f&amp;keep=1&amp;srchmode=1&amp;unlock","Ancylostoma ceylanicum")</f>
        <v>Ancylostoma ceylanicum</v>
      </c>
      <c r="H2952" t="s">
        <v>1025</v>
      </c>
      <c r="I2952" t="str">
        <f>HYPERLINK("http://www.ncbi.nlm.nih.gov/protein/EYC08904.1","hypothetical protein Y032_0063g3426")</f>
        <v>hypothetical protein Y032_0063g3426</v>
      </c>
      <c r="J2952">
        <v>1231.08</v>
      </c>
      <c r="K2952" t="s">
        <v>22</v>
      </c>
      <c r="L2952">
        <v>1210</v>
      </c>
      <c r="M2952">
        <v>7.13</v>
      </c>
      <c r="N2952">
        <v>12</v>
      </c>
      <c r="O2952" t="s">
        <v>19</v>
      </c>
      <c r="P2952" t="s">
        <v>1267</v>
      </c>
      <c r="Q2952" t="s">
        <v>19</v>
      </c>
      <c r="R2952" t="str">
        <f>HYPERLINK("https://cfpub.epa.gov/ecotox/explore.cfm?ncbi=53326","Explore in ECOTOX")</f>
        <v>Explore in ECOTOX</v>
      </c>
    </row>
    <row r="2953" spans="1:18" x14ac:dyDescent="0.45">
      <c r="A2953" t="s">
        <v>1266</v>
      </c>
      <c r="B2953">
        <v>8</v>
      </c>
      <c r="C2953" t="str">
        <f>HYPERLINK("http://www.ncbi.nlm.nih.gov/protein/XP_047740434.1","XP_047740434.1")</f>
        <v>XP_047740434.1</v>
      </c>
      <c r="D2953">
        <v>31992</v>
      </c>
      <c r="E2953" t="str">
        <f>HYPERLINK("http://www.ncbi.nlm.nih.gov/Taxonomy/Browser/wwwtax.cgi?mode=Info&amp;id=294128&amp;lvl=3&amp;lin=f&amp;keep=1&amp;srchmode=1&amp;unlock","294128")</f>
        <v>294128</v>
      </c>
      <c r="F2953" t="s">
        <v>779</v>
      </c>
      <c r="G2953" t="str">
        <f>HYPERLINK("http://www.ncbi.nlm.nih.gov/Taxonomy/Browser/wwwtax.cgi?mode=Info&amp;id=294128&amp;lvl=3&amp;lin=f&amp;keep=1&amp;srchmode=1&amp;unlock","Hyalella azteca")</f>
        <v>Hyalella azteca</v>
      </c>
      <c r="H2953" t="s">
        <v>1102</v>
      </c>
      <c r="I2953" t="str">
        <f>HYPERLINK("http://www.ncbi.nlm.nih.gov/protein/XP_047740434.1","LOW QUALITY PROTEIN: ryanodine receptor-like, partial")</f>
        <v>LOW QUALITY PROTEIN: ryanodine receptor-like, partial</v>
      </c>
      <c r="J2953">
        <v>1230.31</v>
      </c>
      <c r="K2953" t="s">
        <v>19</v>
      </c>
      <c r="L2953">
        <v>1210</v>
      </c>
      <c r="M2953">
        <v>7.13</v>
      </c>
      <c r="N2953">
        <v>11.99</v>
      </c>
      <c r="O2953" t="s">
        <v>19</v>
      </c>
      <c r="P2953" t="s">
        <v>1267</v>
      </c>
      <c r="Q2953" t="s">
        <v>19</v>
      </c>
      <c r="R2953" t="str">
        <f>HYPERLINK("https://cfpub.epa.gov/ecotox/explore.cfm?ncbi=294128","Explore in ECOTOX")</f>
        <v>Explore in ECOTOX</v>
      </c>
    </row>
    <row r="2954" spans="1:18" x14ac:dyDescent="0.45">
      <c r="A2954" t="s">
        <v>1266</v>
      </c>
      <c r="B2954">
        <v>8</v>
      </c>
      <c r="C2954" t="str">
        <f>HYPERLINK("http://www.ncbi.nlm.nih.gov/protein/RCN50675.1","RCN50675.1")</f>
        <v>RCN50675.1</v>
      </c>
      <c r="D2954">
        <v>30364</v>
      </c>
      <c r="E2954" t="str">
        <f>HYPERLINK("http://www.ncbi.nlm.nih.gov/Taxonomy/Browser/wwwtax.cgi?mode=Info&amp;id=29170&amp;lvl=3&amp;lin=f&amp;keep=1&amp;srchmode=1&amp;unlock","29170")</f>
        <v>29170</v>
      </c>
      <c r="F2954" t="s">
        <v>1024</v>
      </c>
      <c r="G2954" t="str">
        <f>HYPERLINK("http://www.ncbi.nlm.nih.gov/Taxonomy/Browser/wwwtax.cgi?mode=Info&amp;id=29170&amp;lvl=3&amp;lin=f&amp;keep=1&amp;srchmode=1&amp;unlock","Ancylostoma caninum")</f>
        <v>Ancylostoma caninum</v>
      </c>
      <c r="H2954" t="s">
        <v>1182</v>
      </c>
      <c r="I2954" t="str">
        <f>HYPERLINK("http://www.ncbi.nlm.nih.gov/protein/RCN50675.1","hypothetical protein ANCCAN_03288")</f>
        <v>hypothetical protein ANCCAN_03288</v>
      </c>
      <c r="J2954">
        <v>1222.22</v>
      </c>
      <c r="K2954" t="s">
        <v>22</v>
      </c>
      <c r="L2954">
        <v>1210</v>
      </c>
      <c r="M2954">
        <v>7.13</v>
      </c>
      <c r="N2954">
        <v>11.91</v>
      </c>
      <c r="O2954" t="s">
        <v>19</v>
      </c>
      <c r="P2954" t="s">
        <v>1267</v>
      </c>
      <c r="Q2954" t="s">
        <v>19</v>
      </c>
      <c r="R2954" t="str">
        <f>HYPERLINK("https://cfpub.epa.gov/ecotox/explore.cfm?ncbi=29170","Explore in ECOTOX")</f>
        <v>Explore in ECOTOX</v>
      </c>
    </row>
    <row r="2955" spans="1:18" x14ac:dyDescent="0.45">
      <c r="A2955" t="s">
        <v>1266</v>
      </c>
      <c r="B2955">
        <v>8</v>
      </c>
      <c r="C2955" t="str">
        <f>HYPERLINK("http://www.ncbi.nlm.nih.gov/protein/CAG7835911.1","CAG7835911.1")</f>
        <v>CAG7835911.1</v>
      </c>
      <c r="D2955">
        <v>51065</v>
      </c>
      <c r="E2955" t="str">
        <f>HYPERLINK("http://www.ncbi.nlm.nih.gov/Taxonomy/Browser/wwwtax.cgi?mode=Info&amp;id=39272&amp;lvl=3&amp;lin=f&amp;keep=1&amp;srchmode=1&amp;unlock","39272")</f>
        <v>39272</v>
      </c>
      <c r="F2955" t="s">
        <v>999</v>
      </c>
      <c r="G2955" t="str">
        <f>HYPERLINK("http://www.ncbi.nlm.nih.gov/Taxonomy/Browser/wwwtax.cgi?mode=Info&amp;id=39272&amp;lvl=3&amp;lin=f&amp;keep=1&amp;srchmode=1&amp;unlock","Allacma fusca")</f>
        <v>Allacma fusca</v>
      </c>
      <c r="H2955" t="s">
        <v>1183</v>
      </c>
      <c r="I2955" t="str">
        <f>HYPERLINK("http://www.ncbi.nlm.nih.gov/protein/CAG7835911.1","unnamed protein product")</f>
        <v>unnamed protein product</v>
      </c>
      <c r="J2955">
        <v>1199.1099999999999</v>
      </c>
      <c r="K2955" t="s">
        <v>22</v>
      </c>
      <c r="L2955">
        <v>1210</v>
      </c>
      <c r="M2955">
        <v>7.13</v>
      </c>
      <c r="N2955">
        <v>11.68</v>
      </c>
      <c r="O2955" t="s">
        <v>19</v>
      </c>
      <c r="P2955" t="s">
        <v>1267</v>
      </c>
      <c r="Q2955" t="s">
        <v>19</v>
      </c>
      <c r="R2955" t="str">
        <f>HYPERLINK("https://cfpub.epa.gov/ecotox/explore.cfm?ncbi=39272","Explore in ECOTOX")</f>
        <v>Explore in ECOTOX</v>
      </c>
    </row>
    <row r="2956" spans="1:18" x14ac:dyDescent="0.45">
      <c r="A2956" t="s">
        <v>1266</v>
      </c>
      <c r="B2956">
        <v>8</v>
      </c>
      <c r="C2956" t="str">
        <f>HYPERLINK("http://www.ncbi.nlm.nih.gov/protein/UYV64349.1","UYV64349.1")</f>
        <v>UYV64349.1</v>
      </c>
      <c r="D2956">
        <v>25133</v>
      </c>
      <c r="E2956" t="str">
        <f>HYPERLINK("http://www.ncbi.nlm.nih.gov/Taxonomy/Browser/wwwtax.cgi?mode=Info&amp;id=51811&amp;lvl=3&amp;lin=f&amp;keep=1&amp;srchmode=1&amp;unlock","51811")</f>
        <v>51811</v>
      </c>
      <c r="F2956" t="s">
        <v>904</v>
      </c>
      <c r="G2956" t="str">
        <f>HYPERLINK("http://www.ncbi.nlm.nih.gov/Taxonomy/Browser/wwwtax.cgi?mode=Info&amp;id=51811&amp;lvl=3&amp;lin=f&amp;keep=1&amp;srchmode=1&amp;unlock","Cordylochernes scorpioides")</f>
        <v>Cordylochernes scorpioides</v>
      </c>
      <c r="H2956" t="s">
        <v>1184</v>
      </c>
      <c r="I2956" t="str">
        <f>HYPERLINK("http://www.ncbi.nlm.nih.gov/protein/UYV64349.1","RYR2")</f>
        <v>RYR2</v>
      </c>
      <c r="J2956">
        <v>1197.57</v>
      </c>
      <c r="K2956" t="s">
        <v>19</v>
      </c>
      <c r="L2956">
        <v>1210</v>
      </c>
      <c r="M2956">
        <v>7.13</v>
      </c>
      <c r="N2956">
        <v>11.67</v>
      </c>
      <c r="O2956" t="s">
        <v>19</v>
      </c>
      <c r="P2956" t="s">
        <v>1267</v>
      </c>
      <c r="Q2956" t="s">
        <v>19</v>
      </c>
      <c r="R2956" t="str">
        <f>HYPERLINK("https://cfpub.epa.gov/ecotox/explore.cfm?ncbi=51811","Explore in ECOTOX")</f>
        <v>Explore in ECOTOX</v>
      </c>
    </row>
    <row r="2957" spans="1:18" x14ac:dyDescent="0.45">
      <c r="A2957" t="s">
        <v>1266</v>
      </c>
      <c r="B2957">
        <v>8</v>
      </c>
      <c r="C2957" t="str">
        <f>HYPERLINK("http://www.ncbi.nlm.nih.gov/protein/KAJ9597820.1","KAJ9597820.1")</f>
        <v>KAJ9597820.1</v>
      </c>
      <c r="D2957">
        <v>28554</v>
      </c>
      <c r="E2957" t="str">
        <f>HYPERLINK("http://www.ncbi.nlm.nih.gov/Taxonomy/Browser/wwwtax.cgi?mode=Info&amp;id=6984&amp;lvl=3&amp;lin=f&amp;keep=1&amp;srchmode=1&amp;unlock","6984")</f>
        <v>6984</v>
      </c>
      <c r="F2957" t="s">
        <v>760</v>
      </c>
      <c r="G2957" t="str">
        <f>HYPERLINK("http://www.ncbi.nlm.nih.gov/Taxonomy/Browser/wwwtax.cgi?mode=Info&amp;id=6984&amp;lvl=3&amp;lin=f&amp;keep=1&amp;srchmode=1&amp;unlock","Diploptera punctata")</f>
        <v>Diploptera punctata</v>
      </c>
      <c r="H2957" t="s">
        <v>1196</v>
      </c>
      <c r="I2957" t="str">
        <f>HYPERLINK("http://www.ncbi.nlm.nih.gov/protein/KAJ9597820.1","hypothetical protein L9F63_011315, partial")</f>
        <v>hypothetical protein L9F63_011315, partial</v>
      </c>
      <c r="J2957">
        <v>1196.42</v>
      </c>
      <c r="K2957" t="s">
        <v>22</v>
      </c>
      <c r="L2957">
        <v>1210</v>
      </c>
      <c r="M2957">
        <v>7.13</v>
      </c>
      <c r="N2957">
        <v>11.66</v>
      </c>
      <c r="O2957" t="s">
        <v>19</v>
      </c>
      <c r="P2957" t="s">
        <v>1267</v>
      </c>
      <c r="Q2957" t="s">
        <v>19</v>
      </c>
      <c r="R2957" t="str">
        <f>HYPERLINK("https://cfpub.epa.gov/ecotox/explore.cfm?ncbi=6984","Explore in ECOTOX")</f>
        <v>Explore in ECOTOX</v>
      </c>
    </row>
    <row r="2958" spans="1:18" x14ac:dyDescent="0.45">
      <c r="A2958" t="s">
        <v>1266</v>
      </c>
      <c r="B2958">
        <v>8</v>
      </c>
      <c r="C2958" t="str">
        <f>HYPERLINK("http://www.ncbi.nlm.nih.gov/protein/GMS80971.1","GMS80971.1")</f>
        <v>GMS80971.1</v>
      </c>
      <c r="D2958">
        <v>30770</v>
      </c>
      <c r="E2958" t="str">
        <f>HYPERLINK("http://www.ncbi.nlm.nih.gov/Taxonomy/Browser/wwwtax.cgi?mode=Info&amp;id=358040&amp;lvl=3&amp;lin=f&amp;keep=1&amp;srchmode=1&amp;unlock","358040")</f>
        <v>358040</v>
      </c>
      <c r="F2958" t="s">
        <v>1024</v>
      </c>
      <c r="G2958" t="str">
        <f>HYPERLINK("http://www.ncbi.nlm.nih.gov/Taxonomy/Browser/wwwtax.cgi?mode=Info&amp;id=358040&amp;lvl=3&amp;lin=f&amp;keep=1&amp;srchmode=1&amp;unlock","Pristionchus entomophagus")</f>
        <v>Pristionchus entomophagus</v>
      </c>
      <c r="H2958" t="s">
        <v>1027</v>
      </c>
      <c r="I2958" t="str">
        <f>HYPERLINK("http://www.ncbi.nlm.nih.gov/protein/GMS80971.1","hypothetical protein PENTCL1PPCAC_3146, partial")</f>
        <v>hypothetical protein PENTCL1PPCAC_3146, partial</v>
      </c>
      <c r="J2958">
        <v>1180.24</v>
      </c>
      <c r="K2958" t="s">
        <v>22</v>
      </c>
      <c r="L2958">
        <v>1210</v>
      </c>
      <c r="M2958">
        <v>7.13</v>
      </c>
      <c r="N2958">
        <v>11.5</v>
      </c>
      <c r="O2958" t="s">
        <v>19</v>
      </c>
      <c r="P2958" t="s">
        <v>1267</v>
      </c>
      <c r="Q2958" t="s">
        <v>19</v>
      </c>
      <c r="R2958" t="str">
        <f>HYPERLINK("https://cfpub.epa.gov/ecotox/explore.cfm?ncbi=358040","Explore in ECOTOX")</f>
        <v>Explore in ECOTOX</v>
      </c>
    </row>
    <row r="2959" spans="1:18" x14ac:dyDescent="0.45">
      <c r="A2959" t="s">
        <v>1266</v>
      </c>
      <c r="B2959">
        <v>8</v>
      </c>
      <c r="C2959" t="str">
        <f>HYPERLINK("http://www.ncbi.nlm.nih.gov/protein/VDO40897.1","VDO40897.1")</f>
        <v>VDO40897.1</v>
      </c>
      <c r="D2959">
        <v>21561</v>
      </c>
      <c r="E2959" t="str">
        <f>HYPERLINK("http://www.ncbi.nlm.nih.gov/Taxonomy/Browser/wwwtax.cgi?mode=Info&amp;id=6290&amp;lvl=3&amp;lin=f&amp;keep=1&amp;srchmode=1&amp;unlock","6290")</f>
        <v>6290</v>
      </c>
      <c r="F2959" t="s">
        <v>1024</v>
      </c>
      <c r="G2959" t="str">
        <f>HYPERLINK("http://www.ncbi.nlm.nih.gov/Taxonomy/Browser/wwwtax.cgi?mode=Info&amp;id=6290&amp;lvl=3&amp;lin=f&amp;keep=1&amp;srchmode=1&amp;unlock","Haemonchus placei")</f>
        <v>Haemonchus placei</v>
      </c>
      <c r="H2959" t="s">
        <v>1025</v>
      </c>
      <c r="I2959" t="str">
        <f>HYPERLINK("http://www.ncbi.nlm.nih.gov/protein/VDO40897.1","unnamed protein product")</f>
        <v>unnamed protein product</v>
      </c>
      <c r="J2959">
        <v>1177.1600000000001</v>
      </c>
      <c r="K2959" t="s">
        <v>19</v>
      </c>
      <c r="L2959">
        <v>1210</v>
      </c>
      <c r="M2959">
        <v>7.13</v>
      </c>
      <c r="N2959">
        <v>11.47</v>
      </c>
      <c r="O2959" t="s">
        <v>19</v>
      </c>
      <c r="P2959" t="s">
        <v>1267</v>
      </c>
      <c r="Q2959" t="s">
        <v>19</v>
      </c>
      <c r="R2959" t="str">
        <f>HYPERLINK("https://cfpub.epa.gov/ecotox/explore.cfm?ncbi=6290","Explore in ECOTOX")</f>
        <v>Explore in ECOTOX</v>
      </c>
    </row>
    <row r="2960" spans="1:18" x14ac:dyDescent="0.45">
      <c r="A2960" t="s">
        <v>1266</v>
      </c>
      <c r="B2960">
        <v>8</v>
      </c>
      <c r="C2960" t="str">
        <f>HYPERLINK("http://www.ncbi.nlm.nih.gov/protein/KAJ6647169.1","KAJ6647169.1")</f>
        <v>KAJ6647169.1</v>
      </c>
      <c r="D2960">
        <v>17906</v>
      </c>
      <c r="E2960" t="str">
        <f>HYPERLINK("http://www.ncbi.nlm.nih.gov/Taxonomy/Browser/wwwtax.cgi?mode=Info&amp;id=35572&amp;lvl=3&amp;lin=f&amp;keep=1&amp;srchmode=1&amp;unlock","35572")</f>
        <v>35572</v>
      </c>
      <c r="F2960" t="s">
        <v>760</v>
      </c>
      <c r="G2960" t="str">
        <f>HYPERLINK("http://www.ncbi.nlm.nih.gov/Taxonomy/Browser/wwwtax.cgi?mode=Info&amp;id=35572&amp;lvl=3&amp;lin=f&amp;keep=1&amp;srchmode=1&amp;unlock","Pseudolycoriella hygida")</f>
        <v>Pseudolycoriella hygida</v>
      </c>
      <c r="H2960" t="s">
        <v>1096</v>
      </c>
      <c r="I2960" t="str">
        <f>HYPERLINK("http://www.ncbi.nlm.nih.gov/protein/KAJ6647169.1","Ryanodine receptor, partial")</f>
        <v>Ryanodine receptor, partial</v>
      </c>
      <c r="J2960">
        <v>1176.77</v>
      </c>
      <c r="K2960" t="s">
        <v>19</v>
      </c>
      <c r="L2960">
        <v>1210</v>
      </c>
      <c r="M2960">
        <v>7.13</v>
      </c>
      <c r="N2960">
        <v>11.47</v>
      </c>
      <c r="O2960" t="s">
        <v>19</v>
      </c>
      <c r="P2960" t="s">
        <v>1267</v>
      </c>
      <c r="Q2960" t="s">
        <v>19</v>
      </c>
      <c r="R2960" t="str">
        <f>HYPERLINK("https://cfpub.epa.gov/ecotox/explore.cfm?ncbi=35572","Explore in ECOTOX")</f>
        <v>Explore in ECOTOX</v>
      </c>
    </row>
    <row r="2961" spans="1:18" x14ac:dyDescent="0.45">
      <c r="A2961" t="s">
        <v>1266</v>
      </c>
      <c r="B2961">
        <v>8</v>
      </c>
      <c r="C2961" t="str">
        <f>HYPERLINK("http://www.ncbi.nlm.nih.gov/protein/PAV62896.1","PAV62896.1")</f>
        <v>PAV62896.1</v>
      </c>
      <c r="D2961">
        <v>38237</v>
      </c>
      <c r="E2961" t="str">
        <f>HYPERLINK("http://www.ncbi.nlm.nih.gov/Taxonomy/Browser/wwwtax.cgi?mode=Info&amp;id=2018661&amp;lvl=3&amp;lin=f&amp;keep=1&amp;srchmode=1&amp;unlock","2018661")</f>
        <v>2018661</v>
      </c>
      <c r="F2961" t="s">
        <v>1024</v>
      </c>
      <c r="G2961" t="str">
        <f>HYPERLINK("http://www.ncbi.nlm.nih.gov/Taxonomy/Browser/wwwtax.cgi?mode=Info&amp;id=2018661&amp;lvl=3&amp;lin=f&amp;keep=1&amp;srchmode=1&amp;unlock","Diploscapter pachys")</f>
        <v>Diploscapter pachys</v>
      </c>
      <c r="H2961" t="s">
        <v>1027</v>
      </c>
      <c r="I2961" t="str">
        <f>HYPERLINK("http://www.ncbi.nlm.nih.gov/protein/PAV62896.1","hypothetical protein WR25_23787 isoform A")</f>
        <v>hypothetical protein WR25_23787 isoform A</v>
      </c>
      <c r="J2961">
        <v>1173.3</v>
      </c>
      <c r="K2961" t="s">
        <v>19</v>
      </c>
      <c r="L2961">
        <v>1210</v>
      </c>
      <c r="M2961">
        <v>7.13</v>
      </c>
      <c r="N2961">
        <v>11.43</v>
      </c>
      <c r="O2961" t="s">
        <v>19</v>
      </c>
      <c r="P2961" t="s">
        <v>1267</v>
      </c>
      <c r="Q2961" t="s">
        <v>19</v>
      </c>
      <c r="R2961" t="str">
        <f>HYPERLINK("https://cfpub.epa.gov/ecotox/explore.cfm?ncbi=2018661","Explore in ECOTOX")</f>
        <v>Explore in ECOTOX</v>
      </c>
    </row>
    <row r="2962" spans="1:18" x14ac:dyDescent="0.45">
      <c r="A2962" t="s">
        <v>1266</v>
      </c>
      <c r="B2962">
        <v>8</v>
      </c>
      <c r="C2962" t="str">
        <f>HYPERLINK("http://www.ncbi.nlm.nih.gov/protein/KAG5441693.1","KAG5441693.1")</f>
        <v>KAG5441693.1</v>
      </c>
      <c r="D2962">
        <v>29004</v>
      </c>
      <c r="E2962" t="str">
        <f>HYPERLINK("http://www.ncbi.nlm.nih.gov/Taxonomy/Browser/wwwtax.cgi?mode=Info&amp;id=79923&amp;lvl=3&amp;lin=f&amp;keep=1&amp;srchmode=1&amp;unlock","79923")</f>
        <v>79923</v>
      </c>
      <c r="F2962" t="s">
        <v>1140</v>
      </c>
      <c r="G2962" t="str">
        <f>HYPERLINK("http://www.ncbi.nlm.nih.gov/Taxonomy/Browser/wwwtax.cgi?mode=Info&amp;id=79923&amp;lvl=3&amp;lin=f&amp;keep=1&amp;srchmode=1&amp;unlock","Clonorchis sinensis")</f>
        <v>Clonorchis sinensis</v>
      </c>
      <c r="H2962" t="s">
        <v>1197</v>
      </c>
      <c r="I2962" t="str">
        <f>HYPERLINK("http://www.ncbi.nlm.nih.gov/protein/KAG5441693.1","Ryanodine receptor")</f>
        <v>Ryanodine receptor</v>
      </c>
      <c r="J2962">
        <v>1169.45</v>
      </c>
      <c r="K2962" t="s">
        <v>19</v>
      </c>
      <c r="L2962">
        <v>1210</v>
      </c>
      <c r="M2962">
        <v>7.13</v>
      </c>
      <c r="N2962">
        <v>11.39</v>
      </c>
      <c r="O2962" t="s">
        <v>19</v>
      </c>
      <c r="P2962" t="s">
        <v>1267</v>
      </c>
      <c r="Q2962" t="s">
        <v>19</v>
      </c>
      <c r="R2962" t="str">
        <f>HYPERLINK("https://cfpub.epa.gov/ecotox/explore.cfm?ncbi=79923","Explore in ECOTOX")</f>
        <v>Explore in ECOTOX</v>
      </c>
    </row>
    <row r="2963" spans="1:18" x14ac:dyDescent="0.45">
      <c r="A2963" t="s">
        <v>1266</v>
      </c>
      <c r="B2963">
        <v>8</v>
      </c>
      <c r="C2963" t="str">
        <f>HYPERLINK("http://www.ncbi.nlm.nih.gov/protein/CDS34291.2","CDS34291.2")</f>
        <v>CDS34291.2</v>
      </c>
      <c r="D2963">
        <v>12420</v>
      </c>
      <c r="E2963" t="str">
        <f>HYPERLINK("http://www.ncbi.nlm.nih.gov/Taxonomy/Browser/wwwtax.cgi?mode=Info&amp;id=85433&amp;lvl=3&amp;lin=f&amp;keep=1&amp;srchmode=1&amp;unlock","85433")</f>
        <v>85433</v>
      </c>
      <c r="F2963" t="s">
        <v>1185</v>
      </c>
      <c r="G2963" t="str">
        <f>HYPERLINK("http://www.ncbi.nlm.nih.gov/Taxonomy/Browser/wwwtax.cgi?mode=Info&amp;id=85433&amp;lvl=3&amp;lin=f&amp;keep=1&amp;srchmode=1&amp;unlock","Hymenolepis microstoma")</f>
        <v>Hymenolepis microstoma</v>
      </c>
      <c r="H2963" t="s">
        <v>1186</v>
      </c>
      <c r="I2963" t="str">
        <f>HYPERLINK("http://www.ncbi.nlm.nih.gov/protein/CDS34291.2","ryanodine receptor 44f")</f>
        <v>ryanodine receptor 44f</v>
      </c>
      <c r="J2963">
        <v>1165.5999999999999</v>
      </c>
      <c r="K2963" t="s">
        <v>22</v>
      </c>
      <c r="L2963">
        <v>1210</v>
      </c>
      <c r="M2963">
        <v>7.13</v>
      </c>
      <c r="N2963">
        <v>11.36</v>
      </c>
      <c r="O2963" t="s">
        <v>19</v>
      </c>
      <c r="P2963" t="s">
        <v>1267</v>
      </c>
      <c r="Q2963" t="s">
        <v>19</v>
      </c>
      <c r="R2963" t="str">
        <f>HYPERLINK("https://cfpub.epa.gov/ecotox/explore.cfm?ncbi=85433","Explore in ECOTOX")</f>
        <v>Explore in ECOTOX</v>
      </c>
    </row>
    <row r="2964" spans="1:18" x14ac:dyDescent="0.45">
      <c r="A2964" t="s">
        <v>1266</v>
      </c>
      <c r="B2964">
        <v>8</v>
      </c>
      <c r="C2964" t="str">
        <f>HYPERLINK("http://www.ncbi.nlm.nih.gov/protein/MCP9259463.1","MCP9259463.1")</f>
        <v>MCP9259463.1</v>
      </c>
      <c r="D2964">
        <v>10129</v>
      </c>
      <c r="E2964" t="str">
        <f>HYPERLINK("http://www.ncbi.nlm.nih.gov/Taxonomy/Browser/wwwtax.cgi?mode=Info&amp;id=6287&amp;lvl=3&amp;lin=f&amp;keep=1&amp;srchmode=1&amp;unlock","6287")</f>
        <v>6287</v>
      </c>
      <c r="F2964" t="s">
        <v>1024</v>
      </c>
      <c r="G2964" t="str">
        <f>HYPERLINK("http://www.ncbi.nlm.nih.gov/Taxonomy/Browser/wwwtax.cgi?mode=Info&amp;id=6287&amp;lvl=3&amp;lin=f&amp;keep=1&amp;srchmode=1&amp;unlock","Dirofilaria immitis")</f>
        <v>Dirofilaria immitis</v>
      </c>
      <c r="H2964" t="s">
        <v>1190</v>
      </c>
      <c r="I2964" t="str">
        <f>HYPERLINK("http://www.ncbi.nlm.nih.gov/protein/MCP9259463.1","Ryanodine receptor 44F")</f>
        <v>Ryanodine receptor 44F</v>
      </c>
      <c r="J2964">
        <v>1164.44</v>
      </c>
      <c r="K2964" t="s">
        <v>19</v>
      </c>
      <c r="L2964">
        <v>1210</v>
      </c>
      <c r="M2964">
        <v>7.13</v>
      </c>
      <c r="N2964">
        <v>11.35</v>
      </c>
      <c r="O2964" t="s">
        <v>19</v>
      </c>
      <c r="P2964" t="s">
        <v>1267</v>
      </c>
      <c r="Q2964" t="s">
        <v>19</v>
      </c>
      <c r="R2964" t="str">
        <f>HYPERLINK("https://cfpub.epa.gov/ecotox/explore.cfm?ncbi=6287","Explore in ECOTOX")</f>
        <v>Explore in ECOTOX</v>
      </c>
    </row>
    <row r="2965" spans="1:18" x14ac:dyDescent="0.45">
      <c r="A2965" t="s">
        <v>1266</v>
      </c>
      <c r="B2965">
        <v>8</v>
      </c>
      <c r="C2965" t="str">
        <f>HYPERLINK("http://www.ncbi.nlm.nih.gov/protein/VDL39194.1","VDL39194.1")</f>
        <v>VDL39194.1</v>
      </c>
      <c r="D2965">
        <v>30647</v>
      </c>
      <c r="E2965" t="str">
        <f>HYPERLINK("http://www.ncbi.nlm.nih.gov/Taxonomy/Browser/wwwtax.cgi?mode=Info&amp;id=6216&amp;lvl=3&amp;lin=f&amp;keep=1&amp;srchmode=1&amp;unlock","6216")</f>
        <v>6216</v>
      </c>
      <c r="F2965" t="s">
        <v>1185</v>
      </c>
      <c r="G2965" t="str">
        <f>HYPERLINK("http://www.ncbi.nlm.nih.gov/Taxonomy/Browser/wwwtax.cgi?mode=Info&amp;id=6216&amp;lvl=3&amp;lin=f&amp;keep=1&amp;srchmode=1&amp;unlock","Hymenolepis diminuta")</f>
        <v>Hymenolepis diminuta</v>
      </c>
      <c r="H2965" t="s">
        <v>1187</v>
      </c>
      <c r="I2965" t="str">
        <f>HYPERLINK("http://www.ncbi.nlm.nih.gov/protein/VDL39194.1","unnamed protein product")</f>
        <v>unnamed protein product</v>
      </c>
      <c r="J2965">
        <v>1160.21</v>
      </c>
      <c r="K2965" t="s">
        <v>22</v>
      </c>
      <c r="L2965">
        <v>1210</v>
      </c>
      <c r="M2965">
        <v>7.13</v>
      </c>
      <c r="N2965">
        <v>11.3</v>
      </c>
      <c r="O2965" t="s">
        <v>19</v>
      </c>
      <c r="P2965" t="s">
        <v>1267</v>
      </c>
      <c r="Q2965" t="s">
        <v>19</v>
      </c>
      <c r="R2965" t="str">
        <f>HYPERLINK("https://cfpub.epa.gov/ecotox/explore.cfm?ncbi=6216","Explore in ECOTOX")</f>
        <v>Explore in ECOTOX</v>
      </c>
    </row>
    <row r="2966" spans="1:18" x14ac:dyDescent="0.45">
      <c r="A2966" t="s">
        <v>1266</v>
      </c>
      <c r="B2966">
        <v>8</v>
      </c>
      <c r="C2966" t="str">
        <f>HYPERLINK("http://www.ncbi.nlm.nih.gov/protein/CAI2353580.1","CAI2353580.1")</f>
        <v>CAI2353580.1</v>
      </c>
      <c r="D2966">
        <v>16255</v>
      </c>
      <c r="E2966" t="str">
        <f>HYPERLINK("http://www.ncbi.nlm.nih.gov/Taxonomy/Browser/wwwtax.cgi?mode=Info&amp;id=2970133&amp;lvl=3&amp;lin=f&amp;keep=1&amp;srchmode=1&amp;unlock","2970133")</f>
        <v>2970133</v>
      </c>
      <c r="F2966" t="s">
        <v>1024</v>
      </c>
      <c r="G2966" t="str">
        <f>HYPERLINK("http://www.ncbi.nlm.nih.gov/Taxonomy/Browser/wwwtax.cgi?mode=Info&amp;id=2970133&amp;lvl=3&amp;lin=f&amp;keep=1&amp;srchmode=1&amp;unlock","Caenorhabditis sp. 36 PRJEB53466")</f>
        <v>Caenorhabditis sp. 36 PRJEB53466</v>
      </c>
      <c r="H2966" t="s">
        <v>1027</v>
      </c>
      <c r="I2966" t="str">
        <f>HYPERLINK("http://www.ncbi.nlm.nih.gov/protein/CAI2353580.1","unnamed protein product")</f>
        <v>unnamed protein product</v>
      </c>
      <c r="J2966">
        <v>1156.3499999999999</v>
      </c>
      <c r="K2966" t="s">
        <v>19</v>
      </c>
      <c r="L2966">
        <v>1210</v>
      </c>
      <c r="M2966">
        <v>7.13</v>
      </c>
      <c r="N2966">
        <v>11.27</v>
      </c>
      <c r="O2966" t="s">
        <v>19</v>
      </c>
      <c r="P2966" t="s">
        <v>1267</v>
      </c>
      <c r="Q2966" t="s">
        <v>19</v>
      </c>
      <c r="R2966" t="str">
        <f>HYPERLINK("https://cfpub.epa.gov/ecotox/explore.cfm?ncbi=2970133","Explore in ECOTOX")</f>
        <v>Explore in ECOTOX</v>
      </c>
    </row>
    <row r="2967" spans="1:18" x14ac:dyDescent="0.45">
      <c r="A2967" t="s">
        <v>1266</v>
      </c>
      <c r="B2967">
        <v>8</v>
      </c>
      <c r="C2967" t="str">
        <f>HYPERLINK("http://www.ncbi.nlm.nih.gov/protein/KAJ1347272.1","KAJ1347272.1")</f>
        <v>KAJ1347272.1</v>
      </c>
      <c r="D2967">
        <v>29658</v>
      </c>
      <c r="E2967" t="str">
        <f>HYPERLINK("http://www.ncbi.nlm.nih.gov/Taxonomy/Browser/wwwtax.cgi?mode=Info&amp;id=148309&amp;lvl=3&amp;lin=f&amp;keep=1&amp;srchmode=1&amp;unlock","148309")</f>
        <v>148309</v>
      </c>
      <c r="F2967" t="s">
        <v>1024</v>
      </c>
      <c r="G2967" t="str">
        <f>HYPERLINK("http://www.ncbi.nlm.nih.gov/Taxonomy/Browser/wwwtax.cgi?mode=Info&amp;id=148309&amp;lvl=3&amp;lin=f&amp;keep=1&amp;srchmode=1&amp;unlock","Parelaphostrongylus tenuis")</f>
        <v>Parelaphostrongylus tenuis</v>
      </c>
      <c r="H2967" t="s">
        <v>1025</v>
      </c>
      <c r="I2967" t="str">
        <f>HYPERLINK("http://www.ncbi.nlm.nih.gov/protein/KAJ1347272.1","hypothetical protein KIN20_002293")</f>
        <v>hypothetical protein KIN20_002293</v>
      </c>
      <c r="J2967">
        <v>1153.6600000000001</v>
      </c>
      <c r="K2967" t="s">
        <v>19</v>
      </c>
      <c r="L2967">
        <v>1210</v>
      </c>
      <c r="M2967">
        <v>7.13</v>
      </c>
      <c r="N2967">
        <v>11.24</v>
      </c>
      <c r="O2967" t="s">
        <v>19</v>
      </c>
      <c r="P2967" t="s">
        <v>1267</v>
      </c>
      <c r="Q2967" t="s">
        <v>19</v>
      </c>
      <c r="R2967" t="str">
        <f>HYPERLINK("https://cfpub.epa.gov/ecotox/explore.cfm?ncbi=148309","Explore in ECOTOX")</f>
        <v>Explore in ECOTOX</v>
      </c>
    </row>
    <row r="2968" spans="1:18" x14ac:dyDescent="0.45">
      <c r="A2968" t="s">
        <v>1266</v>
      </c>
      <c r="B2968">
        <v>8</v>
      </c>
      <c r="C2968" t="str">
        <f>HYPERLINK("http://www.ncbi.nlm.nih.gov/protein/KAG8000214.1","KAG8000214.1")</f>
        <v>KAG8000214.1</v>
      </c>
      <c r="D2968">
        <v>16095</v>
      </c>
      <c r="E2968" t="str">
        <f>HYPERLINK("http://www.ncbi.nlm.nih.gov/Taxonomy/Browser/wwwtax.cgi?mode=Info&amp;id=240163&amp;lvl=3&amp;lin=f&amp;keep=1&amp;srchmode=1&amp;unlock","240163")</f>
        <v>240163</v>
      </c>
      <c r="F2968" t="s">
        <v>17</v>
      </c>
      <c r="G2968" t="str">
        <f>HYPERLINK("http://www.ncbi.nlm.nih.gov/Taxonomy/Browser/wwwtax.cgi?mode=Info&amp;id=240163&amp;lvl=3&amp;lin=f&amp;keep=1&amp;srchmode=1&amp;unlock","Nibea albiflora")</f>
        <v>Nibea albiflora</v>
      </c>
      <c r="H2968" t="s">
        <v>1200</v>
      </c>
      <c r="I2968" t="str">
        <f>HYPERLINK("http://www.ncbi.nlm.nih.gov/protein/KAG8000214.1","Ryanodine receptor 2")</f>
        <v>Ryanodine receptor 2</v>
      </c>
      <c r="J2968">
        <v>1150.19</v>
      </c>
      <c r="K2968" t="s">
        <v>22</v>
      </c>
      <c r="L2968">
        <v>1210</v>
      </c>
      <c r="M2968">
        <v>7.13</v>
      </c>
      <c r="N2968">
        <v>11.21</v>
      </c>
      <c r="O2968" t="s">
        <v>19</v>
      </c>
      <c r="P2968" t="s">
        <v>1267</v>
      </c>
      <c r="Q2968" t="s">
        <v>19</v>
      </c>
      <c r="R2968" t="str">
        <f>HYPERLINK("https://cfpub.epa.gov/ecotox/explore.cfm?ncbi=240163","Explore in ECOTOX")</f>
        <v>Explore in ECOTOX</v>
      </c>
    </row>
    <row r="2969" spans="1:18" x14ac:dyDescent="0.45">
      <c r="A2969" t="s">
        <v>1266</v>
      </c>
      <c r="B2969">
        <v>8</v>
      </c>
      <c r="C2969" t="str">
        <f>HYPERLINK("http://www.ncbi.nlm.nih.gov/protein/KAG8232312.1","KAG8232312.1")</f>
        <v>KAG8232312.1</v>
      </c>
      <c r="D2969">
        <v>18897</v>
      </c>
      <c r="E2969" t="str">
        <f>HYPERLINK("http://www.ncbi.nlm.nih.gov/Taxonomy/Browser/wwwtax.cgi?mode=Info&amp;id=123851&amp;lvl=3&amp;lin=f&amp;keep=1&amp;srchmode=1&amp;unlock","123851")</f>
        <v>123851</v>
      </c>
      <c r="F2969" t="s">
        <v>760</v>
      </c>
      <c r="G2969" t="str">
        <f>HYPERLINK("http://www.ncbi.nlm.nih.gov/Taxonomy/Browser/wwwtax.cgi?mode=Info&amp;id=123851&amp;lvl=3&amp;lin=f&amp;keep=1&amp;srchmode=1&amp;unlock","Ladona fulva")</f>
        <v>Ladona fulva</v>
      </c>
      <c r="H2969" t="s">
        <v>1195</v>
      </c>
      <c r="I2969" t="str">
        <f>HYPERLINK("http://www.ncbi.nlm.nih.gov/protein/KAG8232312.1","hypothetical protein J437_LFUL009411")</f>
        <v>hypothetical protein J437_LFUL009411</v>
      </c>
      <c r="J2969">
        <v>1148.6500000000001</v>
      </c>
      <c r="K2969" t="s">
        <v>19</v>
      </c>
      <c r="L2969">
        <v>1210</v>
      </c>
      <c r="M2969">
        <v>7.13</v>
      </c>
      <c r="N2969">
        <v>11.19</v>
      </c>
      <c r="O2969" t="s">
        <v>19</v>
      </c>
      <c r="P2969" t="s">
        <v>1267</v>
      </c>
      <c r="Q2969" t="s">
        <v>19</v>
      </c>
      <c r="R2969" t="str">
        <f>HYPERLINK("https://cfpub.epa.gov/ecotox/explore.cfm?ncbi=123851","Explore in ECOTOX")</f>
        <v>Explore in ECOTOX</v>
      </c>
    </row>
    <row r="2970" spans="1:18" x14ac:dyDescent="0.45">
      <c r="A2970" t="s">
        <v>1266</v>
      </c>
      <c r="B2970">
        <v>8</v>
      </c>
      <c r="C2970" t="str">
        <f>HYPERLINK("http://www.ncbi.nlm.nih.gov/protein/NIG60120.1","NIG60120.1")</f>
        <v>NIG60120.1</v>
      </c>
      <c r="D2970">
        <v>4401</v>
      </c>
      <c r="E2970" t="str">
        <f>HYPERLINK("http://www.ncbi.nlm.nih.gov/Taxonomy/Browser/wwwtax.cgi?mode=Info&amp;id=48723&amp;lvl=3&amp;lin=f&amp;keep=1&amp;srchmode=1&amp;unlock","48723")</f>
        <v>48723</v>
      </c>
      <c r="F2970" t="s">
        <v>96</v>
      </c>
      <c r="G2970" t="str">
        <f>HYPERLINK("http://www.ncbi.nlm.nih.gov/Taxonomy/Browser/wwwtax.cgi?mode=Info&amp;id=48723&amp;lvl=3&amp;lin=f&amp;keep=1&amp;srchmode=1&amp;unlock","Pontoporia blainvillei")</f>
        <v>Pontoporia blainvillei</v>
      </c>
      <c r="H2970" t="s">
        <v>1173</v>
      </c>
      <c r="I2970" t="str">
        <f>HYPERLINK("http://www.ncbi.nlm.nih.gov/protein/NIG60120.1","ryanodine receptor 1")</f>
        <v>ryanodine receptor 1</v>
      </c>
      <c r="J2970">
        <v>1136.32</v>
      </c>
      <c r="K2970" t="s">
        <v>22</v>
      </c>
      <c r="L2970">
        <v>1210</v>
      </c>
      <c r="M2970">
        <v>7.13</v>
      </c>
      <c r="N2970">
        <v>11.07</v>
      </c>
      <c r="O2970" t="s">
        <v>19</v>
      </c>
      <c r="P2970" t="s">
        <v>1267</v>
      </c>
      <c r="Q2970" t="s">
        <v>19</v>
      </c>
      <c r="R2970" t="str">
        <f>HYPERLINK("https://cfpub.epa.gov/ecotox/explore.cfm?ncbi=48723","Explore in ECOTOX")</f>
        <v>Explore in ECOTOX</v>
      </c>
    </row>
    <row r="2971" spans="1:18" x14ac:dyDescent="0.45">
      <c r="A2971" t="s">
        <v>1266</v>
      </c>
      <c r="B2971">
        <v>8</v>
      </c>
      <c r="C2971" t="str">
        <f>HYPERLINK("http://www.ncbi.nlm.nih.gov/protein/VDD92494.1","VDD92494.1")</f>
        <v>VDD92494.1</v>
      </c>
      <c r="D2971">
        <v>13019</v>
      </c>
      <c r="E2971" t="str">
        <f>HYPERLINK("http://www.ncbi.nlm.nih.gov/Taxonomy/Browser/wwwtax.cgi?mode=Info&amp;id=51028&amp;lvl=3&amp;lin=f&amp;keep=1&amp;srchmode=1&amp;unlock","51028")</f>
        <v>51028</v>
      </c>
      <c r="F2971" t="s">
        <v>1024</v>
      </c>
      <c r="G2971" t="str">
        <f>HYPERLINK("http://www.ncbi.nlm.nih.gov/Taxonomy/Browser/wwwtax.cgi?mode=Info&amp;id=51028&amp;lvl=3&amp;lin=f&amp;keep=1&amp;srchmode=1&amp;unlock","Enterobius vermicularis")</f>
        <v>Enterobius vermicularis</v>
      </c>
      <c r="H2971" t="s">
        <v>1193</v>
      </c>
      <c r="I2971" t="str">
        <f>HYPERLINK("http://www.ncbi.nlm.nih.gov/protein/VDD92494.1","unnamed protein product")</f>
        <v>unnamed protein product</v>
      </c>
      <c r="J2971">
        <v>1128.6199999999999</v>
      </c>
      <c r="K2971" t="s">
        <v>22</v>
      </c>
      <c r="L2971">
        <v>1210</v>
      </c>
      <c r="M2971">
        <v>7.13</v>
      </c>
      <c r="N2971">
        <v>11</v>
      </c>
      <c r="O2971" t="s">
        <v>19</v>
      </c>
      <c r="P2971" t="s">
        <v>1267</v>
      </c>
      <c r="Q2971" t="s">
        <v>19</v>
      </c>
      <c r="R2971" t="str">
        <f>HYPERLINK("https://cfpub.epa.gov/ecotox/explore.cfm?ncbi=51028","Explore in ECOTOX")</f>
        <v>Explore in ECOTOX</v>
      </c>
    </row>
    <row r="2972" spans="1:18" x14ac:dyDescent="0.45">
      <c r="A2972" t="s">
        <v>1266</v>
      </c>
      <c r="B2972">
        <v>8</v>
      </c>
      <c r="C2972" t="str">
        <f>HYPERLINK("http://www.ncbi.nlm.nih.gov/protein/CAH8441646.1","CAH8441646.1")</f>
        <v>CAH8441646.1</v>
      </c>
      <c r="D2972">
        <v>41618</v>
      </c>
      <c r="E2972" t="str">
        <f>HYPERLINK("http://www.ncbi.nlm.nih.gov/Taxonomy/Browser/wwwtax.cgi?mode=Info&amp;id=48269&amp;lvl=3&amp;lin=f&amp;keep=1&amp;srchmode=1&amp;unlock","48269")</f>
        <v>48269</v>
      </c>
      <c r="F2972" t="s">
        <v>1140</v>
      </c>
      <c r="G2972" t="str">
        <f>HYPERLINK("http://www.ncbi.nlm.nih.gov/Taxonomy/Browser/wwwtax.cgi?mode=Info&amp;id=48269&amp;lvl=3&amp;lin=f&amp;keep=1&amp;srchmode=1&amp;unlock","Schistosoma margrebowiei")</f>
        <v>Schistosoma margrebowiei</v>
      </c>
      <c r="H2972" t="s">
        <v>1141</v>
      </c>
      <c r="I2972" t="str">
        <f>HYPERLINK("http://www.ncbi.nlm.nih.gov/protein/CAH8441646.1","unnamed protein product")</f>
        <v>unnamed protein product</v>
      </c>
      <c r="J2972">
        <v>1126.69</v>
      </c>
      <c r="K2972" t="s">
        <v>22</v>
      </c>
      <c r="L2972">
        <v>1210</v>
      </c>
      <c r="M2972">
        <v>7.13</v>
      </c>
      <c r="N2972">
        <v>10.98</v>
      </c>
      <c r="O2972" t="s">
        <v>19</v>
      </c>
      <c r="P2972" t="s">
        <v>1267</v>
      </c>
      <c r="Q2972" t="s">
        <v>19</v>
      </c>
      <c r="R2972" t="str">
        <f>HYPERLINK("https://cfpub.epa.gov/ecotox/explore.cfm?ncbi=48269","Explore in ECOTOX")</f>
        <v>Explore in ECOTOX</v>
      </c>
    </row>
    <row r="2973" spans="1:18" x14ac:dyDescent="0.45">
      <c r="A2973" t="s">
        <v>1266</v>
      </c>
      <c r="B2973">
        <v>8</v>
      </c>
      <c r="C2973" t="str">
        <f>HYPERLINK("http://www.ncbi.nlm.nih.gov/protein/CAH8437208.1","CAH8437208.1")</f>
        <v>CAH8437208.1</v>
      </c>
      <c r="D2973">
        <v>30837</v>
      </c>
      <c r="E2973" t="str">
        <f>HYPERLINK("http://www.ncbi.nlm.nih.gov/Taxonomy/Browser/wwwtax.cgi?mode=Info&amp;id=39320&amp;lvl=3&amp;lin=f&amp;keep=1&amp;srchmode=1&amp;unlock","39320")</f>
        <v>39320</v>
      </c>
      <c r="F2973" t="s">
        <v>1140</v>
      </c>
      <c r="G2973" t="str">
        <f>HYPERLINK("http://www.ncbi.nlm.nih.gov/Taxonomy/Browser/wwwtax.cgi?mode=Info&amp;id=39320&amp;lvl=3&amp;lin=f&amp;keep=1&amp;srchmode=1&amp;unlock","Heterobilharzia americana")</f>
        <v>Heterobilharzia americana</v>
      </c>
      <c r="H2973" t="s">
        <v>1141</v>
      </c>
      <c r="I2973" t="str">
        <f>HYPERLINK("http://www.ncbi.nlm.nih.gov/protein/CAH8437208.1","unnamed protein product")</f>
        <v>unnamed protein product</v>
      </c>
      <c r="J2973">
        <v>1126.31</v>
      </c>
      <c r="K2973" t="s">
        <v>22</v>
      </c>
      <c r="L2973">
        <v>1210</v>
      </c>
      <c r="M2973">
        <v>7.13</v>
      </c>
      <c r="N2973">
        <v>10.97</v>
      </c>
      <c r="O2973" t="s">
        <v>19</v>
      </c>
      <c r="P2973" t="s">
        <v>1267</v>
      </c>
      <c r="Q2973" t="s">
        <v>19</v>
      </c>
      <c r="R2973" t="str">
        <f>HYPERLINK("https://cfpub.epa.gov/ecotox/explore.cfm?ncbi=39320","Explore in ECOTOX")</f>
        <v>Explore in ECOTOX</v>
      </c>
    </row>
    <row r="2974" spans="1:18" x14ac:dyDescent="0.45">
      <c r="A2974" t="s">
        <v>1266</v>
      </c>
      <c r="B2974">
        <v>8</v>
      </c>
      <c r="C2974" t="str">
        <f>HYPERLINK("http://www.ncbi.nlm.nih.gov/protein/CAH8441632.1","CAH8441632.1")</f>
        <v>CAH8441632.1</v>
      </c>
      <c r="D2974">
        <v>39203</v>
      </c>
      <c r="E2974" t="str">
        <f>HYPERLINK("http://www.ncbi.nlm.nih.gov/Taxonomy/Browser/wwwtax.cgi?mode=Info&amp;id=6186&amp;lvl=3&amp;lin=f&amp;keep=1&amp;srchmode=1&amp;unlock","6186")</f>
        <v>6186</v>
      </c>
      <c r="F2974" t="s">
        <v>1140</v>
      </c>
      <c r="G2974" t="str">
        <f>HYPERLINK("http://www.ncbi.nlm.nih.gov/Taxonomy/Browser/wwwtax.cgi?mode=Info&amp;id=6186&amp;lvl=3&amp;lin=f&amp;keep=1&amp;srchmode=1&amp;unlock","Schistosoma curassoni")</f>
        <v>Schistosoma curassoni</v>
      </c>
      <c r="H2974" t="s">
        <v>1141</v>
      </c>
      <c r="I2974" t="str">
        <f>HYPERLINK("http://www.ncbi.nlm.nih.gov/protein/CAH8441632.1","unnamed protein product")</f>
        <v>unnamed protein product</v>
      </c>
      <c r="J2974">
        <v>1125.54</v>
      </c>
      <c r="K2974" t="s">
        <v>22</v>
      </c>
      <c r="L2974">
        <v>1210</v>
      </c>
      <c r="M2974">
        <v>7.13</v>
      </c>
      <c r="N2974">
        <v>10.97</v>
      </c>
      <c r="O2974" t="s">
        <v>19</v>
      </c>
      <c r="P2974" t="s">
        <v>1267</v>
      </c>
      <c r="Q2974" t="s">
        <v>19</v>
      </c>
      <c r="R2974" t="str">
        <f>HYPERLINK("https://cfpub.epa.gov/ecotox/explore.cfm?ncbi=6186","Explore in ECOTOX")</f>
        <v>Explore in ECOTOX</v>
      </c>
    </row>
    <row r="2975" spans="1:18" x14ac:dyDescent="0.45">
      <c r="A2975" t="s">
        <v>1266</v>
      </c>
      <c r="B2975">
        <v>8</v>
      </c>
      <c r="C2975" t="str">
        <f>HYPERLINK("http://www.ncbi.nlm.nih.gov/protein/CAH8440127.1","CAH8440127.1")</f>
        <v>CAH8440127.1</v>
      </c>
      <c r="D2975">
        <v>15114</v>
      </c>
      <c r="E2975" t="str">
        <f>HYPERLINK("http://www.ncbi.nlm.nih.gov/Taxonomy/Browser/wwwtax.cgi?mode=Info&amp;id=393876&amp;lvl=3&amp;lin=f&amp;keep=1&amp;srchmode=1&amp;unlock","393876")</f>
        <v>393876</v>
      </c>
      <c r="F2975" t="s">
        <v>1140</v>
      </c>
      <c r="G2975" t="str">
        <f>HYPERLINK("http://www.ncbi.nlm.nih.gov/Taxonomy/Browser/wwwtax.cgi?mode=Info&amp;id=393876&amp;lvl=3&amp;lin=f&amp;keep=1&amp;srchmode=1&amp;unlock","Schistosoma guineensis")</f>
        <v>Schistosoma guineensis</v>
      </c>
      <c r="H2975" t="s">
        <v>1141</v>
      </c>
      <c r="I2975" t="str">
        <f>HYPERLINK("http://www.ncbi.nlm.nih.gov/protein/CAH8440127.1","unnamed protein product")</f>
        <v>unnamed protein product</v>
      </c>
      <c r="J2975">
        <v>1125.1500000000001</v>
      </c>
      <c r="K2975" t="s">
        <v>22</v>
      </c>
      <c r="L2975">
        <v>1210</v>
      </c>
      <c r="M2975">
        <v>7.13</v>
      </c>
      <c r="N2975">
        <v>10.96</v>
      </c>
      <c r="O2975" t="s">
        <v>19</v>
      </c>
      <c r="P2975" t="s">
        <v>1267</v>
      </c>
      <c r="Q2975" t="s">
        <v>19</v>
      </c>
      <c r="R2975" t="str">
        <f>HYPERLINK("https://cfpub.epa.gov/ecotox/explore.cfm?ncbi=393876","Explore in ECOTOX")</f>
        <v>Explore in ECOTOX</v>
      </c>
    </row>
    <row r="2976" spans="1:18" x14ac:dyDescent="0.45">
      <c r="A2976" t="s">
        <v>1266</v>
      </c>
      <c r="B2976">
        <v>8</v>
      </c>
      <c r="C2976" t="str">
        <f>HYPERLINK("http://www.ncbi.nlm.nih.gov/protein/CAH8438395.1","CAH8438395.1")</f>
        <v>CAH8438395.1</v>
      </c>
      <c r="D2976">
        <v>29949</v>
      </c>
      <c r="E2976" t="str">
        <f>HYPERLINK("http://www.ncbi.nlm.nih.gov/Taxonomy/Browser/wwwtax.cgi?mode=Info&amp;id=6187&amp;lvl=3&amp;lin=f&amp;keep=1&amp;srchmode=1&amp;unlock","6187")</f>
        <v>6187</v>
      </c>
      <c r="F2976" t="s">
        <v>1140</v>
      </c>
      <c r="G2976" t="str">
        <f>HYPERLINK("http://www.ncbi.nlm.nih.gov/Taxonomy/Browser/wwwtax.cgi?mode=Info&amp;id=6187&amp;lvl=3&amp;lin=f&amp;keep=1&amp;srchmode=1&amp;unlock","Schistosoma intercalatum")</f>
        <v>Schistosoma intercalatum</v>
      </c>
      <c r="H2976" t="s">
        <v>1141</v>
      </c>
      <c r="I2976" t="str">
        <f>HYPERLINK("http://www.ncbi.nlm.nih.gov/protein/CAH8438395.1","unnamed protein product")</f>
        <v>unnamed protein product</v>
      </c>
      <c r="J2976">
        <v>1124.77</v>
      </c>
      <c r="K2976" t="s">
        <v>22</v>
      </c>
      <c r="L2976">
        <v>1210</v>
      </c>
      <c r="M2976">
        <v>7.13</v>
      </c>
      <c r="N2976">
        <v>10.96</v>
      </c>
      <c r="O2976" t="s">
        <v>19</v>
      </c>
      <c r="P2976" t="s">
        <v>1267</v>
      </c>
      <c r="Q2976" t="s">
        <v>19</v>
      </c>
      <c r="R2976" t="str">
        <f>HYPERLINK("https://cfpub.epa.gov/ecotox/explore.cfm?ncbi=6187","Explore in ECOTOX")</f>
        <v>Explore in ECOTOX</v>
      </c>
    </row>
    <row r="2977" spans="1:18" x14ac:dyDescent="0.45">
      <c r="A2977" t="s">
        <v>1266</v>
      </c>
      <c r="B2977">
        <v>8</v>
      </c>
      <c r="C2977" t="str">
        <f>HYPERLINK("http://www.ncbi.nlm.nih.gov/protein/CAH8440506.1","CAH8440506.1")</f>
        <v>CAH8440506.1</v>
      </c>
      <c r="D2977">
        <v>64887</v>
      </c>
      <c r="E2977" t="str">
        <f>HYPERLINK("http://www.ncbi.nlm.nih.gov/Taxonomy/Browser/wwwtax.cgi?mode=Info&amp;id=6185&amp;lvl=3&amp;lin=f&amp;keep=1&amp;srchmode=1&amp;unlock","6185")</f>
        <v>6185</v>
      </c>
      <c r="F2977" t="s">
        <v>1140</v>
      </c>
      <c r="G2977" t="str">
        <f>HYPERLINK("http://www.ncbi.nlm.nih.gov/Taxonomy/Browser/wwwtax.cgi?mode=Info&amp;id=6185&amp;lvl=3&amp;lin=f&amp;keep=1&amp;srchmode=1&amp;unlock","Schistosoma haematobium")</f>
        <v>Schistosoma haematobium</v>
      </c>
      <c r="H2977" t="s">
        <v>1141</v>
      </c>
      <c r="I2977" t="str">
        <f>HYPERLINK("http://www.ncbi.nlm.nih.gov/protein/CAH8440506.1","unnamed protein product")</f>
        <v>unnamed protein product</v>
      </c>
      <c r="J2977">
        <v>1124.77</v>
      </c>
      <c r="K2977" t="s">
        <v>22</v>
      </c>
      <c r="L2977">
        <v>1210</v>
      </c>
      <c r="M2977">
        <v>7.13</v>
      </c>
      <c r="N2977">
        <v>10.96</v>
      </c>
      <c r="O2977" t="s">
        <v>19</v>
      </c>
      <c r="P2977" t="s">
        <v>1267</v>
      </c>
      <c r="Q2977" t="s">
        <v>19</v>
      </c>
      <c r="R2977" t="str">
        <f>HYPERLINK("https://cfpub.epa.gov/ecotox/explore.cfm?ncbi=6185","Explore in ECOTOX")</f>
        <v>Explore in ECOTOX</v>
      </c>
    </row>
    <row r="2978" spans="1:18" x14ac:dyDescent="0.45">
      <c r="A2978" t="s">
        <v>1266</v>
      </c>
      <c r="B2978">
        <v>8</v>
      </c>
      <c r="C2978" t="str">
        <f>HYPERLINK("http://www.ncbi.nlm.nih.gov/protein/CAH8833988.1","CAH8833988.1")</f>
        <v>CAH8833988.1</v>
      </c>
      <c r="D2978">
        <v>43160</v>
      </c>
      <c r="E2978" t="str">
        <f>HYPERLINK("http://www.ncbi.nlm.nih.gov/Taxonomy/Browser/wwwtax.cgi?mode=Info&amp;id=157069&amp;lvl=3&amp;lin=f&amp;keep=1&amp;srchmode=1&amp;unlock","157069")</f>
        <v>157069</v>
      </c>
      <c r="F2978" t="s">
        <v>1140</v>
      </c>
      <c r="G2978" t="str">
        <f>HYPERLINK("http://www.ncbi.nlm.nih.gov/Taxonomy/Browser/wwwtax.cgi?mode=Info&amp;id=157069&amp;lvl=3&amp;lin=f&amp;keep=1&amp;srchmode=1&amp;unlock","Trichobilharzia regenti")</f>
        <v>Trichobilharzia regenti</v>
      </c>
      <c r="H2978" t="s">
        <v>1192</v>
      </c>
      <c r="I2978" t="str">
        <f>HYPERLINK("http://www.ncbi.nlm.nih.gov/protein/CAH8833988.1","unnamed protein product, partial")</f>
        <v>unnamed protein product, partial</v>
      </c>
      <c r="J2978">
        <v>1124</v>
      </c>
      <c r="K2978" t="s">
        <v>22</v>
      </c>
      <c r="L2978">
        <v>1210</v>
      </c>
      <c r="M2978">
        <v>7.13</v>
      </c>
      <c r="N2978">
        <v>10.95</v>
      </c>
      <c r="O2978" t="s">
        <v>19</v>
      </c>
      <c r="P2978" t="s">
        <v>1267</v>
      </c>
      <c r="Q2978" t="s">
        <v>19</v>
      </c>
      <c r="R2978" t="str">
        <f>HYPERLINK("https://cfpub.epa.gov/ecotox/explore.cfm?ncbi=157069","Explore in ECOTOX")</f>
        <v>Explore in ECOTOX</v>
      </c>
    </row>
    <row r="2979" spans="1:18" x14ac:dyDescent="0.45">
      <c r="A2979" t="s">
        <v>1266</v>
      </c>
      <c r="B2979">
        <v>8</v>
      </c>
      <c r="C2979" t="str">
        <f>HYPERLINK("http://www.ncbi.nlm.nih.gov/protein/CAH8481551.1","CAH8481551.1")</f>
        <v>CAH8481551.1</v>
      </c>
      <c r="D2979">
        <v>44286</v>
      </c>
      <c r="E2979" t="str">
        <f>HYPERLINK("http://www.ncbi.nlm.nih.gov/Taxonomy/Browser/wwwtax.cgi?mode=Info&amp;id=6184&amp;lvl=3&amp;lin=f&amp;keep=1&amp;srchmode=1&amp;unlock","6184")</f>
        <v>6184</v>
      </c>
      <c r="F2979" t="s">
        <v>1140</v>
      </c>
      <c r="G2979" t="str">
        <f>HYPERLINK("http://www.ncbi.nlm.nih.gov/Taxonomy/Browser/wwwtax.cgi?mode=Info&amp;id=6184&amp;lvl=3&amp;lin=f&amp;keep=1&amp;srchmode=1&amp;unlock","Schistosoma bovis")</f>
        <v>Schistosoma bovis</v>
      </c>
      <c r="H2979" t="s">
        <v>1141</v>
      </c>
      <c r="I2979" t="str">
        <f>HYPERLINK("http://www.ncbi.nlm.nih.gov/protein/CAH8481551.1","unnamed protein product")</f>
        <v>unnamed protein product</v>
      </c>
      <c r="J2979">
        <v>1124</v>
      </c>
      <c r="K2979" t="s">
        <v>22</v>
      </c>
      <c r="L2979">
        <v>1210</v>
      </c>
      <c r="M2979">
        <v>7.13</v>
      </c>
      <c r="N2979">
        <v>10.95</v>
      </c>
      <c r="O2979" t="s">
        <v>19</v>
      </c>
      <c r="P2979" t="s">
        <v>1267</v>
      </c>
      <c r="Q2979" t="s">
        <v>19</v>
      </c>
      <c r="R2979" t="str">
        <f>HYPERLINK("https://cfpub.epa.gov/ecotox/explore.cfm?ncbi=6184","Explore in ECOTOX")</f>
        <v>Explore in ECOTOX</v>
      </c>
    </row>
    <row r="2980" spans="1:18" x14ac:dyDescent="0.45">
      <c r="A2980" t="s">
        <v>1266</v>
      </c>
      <c r="B2980">
        <v>8</v>
      </c>
      <c r="C2980" t="str">
        <f>HYPERLINK("http://www.ncbi.nlm.nih.gov/protein/CAI2723066.1","CAI2723066.1")</f>
        <v>CAI2723066.1</v>
      </c>
      <c r="D2980">
        <v>14559</v>
      </c>
      <c r="E2980" t="str">
        <f>HYPERLINK("http://www.ncbi.nlm.nih.gov/Taxonomy/Browser/wwwtax.cgi?mode=Info&amp;id=6189&amp;lvl=3&amp;lin=f&amp;keep=1&amp;srchmode=1&amp;unlock","6189")</f>
        <v>6189</v>
      </c>
      <c r="F2980" t="s">
        <v>1140</v>
      </c>
      <c r="G2980" t="str">
        <f>HYPERLINK("http://www.ncbi.nlm.nih.gov/Taxonomy/Browser/wwwtax.cgi?mode=Info&amp;id=6189&amp;lvl=3&amp;lin=f&amp;keep=1&amp;srchmode=1&amp;unlock","Schistosoma spindale")</f>
        <v>Schistosoma spindale</v>
      </c>
      <c r="H2980" t="s">
        <v>1141</v>
      </c>
      <c r="I2980" t="str">
        <f>HYPERLINK("http://www.ncbi.nlm.nih.gov/protein/CAI2723066.1","unnamed protein product")</f>
        <v>unnamed protein product</v>
      </c>
      <c r="J2980">
        <v>1119.3800000000001</v>
      </c>
      <c r="K2980" t="s">
        <v>22</v>
      </c>
      <c r="L2980">
        <v>1210</v>
      </c>
      <c r="M2980">
        <v>7.13</v>
      </c>
      <c r="N2980">
        <v>10.91</v>
      </c>
      <c r="O2980" t="s">
        <v>19</v>
      </c>
      <c r="P2980" t="s">
        <v>1267</v>
      </c>
      <c r="Q2980" t="s">
        <v>19</v>
      </c>
      <c r="R2980" t="str">
        <f>HYPERLINK("https://cfpub.epa.gov/ecotox/explore.cfm?ncbi=6189","Explore in ECOTOX")</f>
        <v>Explore in ECOTOX</v>
      </c>
    </row>
    <row r="2981" spans="1:18" x14ac:dyDescent="0.45">
      <c r="A2981" t="s">
        <v>1266</v>
      </c>
      <c r="B2981">
        <v>8</v>
      </c>
      <c r="C2981" t="str">
        <f>HYPERLINK("http://www.ncbi.nlm.nih.gov/protein/VDM17155.1","VDM17155.1")</f>
        <v>VDM17155.1</v>
      </c>
      <c r="D2981">
        <v>11790</v>
      </c>
      <c r="E2981" t="str">
        <f>HYPERLINK("http://www.ncbi.nlm.nih.gov/Taxonomy/Browser/wwwtax.cgi?mode=Info&amp;id=6205&amp;lvl=3&amp;lin=f&amp;keep=1&amp;srchmode=1&amp;unlock","6205")</f>
        <v>6205</v>
      </c>
      <c r="F2981" t="s">
        <v>1185</v>
      </c>
      <c r="G2981" t="str">
        <f>HYPERLINK("http://www.ncbi.nlm.nih.gov/Taxonomy/Browser/wwwtax.cgi?mode=Info&amp;id=6205&amp;lvl=3&amp;lin=f&amp;keep=1&amp;srchmode=1&amp;unlock","Hydatigera taeniaeformis")</f>
        <v>Hydatigera taeniaeformis</v>
      </c>
      <c r="H2981" t="s">
        <v>1186</v>
      </c>
      <c r="I2981" t="str">
        <f>HYPERLINK("http://www.ncbi.nlm.nih.gov/protein/VDM17155.1","unnamed protein product")</f>
        <v>unnamed protein product</v>
      </c>
      <c r="J2981">
        <v>1118.99</v>
      </c>
      <c r="K2981" t="s">
        <v>19</v>
      </c>
      <c r="L2981">
        <v>1210</v>
      </c>
      <c r="M2981">
        <v>7.13</v>
      </c>
      <c r="N2981">
        <v>10.9</v>
      </c>
      <c r="O2981" t="s">
        <v>19</v>
      </c>
      <c r="P2981" t="s">
        <v>1267</v>
      </c>
      <c r="Q2981" t="s">
        <v>19</v>
      </c>
      <c r="R2981" t="str">
        <f>HYPERLINK("https://cfpub.epa.gov/ecotox/explore.cfm?ncbi=6205","Explore in ECOTOX")</f>
        <v>Explore in ECOTOX</v>
      </c>
    </row>
    <row r="2982" spans="1:18" x14ac:dyDescent="0.45">
      <c r="A2982" t="s">
        <v>1266</v>
      </c>
      <c r="B2982">
        <v>8</v>
      </c>
      <c r="C2982" t="str">
        <f>HYPERLINK("http://www.ncbi.nlm.nih.gov/protein/CAH8441148.1","CAH8441148.1")</f>
        <v>CAH8441148.1</v>
      </c>
      <c r="D2982">
        <v>38218</v>
      </c>
      <c r="E2982" t="str">
        <f>HYPERLINK("http://www.ncbi.nlm.nih.gov/Taxonomy/Browser/wwwtax.cgi?mode=Info&amp;id=6188&amp;lvl=3&amp;lin=f&amp;keep=1&amp;srchmode=1&amp;unlock","6188")</f>
        <v>6188</v>
      </c>
      <c r="F2982" t="s">
        <v>1140</v>
      </c>
      <c r="G2982" t="str">
        <f>HYPERLINK("http://www.ncbi.nlm.nih.gov/Taxonomy/Browser/wwwtax.cgi?mode=Info&amp;id=6188&amp;lvl=3&amp;lin=f&amp;keep=1&amp;srchmode=1&amp;unlock","Schistosoma rodhaini")</f>
        <v>Schistosoma rodhaini</v>
      </c>
      <c r="H2982" t="s">
        <v>1141</v>
      </c>
      <c r="I2982" t="str">
        <f>HYPERLINK("http://www.ncbi.nlm.nih.gov/protein/CAH8441148.1","unnamed protein product")</f>
        <v>unnamed protein product</v>
      </c>
      <c r="J2982">
        <v>1118.6099999999999</v>
      </c>
      <c r="K2982" t="s">
        <v>22</v>
      </c>
      <c r="L2982">
        <v>1210</v>
      </c>
      <c r="M2982">
        <v>7.13</v>
      </c>
      <c r="N2982">
        <v>10.9</v>
      </c>
      <c r="O2982" t="s">
        <v>19</v>
      </c>
      <c r="P2982" t="s">
        <v>1267</v>
      </c>
      <c r="Q2982" t="s">
        <v>19</v>
      </c>
      <c r="R2982" t="str">
        <f>HYPERLINK("https://cfpub.epa.gov/ecotox/explore.cfm?ncbi=6188","Explore in ECOTOX")</f>
        <v>Explore in ECOTOX</v>
      </c>
    </row>
    <row r="2983" spans="1:18" x14ac:dyDescent="0.45">
      <c r="A2983" t="s">
        <v>1266</v>
      </c>
      <c r="B2983">
        <v>8</v>
      </c>
      <c r="C2983" t="str">
        <f>HYPERLINK("http://www.ncbi.nlm.nih.gov/protein/TNN17700.1","TNN17700.1")</f>
        <v>TNN17700.1</v>
      </c>
      <c r="D2983">
        <v>65681</v>
      </c>
      <c r="E2983" t="str">
        <f>HYPERLINK("http://www.ncbi.nlm.nih.gov/Taxonomy/Browser/wwwtax.cgi?mode=Info&amp;id=6182&amp;lvl=3&amp;lin=f&amp;keep=1&amp;srchmode=1&amp;unlock","6182")</f>
        <v>6182</v>
      </c>
      <c r="F2983" t="s">
        <v>1140</v>
      </c>
      <c r="G2983" t="str">
        <f>HYPERLINK("http://www.ncbi.nlm.nih.gov/Taxonomy/Browser/wwwtax.cgi?mode=Info&amp;id=6182&amp;lvl=3&amp;lin=f&amp;keep=1&amp;srchmode=1&amp;unlock","Schistosoma japonicum")</f>
        <v>Schistosoma japonicum</v>
      </c>
      <c r="H2983" t="s">
        <v>1141</v>
      </c>
      <c r="I2983" t="str">
        <f>HYPERLINK("http://www.ncbi.nlm.nih.gov/protein/TNN17700.1","Ryanodine receptor isoform 1")</f>
        <v>Ryanodine receptor isoform 1</v>
      </c>
      <c r="J2983">
        <v>1116.29</v>
      </c>
      <c r="K2983" t="s">
        <v>22</v>
      </c>
      <c r="L2983">
        <v>1210</v>
      </c>
      <c r="M2983">
        <v>7.13</v>
      </c>
      <c r="N2983">
        <v>10.88</v>
      </c>
      <c r="O2983" t="s">
        <v>19</v>
      </c>
      <c r="P2983" t="s">
        <v>1267</v>
      </c>
      <c r="Q2983" t="s">
        <v>19</v>
      </c>
      <c r="R2983" t="str">
        <f>HYPERLINK("https://cfpub.epa.gov/ecotox/explore.cfm?ncbi=6182","Explore in ECOTOX")</f>
        <v>Explore in ECOTOX</v>
      </c>
    </row>
    <row r="2984" spans="1:18" x14ac:dyDescent="0.45">
      <c r="A2984" t="s">
        <v>1266</v>
      </c>
      <c r="B2984">
        <v>8</v>
      </c>
      <c r="C2984" t="str">
        <f>HYPERLINK("http://www.ncbi.nlm.nih.gov/protein/GFR86949.1","GFR86949.1")</f>
        <v>GFR86949.1</v>
      </c>
      <c r="D2984">
        <v>70755</v>
      </c>
      <c r="E2984" t="str">
        <f>HYPERLINK("http://www.ncbi.nlm.nih.gov/Taxonomy/Browser/wwwtax.cgi?mode=Info&amp;id=1093978&amp;lvl=3&amp;lin=f&amp;keep=1&amp;srchmode=1&amp;unlock","1093978")</f>
        <v>1093978</v>
      </c>
      <c r="F2984" t="s">
        <v>757</v>
      </c>
      <c r="G2984" t="str">
        <f>HYPERLINK("http://www.ncbi.nlm.nih.gov/Taxonomy/Browser/wwwtax.cgi?mode=Info&amp;id=1093978&amp;lvl=3&amp;lin=f&amp;keep=1&amp;srchmode=1&amp;unlock","Elysia marginata")</f>
        <v>Elysia marginata</v>
      </c>
      <c r="H2984" t="s">
        <v>832</v>
      </c>
      <c r="I2984" t="str">
        <f>HYPERLINK("http://www.ncbi.nlm.nih.gov/protein/GFR86949.1","ryanodine receptor")</f>
        <v>ryanodine receptor</v>
      </c>
      <c r="J2984">
        <v>1112.06</v>
      </c>
      <c r="K2984" t="s">
        <v>19</v>
      </c>
      <c r="L2984">
        <v>1210</v>
      </c>
      <c r="M2984">
        <v>7.13</v>
      </c>
      <c r="N2984">
        <v>10.84</v>
      </c>
      <c r="O2984" t="s">
        <v>19</v>
      </c>
      <c r="P2984" t="s">
        <v>1267</v>
      </c>
      <c r="Q2984" t="s">
        <v>19</v>
      </c>
      <c r="R2984" t="str">
        <f>HYPERLINK("https://cfpub.epa.gov/ecotox/explore.cfm?ncbi=1093978","Explore in ECOTOX")</f>
        <v>Explore in ECOTOX</v>
      </c>
    </row>
    <row r="2985" spans="1:18" x14ac:dyDescent="0.45">
      <c r="A2985" t="s">
        <v>1266</v>
      </c>
      <c r="B2985">
        <v>8</v>
      </c>
      <c r="C2985" t="str">
        <f>HYPERLINK("http://www.ncbi.nlm.nih.gov/protein/TGZ67043.1","TGZ67043.1")</f>
        <v>TGZ67043.1</v>
      </c>
      <c r="D2985">
        <v>20948</v>
      </c>
      <c r="E2985" t="str">
        <f>HYPERLINK("http://www.ncbi.nlm.nih.gov/Taxonomy/Browser/wwwtax.cgi?mode=Info&amp;id=147828&amp;lvl=3&amp;lin=f&amp;keep=1&amp;srchmode=1&amp;unlock","147828")</f>
        <v>147828</v>
      </c>
      <c r="F2985" t="s">
        <v>1140</v>
      </c>
      <c r="G2985" t="str">
        <f>HYPERLINK("http://www.ncbi.nlm.nih.gov/Taxonomy/Browser/wwwtax.cgi?mode=Info&amp;id=147828&amp;lvl=3&amp;lin=f&amp;keep=1&amp;srchmode=1&amp;unlock","Opisthorchis felineus")</f>
        <v>Opisthorchis felineus</v>
      </c>
      <c r="H2985" t="s">
        <v>1188</v>
      </c>
      <c r="I2985" t="str">
        <f>HYPERLINK("http://www.ncbi.nlm.nih.gov/protein/TGZ67043.1","hypothetical protein CRM22_004998")</f>
        <v>hypothetical protein CRM22_004998</v>
      </c>
      <c r="J2985">
        <v>1109.75</v>
      </c>
      <c r="K2985" t="s">
        <v>22</v>
      </c>
      <c r="L2985">
        <v>1210</v>
      </c>
      <c r="M2985">
        <v>7.13</v>
      </c>
      <c r="N2985">
        <v>10.81</v>
      </c>
      <c r="O2985" t="s">
        <v>19</v>
      </c>
      <c r="P2985" t="s">
        <v>1267</v>
      </c>
      <c r="Q2985" t="s">
        <v>19</v>
      </c>
      <c r="R2985" t="str">
        <f>HYPERLINK("https://cfpub.epa.gov/ecotox/explore.cfm?ncbi=147828","Explore in ECOTOX")</f>
        <v>Explore in ECOTOX</v>
      </c>
    </row>
    <row r="2986" spans="1:18" x14ac:dyDescent="0.45">
      <c r="A2986" t="s">
        <v>1266</v>
      </c>
      <c r="B2986">
        <v>8</v>
      </c>
      <c r="C2986" t="str">
        <f>HYPERLINK("http://www.ncbi.nlm.nih.gov/protein/RNA44121.1","RNA44121.1")</f>
        <v>RNA44121.1</v>
      </c>
      <c r="D2986">
        <v>53183</v>
      </c>
      <c r="E2986" t="str">
        <f>HYPERLINK("http://www.ncbi.nlm.nih.gov/Taxonomy/Browser/wwwtax.cgi?mode=Info&amp;id=10195&amp;lvl=3&amp;lin=f&amp;keep=1&amp;srchmode=1&amp;unlock","10195")</f>
        <v>10195</v>
      </c>
      <c r="F2986" t="s">
        <v>811</v>
      </c>
      <c r="G2986" t="str">
        <f>HYPERLINK("http://www.ncbi.nlm.nih.gov/Taxonomy/Browser/wwwtax.cgi?mode=Info&amp;id=10195&amp;lvl=3&amp;lin=f&amp;keep=1&amp;srchmode=1&amp;unlock","Brachionus plicatilis")</f>
        <v>Brachionus plicatilis</v>
      </c>
      <c r="H2986" t="s">
        <v>812</v>
      </c>
      <c r="I2986" t="str">
        <f>HYPERLINK("http://www.ncbi.nlm.nih.gov/protein/RNA44121.1","ryanodine receptor 44F-like")</f>
        <v>ryanodine receptor 44F-like</v>
      </c>
      <c r="J2986">
        <v>1109.75</v>
      </c>
      <c r="K2986" t="s">
        <v>22</v>
      </c>
      <c r="L2986">
        <v>1210</v>
      </c>
      <c r="M2986">
        <v>7.13</v>
      </c>
      <c r="N2986">
        <v>10.81</v>
      </c>
      <c r="O2986" t="s">
        <v>19</v>
      </c>
      <c r="P2986" t="s">
        <v>1267</v>
      </c>
      <c r="Q2986" t="s">
        <v>19</v>
      </c>
      <c r="R2986" t="str">
        <f>HYPERLINK("https://cfpub.epa.gov/ecotox/explore.cfm?ncbi=10195","Explore in ECOTOX")</f>
        <v>Explore in ECOTOX</v>
      </c>
    </row>
    <row r="2987" spans="1:18" x14ac:dyDescent="0.45">
      <c r="A2987" t="s">
        <v>1266</v>
      </c>
      <c r="B2987">
        <v>8</v>
      </c>
      <c r="C2987" t="str">
        <f>HYPERLINK("http://www.ncbi.nlm.nih.gov/protein/KAF5405064.1","KAF5405064.1")</f>
        <v>KAF5405064.1</v>
      </c>
      <c r="D2987">
        <v>12550</v>
      </c>
      <c r="E2987" t="str">
        <f>HYPERLINK("http://www.ncbi.nlm.nih.gov/Taxonomy/Browser/wwwtax.cgi?mode=Info&amp;id=100268&amp;lvl=3&amp;lin=f&amp;keep=1&amp;srchmode=1&amp;unlock","100268")</f>
        <v>100268</v>
      </c>
      <c r="F2987" t="s">
        <v>1140</v>
      </c>
      <c r="G2987" t="str">
        <f>HYPERLINK("http://www.ncbi.nlm.nih.gov/Taxonomy/Browser/wwwtax.cgi?mode=Info&amp;id=100268&amp;lvl=3&amp;lin=f&amp;keep=1&amp;srchmode=1&amp;unlock","Paragonimus heterotremus")</f>
        <v>Paragonimus heterotremus</v>
      </c>
      <c r="H2987" t="s">
        <v>1194</v>
      </c>
      <c r="I2987" t="str">
        <f>HYPERLINK("http://www.ncbi.nlm.nih.gov/protein/KAF5405064.1","hypothetical protein PHET_01364")</f>
        <v>hypothetical protein PHET_01364</v>
      </c>
      <c r="J2987">
        <v>1105.51</v>
      </c>
      <c r="K2987" t="s">
        <v>22</v>
      </c>
      <c r="L2987">
        <v>1210</v>
      </c>
      <c r="M2987">
        <v>7.13</v>
      </c>
      <c r="N2987">
        <v>10.77</v>
      </c>
      <c r="O2987" t="s">
        <v>19</v>
      </c>
      <c r="P2987" t="s">
        <v>1267</v>
      </c>
      <c r="Q2987" t="s">
        <v>19</v>
      </c>
      <c r="R2987" t="str">
        <f>HYPERLINK("https://cfpub.epa.gov/ecotox/explore.cfm?ncbi=100268","Explore in ECOTOX")</f>
        <v>Explore in ECOTOX</v>
      </c>
    </row>
    <row r="2988" spans="1:18" x14ac:dyDescent="0.45">
      <c r="A2988" t="s">
        <v>1266</v>
      </c>
      <c r="B2988">
        <v>8</v>
      </c>
      <c r="C2988" t="str">
        <f>HYPERLINK("http://www.ncbi.nlm.nih.gov/protein/VZI27969.1","VZI27969.1")</f>
        <v>VZI27969.1</v>
      </c>
      <c r="D2988">
        <v>28662</v>
      </c>
      <c r="E2988" t="str">
        <f>HYPERLINK("http://www.ncbi.nlm.nih.gov/Taxonomy/Browser/wwwtax.cgi?mode=Info&amp;id=99802&amp;lvl=3&amp;lin=f&amp;keep=1&amp;srchmode=1&amp;unlock","99802")</f>
        <v>99802</v>
      </c>
      <c r="F2988" t="s">
        <v>1185</v>
      </c>
      <c r="G2988" t="str">
        <f>HYPERLINK("http://www.ncbi.nlm.nih.gov/Taxonomy/Browser/wwwtax.cgi?mode=Info&amp;id=99802&amp;lvl=3&amp;lin=f&amp;keep=1&amp;srchmode=1&amp;unlock","Spirometra erinaceieuropaei")</f>
        <v>Spirometra erinaceieuropaei</v>
      </c>
      <c r="H2988" t="s">
        <v>1186</v>
      </c>
      <c r="I2988" t="str">
        <f>HYPERLINK("http://www.ncbi.nlm.nih.gov/protein/VZI27969.1","unnamed protein product")</f>
        <v>unnamed protein product</v>
      </c>
      <c r="J2988">
        <v>1100.1199999999999</v>
      </c>
      <c r="K2988" t="s">
        <v>22</v>
      </c>
      <c r="L2988">
        <v>1210</v>
      </c>
      <c r="M2988">
        <v>7.13</v>
      </c>
      <c r="N2988">
        <v>10.72</v>
      </c>
      <c r="O2988" t="s">
        <v>19</v>
      </c>
      <c r="P2988" t="s">
        <v>1267</v>
      </c>
      <c r="Q2988" t="s">
        <v>19</v>
      </c>
      <c r="R2988" t="str">
        <f>HYPERLINK("https://cfpub.epa.gov/ecotox/explore.cfm?ncbi=99802","Explore in ECOTOX")</f>
        <v>Explore in ECOTOX</v>
      </c>
    </row>
    <row r="2989" spans="1:18" x14ac:dyDescent="0.45">
      <c r="A2989" t="s">
        <v>1266</v>
      </c>
      <c r="B2989">
        <v>8</v>
      </c>
      <c r="C2989" t="str">
        <f>HYPERLINK("http://www.ncbi.nlm.nih.gov/protein/TKR86990.1","TKR86990.1")</f>
        <v>TKR86990.1</v>
      </c>
      <c r="D2989">
        <v>36674</v>
      </c>
      <c r="E2989" t="str">
        <f>HYPERLINK("http://www.ncbi.nlm.nih.gov/Taxonomy/Browser/wwwtax.cgi?mode=Info&amp;id=34508&amp;lvl=3&amp;lin=f&amp;keep=1&amp;srchmode=1&amp;unlock","34508")</f>
        <v>34508</v>
      </c>
      <c r="F2989" t="s">
        <v>1024</v>
      </c>
      <c r="G2989" t="str">
        <f>HYPERLINK("http://www.ncbi.nlm.nih.gov/Taxonomy/Browser/wwwtax.cgi?mode=Info&amp;id=34508&amp;lvl=3&amp;lin=f&amp;keep=1&amp;srchmode=1&amp;unlock","Steinernema carpocapsae")</f>
        <v>Steinernema carpocapsae</v>
      </c>
      <c r="H2989" t="s">
        <v>1027</v>
      </c>
      <c r="I2989" t="str">
        <f>HYPERLINK("http://www.ncbi.nlm.nih.gov/protein/TKR86990.1","hypothetical protein L596_011474")</f>
        <v>hypothetical protein L596_011474</v>
      </c>
      <c r="J2989">
        <v>1093.95</v>
      </c>
      <c r="K2989" t="s">
        <v>19</v>
      </c>
      <c r="L2989">
        <v>1210</v>
      </c>
      <c r="M2989">
        <v>7.13</v>
      </c>
      <c r="N2989">
        <v>10.66</v>
      </c>
      <c r="O2989" t="s">
        <v>19</v>
      </c>
      <c r="P2989" t="s">
        <v>1267</v>
      </c>
      <c r="Q2989" t="s">
        <v>19</v>
      </c>
      <c r="R2989" t="str">
        <f>HYPERLINK("https://cfpub.epa.gov/ecotox/explore.cfm?ncbi=34508","Explore in ECOTOX")</f>
        <v>Explore in ECOTOX</v>
      </c>
    </row>
    <row r="2990" spans="1:18" x14ac:dyDescent="0.45">
      <c r="A2990" t="s">
        <v>1266</v>
      </c>
      <c r="B2990">
        <v>8</v>
      </c>
      <c r="C2990" t="str">
        <f>HYPERLINK("http://www.ncbi.nlm.nih.gov/protein/KAF8560811.1","KAF8560811.1")</f>
        <v>KAF8560811.1</v>
      </c>
      <c r="D2990">
        <v>25028</v>
      </c>
      <c r="E2990" t="str">
        <f>HYPERLINK("http://www.ncbi.nlm.nih.gov/Taxonomy/Browser/wwwtax.cgi?mode=Info&amp;id=34504&amp;lvl=3&amp;lin=f&amp;keep=1&amp;srchmode=1&amp;unlock","34504")</f>
        <v>34504</v>
      </c>
      <c r="F2990" t="s">
        <v>1140</v>
      </c>
      <c r="G2990" t="str">
        <f>HYPERLINK("http://www.ncbi.nlm.nih.gov/Taxonomy/Browser/wwwtax.cgi?mode=Info&amp;id=34504&amp;lvl=3&amp;lin=f&amp;keep=1&amp;srchmode=1&amp;unlock","Paragonimus westermani")</f>
        <v>Paragonimus westermani</v>
      </c>
      <c r="H2990" t="s">
        <v>1194</v>
      </c>
      <c r="I2990" t="str">
        <f>HYPERLINK("http://www.ncbi.nlm.nih.gov/protein/KAF8560811.1","hypothetical protein P879_00762")</f>
        <v>hypothetical protein P879_00762</v>
      </c>
      <c r="J2990">
        <v>1090.8699999999999</v>
      </c>
      <c r="K2990" t="s">
        <v>22</v>
      </c>
      <c r="L2990">
        <v>1210</v>
      </c>
      <c r="M2990">
        <v>7.13</v>
      </c>
      <c r="N2990">
        <v>10.63</v>
      </c>
      <c r="O2990" t="s">
        <v>19</v>
      </c>
      <c r="P2990" t="s">
        <v>1267</v>
      </c>
      <c r="Q2990" t="s">
        <v>19</v>
      </c>
      <c r="R2990" t="str">
        <f>HYPERLINK("https://cfpub.epa.gov/ecotox/explore.cfm?ncbi=34504","Explore in ECOTOX")</f>
        <v>Explore in ECOTOX</v>
      </c>
    </row>
    <row r="2991" spans="1:18" x14ac:dyDescent="0.45">
      <c r="A2991" t="s">
        <v>1266</v>
      </c>
      <c r="B2991">
        <v>8</v>
      </c>
      <c r="C2991" t="str">
        <f>HYPERLINK("http://www.ncbi.nlm.nih.gov/protein/KAF7261042.1","KAF7261042.1")</f>
        <v>KAF7261042.1</v>
      </c>
      <c r="D2991">
        <v>12680</v>
      </c>
      <c r="E2991" t="str">
        <f>HYPERLINK("http://www.ncbi.nlm.nih.gov/Taxonomy/Browser/wwwtax.cgi?mode=Info&amp;id=59628&amp;lvl=3&amp;lin=f&amp;keep=1&amp;srchmode=1&amp;unlock","59628")</f>
        <v>59628</v>
      </c>
      <c r="F2991" t="s">
        <v>1140</v>
      </c>
      <c r="G2991" t="str">
        <f>HYPERLINK("http://www.ncbi.nlm.nih.gov/Taxonomy/Browser/wwwtax.cgi?mode=Info&amp;id=59628&amp;lvl=3&amp;lin=f&amp;keep=1&amp;srchmode=1&amp;unlock","Paragonimus skrjabini miyazakii")</f>
        <v>Paragonimus skrjabini miyazakii</v>
      </c>
      <c r="H2991" t="s">
        <v>1194</v>
      </c>
      <c r="I2991" t="str">
        <f>HYPERLINK("http://www.ncbi.nlm.nih.gov/protein/KAF7261042.1","hypothetical protein EG68_01789")</f>
        <v>hypothetical protein EG68_01789</v>
      </c>
      <c r="J2991">
        <v>1084.32</v>
      </c>
      <c r="K2991" t="s">
        <v>22</v>
      </c>
      <c r="L2991">
        <v>1210</v>
      </c>
      <c r="M2991">
        <v>7.13</v>
      </c>
      <c r="N2991">
        <v>10.57</v>
      </c>
      <c r="O2991" t="s">
        <v>19</v>
      </c>
      <c r="P2991" t="s">
        <v>1267</v>
      </c>
      <c r="Q2991" t="s">
        <v>19</v>
      </c>
      <c r="R2991" t="str">
        <f>HYPERLINK("https://cfpub.epa.gov/ecotox/explore.cfm?ncbi=59628","Explore in ECOTOX")</f>
        <v>Explore in ECOTOX</v>
      </c>
    </row>
    <row r="2992" spans="1:18" x14ac:dyDescent="0.45">
      <c r="A2992" t="s">
        <v>1266</v>
      </c>
      <c r="B2992">
        <v>8</v>
      </c>
      <c r="C2992" t="str">
        <f>HYPERLINK("http://www.ncbi.nlm.nih.gov/protein/GLG95824.1","GLG95824.1")</f>
        <v>GLG95824.1</v>
      </c>
      <c r="D2992">
        <v>25394</v>
      </c>
      <c r="E2992" t="str">
        <f>HYPERLINK("http://www.ncbi.nlm.nih.gov/Taxonomy/Browser/wwwtax.cgi?mode=Info&amp;id=6999&amp;lvl=3&amp;lin=f&amp;keep=1&amp;srchmode=1&amp;unlock","6999")</f>
        <v>6999</v>
      </c>
      <c r="F2992" t="s">
        <v>760</v>
      </c>
      <c r="G2992" t="str">
        <f>HYPERLINK("http://www.ncbi.nlm.nih.gov/Taxonomy/Browser/wwwtax.cgi?mode=Info&amp;id=6999&amp;lvl=3&amp;lin=f&amp;keep=1&amp;srchmode=1&amp;unlock","Gryllus bimaculatus")</f>
        <v>Gryllus bimaculatus</v>
      </c>
      <c r="H2992" t="s">
        <v>1198</v>
      </c>
      <c r="I2992" t="str">
        <f>HYPERLINK("http://www.ncbi.nlm.nih.gov/protein/GLG95824.1","Ryanodine receptor")</f>
        <v>Ryanodine receptor</v>
      </c>
      <c r="J2992">
        <v>1080.0899999999999</v>
      </c>
      <c r="K2992" t="s">
        <v>22</v>
      </c>
      <c r="L2992">
        <v>1210</v>
      </c>
      <c r="M2992">
        <v>7.13</v>
      </c>
      <c r="N2992">
        <v>10.52</v>
      </c>
      <c r="O2992" t="s">
        <v>19</v>
      </c>
      <c r="P2992" t="s">
        <v>1267</v>
      </c>
      <c r="Q2992" t="s">
        <v>19</v>
      </c>
      <c r="R2992" t="str">
        <f>HYPERLINK("https://cfpub.epa.gov/ecotox/explore.cfm?ncbi=6999","Explore in ECOTOX")</f>
        <v>Explore in ECOTOX</v>
      </c>
    </row>
    <row r="2993" spans="1:18" x14ac:dyDescent="0.45">
      <c r="A2993" t="s">
        <v>1266</v>
      </c>
      <c r="B2993">
        <v>8</v>
      </c>
      <c r="C2993" t="str">
        <f>HYPERLINK("http://www.ncbi.nlm.nih.gov/protein/CAH8834664.1","CAH8834664.1")</f>
        <v>CAH8834664.1</v>
      </c>
      <c r="D2993">
        <v>20325</v>
      </c>
      <c r="E2993" t="str">
        <f>HYPERLINK("http://www.ncbi.nlm.nih.gov/Taxonomy/Browser/wwwtax.cgi?mode=Info&amp;id=157070&amp;lvl=3&amp;lin=f&amp;keep=1&amp;srchmode=1&amp;unlock","157070")</f>
        <v>157070</v>
      </c>
      <c r="F2993" t="s">
        <v>1140</v>
      </c>
      <c r="G2993" t="str">
        <f>HYPERLINK("http://www.ncbi.nlm.nih.gov/Taxonomy/Browser/wwwtax.cgi?mode=Info&amp;id=157070&amp;lvl=3&amp;lin=f&amp;keep=1&amp;srchmode=1&amp;unlock","Trichobilharzia szidati")</f>
        <v>Trichobilharzia szidati</v>
      </c>
      <c r="H2993" t="s">
        <v>1141</v>
      </c>
      <c r="I2993" t="str">
        <f>HYPERLINK("http://www.ncbi.nlm.nih.gov/protein/CAH8834664.1","unnamed protein product")</f>
        <v>unnamed protein product</v>
      </c>
      <c r="J2993">
        <v>1071.23</v>
      </c>
      <c r="K2993" t="s">
        <v>22</v>
      </c>
      <c r="L2993">
        <v>1210</v>
      </c>
      <c r="M2993">
        <v>7.13</v>
      </c>
      <c r="N2993">
        <v>10.44</v>
      </c>
      <c r="O2993" t="s">
        <v>19</v>
      </c>
      <c r="P2993" t="s">
        <v>1267</v>
      </c>
      <c r="Q2993" t="s">
        <v>19</v>
      </c>
      <c r="R2993" t="str">
        <f>HYPERLINK("https://cfpub.epa.gov/ecotox/explore.cfm?ncbi=157070","Explore in ECOTOX")</f>
        <v>Explore in ECOTOX</v>
      </c>
    </row>
    <row r="2994" spans="1:18" x14ac:dyDescent="0.45">
      <c r="A2994" t="s">
        <v>1266</v>
      </c>
      <c r="B2994">
        <v>8</v>
      </c>
      <c r="C2994" t="str">
        <f>HYPERLINK("http://www.ncbi.nlm.nih.gov/protein/VDD81758.1","VDD81758.1")</f>
        <v>VDD81758.1</v>
      </c>
      <c r="D2994">
        <v>10609</v>
      </c>
      <c r="E2994" t="str">
        <f>HYPERLINK("http://www.ncbi.nlm.nih.gov/Taxonomy/Browser/wwwtax.cgi?mode=Info&amp;id=53468&amp;lvl=3&amp;lin=f&amp;keep=1&amp;srchmode=1&amp;unlock","53468")</f>
        <v>53468</v>
      </c>
      <c r="F2994" t="s">
        <v>1185</v>
      </c>
      <c r="G2994" t="str">
        <f>HYPERLINK("http://www.ncbi.nlm.nih.gov/Taxonomy/Browser/wwwtax.cgi?mode=Info&amp;id=53468&amp;lvl=3&amp;lin=f&amp;keep=1&amp;srchmode=1&amp;unlock","Mesocestoides corti")</f>
        <v>Mesocestoides corti</v>
      </c>
      <c r="H2994" t="s">
        <v>1186</v>
      </c>
      <c r="I2994" t="str">
        <f>HYPERLINK("http://www.ncbi.nlm.nih.gov/protein/VDD81758.1","unnamed protein product")</f>
        <v>unnamed protein product</v>
      </c>
      <c r="J2994">
        <v>1064.29</v>
      </c>
      <c r="K2994" t="s">
        <v>22</v>
      </c>
      <c r="L2994">
        <v>1210</v>
      </c>
      <c r="M2994">
        <v>7.13</v>
      </c>
      <c r="N2994">
        <v>10.37</v>
      </c>
      <c r="O2994" t="s">
        <v>19</v>
      </c>
      <c r="P2994" t="s">
        <v>1267</v>
      </c>
      <c r="Q2994" t="s">
        <v>19</v>
      </c>
      <c r="R2994" t="str">
        <f>HYPERLINK("https://cfpub.epa.gov/ecotox/explore.cfm?ncbi=53468","Explore in ECOTOX")</f>
        <v>Explore in ECOTOX</v>
      </c>
    </row>
    <row r="2995" spans="1:18" x14ac:dyDescent="0.45">
      <c r="A2995" t="s">
        <v>1266</v>
      </c>
      <c r="B2995">
        <v>8</v>
      </c>
      <c r="C2995" t="str">
        <f>HYPERLINK("http://www.ncbi.nlm.nih.gov/protein/KAB0390862.1","KAB0390862.1")</f>
        <v>KAB0390862.1</v>
      </c>
      <c r="D2995">
        <v>20276</v>
      </c>
      <c r="E2995" t="str">
        <f>HYPERLINK("http://www.ncbi.nlm.nih.gov/Taxonomy/Browser/wwwtax.cgi?mode=Info&amp;id=9770&amp;lvl=3&amp;lin=f&amp;keep=1&amp;srchmode=1&amp;unlock","9770")</f>
        <v>9770</v>
      </c>
      <c r="F2995" t="s">
        <v>96</v>
      </c>
      <c r="G2995" t="str">
        <f>HYPERLINK("http://www.ncbi.nlm.nih.gov/Taxonomy/Browser/wwwtax.cgi?mode=Info&amp;id=9770&amp;lvl=3&amp;lin=f&amp;keep=1&amp;srchmode=1&amp;unlock","Balaenoptera physalus")</f>
        <v>Balaenoptera physalus</v>
      </c>
      <c r="H2995" t="s">
        <v>1170</v>
      </c>
      <c r="I2995" t="str">
        <f>HYPERLINK("http://www.ncbi.nlm.nih.gov/protein/KAB0390862.1","hypothetical protein E2I00_001100, partial")</f>
        <v>hypothetical protein E2I00_001100, partial</v>
      </c>
      <c r="J2995">
        <v>1045.8</v>
      </c>
      <c r="K2995" t="s">
        <v>22</v>
      </c>
      <c r="L2995">
        <v>1210</v>
      </c>
      <c r="M2995">
        <v>7.13</v>
      </c>
      <c r="N2995">
        <v>10.19</v>
      </c>
      <c r="O2995" t="s">
        <v>19</v>
      </c>
      <c r="P2995" t="s">
        <v>1267</v>
      </c>
      <c r="Q2995" t="s">
        <v>19</v>
      </c>
      <c r="R2995" t="str">
        <f>HYPERLINK("https://cfpub.epa.gov/ecotox/explore.cfm?ncbi=9770","Explore in ECOTOX")</f>
        <v>Explore in ECOTOX</v>
      </c>
    </row>
    <row r="2996" spans="1:18" x14ac:dyDescent="0.45">
      <c r="A2996" t="s">
        <v>1266</v>
      </c>
      <c r="B2996">
        <v>8</v>
      </c>
      <c r="C2996" t="str">
        <f>HYPERLINK("http://www.ncbi.nlm.nih.gov/protein/TPP59596.1","TPP59596.1")</f>
        <v>TPP59596.1</v>
      </c>
      <c r="D2996">
        <v>13630</v>
      </c>
      <c r="E2996" t="str">
        <f>HYPERLINK("http://www.ncbi.nlm.nih.gov/Taxonomy/Browser/wwwtax.cgi?mode=Info&amp;id=46835&amp;lvl=3&amp;lin=f&amp;keep=1&amp;srchmode=1&amp;unlock","46835")</f>
        <v>46835</v>
      </c>
      <c r="F2996" t="s">
        <v>1140</v>
      </c>
      <c r="G2996" t="str">
        <f>HYPERLINK("http://www.ncbi.nlm.nih.gov/Taxonomy/Browser/wwwtax.cgi?mode=Info&amp;id=46835&amp;lvl=3&amp;lin=f&amp;keep=1&amp;srchmode=1&amp;unlock","Fasciola gigantica")</f>
        <v>Fasciola gigantica</v>
      </c>
      <c r="H2996" t="s">
        <v>1194</v>
      </c>
      <c r="I2996" t="str">
        <f>HYPERLINK("http://www.ncbi.nlm.nih.gov/protein/TPP59596.1","Ryanodine receptor 44F")</f>
        <v>Ryanodine receptor 44F</v>
      </c>
      <c r="J2996">
        <v>1042.72</v>
      </c>
      <c r="K2996" t="s">
        <v>22</v>
      </c>
      <c r="L2996">
        <v>1210</v>
      </c>
      <c r="M2996">
        <v>7.13</v>
      </c>
      <c r="N2996">
        <v>10.16</v>
      </c>
      <c r="O2996" t="s">
        <v>19</v>
      </c>
      <c r="P2996" t="s">
        <v>1267</v>
      </c>
      <c r="Q2996" t="s">
        <v>19</v>
      </c>
      <c r="R2996" t="str">
        <f>HYPERLINK("https://cfpub.epa.gov/ecotox/explore.cfm?ncbi=46835","Explore in ECOTOX")</f>
        <v>Explore in ECOTOX</v>
      </c>
    </row>
    <row r="2997" spans="1:18" x14ac:dyDescent="0.45">
      <c r="A2997" t="s">
        <v>1266</v>
      </c>
      <c r="B2997">
        <v>8</v>
      </c>
      <c r="C2997" t="str">
        <f>HYPERLINK("http://www.ncbi.nlm.nih.gov/protein/KAF6780008.1","KAF6780008.1")</f>
        <v>KAF6780008.1</v>
      </c>
      <c r="D2997">
        <v>12867</v>
      </c>
      <c r="E2997" t="str">
        <f>HYPERLINK("http://www.ncbi.nlm.nih.gov/Taxonomy/Browser/wwwtax.cgi?mode=Info&amp;id=100269&amp;lvl=3&amp;lin=f&amp;keep=1&amp;srchmode=1&amp;unlock","100269")</f>
        <v>100269</v>
      </c>
      <c r="F2997" t="s">
        <v>1140</v>
      </c>
      <c r="G2997" t="str">
        <f>HYPERLINK("http://www.ncbi.nlm.nih.gov/Taxonomy/Browser/wwwtax.cgi?mode=Info&amp;id=100269&amp;lvl=3&amp;lin=f&amp;keep=1&amp;srchmode=1&amp;unlock","Paragonimus kellicotti")</f>
        <v>Paragonimus kellicotti</v>
      </c>
      <c r="H2997" t="s">
        <v>1194</v>
      </c>
      <c r="I2997" t="str">
        <f>HYPERLINK("http://www.ncbi.nlm.nih.gov/protein/KAF6780008.1","hypothetical protein AHF37_01425")</f>
        <v>hypothetical protein AHF37_01425</v>
      </c>
      <c r="J2997">
        <v>1036.94</v>
      </c>
      <c r="K2997" t="s">
        <v>22</v>
      </c>
      <c r="L2997">
        <v>1210</v>
      </c>
      <c r="M2997">
        <v>7.13</v>
      </c>
      <c r="N2997">
        <v>10.1</v>
      </c>
      <c r="O2997" t="s">
        <v>19</v>
      </c>
      <c r="P2997" t="s">
        <v>1267</v>
      </c>
      <c r="Q2997" t="s">
        <v>19</v>
      </c>
      <c r="R2997" t="str">
        <f>HYPERLINK("https://cfpub.epa.gov/ecotox/explore.cfm?ncbi=100269","Explore in ECOTOX")</f>
        <v>Explore in ECOTOX</v>
      </c>
    </row>
    <row r="2998" spans="1:18" x14ac:dyDescent="0.45">
      <c r="A2998" t="s">
        <v>1266</v>
      </c>
      <c r="B2998">
        <v>8</v>
      </c>
      <c r="C2998" t="str">
        <f>HYPERLINK("http://www.ncbi.nlm.nih.gov/protein/KAA0193600.1","KAA0193600.1")</f>
        <v>KAA0193600.1</v>
      </c>
      <c r="D2998">
        <v>11877</v>
      </c>
      <c r="E2998" t="str">
        <f>HYPERLINK("http://www.ncbi.nlm.nih.gov/Taxonomy/Browser/wwwtax.cgi?mode=Info&amp;id=27845&amp;lvl=3&amp;lin=f&amp;keep=1&amp;srchmode=1&amp;unlock","27845")</f>
        <v>27845</v>
      </c>
      <c r="F2998" t="s">
        <v>1140</v>
      </c>
      <c r="G2998" t="str">
        <f>HYPERLINK("http://www.ncbi.nlm.nih.gov/Taxonomy/Browser/wwwtax.cgi?mode=Info&amp;id=27845&amp;lvl=3&amp;lin=f&amp;keep=1&amp;srchmode=1&amp;unlock","Fasciolopsis buski")</f>
        <v>Fasciolopsis buski</v>
      </c>
      <c r="H2998" t="s">
        <v>1194</v>
      </c>
      <c r="I2998" t="str">
        <f>HYPERLINK("http://www.ncbi.nlm.nih.gov/protein/KAA0193600.1","Ryanodine receptor 44F")</f>
        <v>Ryanodine receptor 44F</v>
      </c>
      <c r="J2998">
        <v>1023.08</v>
      </c>
      <c r="K2998" t="s">
        <v>22</v>
      </c>
      <c r="L2998">
        <v>1210</v>
      </c>
      <c r="M2998">
        <v>7.13</v>
      </c>
      <c r="N2998">
        <v>9.9700000000000006</v>
      </c>
      <c r="O2998" t="s">
        <v>19</v>
      </c>
      <c r="P2998" t="s">
        <v>1267</v>
      </c>
      <c r="Q2998" t="s">
        <v>19</v>
      </c>
      <c r="R2998" t="str">
        <f>HYPERLINK("https://cfpub.epa.gov/ecotox/explore.cfm?ncbi=27845","Explore in ECOTOX")</f>
        <v>Explore in ECOTOX</v>
      </c>
    </row>
    <row r="2999" spans="1:18" x14ac:dyDescent="0.45">
      <c r="A2999" t="s">
        <v>1266</v>
      </c>
      <c r="B2999">
        <v>8</v>
      </c>
      <c r="C2999" t="str">
        <f>HYPERLINK("http://www.ncbi.nlm.nih.gov/protein/THD26974.1","THD26974.1")</f>
        <v>THD26974.1</v>
      </c>
      <c r="D2999">
        <v>13907</v>
      </c>
      <c r="E2999" t="str">
        <f>HYPERLINK("http://www.ncbi.nlm.nih.gov/Taxonomy/Browser/wwwtax.cgi?mode=Info&amp;id=6192&amp;lvl=3&amp;lin=f&amp;keep=1&amp;srchmode=1&amp;unlock","6192")</f>
        <v>6192</v>
      </c>
      <c r="F2999" t="s">
        <v>1140</v>
      </c>
      <c r="G2999" t="str">
        <f>HYPERLINK("http://www.ncbi.nlm.nih.gov/Taxonomy/Browser/wwwtax.cgi?mode=Info&amp;id=6192&amp;lvl=3&amp;lin=f&amp;keep=1&amp;srchmode=1&amp;unlock","Fasciola hepatica")</f>
        <v>Fasciola hepatica</v>
      </c>
      <c r="H2999" t="s">
        <v>1199</v>
      </c>
      <c r="I2999" t="str">
        <f>HYPERLINK("http://www.ncbi.nlm.nih.gov/protein/THD26974.1","Ryanodine receptor 44F")</f>
        <v>Ryanodine receptor 44F</v>
      </c>
      <c r="J2999">
        <v>1013.83</v>
      </c>
      <c r="K2999" t="s">
        <v>22</v>
      </c>
      <c r="L2999">
        <v>1210</v>
      </c>
      <c r="M2999">
        <v>7.13</v>
      </c>
      <c r="N2999">
        <v>9.8800000000000008</v>
      </c>
      <c r="O2999" t="s">
        <v>19</v>
      </c>
      <c r="P2999" t="s">
        <v>1267</v>
      </c>
      <c r="Q2999" t="s">
        <v>19</v>
      </c>
      <c r="R2999" t="str">
        <f>HYPERLINK("https://cfpub.epa.gov/ecotox/explore.cfm?ncbi=6192","Explore in ECOTOX")</f>
        <v>Explore in ECOTOX</v>
      </c>
    </row>
    <row r="3000" spans="1:18" x14ac:dyDescent="0.45">
      <c r="A3000" t="s">
        <v>1266</v>
      </c>
      <c r="B3000">
        <v>8</v>
      </c>
      <c r="C3000" t="str">
        <f>HYPERLINK("http://www.ncbi.nlm.nih.gov/protein/GFY63641.1","GFY63641.1")</f>
        <v>GFY63641.1</v>
      </c>
      <c r="D3000">
        <v>51785</v>
      </c>
      <c r="E3000" t="str">
        <f>HYPERLINK("http://www.ncbi.nlm.nih.gov/Taxonomy/Browser/wwwtax.cgi?mode=Info&amp;id=2747483&amp;lvl=3&amp;lin=f&amp;keep=1&amp;srchmode=1&amp;unlock","2747483")</f>
        <v>2747483</v>
      </c>
      <c r="F3000" t="s">
        <v>904</v>
      </c>
      <c r="G3000" t="str">
        <f>HYPERLINK("http://www.ncbi.nlm.nih.gov/Taxonomy/Browser/wwwtax.cgi?mode=Info&amp;id=2747483&amp;lvl=3&amp;lin=f&amp;keep=1&amp;srchmode=1&amp;unlock","Trichonephila inaurata madagascariensis")</f>
        <v>Trichonephila inaurata madagascariensis</v>
      </c>
      <c r="H3000" t="s">
        <v>1202</v>
      </c>
      <c r="I3000" t="str">
        <f>HYPERLINK("http://www.ncbi.nlm.nih.gov/protein/GFY63641.1","ryanodine receptor")</f>
        <v>ryanodine receptor</v>
      </c>
      <c r="J3000">
        <v>1012.68</v>
      </c>
      <c r="K3000" t="s">
        <v>22</v>
      </c>
      <c r="L3000">
        <v>1210</v>
      </c>
      <c r="M3000">
        <v>7.13</v>
      </c>
      <c r="N3000">
        <v>9.8699999999999992</v>
      </c>
      <c r="O3000" t="s">
        <v>19</v>
      </c>
      <c r="P3000" t="s">
        <v>1267</v>
      </c>
      <c r="Q3000" t="s">
        <v>19</v>
      </c>
      <c r="R3000" t="str">
        <f>HYPERLINK("https://cfpub.epa.gov/ecotox/explore.cfm?ncbi=2747483","Explore in ECOTOX")</f>
        <v>Explore in ECOTOX</v>
      </c>
    </row>
    <row r="3001" spans="1:18" x14ac:dyDescent="0.45">
      <c r="A3001" t="s">
        <v>1266</v>
      </c>
      <c r="B3001">
        <v>8</v>
      </c>
      <c r="C3001" t="str">
        <f>HYPERLINK("http://www.ncbi.nlm.nih.gov/protein/VDL93581.1","VDL93581.1")</f>
        <v>VDL93581.1</v>
      </c>
      <c r="D3001">
        <v>20320</v>
      </c>
      <c r="E3001" t="str">
        <f>HYPERLINK("http://www.ncbi.nlm.nih.gov/Taxonomy/Browser/wwwtax.cgi?mode=Info&amp;id=70667&amp;lvl=3&amp;lin=f&amp;keep=1&amp;srchmode=1&amp;unlock","70667")</f>
        <v>70667</v>
      </c>
      <c r="F3001" t="s">
        <v>1185</v>
      </c>
      <c r="G3001" t="str">
        <f>HYPERLINK("http://www.ncbi.nlm.nih.gov/Taxonomy/Browser/wwwtax.cgi?mode=Info&amp;id=70667&amp;lvl=3&amp;lin=f&amp;keep=1&amp;srchmode=1&amp;unlock","Schistocephalus solidus")</f>
        <v>Schistocephalus solidus</v>
      </c>
      <c r="H3001" t="s">
        <v>1186</v>
      </c>
      <c r="I3001" t="str">
        <f>HYPERLINK("http://www.ncbi.nlm.nih.gov/protein/VDL93581.1","unnamed protein product")</f>
        <v>unnamed protein product</v>
      </c>
      <c r="J3001">
        <v>1011.13</v>
      </c>
      <c r="K3001" t="s">
        <v>22</v>
      </c>
      <c r="L3001">
        <v>1210</v>
      </c>
      <c r="M3001">
        <v>7.13</v>
      </c>
      <c r="N3001">
        <v>9.85</v>
      </c>
      <c r="O3001" t="s">
        <v>19</v>
      </c>
      <c r="P3001" t="s">
        <v>1267</v>
      </c>
      <c r="Q3001" t="s">
        <v>19</v>
      </c>
      <c r="R3001" t="str">
        <f>HYPERLINK("https://cfpub.epa.gov/ecotox/explore.cfm?ncbi=70667","Explore in ECOTOX")</f>
        <v>Explore in ECOTOX</v>
      </c>
    </row>
    <row r="3002" spans="1:18" x14ac:dyDescent="0.45">
      <c r="A3002" t="s">
        <v>1266</v>
      </c>
      <c r="B3002">
        <v>8</v>
      </c>
      <c r="C3002" t="str">
        <f>HYPERLINK("http://www.ncbi.nlm.nih.gov/protein/KAG5704415.1","KAG5704415.1")</f>
        <v>KAG5704415.1</v>
      </c>
      <c r="D3002">
        <v>29726</v>
      </c>
      <c r="E3002" t="str">
        <f>HYPERLINK("http://www.ncbi.nlm.nih.gov/Taxonomy/Browser/wwwtax.cgi?mode=Info&amp;id=370345&amp;lvl=3&amp;lin=f&amp;keep=1&amp;srchmode=1&amp;unlock","370345")</f>
        <v>370345</v>
      </c>
      <c r="F3002" t="s">
        <v>757</v>
      </c>
      <c r="G3002" t="str">
        <f>HYPERLINK("http://www.ncbi.nlm.nih.gov/Taxonomy/Browser/wwwtax.cgi?mode=Info&amp;id=370345&amp;lvl=3&amp;lin=f&amp;keep=1&amp;srchmode=1&amp;unlock","Batillaria attramentaria")</f>
        <v>Batillaria attramentaria</v>
      </c>
      <c r="H3002" t="s">
        <v>832</v>
      </c>
      <c r="I3002" t="str">
        <f>HYPERLINK("http://www.ncbi.nlm.nih.gov/protein/KAG5704415.1","hypothetical protein BaRGS_024270, partial")</f>
        <v>hypothetical protein BaRGS_024270, partial</v>
      </c>
      <c r="J3002">
        <v>1009.98</v>
      </c>
      <c r="K3002" t="s">
        <v>22</v>
      </c>
      <c r="L3002">
        <v>1210</v>
      </c>
      <c r="M3002">
        <v>7.13</v>
      </c>
      <c r="N3002">
        <v>9.84</v>
      </c>
      <c r="O3002" t="s">
        <v>19</v>
      </c>
      <c r="P3002" t="s">
        <v>1267</v>
      </c>
      <c r="Q3002" t="s">
        <v>19</v>
      </c>
      <c r="R3002" t="str">
        <f>HYPERLINK("https://cfpub.epa.gov/ecotox/explore.cfm?ncbi=370345","Explore in ECOTOX")</f>
        <v>Explore in ECOTOX</v>
      </c>
    </row>
    <row r="3003" spans="1:18" x14ac:dyDescent="0.45">
      <c r="A3003" t="s">
        <v>1266</v>
      </c>
      <c r="B3003">
        <v>8</v>
      </c>
      <c r="C3003" t="str">
        <f>HYPERLINK("http://www.ncbi.nlm.nih.gov/protein/CAH8503543.1","CAH8503543.1")</f>
        <v>CAH8503543.1</v>
      </c>
      <c r="D3003">
        <v>17001</v>
      </c>
      <c r="E3003" t="str">
        <f>HYPERLINK("http://www.ncbi.nlm.nih.gov/Taxonomy/Browser/wwwtax.cgi?mode=Info&amp;id=57078&amp;lvl=3&amp;lin=f&amp;keep=1&amp;srchmode=1&amp;unlock","57078")</f>
        <v>57078</v>
      </c>
      <c r="F3003" t="s">
        <v>1140</v>
      </c>
      <c r="G3003" t="str">
        <f>HYPERLINK("http://www.ncbi.nlm.nih.gov/Taxonomy/Browser/wwwtax.cgi?mode=Info&amp;id=57078&amp;lvl=3&amp;lin=f&amp;keep=1&amp;srchmode=1&amp;unlock","Dicrocoelium dendriticum")</f>
        <v>Dicrocoelium dendriticum</v>
      </c>
      <c r="H3003" t="s">
        <v>1194</v>
      </c>
      <c r="I3003" t="str">
        <f>HYPERLINK("http://www.ncbi.nlm.nih.gov/protein/CAH8503543.1","unnamed protein product")</f>
        <v>unnamed protein product</v>
      </c>
      <c r="J3003">
        <v>1008.44</v>
      </c>
      <c r="K3003" t="s">
        <v>22</v>
      </c>
      <c r="L3003">
        <v>1210</v>
      </c>
      <c r="M3003">
        <v>7.13</v>
      </c>
      <c r="N3003">
        <v>9.83</v>
      </c>
      <c r="O3003" t="s">
        <v>19</v>
      </c>
      <c r="P3003" t="s">
        <v>1267</v>
      </c>
      <c r="Q3003" t="s">
        <v>19</v>
      </c>
      <c r="R3003" t="str">
        <f>HYPERLINK("https://cfpub.epa.gov/ecotox/explore.cfm?ncbi=57078","Explore in ECOTOX")</f>
        <v>Explore in ECOTOX</v>
      </c>
    </row>
    <row r="3004" spans="1:18" x14ac:dyDescent="0.45">
      <c r="A3004" t="s">
        <v>1266</v>
      </c>
      <c r="B3004">
        <v>8</v>
      </c>
      <c r="C3004" t="str">
        <f>HYPERLINK("http://www.ncbi.nlm.nih.gov/protein/KFM65082.1","KFM65082.1")</f>
        <v>KFM65082.1</v>
      </c>
      <c r="D3004">
        <v>27105</v>
      </c>
      <c r="E3004" t="str">
        <f>HYPERLINK("http://www.ncbi.nlm.nih.gov/Taxonomy/Browser/wwwtax.cgi?mode=Info&amp;id=407821&amp;lvl=3&amp;lin=f&amp;keep=1&amp;srchmode=1&amp;unlock","407821")</f>
        <v>407821</v>
      </c>
      <c r="F3004" t="s">
        <v>904</v>
      </c>
      <c r="G3004" t="str">
        <f>HYPERLINK("http://www.ncbi.nlm.nih.gov/Taxonomy/Browser/wwwtax.cgi?mode=Info&amp;id=407821&amp;lvl=3&amp;lin=f&amp;keep=1&amp;srchmode=1&amp;unlock","Stegodyphus mimosarum")</f>
        <v>Stegodyphus mimosarum</v>
      </c>
      <c r="H3004" t="s">
        <v>905</v>
      </c>
      <c r="I3004" t="str">
        <f>HYPERLINK("http://www.ncbi.nlm.nih.gov/protein/KFM65082.1","Ryanodine receptor 44F, partial")</f>
        <v>Ryanodine receptor 44F, partial</v>
      </c>
      <c r="J3004">
        <v>986.1</v>
      </c>
      <c r="K3004" t="s">
        <v>22</v>
      </c>
      <c r="L3004">
        <v>1210</v>
      </c>
      <c r="M3004">
        <v>7.13</v>
      </c>
      <c r="N3004">
        <v>9.61</v>
      </c>
      <c r="O3004" t="s">
        <v>19</v>
      </c>
      <c r="P3004" t="s">
        <v>1267</v>
      </c>
      <c r="Q3004" t="s">
        <v>19</v>
      </c>
      <c r="R3004" t="str">
        <f>HYPERLINK("https://cfpub.epa.gov/ecotox/explore.cfm?ncbi=407821","Explore in ECOTOX")</f>
        <v>Explore in ECOTOX</v>
      </c>
    </row>
    <row r="3005" spans="1:18" x14ac:dyDescent="0.45">
      <c r="A3005" t="s">
        <v>1266</v>
      </c>
      <c r="B3005">
        <v>8</v>
      </c>
      <c r="C3005" t="str">
        <f>HYPERLINK("http://www.ncbi.nlm.nih.gov/protein/CAD1474296.1","CAD1474296.1")</f>
        <v>CAD1474296.1</v>
      </c>
      <c r="D3005">
        <v>9806</v>
      </c>
      <c r="E3005" t="str">
        <f>HYPERLINK("http://www.ncbi.nlm.nih.gov/Taxonomy/Browser/wwwtax.cgi?mode=Info&amp;id=395501&amp;lvl=3&amp;lin=f&amp;keep=1&amp;srchmode=1&amp;unlock","395501")</f>
        <v>395501</v>
      </c>
      <c r="F3005" t="s">
        <v>760</v>
      </c>
      <c r="G3005" t="str">
        <f>HYPERLINK("http://www.ncbi.nlm.nih.gov/Taxonomy/Browser/wwwtax.cgi?mode=Info&amp;id=395501&amp;lvl=3&amp;lin=f&amp;keep=1&amp;srchmode=1&amp;unlock","Heterotrigona itama")</f>
        <v>Heterotrigona itama</v>
      </c>
      <c r="H3005" t="s">
        <v>817</v>
      </c>
      <c r="I3005" t="str">
        <f>HYPERLINK("http://www.ncbi.nlm.nih.gov/protein/CAD1474296.1","unnamed protein product, partial")</f>
        <v>unnamed protein product, partial</v>
      </c>
      <c r="J3005">
        <v>985.71</v>
      </c>
      <c r="K3005" t="s">
        <v>19</v>
      </c>
      <c r="L3005">
        <v>1210</v>
      </c>
      <c r="M3005">
        <v>7.13</v>
      </c>
      <c r="N3005">
        <v>9.6</v>
      </c>
      <c r="O3005" t="s">
        <v>19</v>
      </c>
      <c r="P3005" t="s">
        <v>1267</v>
      </c>
      <c r="Q3005" t="s">
        <v>19</v>
      </c>
      <c r="R3005" t="str">
        <f>HYPERLINK("https://cfpub.epa.gov/ecotox/explore.cfm?ncbi=395501","Explore in ECOTOX")</f>
        <v>Explore in ECOTOX</v>
      </c>
    </row>
    <row r="3006" spans="1:18" x14ac:dyDescent="0.45">
      <c r="A3006" t="s">
        <v>1266</v>
      </c>
      <c r="B3006">
        <v>8</v>
      </c>
      <c r="C3006" t="str">
        <f>HYPERLINK("http://www.ncbi.nlm.nih.gov/protein/KAH9379884.1","KAH9379884.1")</f>
        <v>KAH9379884.1</v>
      </c>
      <c r="D3006">
        <v>26567</v>
      </c>
      <c r="E3006" t="str">
        <f>HYPERLINK("http://www.ncbi.nlm.nih.gov/Taxonomy/Browser/wwwtax.cgi?mode=Info&amp;id=44386&amp;lvl=3&amp;lin=f&amp;keep=1&amp;srchmode=1&amp;unlock","44386")</f>
        <v>44386</v>
      </c>
      <c r="F3006" t="s">
        <v>904</v>
      </c>
      <c r="G3006" t="str">
        <f>HYPERLINK("http://www.ncbi.nlm.nih.gov/Taxonomy/Browser/wwwtax.cgi?mode=Info&amp;id=44386&amp;lvl=3&amp;lin=f&amp;keep=1&amp;srchmode=1&amp;unlock","Haemaphysalis longicornis")</f>
        <v>Haemaphysalis longicornis</v>
      </c>
      <c r="H3006" t="s">
        <v>1269</v>
      </c>
      <c r="I3006" t="str">
        <f>HYPERLINK("http://www.ncbi.nlm.nih.gov/protein/KAH9379884.1","hypothetical protein HPB48_013788")</f>
        <v>hypothetical protein HPB48_013788</v>
      </c>
      <c r="J3006">
        <v>980.7</v>
      </c>
      <c r="K3006" t="s">
        <v>22</v>
      </c>
      <c r="L3006">
        <v>1210</v>
      </c>
      <c r="M3006">
        <v>7.13</v>
      </c>
      <c r="N3006">
        <v>9.56</v>
      </c>
      <c r="O3006" t="s">
        <v>19</v>
      </c>
      <c r="P3006" t="s">
        <v>1267</v>
      </c>
      <c r="Q3006" t="s">
        <v>19</v>
      </c>
      <c r="R3006" t="str">
        <f>HYPERLINK("https://cfpub.epa.gov/ecotox/explore.cfm?ncbi=44386","Explore in ECOTOX")</f>
        <v>Explore in ECOTOX</v>
      </c>
    </row>
    <row r="3007" spans="1:18" x14ac:dyDescent="0.45">
      <c r="A3007" t="s">
        <v>1266</v>
      </c>
      <c r="B3007">
        <v>8</v>
      </c>
      <c r="C3007" t="str">
        <f>HYPERLINK("http://www.ncbi.nlm.nih.gov/protein/XP_002109077.1","XP_002109077.1")</f>
        <v>XP_002109077.1</v>
      </c>
      <c r="D3007">
        <v>23212</v>
      </c>
      <c r="E3007" t="str">
        <f>HYPERLINK("http://www.ncbi.nlm.nih.gov/Taxonomy/Browser/wwwtax.cgi?mode=Info&amp;id=10228&amp;lvl=3&amp;lin=f&amp;keep=1&amp;srchmode=1&amp;unlock","10228")</f>
        <v>10228</v>
      </c>
      <c r="F3007" t="s">
        <v>1151</v>
      </c>
      <c r="G3007" t="str">
        <f>HYPERLINK("http://www.ncbi.nlm.nih.gov/Taxonomy/Browser/wwwtax.cgi?mode=Info&amp;id=10228&amp;lvl=3&amp;lin=f&amp;keep=1&amp;srchmode=1&amp;unlock","Trichoplax adhaerens")</f>
        <v>Trichoplax adhaerens</v>
      </c>
      <c r="H3007" t="s">
        <v>1152</v>
      </c>
      <c r="I3007" t="str">
        <f>HYPERLINK("http://www.ncbi.nlm.nih.gov/protein/XP_002109077.1","hypothetical protein TRIADDRAFT_52741")</f>
        <v>hypothetical protein TRIADDRAFT_52741</v>
      </c>
      <c r="J3007">
        <v>976.47</v>
      </c>
      <c r="K3007" t="s">
        <v>22</v>
      </c>
      <c r="L3007">
        <v>1210</v>
      </c>
      <c r="M3007">
        <v>7.13</v>
      </c>
      <c r="N3007">
        <v>9.51</v>
      </c>
      <c r="O3007" t="s">
        <v>19</v>
      </c>
      <c r="P3007" t="s">
        <v>1267</v>
      </c>
      <c r="Q3007" t="s">
        <v>19</v>
      </c>
      <c r="R3007" t="str">
        <f>HYPERLINK("https://cfpub.epa.gov/ecotox/explore.cfm?ncbi=10228","Explore in ECOTOX")</f>
        <v>Explore in ECOTOX</v>
      </c>
    </row>
    <row r="3008" spans="1:18" x14ac:dyDescent="0.45">
      <c r="A3008" t="s">
        <v>1266</v>
      </c>
      <c r="B3008">
        <v>8</v>
      </c>
      <c r="C3008" t="str">
        <f>HYPERLINK("http://www.ncbi.nlm.nih.gov/protein/RDD40882.1","RDD40882.1")</f>
        <v>RDD40882.1</v>
      </c>
      <c r="D3008">
        <v>12207</v>
      </c>
      <c r="E3008" t="str">
        <f>HYPERLINK("http://www.ncbi.nlm.nih.gov/Taxonomy/Browser/wwwtax.cgi?mode=Info&amp;id=287889&amp;lvl=3&amp;lin=f&amp;keep=1&amp;srchmode=1&amp;unlock","287889")</f>
        <v>287889</v>
      </c>
      <c r="F3008" t="s">
        <v>1151</v>
      </c>
      <c r="G3008" t="str">
        <f>HYPERLINK("http://www.ncbi.nlm.nih.gov/Taxonomy/Browser/wwwtax.cgi?mode=Info&amp;id=287889&amp;lvl=3&amp;lin=f&amp;keep=1&amp;srchmode=1&amp;unlock","Trichoplax sp. H2")</f>
        <v>Trichoplax sp. H2</v>
      </c>
      <c r="H3008" t="s">
        <v>1152</v>
      </c>
      <c r="I3008" t="str">
        <f>HYPERLINK("http://www.ncbi.nlm.nih.gov/protein/RDD40882.1","Ryanodine receptor 3")</f>
        <v>Ryanodine receptor 3</v>
      </c>
      <c r="J3008">
        <v>976.08</v>
      </c>
      <c r="K3008" t="s">
        <v>22</v>
      </c>
      <c r="L3008">
        <v>1210</v>
      </c>
      <c r="M3008">
        <v>7.13</v>
      </c>
      <c r="N3008">
        <v>9.51</v>
      </c>
      <c r="O3008" t="s">
        <v>19</v>
      </c>
      <c r="P3008" t="s">
        <v>1267</v>
      </c>
      <c r="Q3008" t="s">
        <v>19</v>
      </c>
      <c r="R3008" t="str">
        <f>HYPERLINK("https://cfpub.epa.gov/ecotox/explore.cfm?ncbi=287889","Explore in ECOTOX")</f>
        <v>Explore in ECOTOX</v>
      </c>
    </row>
    <row r="3009" spans="1:18" x14ac:dyDescent="0.45">
      <c r="A3009" t="s">
        <v>1266</v>
      </c>
      <c r="B3009">
        <v>8</v>
      </c>
      <c r="C3009" t="str">
        <f>HYPERLINK("http://www.ncbi.nlm.nih.gov/protein/CAH8439317.1","CAH8439317.1")</f>
        <v>CAH8439317.1</v>
      </c>
      <c r="D3009">
        <v>36727</v>
      </c>
      <c r="E3009" t="str">
        <f>HYPERLINK("http://www.ncbi.nlm.nih.gov/Taxonomy/Browser/wwwtax.cgi?mode=Info&amp;id=31246&amp;lvl=3&amp;lin=f&amp;keep=1&amp;srchmode=1&amp;unlock","31246")</f>
        <v>31246</v>
      </c>
      <c r="F3009" t="s">
        <v>1140</v>
      </c>
      <c r="G3009" t="str">
        <f>HYPERLINK("http://www.ncbi.nlm.nih.gov/Taxonomy/Browser/wwwtax.cgi?mode=Info&amp;id=31246&amp;lvl=3&amp;lin=f&amp;keep=1&amp;srchmode=1&amp;unlock","Schistosoma mattheei")</f>
        <v>Schistosoma mattheei</v>
      </c>
      <c r="H3009" t="s">
        <v>1141</v>
      </c>
      <c r="I3009" t="str">
        <f>HYPERLINK("http://www.ncbi.nlm.nih.gov/protein/CAH8439317.1","unnamed protein product")</f>
        <v>unnamed protein product</v>
      </c>
      <c r="J3009">
        <v>974.16</v>
      </c>
      <c r="K3009" t="s">
        <v>22</v>
      </c>
      <c r="L3009">
        <v>1210</v>
      </c>
      <c r="M3009">
        <v>7.13</v>
      </c>
      <c r="N3009">
        <v>9.49</v>
      </c>
      <c r="O3009" t="s">
        <v>19</v>
      </c>
      <c r="P3009" t="s">
        <v>1267</v>
      </c>
      <c r="Q3009" t="s">
        <v>19</v>
      </c>
      <c r="R3009" t="str">
        <f>HYPERLINK("https://cfpub.epa.gov/ecotox/explore.cfm?ncbi=31246","Explore in ECOTOX")</f>
        <v>Explore in ECOTOX</v>
      </c>
    </row>
    <row r="3010" spans="1:18" x14ac:dyDescent="0.45">
      <c r="A3010" t="s">
        <v>1266</v>
      </c>
      <c r="B3010">
        <v>8</v>
      </c>
      <c r="C3010" t="str">
        <f>HYPERLINK("http://www.ncbi.nlm.nih.gov/protein/KAF4525020.1","KAF4525020.1")</f>
        <v>KAF4525020.1</v>
      </c>
      <c r="D3010">
        <v>18581</v>
      </c>
      <c r="E3010" t="str">
        <f>HYPERLINK("http://www.ncbi.nlm.nih.gov/Taxonomy/Browser/wwwtax.cgi?mode=Info&amp;id=1049336&amp;lvl=3&amp;lin=f&amp;keep=1&amp;srchmode=1&amp;unlock","1049336")</f>
        <v>1049336</v>
      </c>
      <c r="F3010" t="s">
        <v>760</v>
      </c>
      <c r="G3010" t="str">
        <f>HYPERLINK("http://www.ncbi.nlm.nih.gov/Taxonomy/Browser/wwwtax.cgi?mode=Info&amp;id=1049336&amp;lvl=3&amp;lin=f&amp;keep=1&amp;srchmode=1&amp;unlock","Ephemera danica")</f>
        <v>Ephemera danica</v>
      </c>
      <c r="H3010" t="s">
        <v>1203</v>
      </c>
      <c r="I3010" t="str">
        <f>HYPERLINK("http://www.ncbi.nlm.nih.gov/protein/KAF4525020.1","hypothetical protein B566_EDAN012127, partial")</f>
        <v>hypothetical protein B566_EDAN012127, partial</v>
      </c>
      <c r="J3010">
        <v>927.16</v>
      </c>
      <c r="K3010" t="s">
        <v>22</v>
      </c>
      <c r="L3010">
        <v>1210</v>
      </c>
      <c r="M3010">
        <v>7.13</v>
      </c>
      <c r="N3010">
        <v>9.0299999999999994</v>
      </c>
      <c r="O3010" t="s">
        <v>19</v>
      </c>
      <c r="P3010" t="s">
        <v>1267</v>
      </c>
      <c r="Q3010" t="s">
        <v>19</v>
      </c>
      <c r="R3010" t="str">
        <f>HYPERLINK("https://cfpub.epa.gov/ecotox/explore.cfm?ncbi=1049336","Explore in ECOTOX")</f>
        <v>Explore in ECOTOX</v>
      </c>
    </row>
    <row r="3011" spans="1:18" x14ac:dyDescent="0.45">
      <c r="A3011" t="s">
        <v>1266</v>
      </c>
      <c r="B3011">
        <v>8</v>
      </c>
      <c r="C3011" t="str">
        <f>HYPERLINK("http://www.ncbi.nlm.nih.gov/protein/VDK40797.1","VDK40797.1")</f>
        <v>VDK40797.1</v>
      </c>
      <c r="D3011">
        <v>10501</v>
      </c>
      <c r="E3011" t="str">
        <f>HYPERLINK("http://www.ncbi.nlm.nih.gov/Taxonomy/Browser/wwwtax.cgi?mode=Info&amp;id=60517&amp;lvl=3&amp;lin=f&amp;keep=1&amp;srchmode=1&amp;unlock","60517")</f>
        <v>60517</v>
      </c>
      <c r="F3011" t="s">
        <v>1185</v>
      </c>
      <c r="G3011" t="str">
        <f>HYPERLINK("http://www.ncbi.nlm.nih.gov/Taxonomy/Browser/wwwtax.cgi?mode=Info&amp;id=60517&amp;lvl=3&amp;lin=f&amp;keep=1&amp;srchmode=1&amp;unlock","Taenia asiatica")</f>
        <v>Taenia asiatica</v>
      </c>
      <c r="H3011" t="s">
        <v>1204</v>
      </c>
      <c r="I3011" t="str">
        <f>HYPERLINK("http://www.ncbi.nlm.nih.gov/protein/VDK40797.1","unnamed protein product")</f>
        <v>unnamed protein product</v>
      </c>
      <c r="J3011">
        <v>910.98</v>
      </c>
      <c r="K3011" t="s">
        <v>19</v>
      </c>
      <c r="L3011">
        <v>1210</v>
      </c>
      <c r="M3011">
        <v>7.13</v>
      </c>
      <c r="N3011">
        <v>8.8800000000000008</v>
      </c>
      <c r="O3011" t="s">
        <v>19</v>
      </c>
      <c r="P3011" t="s">
        <v>1267</v>
      </c>
      <c r="Q3011" t="s">
        <v>19</v>
      </c>
      <c r="R3011" t="str">
        <f>HYPERLINK("https://cfpub.epa.gov/ecotox/explore.cfm?ncbi=60517","Explore in ECOTOX")</f>
        <v>Explore in ECOTOX</v>
      </c>
    </row>
    <row r="3012" spans="1:18" x14ac:dyDescent="0.45">
      <c r="A3012" t="s">
        <v>1266</v>
      </c>
      <c r="B3012">
        <v>8</v>
      </c>
      <c r="C3012" t="str">
        <f>HYPERLINK("http://www.ncbi.nlm.nih.gov/protein/KAF2986071.1","KAF2986071.1")</f>
        <v>KAF2986071.1</v>
      </c>
      <c r="D3012">
        <v>15084</v>
      </c>
      <c r="E3012" t="str">
        <f>HYPERLINK("http://www.ncbi.nlm.nih.gov/Taxonomy/Browser/wwwtax.cgi?mode=Info&amp;id=2498840&amp;lvl=3&amp;lin=f&amp;keep=1&amp;srchmode=1&amp;unlock","2498840")</f>
        <v>2498840</v>
      </c>
      <c r="F3012" t="s">
        <v>241</v>
      </c>
      <c r="G3012" t="str">
        <f>HYPERLINK("http://www.ncbi.nlm.nih.gov/Taxonomy/Browser/wwwtax.cgi?mode=Info&amp;id=2498840&amp;lvl=3&amp;lin=f&amp;keep=1&amp;srchmode=1&amp;unlock","Melospiza melodia maxima")</f>
        <v>Melospiza melodia maxima</v>
      </c>
      <c r="H3012" t="s">
        <v>1209</v>
      </c>
      <c r="I3012" t="str">
        <f>HYPERLINK("http://www.ncbi.nlm.nih.gov/protein/KAF2986071.1","hypothetical protein EK904_013706, partial")</f>
        <v>hypothetical protein EK904_013706, partial</v>
      </c>
      <c r="J3012">
        <v>908.67</v>
      </c>
      <c r="K3012" t="s">
        <v>19</v>
      </c>
      <c r="L3012">
        <v>1210</v>
      </c>
      <c r="M3012">
        <v>7.13</v>
      </c>
      <c r="N3012">
        <v>8.85</v>
      </c>
      <c r="O3012" t="s">
        <v>19</v>
      </c>
      <c r="P3012" t="s">
        <v>1267</v>
      </c>
      <c r="Q3012" t="s">
        <v>19</v>
      </c>
      <c r="R3012" t="str">
        <f>HYPERLINK("https://cfpub.epa.gov/ecotox/explore.cfm?ncbi=2498840","Explore in ECOTOX")</f>
        <v>Explore in ECOTOX</v>
      </c>
    </row>
    <row r="3013" spans="1:18" x14ac:dyDescent="0.45">
      <c r="A3013" t="s">
        <v>1266</v>
      </c>
      <c r="B3013">
        <v>8</v>
      </c>
      <c r="C3013" t="str">
        <f>HYPERLINK("http://www.ncbi.nlm.nih.gov/protein/XP_024347304.1","XP_024347304.1")</f>
        <v>XP_024347304.1</v>
      </c>
      <c r="D3013">
        <v>48135</v>
      </c>
      <c r="E3013" t="str">
        <f>HYPERLINK("http://www.ncbi.nlm.nih.gov/Taxonomy/Browser/wwwtax.cgi?mode=Info&amp;id=6210&amp;lvl=3&amp;lin=f&amp;keep=1&amp;srchmode=1&amp;unlock","6210")</f>
        <v>6210</v>
      </c>
      <c r="F3013" t="s">
        <v>1185</v>
      </c>
      <c r="G3013" t="str">
        <f>HYPERLINK("http://www.ncbi.nlm.nih.gov/Taxonomy/Browser/wwwtax.cgi?mode=Info&amp;id=6210&amp;lvl=3&amp;lin=f&amp;keep=1&amp;srchmode=1&amp;unlock","Echinococcus granulosus")</f>
        <v>Echinococcus granulosus</v>
      </c>
      <c r="H3013" t="s">
        <v>1186</v>
      </c>
      <c r="I3013" t="str">
        <f>HYPERLINK("http://www.ncbi.nlm.nih.gov/protein/XP_024347304.1","Ryanodine receptor 44F")</f>
        <v>Ryanodine receptor 44F</v>
      </c>
      <c r="J3013">
        <v>896.73</v>
      </c>
      <c r="K3013" t="s">
        <v>22</v>
      </c>
      <c r="L3013">
        <v>1210</v>
      </c>
      <c r="M3013">
        <v>7.13</v>
      </c>
      <c r="N3013">
        <v>8.74</v>
      </c>
      <c r="O3013" t="s">
        <v>19</v>
      </c>
      <c r="P3013" t="s">
        <v>1267</v>
      </c>
      <c r="Q3013" t="s">
        <v>19</v>
      </c>
      <c r="R3013" t="str">
        <f>HYPERLINK("https://cfpub.epa.gov/ecotox/explore.cfm?ncbi=6210","Explore in ECOTOX")</f>
        <v>Explore in ECOTOX</v>
      </c>
    </row>
    <row r="3014" spans="1:18" x14ac:dyDescent="0.45">
      <c r="A3014" t="s">
        <v>1266</v>
      </c>
      <c r="B3014">
        <v>8</v>
      </c>
      <c r="C3014" t="str">
        <f>HYPERLINK("http://www.ncbi.nlm.nih.gov/protein/CAG2056612.1","CAG2056612.1")</f>
        <v>CAG2056612.1</v>
      </c>
      <c r="D3014">
        <v>16673</v>
      </c>
      <c r="E3014" t="str">
        <f>HYPERLINK("http://www.ncbi.nlm.nih.gov/Taxonomy/Browser/wwwtax.cgi?mode=Info&amp;id=61482&amp;lvl=3&amp;lin=f&amp;keep=1&amp;srchmode=1&amp;unlock","61482")</f>
        <v>61482</v>
      </c>
      <c r="F3014" t="s">
        <v>760</v>
      </c>
      <c r="G3014" t="str">
        <f>HYPERLINK("http://www.ncbi.nlm.nih.gov/Taxonomy/Browser/wwwtax.cgi?mode=Info&amp;id=61482&amp;lvl=3&amp;lin=f&amp;keep=1&amp;srchmode=1&amp;unlock","Timema podura")</f>
        <v>Timema podura</v>
      </c>
      <c r="H3014" t="s">
        <v>1039</v>
      </c>
      <c r="I3014" t="str">
        <f>HYPERLINK("http://www.ncbi.nlm.nih.gov/protein/CAG2056612.1","unnamed protein product")</f>
        <v>unnamed protein product</v>
      </c>
      <c r="J3014">
        <v>852.05</v>
      </c>
      <c r="K3014" t="s">
        <v>19</v>
      </c>
      <c r="L3014">
        <v>1210</v>
      </c>
      <c r="M3014">
        <v>7.13</v>
      </c>
      <c r="N3014">
        <v>8.3000000000000007</v>
      </c>
      <c r="O3014" t="s">
        <v>19</v>
      </c>
      <c r="P3014" t="s">
        <v>1267</v>
      </c>
      <c r="Q3014" t="s">
        <v>19</v>
      </c>
      <c r="R3014" t="str">
        <f>HYPERLINK("https://cfpub.epa.gov/ecotox/explore.cfm?ncbi=61482","Explore in ECOTOX")</f>
        <v>Explore in ECOTOX</v>
      </c>
    </row>
    <row r="3015" spans="1:18" x14ac:dyDescent="0.45">
      <c r="A3015" t="s">
        <v>1266</v>
      </c>
      <c r="B3015">
        <v>8</v>
      </c>
      <c r="C3015" t="str">
        <f>HYPERLINK("http://www.ncbi.nlm.nih.gov/protein/CAD7230235.1","CAD7230235.1")</f>
        <v>CAD7230235.1</v>
      </c>
      <c r="D3015">
        <v>35749</v>
      </c>
      <c r="E3015" t="str">
        <f>HYPERLINK("http://www.ncbi.nlm.nih.gov/Taxonomy/Browser/wwwtax.cgi?mode=Info&amp;id=163714&amp;lvl=3&amp;lin=f&amp;keep=1&amp;srchmode=1&amp;unlock","163714")</f>
        <v>163714</v>
      </c>
      <c r="F3015" t="s">
        <v>1105</v>
      </c>
      <c r="G3015" t="str">
        <f>HYPERLINK("http://www.ncbi.nlm.nih.gov/Taxonomy/Browser/wwwtax.cgi?mode=Info&amp;id=163714&amp;lvl=3&amp;lin=f&amp;keep=1&amp;srchmode=1&amp;unlock","Cyprideis torosa")</f>
        <v>Cyprideis torosa</v>
      </c>
      <c r="H3015" t="s">
        <v>1106</v>
      </c>
      <c r="I3015" t="str">
        <f>HYPERLINK("http://www.ncbi.nlm.nih.gov/protein/CAD7230235.1","unnamed protein product")</f>
        <v>unnamed protein product</v>
      </c>
      <c r="J3015">
        <v>850.89</v>
      </c>
      <c r="K3015" t="s">
        <v>19</v>
      </c>
      <c r="L3015">
        <v>1210</v>
      </c>
      <c r="M3015">
        <v>7.13</v>
      </c>
      <c r="N3015">
        <v>8.2899999999999991</v>
      </c>
      <c r="O3015" t="s">
        <v>19</v>
      </c>
      <c r="P3015" t="s">
        <v>1267</v>
      </c>
      <c r="Q3015" t="s">
        <v>19</v>
      </c>
      <c r="R3015" t="str">
        <f>HYPERLINK("https://cfpub.epa.gov/ecotox/explore.cfm?ncbi=163714","Explore in ECOTOX")</f>
        <v>Explore in ECOTOX</v>
      </c>
    </row>
    <row r="3016" spans="1:18" x14ac:dyDescent="0.45">
      <c r="A3016" t="s">
        <v>1266</v>
      </c>
      <c r="B3016">
        <v>8</v>
      </c>
      <c r="C3016" t="str">
        <f>HYPERLINK("http://www.ncbi.nlm.nih.gov/protein/KAG9509881.1","KAG9509881.1")</f>
        <v>KAG9509881.1</v>
      </c>
      <c r="D3016">
        <v>3062</v>
      </c>
      <c r="E3016" t="str">
        <f>HYPERLINK("http://www.ncbi.nlm.nih.gov/Taxonomy/Browser/wwwtax.cgi?mode=Info&amp;id=1670756&amp;lvl=3&amp;lin=f&amp;keep=1&amp;srchmode=1&amp;unlock","1670756")</f>
        <v>1670756</v>
      </c>
      <c r="F3016" t="s">
        <v>904</v>
      </c>
      <c r="G3016" t="str">
        <f>HYPERLINK("http://www.ncbi.nlm.nih.gov/Taxonomy/Browser/wwwtax.cgi?mode=Info&amp;id=1670756&amp;lvl=3&amp;lin=f&amp;keep=1&amp;srchmode=1&amp;unlock","Fragariocoptes setiger")</f>
        <v>Fragariocoptes setiger</v>
      </c>
      <c r="H3016" t="s">
        <v>992</v>
      </c>
      <c r="I3016" t="str">
        <f>HYPERLINK("http://www.ncbi.nlm.nih.gov/protein/KAG9509881.1","Ryanodine receptor, partial")</f>
        <v>Ryanodine receptor, partial</v>
      </c>
      <c r="J3016">
        <v>846.27</v>
      </c>
      <c r="K3016" t="s">
        <v>19</v>
      </c>
      <c r="L3016">
        <v>1210</v>
      </c>
      <c r="M3016">
        <v>7.13</v>
      </c>
      <c r="N3016">
        <v>8.25</v>
      </c>
      <c r="O3016" t="s">
        <v>19</v>
      </c>
      <c r="P3016" t="s">
        <v>1267</v>
      </c>
      <c r="Q3016" t="s">
        <v>19</v>
      </c>
      <c r="R3016" t="str">
        <f>HYPERLINK("https://cfpub.epa.gov/ecotox/explore.cfm?ncbi=1670756","Explore in ECOTOX")</f>
        <v>Explore in ECOTOX</v>
      </c>
    </row>
    <row r="3017" spans="1:18" x14ac:dyDescent="0.45">
      <c r="A3017" t="s">
        <v>1266</v>
      </c>
      <c r="B3017">
        <v>8</v>
      </c>
      <c r="C3017" t="str">
        <f>HYPERLINK("http://www.ncbi.nlm.nih.gov/protein/MCL4120159.1","MCL4120159.1")</f>
        <v>MCL4120159.1</v>
      </c>
      <c r="D3017">
        <v>67989</v>
      </c>
      <c r="E3017" t="str">
        <f>HYPERLINK("http://www.ncbi.nlm.nih.gov/Taxonomy/Browser/wwwtax.cgi?mode=Info&amp;id=82763&amp;lvl=3&amp;lin=f&amp;keep=1&amp;srchmode=1&amp;unlock","82763")</f>
        <v>82763</v>
      </c>
      <c r="F3017" t="s">
        <v>779</v>
      </c>
      <c r="G3017" t="str">
        <f>HYPERLINK("http://www.ncbi.nlm.nih.gov/Taxonomy/Browser/wwwtax.cgi?mode=Info&amp;id=82763&amp;lvl=3&amp;lin=f&amp;keep=1&amp;srchmode=1&amp;unlock","Idotea baltica")</f>
        <v>Idotea baltica</v>
      </c>
      <c r="H3017" t="s">
        <v>1206</v>
      </c>
      <c r="I3017" t="str">
        <f>HYPERLINK("http://www.ncbi.nlm.nih.gov/protein/MCL4120159.1","hypothetical protein")</f>
        <v>hypothetical protein</v>
      </c>
      <c r="J3017">
        <v>833.94</v>
      </c>
      <c r="K3017" t="s">
        <v>19</v>
      </c>
      <c r="L3017">
        <v>1210</v>
      </c>
      <c r="M3017">
        <v>7.13</v>
      </c>
      <c r="N3017">
        <v>8.1300000000000008</v>
      </c>
      <c r="O3017" t="s">
        <v>19</v>
      </c>
      <c r="P3017" t="s">
        <v>1267</v>
      </c>
      <c r="Q3017" t="s">
        <v>19</v>
      </c>
      <c r="R3017" t="str">
        <f>HYPERLINK("https://cfpub.epa.gov/ecotox/explore.cfm?ncbi=82763","Explore in ECOTOX")</f>
        <v>Explore in ECOTOX</v>
      </c>
    </row>
    <row r="3018" spans="1:18" x14ac:dyDescent="0.45">
      <c r="A3018" t="s">
        <v>1266</v>
      </c>
      <c r="B3018">
        <v>8</v>
      </c>
      <c r="C3018" t="str">
        <f>HYPERLINK("http://www.ncbi.nlm.nih.gov/protein/XP_009173549.1","XP_009173549.1")</f>
        <v>XP_009173549.1</v>
      </c>
      <c r="D3018">
        <v>43645</v>
      </c>
      <c r="E3018" t="str">
        <f>HYPERLINK("http://www.ncbi.nlm.nih.gov/Taxonomy/Browser/wwwtax.cgi?mode=Info&amp;id=6198&amp;lvl=3&amp;lin=f&amp;keep=1&amp;srchmode=1&amp;unlock","6198")</f>
        <v>6198</v>
      </c>
      <c r="F3018" t="s">
        <v>1140</v>
      </c>
      <c r="G3018" t="str">
        <f>HYPERLINK("http://www.ncbi.nlm.nih.gov/Taxonomy/Browser/wwwtax.cgi?mode=Info&amp;id=6198&amp;lvl=3&amp;lin=f&amp;keep=1&amp;srchmode=1&amp;unlock","Opisthorchis viverrini")</f>
        <v>Opisthorchis viverrini</v>
      </c>
      <c r="H3018" t="s">
        <v>1205</v>
      </c>
      <c r="I3018" t="str">
        <f>HYPERLINK("http://www.ncbi.nlm.nih.gov/protein/XP_009173549.1","hypothetical protein T265_09254")</f>
        <v>hypothetical protein T265_09254</v>
      </c>
      <c r="J3018">
        <v>823.93</v>
      </c>
      <c r="K3018" t="s">
        <v>22</v>
      </c>
      <c r="L3018">
        <v>1210</v>
      </c>
      <c r="M3018">
        <v>7.13</v>
      </c>
      <c r="N3018">
        <v>8.0299999999999994</v>
      </c>
      <c r="O3018" t="s">
        <v>19</v>
      </c>
      <c r="P3018" t="s">
        <v>1267</v>
      </c>
      <c r="Q3018" t="s">
        <v>19</v>
      </c>
      <c r="R3018" t="str">
        <f>HYPERLINK("https://cfpub.epa.gov/ecotox/explore.cfm?ncbi=6198","Explore in ECOTOX")</f>
        <v>Explore in ECOTOX</v>
      </c>
    </row>
    <row r="3019" spans="1:18" x14ac:dyDescent="0.45">
      <c r="A3019" t="s">
        <v>1266</v>
      </c>
      <c r="B3019">
        <v>8</v>
      </c>
      <c r="C3019" t="str">
        <f>HYPERLINK("http://www.ncbi.nlm.nih.gov/protein/RWS25625.1","RWS25625.1")</f>
        <v>RWS25625.1</v>
      </c>
      <c r="D3019">
        <v>14717</v>
      </c>
      <c r="E3019" t="str">
        <f>HYPERLINK("http://www.ncbi.nlm.nih.gov/Taxonomy/Browser/wwwtax.cgi?mode=Info&amp;id=299467&amp;lvl=3&amp;lin=f&amp;keep=1&amp;srchmode=1&amp;unlock","299467")</f>
        <v>299467</v>
      </c>
      <c r="F3019" t="s">
        <v>904</v>
      </c>
      <c r="G3019" t="str">
        <f>HYPERLINK("http://www.ncbi.nlm.nih.gov/Taxonomy/Browser/wwwtax.cgi?mode=Info&amp;id=299467&amp;lvl=3&amp;lin=f&amp;keep=1&amp;srchmode=1&amp;unlock","Leptotrombidium deliense")</f>
        <v>Leptotrombidium deliense</v>
      </c>
      <c r="H3019" t="s">
        <v>1207</v>
      </c>
      <c r="I3019" t="str">
        <f>HYPERLINK("http://www.ncbi.nlm.nih.gov/protein/RWS25625.1","ryanodine receptor-like protein, partial")</f>
        <v>ryanodine receptor-like protein, partial</v>
      </c>
      <c r="J3019">
        <v>798.12</v>
      </c>
      <c r="K3019" t="s">
        <v>22</v>
      </c>
      <c r="L3019">
        <v>1210</v>
      </c>
      <c r="M3019">
        <v>7.13</v>
      </c>
      <c r="N3019">
        <v>7.78</v>
      </c>
      <c r="O3019" t="s">
        <v>19</v>
      </c>
      <c r="P3019" t="s">
        <v>1267</v>
      </c>
      <c r="Q3019" t="s">
        <v>19</v>
      </c>
      <c r="R3019" t="str">
        <f>HYPERLINK("https://cfpub.epa.gov/ecotox/explore.cfm?ncbi=299467","Explore in ECOTOX")</f>
        <v>Explore in ECOTOX</v>
      </c>
    </row>
    <row r="3020" spans="1:18" x14ac:dyDescent="0.45">
      <c r="A3020" t="s">
        <v>1266</v>
      </c>
      <c r="B3020">
        <v>8</v>
      </c>
      <c r="C3020" t="str">
        <f>HYPERLINK("http://www.ncbi.nlm.nih.gov/protein/KAJ8926556.1","KAJ8926556.1")</f>
        <v>KAJ8926556.1</v>
      </c>
      <c r="D3020">
        <v>19424</v>
      </c>
      <c r="E3020" t="str">
        <f>HYPERLINK("http://www.ncbi.nlm.nih.gov/Taxonomy/Browser/wwwtax.cgi?mode=Info&amp;id=1586634&amp;lvl=3&amp;lin=f&amp;keep=1&amp;srchmode=1&amp;unlock","1586634")</f>
        <v>1586634</v>
      </c>
      <c r="F3020" t="s">
        <v>760</v>
      </c>
      <c r="G3020" t="str">
        <f>HYPERLINK("http://www.ncbi.nlm.nih.gov/Taxonomy/Browser/wwwtax.cgi?mode=Info&amp;id=1586634&amp;lvl=3&amp;lin=f&amp;keep=1&amp;srchmode=1&amp;unlock","Rhamnusium bicolor")</f>
        <v>Rhamnusium bicolor</v>
      </c>
      <c r="H3020" t="s">
        <v>1115</v>
      </c>
      <c r="I3020" t="str">
        <f>HYPERLINK("http://www.ncbi.nlm.nih.gov/protein/KAJ8926556.1","hypothetical protein NQ314_021073")</f>
        <v>hypothetical protein NQ314_021073</v>
      </c>
      <c r="J3020">
        <v>794.65</v>
      </c>
      <c r="K3020" t="s">
        <v>22</v>
      </c>
      <c r="L3020">
        <v>1210</v>
      </c>
      <c r="M3020">
        <v>7.13</v>
      </c>
      <c r="N3020">
        <v>7.74</v>
      </c>
      <c r="O3020" t="s">
        <v>19</v>
      </c>
      <c r="P3020" t="s">
        <v>1267</v>
      </c>
      <c r="Q3020" t="s">
        <v>19</v>
      </c>
      <c r="R3020" t="str">
        <f>HYPERLINK("https://cfpub.epa.gov/ecotox/explore.cfm?ncbi=1586634","Explore in ECOTOX")</f>
        <v>Explore in ECOTOX</v>
      </c>
    </row>
    <row r="3021" spans="1:18" x14ac:dyDescent="0.45">
      <c r="A3021" t="s">
        <v>1266</v>
      </c>
      <c r="B3021">
        <v>8</v>
      </c>
      <c r="C3021" t="str">
        <f>HYPERLINK("http://www.ncbi.nlm.nih.gov/protein/XP_019855347.1","XP_019855347.1")</f>
        <v>XP_019855347.1</v>
      </c>
      <c r="D3021">
        <v>23631</v>
      </c>
      <c r="E3021" t="str">
        <f>HYPERLINK("http://www.ncbi.nlm.nih.gov/Taxonomy/Browser/wwwtax.cgi?mode=Info&amp;id=400682&amp;lvl=3&amp;lin=f&amp;keep=1&amp;srchmode=1&amp;unlock","400682")</f>
        <v>400682</v>
      </c>
      <c r="F3021" t="s">
        <v>1210</v>
      </c>
      <c r="G3021" t="str">
        <f>HYPERLINK("http://www.ncbi.nlm.nih.gov/Taxonomy/Browser/wwwtax.cgi?mode=Info&amp;id=400682&amp;lvl=3&amp;lin=f&amp;keep=1&amp;srchmode=1&amp;unlock","Amphimedon queenslandica")</f>
        <v>Amphimedon queenslandica</v>
      </c>
      <c r="H3021" t="s">
        <v>1211</v>
      </c>
      <c r="I3021" t="str">
        <f>HYPERLINK("http://www.ncbi.nlm.nih.gov/protein/XP_019855347.1","PREDICTED: ryanodine receptor 2")</f>
        <v>PREDICTED: ryanodine receptor 2</v>
      </c>
      <c r="J3021">
        <v>780.4</v>
      </c>
      <c r="K3021" t="s">
        <v>19</v>
      </c>
      <c r="L3021">
        <v>1210</v>
      </c>
      <c r="M3021">
        <v>7.13</v>
      </c>
      <c r="N3021">
        <v>7.6</v>
      </c>
      <c r="O3021" t="s">
        <v>19</v>
      </c>
      <c r="P3021" t="s">
        <v>1267</v>
      </c>
      <c r="Q3021" t="s">
        <v>19</v>
      </c>
      <c r="R3021" t="str">
        <f>HYPERLINK("https://cfpub.epa.gov/ecotox/explore.cfm?ncbi=400682","Explore in ECOTOX")</f>
        <v>Explore in ECOTOX</v>
      </c>
    </row>
    <row r="3022" spans="1:18" x14ac:dyDescent="0.45">
      <c r="A3022" t="s">
        <v>1266</v>
      </c>
      <c r="B3022">
        <v>8</v>
      </c>
      <c r="C3022" t="str">
        <f>HYPERLINK("http://www.ncbi.nlm.nih.gov/protein/VDO05596.1","VDO05596.1")</f>
        <v>VDO05596.1</v>
      </c>
      <c r="D3022">
        <v>13761</v>
      </c>
      <c r="E3022" t="str">
        <f>HYPERLINK("http://www.ncbi.nlm.nih.gov/Taxonomy/Browser/wwwtax.cgi?mode=Info&amp;id=102285&amp;lvl=3&amp;lin=f&amp;keep=1&amp;srchmode=1&amp;unlock","102285")</f>
        <v>102285</v>
      </c>
      <c r="F3022" t="s">
        <v>1185</v>
      </c>
      <c r="G3022" t="str">
        <f>HYPERLINK("http://www.ncbi.nlm.nih.gov/Taxonomy/Browser/wwwtax.cgi?mode=Info&amp;id=102285&amp;lvl=3&amp;lin=f&amp;keep=1&amp;srchmode=1&amp;unlock","Rodentolepis nana")</f>
        <v>Rodentolepis nana</v>
      </c>
      <c r="H3022" t="s">
        <v>1186</v>
      </c>
      <c r="I3022" t="str">
        <f>HYPERLINK("http://www.ncbi.nlm.nih.gov/protein/VDO05596.1","unnamed protein product")</f>
        <v>unnamed protein product</v>
      </c>
      <c r="J3022">
        <v>760.37</v>
      </c>
      <c r="K3022" t="s">
        <v>19</v>
      </c>
      <c r="L3022">
        <v>1210</v>
      </c>
      <c r="M3022">
        <v>7.13</v>
      </c>
      <c r="N3022">
        <v>7.41</v>
      </c>
      <c r="O3022" t="s">
        <v>19</v>
      </c>
      <c r="P3022" t="s">
        <v>1267</v>
      </c>
      <c r="Q3022" t="s">
        <v>19</v>
      </c>
      <c r="R3022" t="str">
        <f>HYPERLINK("https://cfpub.epa.gov/ecotox/explore.cfm?ncbi=102285","Explore in ECOTOX")</f>
        <v>Explore in ECOTOX</v>
      </c>
    </row>
    <row r="3023" spans="1:18" x14ac:dyDescent="0.45">
      <c r="A3023" t="s">
        <v>1266</v>
      </c>
      <c r="B3023">
        <v>8</v>
      </c>
      <c r="C3023" t="str">
        <f>HYPERLINK("http://www.ncbi.nlm.nih.gov/protein/CDS38121.1","CDS38121.1")</f>
        <v>CDS38121.1</v>
      </c>
      <c r="D3023">
        <v>11701</v>
      </c>
      <c r="E3023" t="str">
        <f>HYPERLINK("http://www.ncbi.nlm.nih.gov/Taxonomy/Browser/wwwtax.cgi?mode=Info&amp;id=6211&amp;lvl=3&amp;lin=f&amp;keep=1&amp;srchmode=1&amp;unlock","6211")</f>
        <v>6211</v>
      </c>
      <c r="F3023" t="s">
        <v>1185</v>
      </c>
      <c r="G3023" t="str">
        <f>HYPERLINK("http://www.ncbi.nlm.nih.gov/Taxonomy/Browser/wwwtax.cgi?mode=Info&amp;id=6211&amp;lvl=3&amp;lin=f&amp;keep=1&amp;srchmode=1&amp;unlock","Echinococcus multilocularis")</f>
        <v>Echinococcus multilocularis</v>
      </c>
      <c r="H3023" t="s">
        <v>1186</v>
      </c>
      <c r="I3023" t="str">
        <f>HYPERLINK("http://www.ncbi.nlm.nih.gov/protein/CDS38121.1","ryanodine receptor 44f")</f>
        <v>ryanodine receptor 44f</v>
      </c>
      <c r="J3023">
        <v>742.26</v>
      </c>
      <c r="K3023" t="s">
        <v>22</v>
      </c>
      <c r="L3023">
        <v>1210</v>
      </c>
      <c r="M3023">
        <v>7.13</v>
      </c>
      <c r="N3023">
        <v>7.23</v>
      </c>
      <c r="O3023" t="s">
        <v>19</v>
      </c>
      <c r="P3023" t="s">
        <v>1267</v>
      </c>
      <c r="Q3023" t="s">
        <v>19</v>
      </c>
      <c r="R3023" t="str">
        <f>HYPERLINK("https://cfpub.epa.gov/ecotox/explore.cfm?ncbi=6211","Explore in ECOTOX")</f>
        <v>Explore in ECOTOX</v>
      </c>
    </row>
    <row r="3024" spans="1:18" x14ac:dyDescent="0.45">
      <c r="A3024" t="s">
        <v>1266</v>
      </c>
      <c r="B3024">
        <v>8</v>
      </c>
      <c r="C3024" t="str">
        <f>HYPERLINK("http://www.ncbi.nlm.nih.gov/protein/CAJ0957704.1","CAJ0957704.1")</f>
        <v>CAJ0957704.1</v>
      </c>
      <c r="D3024">
        <v>25721</v>
      </c>
      <c r="E3024" t="str">
        <f>HYPERLINK("http://www.ncbi.nlm.nih.gov/Taxonomy/Browser/wwwtax.cgi?mode=Info&amp;id=111125&amp;lvl=3&amp;lin=f&amp;keep=1&amp;srchmode=1&amp;unlock","111125")</f>
        <v>111125</v>
      </c>
      <c r="F3024" t="s">
        <v>177</v>
      </c>
      <c r="G3024" t="str">
        <f>HYPERLINK("http://www.ncbi.nlm.nih.gov/Taxonomy/Browser/wwwtax.cgi?mode=Info&amp;id=111125&amp;lvl=3&amp;lin=f&amp;keep=1&amp;srchmode=1&amp;unlock","Ranitomeya imitator")</f>
        <v>Ranitomeya imitator</v>
      </c>
      <c r="H3024" t="s">
        <v>1270</v>
      </c>
      <c r="I3024" t="str">
        <f>HYPERLINK("http://www.ncbi.nlm.nih.gov/protein/CAJ0957704.1","unnamed protein product")</f>
        <v>unnamed protein product</v>
      </c>
      <c r="J3024">
        <v>738.8</v>
      </c>
      <c r="K3024" t="s">
        <v>22</v>
      </c>
      <c r="L3024">
        <v>1210</v>
      </c>
      <c r="M3024">
        <v>7.13</v>
      </c>
      <c r="N3024">
        <v>7.2</v>
      </c>
      <c r="O3024" t="s">
        <v>19</v>
      </c>
      <c r="P3024" t="s">
        <v>1267</v>
      </c>
      <c r="Q3024" t="s">
        <v>19</v>
      </c>
      <c r="R3024" t="str">
        <f>HYPERLINK("https://cfpub.epa.gov/ecotox/explore.cfm?ncbi=111125","Explore in ECOTOX")</f>
        <v>Explore in ECOTOX</v>
      </c>
    </row>
    <row r="3025" spans="1:18" x14ac:dyDescent="0.45">
      <c r="A3025" t="s">
        <v>1266</v>
      </c>
      <c r="B3025">
        <v>8</v>
      </c>
      <c r="C3025" t="str">
        <f>HYPERLINK("http://www.ncbi.nlm.nih.gov/protein/XP_035829329.1","XP_035829329.1")</f>
        <v>XP_035829329.1</v>
      </c>
      <c r="D3025">
        <v>27924</v>
      </c>
      <c r="E3025" t="str">
        <f>HYPERLINK("http://www.ncbi.nlm.nih.gov/Taxonomy/Browser/wwwtax.cgi?mode=Info&amp;id=6500&amp;lvl=3&amp;lin=f&amp;keep=1&amp;srchmode=1&amp;unlock","6500")</f>
        <v>6500</v>
      </c>
      <c r="F3025" t="s">
        <v>757</v>
      </c>
      <c r="G3025" t="str">
        <f>HYPERLINK("http://www.ncbi.nlm.nih.gov/Taxonomy/Browser/wwwtax.cgi?mode=Info&amp;id=6500&amp;lvl=3&amp;lin=f&amp;keep=1&amp;srchmode=1&amp;unlock","Aplysia californica")</f>
        <v>Aplysia californica</v>
      </c>
      <c r="H3025" t="s">
        <v>1208</v>
      </c>
      <c r="I3025" t="str">
        <f>HYPERLINK("http://www.ncbi.nlm.nih.gov/protein/XP_035829329.1","LOW QUALITY PROTEIN: ryanodine receptor")</f>
        <v>LOW QUALITY PROTEIN: ryanodine receptor</v>
      </c>
      <c r="J3025">
        <v>731.87</v>
      </c>
      <c r="K3025" t="s">
        <v>19</v>
      </c>
      <c r="L3025">
        <v>1210</v>
      </c>
      <c r="M3025">
        <v>7.13</v>
      </c>
      <c r="N3025">
        <v>7.13</v>
      </c>
      <c r="O3025" t="s">
        <v>19</v>
      </c>
      <c r="P3025" t="s">
        <v>1267</v>
      </c>
      <c r="Q3025" t="s">
        <v>19</v>
      </c>
      <c r="R3025" t="str">
        <f>HYPERLINK("https://cfpub.epa.gov/ecotox/explore.cfm?ncbi=6500","Explore in ECOTOX")</f>
        <v>Explore in ECOTOX</v>
      </c>
    </row>
    <row r="3026" spans="1:18" x14ac:dyDescent="0.45">
      <c r="A3026" t="s">
        <v>1266</v>
      </c>
      <c r="B3026">
        <v>8</v>
      </c>
      <c r="C3026" t="str">
        <f>HYPERLINK("http://www.ncbi.nlm.nih.gov/protein/KOB76511.1","KOB76511.1")</f>
        <v>KOB76511.1</v>
      </c>
      <c r="D3026">
        <v>17113</v>
      </c>
      <c r="E3026" t="str">
        <f>HYPERLINK("http://www.ncbi.nlm.nih.gov/Taxonomy/Browser/wwwtax.cgi?mode=Info&amp;id=104452&amp;lvl=3&amp;lin=f&amp;keep=1&amp;srchmode=1&amp;unlock","104452")</f>
        <v>104452</v>
      </c>
      <c r="F3026" t="s">
        <v>760</v>
      </c>
      <c r="G3026" t="str">
        <f>HYPERLINK("http://www.ncbi.nlm.nih.gov/Taxonomy/Browser/wwwtax.cgi?mode=Info&amp;id=104452&amp;lvl=3&amp;lin=f&amp;keep=1&amp;srchmode=1&amp;unlock","Operophtera brumata")</f>
        <v>Operophtera brumata</v>
      </c>
      <c r="H3026" t="s">
        <v>1212</v>
      </c>
      <c r="I3026" t="str">
        <f>HYPERLINK("http://www.ncbi.nlm.nih.gov/protein/KOB76511.1","Ryanodine receptor 44F, partial")</f>
        <v>Ryanodine receptor 44F, partial</v>
      </c>
      <c r="J3026">
        <v>724.55</v>
      </c>
      <c r="K3026" t="s">
        <v>22</v>
      </c>
      <c r="L3026">
        <v>1210</v>
      </c>
      <c r="M3026">
        <v>7.13</v>
      </c>
      <c r="N3026">
        <v>7.06</v>
      </c>
      <c r="O3026" t="s">
        <v>19</v>
      </c>
      <c r="P3026" t="s">
        <v>1267</v>
      </c>
      <c r="Q3026" t="s">
        <v>19</v>
      </c>
      <c r="R3026" t="str">
        <f>HYPERLINK("https://cfpub.epa.gov/ecotox/explore.cfm?ncbi=104452","Explore in ECOTOX")</f>
        <v>Explore in ECOTOX</v>
      </c>
    </row>
    <row r="3027" spans="1:18" x14ac:dyDescent="0.45">
      <c r="A3027" t="s">
        <v>1266</v>
      </c>
      <c r="B3027">
        <v>8</v>
      </c>
      <c r="C3027" t="str">
        <f>HYPERLINK("http://www.ncbi.nlm.nih.gov/protein/KIH62211.1","KIH62211.1")</f>
        <v>KIH62211.1</v>
      </c>
      <c r="D3027">
        <v>27573</v>
      </c>
      <c r="E3027" t="str">
        <f>HYPERLINK("http://www.ncbi.nlm.nih.gov/Taxonomy/Browser/wwwtax.cgi?mode=Info&amp;id=51022&amp;lvl=3&amp;lin=f&amp;keep=1&amp;srchmode=1&amp;unlock","51022")</f>
        <v>51022</v>
      </c>
      <c r="F3027" t="s">
        <v>1024</v>
      </c>
      <c r="G3027" t="str">
        <f>HYPERLINK("http://www.ncbi.nlm.nih.gov/Taxonomy/Browser/wwwtax.cgi?mode=Info&amp;id=51022&amp;lvl=3&amp;lin=f&amp;keep=1&amp;srchmode=1&amp;unlock","Ancylostoma duodenale")</f>
        <v>Ancylostoma duodenale</v>
      </c>
      <c r="H3027" t="s">
        <v>1025</v>
      </c>
      <c r="I3027" t="str">
        <f>HYPERLINK("http://www.ncbi.nlm.nih.gov/protein/KIH62211.1","RIH domain protein")</f>
        <v>RIH domain protein</v>
      </c>
      <c r="J3027">
        <v>692.58</v>
      </c>
      <c r="K3027" t="s">
        <v>22</v>
      </c>
      <c r="L3027">
        <v>1210</v>
      </c>
      <c r="M3027">
        <v>7.13</v>
      </c>
      <c r="N3027">
        <v>6.75</v>
      </c>
      <c r="O3027" t="s">
        <v>19</v>
      </c>
      <c r="P3027" t="s">
        <v>1267</v>
      </c>
      <c r="Q3027" t="s">
        <v>19</v>
      </c>
      <c r="R3027" t="str">
        <f>HYPERLINK("https://cfpub.epa.gov/ecotox/explore.cfm?ncbi=51022","Explore in ECOTOX")</f>
        <v>Explore in ECOTOX</v>
      </c>
    </row>
    <row r="3028" spans="1:18" x14ac:dyDescent="0.45">
      <c r="A3028" t="s">
        <v>1266</v>
      </c>
      <c r="B3028">
        <v>8</v>
      </c>
      <c r="C3028" t="str">
        <f>HYPERLINK("http://www.ncbi.nlm.nih.gov/protein/KJH53389.1","KJH53389.1")</f>
        <v>KJH53389.1</v>
      </c>
      <c r="D3028">
        <v>14346</v>
      </c>
      <c r="E3028" t="str">
        <f>HYPERLINK("http://www.ncbi.nlm.nih.gov/Taxonomy/Browser/wwwtax.cgi?mode=Info&amp;id=29172&amp;lvl=3&amp;lin=f&amp;keep=1&amp;srchmode=1&amp;unlock","29172")</f>
        <v>29172</v>
      </c>
      <c r="F3028" t="s">
        <v>1024</v>
      </c>
      <c r="G3028" t="str">
        <f>HYPERLINK("http://www.ncbi.nlm.nih.gov/Taxonomy/Browser/wwwtax.cgi?mode=Info&amp;id=29172&amp;lvl=3&amp;lin=f&amp;keep=1&amp;srchmode=1&amp;unlock","Dictyocaulus viviparus")</f>
        <v>Dictyocaulus viviparus</v>
      </c>
      <c r="H3028" t="s">
        <v>1201</v>
      </c>
      <c r="I3028" t="str">
        <f>HYPERLINK("http://www.ncbi.nlm.nih.gov/protein/KJH53389.1","RIH domain protein")</f>
        <v>RIH domain protein</v>
      </c>
      <c r="J3028">
        <v>685.64</v>
      </c>
      <c r="K3028" t="s">
        <v>19</v>
      </c>
      <c r="L3028">
        <v>1210</v>
      </c>
      <c r="M3028">
        <v>7.13</v>
      </c>
      <c r="N3028">
        <v>6.68</v>
      </c>
      <c r="O3028" t="s">
        <v>19</v>
      </c>
      <c r="P3028" t="s">
        <v>1267</v>
      </c>
      <c r="Q3028" t="s">
        <v>19</v>
      </c>
      <c r="R3028" t="str">
        <f>HYPERLINK("https://cfpub.epa.gov/ecotox/explore.cfm?ncbi=29172","Explore in ECOTOX")</f>
        <v>Explore in ECOTOX</v>
      </c>
    </row>
    <row r="3029" spans="1:18" x14ac:dyDescent="0.45">
      <c r="A3029" t="s">
        <v>1266</v>
      </c>
      <c r="B3029">
        <v>8</v>
      </c>
      <c r="C3029" t="str">
        <f>HYPERLINK("http://www.ncbi.nlm.nih.gov/protein/CAH8289697.1","CAH8289697.1")</f>
        <v>CAH8289697.1</v>
      </c>
      <c r="D3029">
        <v>13488</v>
      </c>
      <c r="E3029" t="str">
        <f>HYPERLINK("http://www.ncbi.nlm.nih.gov/Taxonomy/Browser/wwwtax.cgi?mode=Info&amp;id=1163369&amp;lvl=3&amp;lin=f&amp;keep=1&amp;srchmode=1&amp;unlock","1163369")</f>
        <v>1163369</v>
      </c>
      <c r="F3029" t="s">
        <v>1140</v>
      </c>
      <c r="G3029" t="str">
        <f>HYPERLINK("http://www.ncbi.nlm.nih.gov/Taxonomy/Browser/wwwtax.cgi?mode=Info&amp;id=1163369&amp;lvl=3&amp;lin=f&amp;keep=1&amp;srchmode=1&amp;unlock","Schistosoma turkestanicum")</f>
        <v>Schistosoma turkestanicum</v>
      </c>
      <c r="H3029" t="s">
        <v>1141</v>
      </c>
      <c r="I3029" t="str">
        <f>HYPERLINK("http://www.ncbi.nlm.nih.gov/protein/CAH8289697.1","unnamed protein product, partial")</f>
        <v>unnamed protein product, partial</v>
      </c>
      <c r="J3029">
        <v>644.80999999999995</v>
      </c>
      <c r="K3029" t="s">
        <v>22</v>
      </c>
      <c r="L3029">
        <v>1210</v>
      </c>
      <c r="M3029">
        <v>7.13</v>
      </c>
      <c r="N3029">
        <v>6.28</v>
      </c>
      <c r="O3029" t="s">
        <v>19</v>
      </c>
      <c r="P3029" t="s">
        <v>1267</v>
      </c>
      <c r="Q3029" t="s">
        <v>19</v>
      </c>
      <c r="R3029" t="str">
        <f>HYPERLINK("https://cfpub.epa.gov/ecotox/explore.cfm?ncbi=1163369","Explore in ECOTOX")</f>
        <v>Explore in ECOTOX</v>
      </c>
    </row>
    <row r="3030" spans="1:18" x14ac:dyDescent="0.45">
      <c r="A3030" t="s">
        <v>1266</v>
      </c>
      <c r="B3030">
        <v>8</v>
      </c>
      <c r="C3030" t="str">
        <f>HYPERLINK("http://www.ncbi.nlm.nih.gov/protein/PIO64936.1","PIO64936.1")</f>
        <v>PIO64936.1</v>
      </c>
      <c r="D3030">
        <v>25770</v>
      </c>
      <c r="E3030" t="str">
        <f>HYPERLINK("http://www.ncbi.nlm.nih.gov/Taxonomy/Browser/wwwtax.cgi?mode=Info&amp;id=45464&amp;lvl=3&amp;lin=f&amp;keep=1&amp;srchmode=1&amp;unlock","45464")</f>
        <v>45464</v>
      </c>
      <c r="F3030" t="s">
        <v>1024</v>
      </c>
      <c r="G3030" t="str">
        <f>HYPERLINK("http://www.ncbi.nlm.nih.gov/Taxonomy/Browser/wwwtax.cgi?mode=Info&amp;id=45464&amp;lvl=3&amp;lin=f&amp;keep=1&amp;srchmode=1&amp;unlock","Teladorsagia circumcincta")</f>
        <v>Teladorsagia circumcincta</v>
      </c>
      <c r="H3030" t="s">
        <v>1025</v>
      </c>
      <c r="I3030" t="str">
        <f>HYPERLINK("http://www.ncbi.nlm.nih.gov/protein/PIO64936.1","EF hand, partial")</f>
        <v>EF hand, partial</v>
      </c>
      <c r="J3030">
        <v>635.57000000000005</v>
      </c>
      <c r="K3030" t="s">
        <v>19</v>
      </c>
      <c r="L3030">
        <v>1210</v>
      </c>
      <c r="M3030">
        <v>7.13</v>
      </c>
      <c r="N3030">
        <v>6.19</v>
      </c>
      <c r="O3030" t="s">
        <v>19</v>
      </c>
      <c r="P3030" t="s">
        <v>1267</v>
      </c>
      <c r="Q3030" t="s">
        <v>19</v>
      </c>
      <c r="R3030" t="str">
        <f>HYPERLINK("https://cfpub.epa.gov/ecotox/explore.cfm?ncbi=45464","Explore in ECOTOX")</f>
        <v>Explore in ECOTOX</v>
      </c>
    </row>
    <row r="3031" spans="1:18" x14ac:dyDescent="0.45">
      <c r="A3031" t="s">
        <v>1266</v>
      </c>
      <c r="B3031">
        <v>8</v>
      </c>
      <c r="C3031" t="str">
        <f>HYPERLINK("http://www.ncbi.nlm.nih.gov/protein/QCS27672.1","QCS27672.1")</f>
        <v>QCS27672.1</v>
      </c>
      <c r="D3031">
        <v>82</v>
      </c>
      <c r="E3031" t="str">
        <f>HYPERLINK("http://www.ncbi.nlm.nih.gov/Taxonomy/Browser/wwwtax.cgi?mode=Info&amp;id=208526&amp;lvl=3&amp;lin=f&amp;keep=1&amp;srchmode=1&amp;unlock","208526")</f>
        <v>208526</v>
      </c>
      <c r="F3031" t="s">
        <v>241</v>
      </c>
      <c r="G3031" t="str">
        <f>HYPERLINK("http://www.ncbi.nlm.nih.gov/Taxonomy/Browser/wwwtax.cgi?mode=Info&amp;id=208526&amp;lvl=3&amp;lin=f&amp;keep=1&amp;srchmode=1&amp;unlock","Gallus gallus gallus")</f>
        <v>Gallus gallus gallus</v>
      </c>
      <c r="H3031" t="s">
        <v>242</v>
      </c>
      <c r="I3031" t="str">
        <f>HYPERLINK("http://www.ncbi.nlm.nih.gov/protein/QCS27672.1","ryanodine receptor 2, partial")</f>
        <v>ryanodine receptor 2, partial</v>
      </c>
      <c r="J3031">
        <v>632.1</v>
      </c>
      <c r="K3031" t="s">
        <v>22</v>
      </c>
      <c r="L3031">
        <v>1210</v>
      </c>
      <c r="M3031">
        <v>7.13</v>
      </c>
      <c r="N3031">
        <v>6.16</v>
      </c>
      <c r="O3031" t="s">
        <v>19</v>
      </c>
      <c r="P3031" t="s">
        <v>1267</v>
      </c>
      <c r="Q3031" t="s">
        <v>19</v>
      </c>
      <c r="R3031" t="str">
        <f>HYPERLINK("https://cfpub.epa.gov/ecotox/explore.cfm?ncbi=208526","Explore in ECOTOX")</f>
        <v>Explore in ECOTOX</v>
      </c>
    </row>
    <row r="3032" spans="1:18" x14ac:dyDescent="0.45">
      <c r="A3032" t="s">
        <v>1266</v>
      </c>
      <c r="B3032">
        <v>8</v>
      </c>
      <c r="C3032" t="str">
        <f>HYPERLINK("http://www.ncbi.nlm.nih.gov/protein/CAI8034631.1","CAI8034631.1")</f>
        <v>CAI8034631.1</v>
      </c>
      <c r="D3032">
        <v>61260</v>
      </c>
      <c r="E3032" t="str">
        <f>HYPERLINK("http://www.ncbi.nlm.nih.gov/Taxonomy/Browser/wwwtax.cgi?mode=Info&amp;id=519541&amp;lvl=3&amp;lin=f&amp;keep=1&amp;srchmode=1&amp;unlock","519541")</f>
        <v>519541</v>
      </c>
      <c r="F3032" t="s">
        <v>1210</v>
      </c>
      <c r="G3032" t="str">
        <f>HYPERLINK("http://www.ncbi.nlm.nih.gov/Taxonomy/Browser/wwwtax.cgi?mode=Info&amp;id=519541&amp;lvl=3&amp;lin=f&amp;keep=1&amp;srchmode=1&amp;unlock","Geodia barretti")</f>
        <v>Geodia barretti</v>
      </c>
      <c r="H3032" t="s">
        <v>1211</v>
      </c>
      <c r="I3032" t="str">
        <f>HYPERLINK("http://www.ncbi.nlm.nih.gov/protein/CAI8034631.1","Ryanodine receptor 3")</f>
        <v>Ryanodine receptor 3</v>
      </c>
      <c r="J3032">
        <v>622.08000000000004</v>
      </c>
      <c r="K3032" t="s">
        <v>22</v>
      </c>
      <c r="L3032">
        <v>1210</v>
      </c>
      <c r="M3032">
        <v>7.13</v>
      </c>
      <c r="N3032">
        <v>6.06</v>
      </c>
      <c r="O3032" t="s">
        <v>19</v>
      </c>
      <c r="P3032" t="s">
        <v>1267</v>
      </c>
      <c r="Q3032" t="s">
        <v>19</v>
      </c>
      <c r="R3032" t="str">
        <f>HYPERLINK("https://cfpub.epa.gov/ecotox/explore.cfm?ncbi=519541","Explore in ECOTOX")</f>
        <v>Explore in ECOTOX</v>
      </c>
    </row>
    <row r="3033" spans="1:18" x14ac:dyDescent="0.45">
      <c r="A3033" t="s">
        <v>1266</v>
      </c>
      <c r="B3033">
        <v>8</v>
      </c>
      <c r="C3033" t="str">
        <f>HYPERLINK("http://www.ncbi.nlm.nih.gov/protein/PSN30490.1","PSN30490.1")</f>
        <v>PSN30490.1</v>
      </c>
      <c r="D3033">
        <v>30233</v>
      </c>
      <c r="E3033" t="str">
        <f>HYPERLINK("http://www.ncbi.nlm.nih.gov/Taxonomy/Browser/wwwtax.cgi?mode=Info&amp;id=6973&amp;lvl=3&amp;lin=f&amp;keep=1&amp;srchmode=1&amp;unlock","6973")</f>
        <v>6973</v>
      </c>
      <c r="F3033" t="s">
        <v>760</v>
      </c>
      <c r="G3033" t="str">
        <f>HYPERLINK("http://www.ncbi.nlm.nih.gov/Taxonomy/Browser/wwwtax.cgi?mode=Info&amp;id=6973&amp;lvl=3&amp;lin=f&amp;keep=1&amp;srchmode=1&amp;unlock","Blattella germanica")</f>
        <v>Blattella germanica</v>
      </c>
      <c r="H3033" t="s">
        <v>1214</v>
      </c>
      <c r="I3033" t="str">
        <f>HYPERLINK("http://www.ncbi.nlm.nih.gov/protein/PSN30490.1","Ryanodine receptor")</f>
        <v>Ryanodine receptor</v>
      </c>
      <c r="J3033">
        <v>607.45000000000005</v>
      </c>
      <c r="K3033" t="s">
        <v>22</v>
      </c>
      <c r="L3033">
        <v>1210</v>
      </c>
      <c r="M3033">
        <v>7.13</v>
      </c>
      <c r="N3033">
        <v>5.92</v>
      </c>
      <c r="O3033" t="s">
        <v>19</v>
      </c>
      <c r="P3033" t="s">
        <v>1267</v>
      </c>
      <c r="Q3033" t="s">
        <v>19</v>
      </c>
      <c r="R3033" t="str">
        <f>HYPERLINK("https://cfpub.epa.gov/ecotox/explore.cfm?ncbi=6973","Explore in ECOTOX")</f>
        <v>Explore in ECOTOX</v>
      </c>
    </row>
    <row r="3034" spans="1:18" x14ac:dyDescent="0.45">
      <c r="A3034" t="s">
        <v>1266</v>
      </c>
      <c r="B3034">
        <v>8</v>
      </c>
      <c r="C3034" t="str">
        <f>HYPERLINK("http://www.ncbi.nlm.nih.gov/protein/KAG0431611.1","KAG0431611.1")</f>
        <v>KAG0431611.1</v>
      </c>
      <c r="D3034">
        <v>28539</v>
      </c>
      <c r="E3034" t="str">
        <f>HYPERLINK("http://www.ncbi.nlm.nih.gov/Taxonomy/Browser/wwwtax.cgi?mode=Info&amp;id=34615&amp;lvl=3&amp;lin=f&amp;keep=1&amp;srchmode=1&amp;unlock","34615")</f>
        <v>34615</v>
      </c>
      <c r="F3034" t="s">
        <v>904</v>
      </c>
      <c r="G3034" t="str">
        <f>HYPERLINK("http://www.ncbi.nlm.nih.gov/Taxonomy/Browser/wwwtax.cgi?mode=Info&amp;id=34615&amp;lvl=3&amp;lin=f&amp;keep=1&amp;srchmode=1&amp;unlock","Ixodes persulcatus")</f>
        <v>Ixodes persulcatus</v>
      </c>
      <c r="H3034" t="s">
        <v>1271</v>
      </c>
      <c r="I3034" t="str">
        <f>HYPERLINK("http://www.ncbi.nlm.nih.gov/protein/KAG0431611.1","hypothetical protein HPB47_021623, partial")</f>
        <v>hypothetical protein HPB47_021623, partial</v>
      </c>
      <c r="J3034">
        <v>591.65</v>
      </c>
      <c r="K3034" t="s">
        <v>22</v>
      </c>
      <c r="L3034">
        <v>1210</v>
      </c>
      <c r="M3034">
        <v>7.13</v>
      </c>
      <c r="N3034">
        <v>5.76</v>
      </c>
      <c r="O3034" t="s">
        <v>19</v>
      </c>
      <c r="P3034" t="s">
        <v>1267</v>
      </c>
      <c r="Q3034" t="s">
        <v>19</v>
      </c>
      <c r="R3034" t="str">
        <f>HYPERLINK("https://cfpub.epa.gov/ecotox/explore.cfm?ncbi=34615","Explore in ECOTOX")</f>
        <v>Explore in ECOTOX</v>
      </c>
    </row>
    <row r="3035" spans="1:18" x14ac:dyDescent="0.45">
      <c r="A3035" t="s">
        <v>1266</v>
      </c>
      <c r="B3035">
        <v>8</v>
      </c>
      <c r="C3035" t="str">
        <f>HYPERLINK("http://www.ncbi.nlm.nih.gov/protein/VDP80904.1","VDP80904.1")</f>
        <v>VDP80904.1</v>
      </c>
      <c r="D3035">
        <v>18603</v>
      </c>
      <c r="E3035" t="str">
        <f>HYPERLINK("http://www.ncbi.nlm.nih.gov/Taxonomy/Browser/wwwtax.cgi?mode=Info&amp;id=27848&amp;lvl=3&amp;lin=f&amp;keep=1&amp;srchmode=1&amp;unlock","27848")</f>
        <v>27848</v>
      </c>
      <c r="F3035" t="s">
        <v>1140</v>
      </c>
      <c r="G3035" t="str">
        <f>HYPERLINK("http://www.ncbi.nlm.nih.gov/Taxonomy/Browser/wwwtax.cgi?mode=Info&amp;id=27848&amp;lvl=3&amp;lin=f&amp;keep=1&amp;srchmode=1&amp;unlock","Echinostoma caproni")</f>
        <v>Echinostoma caproni</v>
      </c>
      <c r="H3035" t="s">
        <v>1194</v>
      </c>
      <c r="I3035" t="str">
        <f>HYPERLINK("http://www.ncbi.nlm.nih.gov/protein/VDP80904.1","unnamed protein product")</f>
        <v>unnamed protein product</v>
      </c>
      <c r="J3035">
        <v>586.26</v>
      </c>
      <c r="K3035" t="s">
        <v>19</v>
      </c>
      <c r="L3035">
        <v>1210</v>
      </c>
      <c r="M3035">
        <v>7.13</v>
      </c>
      <c r="N3035">
        <v>5.71</v>
      </c>
      <c r="O3035" t="s">
        <v>19</v>
      </c>
      <c r="P3035" t="s">
        <v>1267</v>
      </c>
      <c r="Q3035" t="s">
        <v>19</v>
      </c>
      <c r="R3035" t="str">
        <f>HYPERLINK("https://cfpub.epa.gov/ecotox/explore.cfm?ncbi=27848","Explore in ECOTOX")</f>
        <v>Explore in ECOTOX</v>
      </c>
    </row>
    <row r="3036" spans="1:18" x14ac:dyDescent="0.45">
      <c r="A3036" t="s">
        <v>1266</v>
      </c>
      <c r="B3036">
        <v>8</v>
      </c>
      <c r="C3036" t="str">
        <f>HYPERLINK("http://www.ncbi.nlm.nih.gov/protein/VDM78191.1","VDM78191.1")</f>
        <v>VDM78191.1</v>
      </c>
      <c r="D3036">
        <v>20957</v>
      </c>
      <c r="E3036" t="str">
        <f>HYPERLINK("http://www.ncbi.nlm.nih.gov/Taxonomy/Browser/wwwtax.cgi?mode=Info&amp;id=40348&amp;lvl=3&amp;lin=f&amp;keep=1&amp;srchmode=1&amp;unlock","40348")</f>
        <v>40348</v>
      </c>
      <c r="F3036" t="s">
        <v>1024</v>
      </c>
      <c r="G3036" t="str">
        <f>HYPERLINK("http://www.ncbi.nlm.nih.gov/Taxonomy/Browser/wwwtax.cgi?mode=Info&amp;id=40348&amp;lvl=3&amp;lin=f&amp;keep=1&amp;srchmode=1&amp;unlock","Strongylus vulgaris")</f>
        <v>Strongylus vulgaris</v>
      </c>
      <c r="H3036" t="s">
        <v>1213</v>
      </c>
      <c r="I3036" t="str">
        <f>HYPERLINK("http://www.ncbi.nlm.nih.gov/protein/VDM78191.1","unnamed protein product")</f>
        <v>unnamed protein product</v>
      </c>
      <c r="J3036">
        <v>582.79</v>
      </c>
      <c r="K3036" t="s">
        <v>19</v>
      </c>
      <c r="L3036">
        <v>1210</v>
      </c>
      <c r="M3036">
        <v>7.13</v>
      </c>
      <c r="N3036">
        <v>5.68</v>
      </c>
      <c r="O3036" t="s">
        <v>19</v>
      </c>
      <c r="P3036" t="s">
        <v>1267</v>
      </c>
      <c r="Q3036" t="s">
        <v>19</v>
      </c>
      <c r="R3036" t="str">
        <f>HYPERLINK("https://cfpub.epa.gov/ecotox/explore.cfm?ncbi=40348","Explore in ECOTOX")</f>
        <v>Explore in ECOTOX</v>
      </c>
    </row>
    <row r="3037" spans="1:18" x14ac:dyDescent="0.45">
      <c r="A3037" t="s">
        <v>1266</v>
      </c>
      <c r="B3037">
        <v>8</v>
      </c>
      <c r="C3037" t="str">
        <f>HYPERLINK("http://www.ncbi.nlm.nih.gov/protein/AAD01425.1","AAD01425.1")</f>
        <v>AAD01425.1</v>
      </c>
      <c r="D3037">
        <v>441</v>
      </c>
      <c r="E3037" t="str">
        <f>HYPERLINK("http://www.ncbi.nlm.nih.gov/Taxonomy/Browser/wwwtax.cgi?mode=Info&amp;id=7102&amp;lvl=3&amp;lin=f&amp;keep=1&amp;srchmode=1&amp;unlock","7102")</f>
        <v>7102</v>
      </c>
      <c r="F3037" t="s">
        <v>760</v>
      </c>
      <c r="G3037" t="str">
        <f>HYPERLINK("http://www.ncbi.nlm.nih.gov/Taxonomy/Browser/wwwtax.cgi?mode=Info&amp;id=7102&amp;lvl=3&amp;lin=f&amp;keep=1&amp;srchmode=1&amp;unlock","Heliothis virescens")</f>
        <v>Heliothis virescens</v>
      </c>
      <c r="H3037" t="s">
        <v>1272</v>
      </c>
      <c r="I3037" t="str">
        <f>HYPERLINK("http://www.ncbi.nlm.nih.gov/protein/AAD01425.1","ryanodine receptor, partial")</f>
        <v>ryanodine receptor, partial</v>
      </c>
      <c r="J3037">
        <v>579.71</v>
      </c>
      <c r="K3037" t="s">
        <v>22</v>
      </c>
      <c r="L3037">
        <v>1210</v>
      </c>
      <c r="M3037">
        <v>7.13</v>
      </c>
      <c r="N3037">
        <v>5.65</v>
      </c>
      <c r="O3037" t="s">
        <v>19</v>
      </c>
      <c r="P3037" t="s">
        <v>1267</v>
      </c>
      <c r="Q3037" t="s">
        <v>19</v>
      </c>
      <c r="R3037" t="str">
        <f>HYPERLINK("https://cfpub.epa.gov/ecotox/explore.cfm?ncbi=7102","Explore in ECOTOX")</f>
        <v>Explore in ECOTOX</v>
      </c>
    </row>
    <row r="3038" spans="1:18" x14ac:dyDescent="0.45">
      <c r="A3038" t="s">
        <v>1266</v>
      </c>
      <c r="B3038">
        <v>8</v>
      </c>
      <c r="C3038" t="str">
        <f>HYPERLINK("http://www.ncbi.nlm.nih.gov/protein/VDN28008.1","VDN28008.1")</f>
        <v>VDN28008.1</v>
      </c>
      <c r="D3038">
        <v>27183</v>
      </c>
      <c r="E3038" t="str">
        <f>HYPERLINK("http://www.ncbi.nlm.nih.gov/Taxonomy/Browser/wwwtax.cgi?mode=Info&amp;id=637853&amp;lvl=3&amp;lin=f&amp;keep=1&amp;srchmode=1&amp;unlock","637853")</f>
        <v>637853</v>
      </c>
      <c r="F3038" t="s">
        <v>1024</v>
      </c>
      <c r="G3038" t="str">
        <f>HYPERLINK("http://www.ncbi.nlm.nih.gov/Taxonomy/Browser/wwwtax.cgi?mode=Info&amp;id=637853&amp;lvl=3&amp;lin=f&amp;keep=1&amp;srchmode=1&amp;unlock","Gongylonema pulchrum")</f>
        <v>Gongylonema pulchrum</v>
      </c>
      <c r="H3038" t="s">
        <v>1027</v>
      </c>
      <c r="I3038" t="str">
        <f>HYPERLINK("http://www.ncbi.nlm.nih.gov/protein/VDN28008.1","unnamed protein product")</f>
        <v>unnamed protein product</v>
      </c>
      <c r="J3038">
        <v>547.74</v>
      </c>
      <c r="K3038" t="s">
        <v>22</v>
      </c>
      <c r="L3038">
        <v>1210</v>
      </c>
      <c r="M3038">
        <v>7.13</v>
      </c>
      <c r="N3038">
        <v>5.34</v>
      </c>
      <c r="O3038" t="s">
        <v>19</v>
      </c>
      <c r="P3038" t="s">
        <v>1267</v>
      </c>
      <c r="Q3038" t="s">
        <v>19</v>
      </c>
      <c r="R3038" t="str">
        <f>HYPERLINK("https://cfpub.epa.gov/ecotox/explore.cfm?ncbi=637853","Explore in ECOTOX")</f>
        <v>Explore in ECOTOX</v>
      </c>
    </row>
    <row r="3039" spans="1:18" x14ac:dyDescent="0.45">
      <c r="A3039" t="s">
        <v>1266</v>
      </c>
      <c r="B3039">
        <v>8</v>
      </c>
      <c r="C3039" t="str">
        <f>HYPERLINK("http://www.ncbi.nlm.nih.gov/protein/KAI6654232.1","KAI6654232.1")</f>
        <v>KAI6654232.1</v>
      </c>
      <c r="D3039">
        <v>16541</v>
      </c>
      <c r="E3039" t="str">
        <f>HYPERLINK("http://www.ncbi.nlm.nih.gov/Taxonomy/Browser/wwwtax.cgi?mode=Info&amp;id=111878&amp;lvl=3&amp;lin=f&amp;keep=1&amp;srchmode=1&amp;unlock","111878")</f>
        <v>111878</v>
      </c>
      <c r="F3039" t="s">
        <v>1215</v>
      </c>
      <c r="G3039" t="str">
        <f>HYPERLINK("http://www.ncbi.nlm.nih.gov/Taxonomy/Browser/wwwtax.cgi?mode=Info&amp;id=111878&amp;lvl=3&amp;lin=f&amp;keep=1&amp;srchmode=1&amp;unlock","Oopsacas minuta")</f>
        <v>Oopsacas minuta</v>
      </c>
      <c r="H3039" t="s">
        <v>1211</v>
      </c>
      <c r="I3039" t="str">
        <f>HYPERLINK("http://www.ncbi.nlm.nih.gov/protein/KAI6654232.1","Ryanodine receptor 3")</f>
        <v>Ryanodine receptor 3</v>
      </c>
      <c r="J3039">
        <v>527.71</v>
      </c>
      <c r="K3039" t="s">
        <v>22</v>
      </c>
      <c r="L3039">
        <v>1210</v>
      </c>
      <c r="M3039">
        <v>7.13</v>
      </c>
      <c r="N3039">
        <v>5.14</v>
      </c>
      <c r="O3039" t="s">
        <v>22</v>
      </c>
      <c r="P3039" t="s">
        <v>1267</v>
      </c>
      <c r="Q3039" t="s">
        <v>19</v>
      </c>
      <c r="R3039" t="str">
        <f>HYPERLINK("https://cfpub.epa.gov/ecotox/explore.cfm?ncbi=111878","Explore in ECOTOX")</f>
        <v>Explore in ECOTOX</v>
      </c>
    </row>
    <row r="3040" spans="1:18" x14ac:dyDescent="0.45">
      <c r="A3040" t="s">
        <v>1266</v>
      </c>
      <c r="B3040">
        <v>8</v>
      </c>
      <c r="C3040" t="str">
        <f>HYPERLINK("http://www.ncbi.nlm.nih.gov/protein/VDN10952.1","VDN10952.1")</f>
        <v>VDN10952.1</v>
      </c>
      <c r="D3040">
        <v>20058</v>
      </c>
      <c r="E3040" t="str">
        <f>HYPERLINK("http://www.ncbi.nlm.nih.gov/Taxonomy/Browser/wwwtax.cgi?mode=Info&amp;id=60516&amp;lvl=3&amp;lin=f&amp;keep=1&amp;srchmode=1&amp;unlock","60516")</f>
        <v>60516</v>
      </c>
      <c r="F3040" t="s">
        <v>1185</v>
      </c>
      <c r="G3040" t="str">
        <f>HYPERLINK("http://www.ncbi.nlm.nih.gov/Taxonomy/Browser/wwwtax.cgi?mode=Info&amp;id=60516&amp;lvl=3&amp;lin=f&amp;keep=1&amp;srchmode=1&amp;unlock","Dibothriocephalus latus")</f>
        <v>Dibothriocephalus latus</v>
      </c>
      <c r="H3040" t="s">
        <v>1273</v>
      </c>
      <c r="I3040" t="str">
        <f>HYPERLINK("http://www.ncbi.nlm.nih.gov/protein/VDN10952.1","unnamed protein product")</f>
        <v>unnamed protein product</v>
      </c>
      <c r="J3040">
        <v>509.61</v>
      </c>
      <c r="K3040" t="s">
        <v>22</v>
      </c>
      <c r="L3040">
        <v>1210</v>
      </c>
      <c r="M3040">
        <v>7.13</v>
      </c>
      <c r="N3040">
        <v>4.97</v>
      </c>
      <c r="O3040" t="s">
        <v>19</v>
      </c>
      <c r="P3040" t="s">
        <v>1267</v>
      </c>
      <c r="Q3040" t="s">
        <v>19</v>
      </c>
      <c r="R3040" t="str">
        <f>HYPERLINK("https://cfpub.epa.gov/ecotox/explore.cfm?ncbi=60516","Explore in ECOTOX")</f>
        <v>Explore in ECOTOX</v>
      </c>
    </row>
    <row r="3041" spans="1:18" x14ac:dyDescent="0.45">
      <c r="A3041" t="s">
        <v>1266</v>
      </c>
      <c r="B3041">
        <v>8</v>
      </c>
      <c r="C3041" t="str">
        <f>HYPERLINK("http://www.ncbi.nlm.nih.gov/protein/KAJ8867413.1","KAJ8867413.1")</f>
        <v>KAJ8867413.1</v>
      </c>
      <c r="D3041">
        <v>33112</v>
      </c>
      <c r="E3041" t="str">
        <f>HYPERLINK("http://www.ncbi.nlm.nih.gov/Taxonomy/Browser/wwwtax.cgi?mode=Info&amp;id=614101&amp;lvl=3&amp;lin=f&amp;keep=1&amp;srchmode=1&amp;unlock","614101")</f>
        <v>614101</v>
      </c>
      <c r="F3041" t="s">
        <v>760</v>
      </c>
      <c r="G3041" t="str">
        <f>HYPERLINK("http://www.ncbi.nlm.nih.gov/Taxonomy/Browser/wwwtax.cgi?mode=Info&amp;id=614101&amp;lvl=3&amp;lin=f&amp;keep=1&amp;srchmode=1&amp;unlock","Dryococelus australis")</f>
        <v>Dryococelus australis</v>
      </c>
      <c r="H3041" t="s">
        <v>1039</v>
      </c>
      <c r="I3041" t="str">
        <f>HYPERLINK("http://www.ncbi.nlm.nih.gov/protein/KAJ8867413.1","hypothetical protein PR048_031214")</f>
        <v>hypothetical protein PR048_031214</v>
      </c>
      <c r="J3041">
        <v>489.57</v>
      </c>
      <c r="K3041" t="s">
        <v>19</v>
      </c>
      <c r="L3041">
        <v>1210</v>
      </c>
      <c r="M3041">
        <v>7.13</v>
      </c>
      <c r="N3041">
        <v>4.7699999999999996</v>
      </c>
      <c r="O3041" t="s">
        <v>19</v>
      </c>
      <c r="P3041" t="s">
        <v>1267</v>
      </c>
      <c r="Q3041" t="s">
        <v>19</v>
      </c>
      <c r="R3041" t="str">
        <f>HYPERLINK("https://cfpub.epa.gov/ecotox/explore.cfm?ncbi=614101","Explore in ECOTOX")</f>
        <v>Explore in ECOTOX</v>
      </c>
    </row>
    <row r="3042" spans="1:18" x14ac:dyDescent="0.45">
      <c r="A3042" t="s">
        <v>1266</v>
      </c>
      <c r="B3042">
        <v>8</v>
      </c>
      <c r="C3042" t="str">
        <f>HYPERLINK("http://www.ncbi.nlm.nih.gov/protein/VDK17998.1","VDK17998.1")</f>
        <v>VDK17998.1</v>
      </c>
      <c r="D3042">
        <v>21582</v>
      </c>
      <c r="E3042" t="str">
        <f>HYPERLINK("http://www.ncbi.nlm.nih.gov/Taxonomy/Browser/wwwtax.cgi?mode=Info&amp;id=6269&amp;lvl=3&amp;lin=f&amp;keep=1&amp;srchmode=1&amp;unlock","6269")</f>
        <v>6269</v>
      </c>
      <c r="F3042" t="s">
        <v>1024</v>
      </c>
      <c r="G3042" t="str">
        <f>HYPERLINK("http://www.ncbi.nlm.nih.gov/Taxonomy/Browser/wwwtax.cgi?mode=Info&amp;id=6269&amp;lvl=3&amp;lin=f&amp;keep=1&amp;srchmode=1&amp;unlock","Anisakis simplex")</f>
        <v>Anisakis simplex</v>
      </c>
      <c r="H3042" t="s">
        <v>1216</v>
      </c>
      <c r="I3042" t="str">
        <f>HYPERLINK("http://www.ncbi.nlm.nih.gov/protein/VDK17998.1","unnamed protein product")</f>
        <v>unnamed protein product</v>
      </c>
      <c r="J3042">
        <v>471.08</v>
      </c>
      <c r="K3042" t="s">
        <v>19</v>
      </c>
      <c r="L3042">
        <v>1210</v>
      </c>
      <c r="M3042">
        <v>7.13</v>
      </c>
      <c r="N3042">
        <v>4.59</v>
      </c>
      <c r="O3042" t="s">
        <v>19</v>
      </c>
      <c r="P3042" t="s">
        <v>1267</v>
      </c>
      <c r="Q3042" t="s">
        <v>19</v>
      </c>
      <c r="R3042" t="str">
        <f>HYPERLINK("https://cfpub.epa.gov/ecotox/explore.cfm?ncbi=6269","Explore in ECOTOX")</f>
        <v>Explore in ECOTOX</v>
      </c>
    </row>
    <row r="3043" spans="1:18" x14ac:dyDescent="0.45">
      <c r="A3043" t="s">
        <v>1266</v>
      </c>
      <c r="B3043">
        <v>8</v>
      </c>
      <c r="C3043" t="str">
        <f>HYPERLINK("http://www.ncbi.nlm.nih.gov/protein/ADO33053.1","ADO33053.1")</f>
        <v>ADO33053.1</v>
      </c>
      <c r="D3043">
        <v>415</v>
      </c>
      <c r="E3043" t="str">
        <f>HYPERLINK("http://www.ncbi.nlm.nih.gov/Taxonomy/Browser/wwwtax.cgi?mode=Info&amp;id=82595&amp;lvl=3&amp;lin=f&amp;keep=1&amp;srchmode=1&amp;unlock","82595")</f>
        <v>82595</v>
      </c>
      <c r="F3043" t="s">
        <v>760</v>
      </c>
      <c r="G3043" t="str">
        <f>HYPERLINK("http://www.ncbi.nlm.nih.gov/Taxonomy/Browser/wwwtax.cgi?mode=Info&amp;id=82595&amp;lvl=3&amp;lin=f&amp;keep=1&amp;srchmode=1&amp;unlock","Biston betularia")</f>
        <v>Biston betularia</v>
      </c>
      <c r="H3043" t="s">
        <v>1217</v>
      </c>
      <c r="I3043" t="str">
        <f>HYPERLINK("http://www.ncbi.nlm.nih.gov/protein/ADO33053.1","ryanodine receptor, partial")</f>
        <v>ryanodine receptor, partial</v>
      </c>
      <c r="J3043">
        <v>456.06</v>
      </c>
      <c r="K3043" t="s">
        <v>22</v>
      </c>
      <c r="L3043">
        <v>1210</v>
      </c>
      <c r="M3043">
        <v>7.13</v>
      </c>
      <c r="N3043">
        <v>4.4400000000000004</v>
      </c>
      <c r="O3043" t="s">
        <v>19</v>
      </c>
      <c r="P3043" t="s">
        <v>1267</v>
      </c>
      <c r="Q3043" t="s">
        <v>19</v>
      </c>
      <c r="R3043" t="str">
        <f>HYPERLINK("https://cfpub.epa.gov/ecotox/explore.cfm?ncbi=82595","Explore in ECOTOX")</f>
        <v>Explore in ECOTOX</v>
      </c>
    </row>
    <row r="3044" spans="1:18" x14ac:dyDescent="0.45">
      <c r="A3044" t="s">
        <v>1266</v>
      </c>
      <c r="B3044">
        <v>8</v>
      </c>
      <c r="C3044" t="str">
        <f>HYPERLINK("http://www.ncbi.nlm.nih.gov/protein/VBB34786.1","VBB34786.1")</f>
        <v>VBB34786.1</v>
      </c>
      <c r="D3044">
        <v>10212</v>
      </c>
      <c r="E3044" t="str">
        <f>HYPERLINK("http://www.ncbi.nlm.nih.gov/Taxonomy/Browser/wwwtax.cgi?mode=Info&amp;id=6277&amp;lvl=3&amp;lin=f&amp;keep=1&amp;srchmode=1&amp;unlock","6277")</f>
        <v>6277</v>
      </c>
      <c r="F3044" t="s">
        <v>1024</v>
      </c>
      <c r="G3044" t="str">
        <f>HYPERLINK("http://www.ncbi.nlm.nih.gov/Taxonomy/Browser/wwwtax.cgi?mode=Info&amp;id=6277&amp;lvl=3&amp;lin=f&amp;keep=1&amp;srchmode=1&amp;unlock","Acanthocheilonema viteae")</f>
        <v>Acanthocheilonema viteae</v>
      </c>
      <c r="H3044" t="s">
        <v>1027</v>
      </c>
      <c r="I3044" t="str">
        <f>HYPERLINK("http://www.ncbi.nlm.nih.gov/protein/VBB34786.1","unnamed protein product, partial")</f>
        <v>unnamed protein product, partial</v>
      </c>
      <c r="J3044">
        <v>435.65</v>
      </c>
      <c r="K3044" t="s">
        <v>22</v>
      </c>
      <c r="L3044">
        <v>1210</v>
      </c>
      <c r="M3044">
        <v>7.13</v>
      </c>
      <c r="N3044">
        <v>4.24</v>
      </c>
      <c r="O3044" t="s">
        <v>19</v>
      </c>
      <c r="P3044" t="s">
        <v>1267</v>
      </c>
      <c r="Q3044" t="s">
        <v>19</v>
      </c>
      <c r="R3044" t="str">
        <f>HYPERLINK("https://cfpub.epa.gov/ecotox/explore.cfm?ncbi=6277","Explore in ECOTOX")</f>
        <v>Explore in ECOTOX</v>
      </c>
    </row>
    <row r="3045" spans="1:18" x14ac:dyDescent="0.45">
      <c r="A3045" t="s">
        <v>1266</v>
      </c>
      <c r="B3045">
        <v>8</v>
      </c>
      <c r="C3045" t="str">
        <f>HYPERLINK("http://www.ncbi.nlm.nih.gov/protein/KAF7629905.1","KAF7629905.1")</f>
        <v>KAF7629905.1</v>
      </c>
      <c r="D3045">
        <v>10390</v>
      </c>
      <c r="E3045" t="str">
        <f>HYPERLINK("http://www.ncbi.nlm.nih.gov/Taxonomy/Browser/wwwtax.cgi?mode=Info&amp;id=189291&amp;lvl=3&amp;lin=f&amp;keep=1&amp;srchmode=1&amp;unlock","189291")</f>
        <v>189291</v>
      </c>
      <c r="F3045" t="s">
        <v>1024</v>
      </c>
      <c r="G3045" t="str">
        <f>HYPERLINK("http://www.ncbi.nlm.nih.gov/Taxonomy/Browser/wwwtax.cgi?mode=Info&amp;id=189291&amp;lvl=3&amp;lin=f&amp;keep=1&amp;srchmode=1&amp;unlock","Meloidogyne graminicola")</f>
        <v>Meloidogyne graminicola</v>
      </c>
      <c r="H3045" t="s">
        <v>1027</v>
      </c>
      <c r="I3045" t="str">
        <f>HYPERLINK("http://www.ncbi.nlm.nih.gov/protein/KAF7629905.1","hypothetical protein Mgra_00009094")</f>
        <v>hypothetical protein Mgra_00009094</v>
      </c>
      <c r="J3045">
        <v>383.64</v>
      </c>
      <c r="K3045" t="s">
        <v>22</v>
      </c>
      <c r="L3045">
        <v>1210</v>
      </c>
      <c r="M3045">
        <v>7.13</v>
      </c>
      <c r="N3045">
        <v>3.74</v>
      </c>
      <c r="O3045" t="s">
        <v>19</v>
      </c>
      <c r="P3045" t="s">
        <v>1267</v>
      </c>
      <c r="Q3045" t="s">
        <v>19</v>
      </c>
      <c r="R3045" t="str">
        <f>HYPERLINK("https://cfpub.epa.gov/ecotox/explore.cfm?ncbi=189291","Explore in ECOTOX")</f>
        <v>Explore in ECOTOX</v>
      </c>
    </row>
    <row r="3046" spans="1:18" x14ac:dyDescent="0.45">
      <c r="A3046" t="s">
        <v>1266</v>
      </c>
      <c r="B3046">
        <v>8</v>
      </c>
      <c r="C3046" t="str">
        <f>HYPERLINK("http://www.ncbi.nlm.nih.gov/protein/ABV64926.1","ABV64926.1")</f>
        <v>ABV64926.1</v>
      </c>
      <c r="D3046">
        <v>129</v>
      </c>
      <c r="E3046" t="str">
        <f>HYPERLINK("http://www.ncbi.nlm.nih.gov/Taxonomy/Browser/wwwtax.cgi?mode=Info&amp;id=34771&amp;lvl=3&amp;lin=f&amp;keep=1&amp;srchmode=1&amp;unlock","34771")</f>
        <v>34771</v>
      </c>
      <c r="F3046" t="s">
        <v>17</v>
      </c>
      <c r="G3046" t="str">
        <f>HYPERLINK("http://www.ncbi.nlm.nih.gov/Taxonomy/Browser/wwwtax.cgi?mode=Info&amp;id=34771&amp;lvl=3&amp;lin=f&amp;keep=1&amp;srchmode=1&amp;unlock","Lepisosteus osseus")</f>
        <v>Lepisosteus osseus</v>
      </c>
      <c r="H3046" t="s">
        <v>1274</v>
      </c>
      <c r="I3046" t="str">
        <f>HYPERLINK("http://www.ncbi.nlm.nih.gov/protein/ABV64926.1","ryanodine receptor 3-like protein, partial")</f>
        <v>ryanodine receptor 3-like protein, partial</v>
      </c>
      <c r="J3046">
        <v>382.49</v>
      </c>
      <c r="K3046" t="s">
        <v>22</v>
      </c>
      <c r="L3046">
        <v>1210</v>
      </c>
      <c r="M3046">
        <v>7.13</v>
      </c>
      <c r="N3046">
        <v>3.73</v>
      </c>
      <c r="O3046" t="s">
        <v>19</v>
      </c>
      <c r="P3046" t="s">
        <v>1267</v>
      </c>
      <c r="Q3046" t="s">
        <v>19</v>
      </c>
      <c r="R3046" t="str">
        <f>HYPERLINK("https://cfpub.epa.gov/ecotox/explore.cfm?ncbi=34771","Explore in ECOTOX")</f>
        <v>Explore in ECOTOX</v>
      </c>
    </row>
    <row r="3047" spans="1:18" x14ac:dyDescent="0.45">
      <c r="A3047" t="s">
        <v>1266</v>
      </c>
      <c r="B3047">
        <v>8</v>
      </c>
      <c r="C3047" t="str">
        <f>HYPERLINK("http://www.ncbi.nlm.nih.gov/protein/AFQ97664.1","AFQ97664.1")</f>
        <v>AFQ97664.1</v>
      </c>
      <c r="D3047">
        <v>8</v>
      </c>
      <c r="E3047" t="str">
        <f>HYPERLINK("http://www.ncbi.nlm.nih.gov/Taxonomy/Browser/wwwtax.cgi?mode=Info&amp;id=1227733&amp;lvl=3&amp;lin=f&amp;keep=1&amp;srchmode=1&amp;unlock","1227733")</f>
        <v>1227733</v>
      </c>
      <c r="F3047" t="s">
        <v>17</v>
      </c>
      <c r="G3047" t="str">
        <f>HYPERLINK("http://www.ncbi.nlm.nih.gov/Taxonomy/Browser/wwwtax.cgi?mode=Info&amp;id=1227733&amp;lvl=3&amp;lin=f&amp;keep=1&amp;srchmode=1&amp;unlock","Scleropages sp. CF-2012")</f>
        <v>Scleropages sp. CF-2012</v>
      </c>
      <c r="H3047" t="s">
        <v>1275</v>
      </c>
      <c r="I3047" t="str">
        <f>HYPERLINK("http://www.ncbi.nlm.nih.gov/protein/AFQ97664.1","ryanodine receptor 3-like protein, partial")</f>
        <v>ryanodine receptor 3-like protein, partial</v>
      </c>
      <c r="J3047">
        <v>382.49</v>
      </c>
      <c r="K3047" t="s">
        <v>22</v>
      </c>
      <c r="L3047">
        <v>1210</v>
      </c>
      <c r="M3047">
        <v>7.13</v>
      </c>
      <c r="N3047">
        <v>3.73</v>
      </c>
      <c r="O3047" t="s">
        <v>19</v>
      </c>
      <c r="P3047" t="s">
        <v>1267</v>
      </c>
      <c r="Q3047" t="s">
        <v>19</v>
      </c>
      <c r="R3047" t="str">
        <f>HYPERLINK("https://cfpub.epa.gov/ecotox/explore.cfm?ncbi=1227733","Explore in ECOTOX")</f>
        <v>Explore in ECOTOX</v>
      </c>
    </row>
    <row r="3048" spans="1:18" x14ac:dyDescent="0.45">
      <c r="A3048" t="s">
        <v>1266</v>
      </c>
      <c r="B3048">
        <v>8</v>
      </c>
      <c r="C3048" t="str">
        <f>HYPERLINK("http://www.ncbi.nlm.nih.gov/protein/ARQ83133.1","ARQ83133.1")</f>
        <v>ARQ83133.1</v>
      </c>
      <c r="D3048">
        <v>89</v>
      </c>
      <c r="E3048" t="str">
        <f>HYPERLINK("http://www.ncbi.nlm.nih.gov/Taxonomy/Browser/wwwtax.cgi?mode=Info&amp;id=113541&amp;lvl=3&amp;lin=f&amp;keep=1&amp;srchmode=1&amp;unlock","113541")</f>
        <v>113541</v>
      </c>
      <c r="F3048" t="s">
        <v>17</v>
      </c>
      <c r="G3048" t="str">
        <f>HYPERLINK("http://www.ncbi.nlm.nih.gov/Taxonomy/Browser/wwwtax.cgi?mode=Info&amp;id=113541&amp;lvl=3&amp;lin=f&amp;keep=1&amp;srchmode=1&amp;unlock","Scleropages jardinii")</f>
        <v>Scleropages jardinii</v>
      </c>
      <c r="H3048" t="s">
        <v>1276</v>
      </c>
      <c r="I3048" t="str">
        <f>HYPERLINK("http://www.ncbi.nlm.nih.gov/protein/ARQ83133.1","ryanodine receptor 3-like protein, partial")</f>
        <v>ryanodine receptor 3-like protein, partial</v>
      </c>
      <c r="J3048">
        <v>380.95</v>
      </c>
      <c r="K3048" t="s">
        <v>22</v>
      </c>
      <c r="L3048">
        <v>1210</v>
      </c>
      <c r="M3048">
        <v>7.13</v>
      </c>
      <c r="N3048">
        <v>3.71</v>
      </c>
      <c r="O3048" t="s">
        <v>19</v>
      </c>
      <c r="P3048" t="s">
        <v>1267</v>
      </c>
      <c r="Q3048" t="s">
        <v>19</v>
      </c>
      <c r="R3048" t="str">
        <f>HYPERLINK("https://cfpub.epa.gov/ecotox/explore.cfm?ncbi=113541","Explore in ECOTOX")</f>
        <v>Explore in ECOTOX</v>
      </c>
    </row>
    <row r="3049" spans="1:18" x14ac:dyDescent="0.45">
      <c r="A3049" t="s">
        <v>1266</v>
      </c>
      <c r="B3049">
        <v>8</v>
      </c>
      <c r="C3049" t="str">
        <f>HYPERLINK("http://www.ncbi.nlm.nih.gov/protein/AGN55074.1","AGN55074.1")</f>
        <v>AGN55074.1</v>
      </c>
      <c r="D3049">
        <v>62</v>
      </c>
      <c r="E3049" t="str">
        <f>HYPERLINK("http://www.ncbi.nlm.nih.gov/Taxonomy/Browser/wwwtax.cgi?mode=Info&amp;id=303718&amp;lvl=3&amp;lin=f&amp;keep=1&amp;srchmode=1&amp;unlock","303718")</f>
        <v>303718</v>
      </c>
      <c r="F3049" t="s">
        <v>17</v>
      </c>
      <c r="G3049" t="str">
        <f>HYPERLINK("http://www.ncbi.nlm.nih.gov/Taxonomy/Browser/wwwtax.cgi?mode=Info&amp;id=303718&amp;lvl=3&amp;lin=f&amp;keep=1&amp;srchmode=1&amp;unlock","Paraluteres prionurus")</f>
        <v>Paraluteres prionurus</v>
      </c>
      <c r="H3049" t="s">
        <v>1277</v>
      </c>
      <c r="I3049" t="str">
        <f>HYPERLINK("http://www.ncbi.nlm.nih.gov/protein/AGN55074.1","ryanodine receptor 3-like protein, partial")</f>
        <v>ryanodine receptor 3-like protein, partial</v>
      </c>
      <c r="J3049">
        <v>380.95</v>
      </c>
      <c r="K3049" t="s">
        <v>22</v>
      </c>
      <c r="L3049">
        <v>1210</v>
      </c>
      <c r="M3049">
        <v>7.13</v>
      </c>
      <c r="N3049">
        <v>3.71</v>
      </c>
      <c r="O3049" t="s">
        <v>19</v>
      </c>
      <c r="P3049" t="s">
        <v>1267</v>
      </c>
      <c r="Q3049" t="s">
        <v>19</v>
      </c>
      <c r="R3049" t="str">
        <f>HYPERLINK("https://cfpub.epa.gov/ecotox/explore.cfm?ncbi=303718","Explore in ECOTOX")</f>
        <v>Explore in ECOTOX</v>
      </c>
    </row>
    <row r="3050" spans="1:18" x14ac:dyDescent="0.45">
      <c r="A3050" t="s">
        <v>1266</v>
      </c>
      <c r="B3050">
        <v>8</v>
      </c>
      <c r="C3050" t="str">
        <f>HYPERLINK("http://www.ncbi.nlm.nih.gov/protein/AGN55073.1","AGN55073.1")</f>
        <v>AGN55073.1</v>
      </c>
      <c r="D3050">
        <v>67</v>
      </c>
      <c r="E3050" t="str">
        <f>HYPERLINK("http://www.ncbi.nlm.nih.gov/Taxonomy/Browser/wwwtax.cgi?mode=Info&amp;id=303724&amp;lvl=3&amp;lin=f&amp;keep=1&amp;srchmode=1&amp;unlock","303724")</f>
        <v>303724</v>
      </c>
      <c r="F3050" t="s">
        <v>17</v>
      </c>
      <c r="G3050" t="str">
        <f>HYPERLINK("http://www.ncbi.nlm.nih.gov/Taxonomy/Browser/wwwtax.cgi?mode=Info&amp;id=303724&amp;lvl=3&amp;lin=f&amp;keep=1&amp;srchmode=1&amp;unlock","Oxymonacanthus longirostris")</f>
        <v>Oxymonacanthus longirostris</v>
      </c>
      <c r="H3050" t="s">
        <v>1278</v>
      </c>
      <c r="I3050" t="str">
        <f>HYPERLINK("http://www.ncbi.nlm.nih.gov/protein/AGN55073.1","ryanodine receptor 3-like protein, partial")</f>
        <v>ryanodine receptor 3-like protein, partial</v>
      </c>
      <c r="J3050">
        <v>379.02</v>
      </c>
      <c r="K3050" t="s">
        <v>22</v>
      </c>
      <c r="L3050">
        <v>1210</v>
      </c>
      <c r="M3050">
        <v>7.13</v>
      </c>
      <c r="N3050">
        <v>3.69</v>
      </c>
      <c r="O3050" t="s">
        <v>19</v>
      </c>
      <c r="P3050" t="s">
        <v>1267</v>
      </c>
      <c r="Q3050" t="s">
        <v>19</v>
      </c>
      <c r="R3050" t="str">
        <f>HYPERLINK("https://cfpub.epa.gov/ecotox/explore.cfm?ncbi=303724","Explore in ECOTOX")</f>
        <v>Explore in ECOTOX</v>
      </c>
    </row>
    <row r="3051" spans="1:18" x14ac:dyDescent="0.45">
      <c r="A3051" t="s">
        <v>1266</v>
      </c>
      <c r="B3051">
        <v>8</v>
      </c>
      <c r="C3051" t="str">
        <f>HYPERLINK("http://www.ncbi.nlm.nih.gov/protein/ABV64922.1","ABV64922.1")</f>
        <v>ABV64922.1</v>
      </c>
      <c r="D3051">
        <v>52</v>
      </c>
      <c r="E3051" t="str">
        <f>HYPERLINK("http://www.ncbi.nlm.nih.gov/Taxonomy/Browser/wwwtax.cgi?mode=Info&amp;id=47701&amp;lvl=3&amp;lin=f&amp;keep=1&amp;srchmode=1&amp;unlock","47701")</f>
        <v>47701</v>
      </c>
      <c r="F3051" t="s">
        <v>17</v>
      </c>
      <c r="G3051" t="str">
        <f>HYPERLINK("http://www.ncbi.nlm.nih.gov/Taxonomy/Browser/wwwtax.cgi?mode=Info&amp;id=47701&amp;lvl=3&amp;lin=f&amp;keep=1&amp;srchmode=1&amp;unlock","Myripristis violacea")</f>
        <v>Myripristis violacea</v>
      </c>
      <c r="H3051" t="s">
        <v>1279</v>
      </c>
      <c r="I3051" t="str">
        <f>HYPERLINK("http://www.ncbi.nlm.nih.gov/protein/ABV64922.1","ryanodine receptor 3-like protein, partial")</f>
        <v>ryanodine receptor 3-like protein, partial</v>
      </c>
      <c r="J3051">
        <v>378.64</v>
      </c>
      <c r="K3051" t="s">
        <v>22</v>
      </c>
      <c r="L3051">
        <v>1210</v>
      </c>
      <c r="M3051">
        <v>7.13</v>
      </c>
      <c r="N3051">
        <v>3.69</v>
      </c>
      <c r="O3051" t="s">
        <v>19</v>
      </c>
      <c r="P3051" t="s">
        <v>1267</v>
      </c>
      <c r="Q3051" t="s">
        <v>19</v>
      </c>
      <c r="R3051" t="str">
        <f>HYPERLINK("https://cfpub.epa.gov/ecotox/explore.cfm?ncbi=47701","Explore in ECOTOX")</f>
        <v>Explore in ECOTOX</v>
      </c>
    </row>
    <row r="3052" spans="1:18" x14ac:dyDescent="0.45">
      <c r="A3052" t="s">
        <v>1266</v>
      </c>
      <c r="B3052">
        <v>8</v>
      </c>
      <c r="C3052" t="str">
        <f>HYPERLINK("http://www.ncbi.nlm.nih.gov/protein/AGN55069.1","AGN55069.1")</f>
        <v>AGN55069.1</v>
      </c>
      <c r="D3052">
        <v>70</v>
      </c>
      <c r="E3052" t="str">
        <f>HYPERLINK("http://www.ncbi.nlm.nih.gov/Taxonomy/Browser/wwwtax.cgi?mode=Info&amp;id=303710&amp;lvl=3&amp;lin=f&amp;keep=1&amp;srchmode=1&amp;unlock","303710")</f>
        <v>303710</v>
      </c>
      <c r="F3052" t="s">
        <v>17</v>
      </c>
      <c r="G3052" t="str">
        <f>HYPERLINK("http://www.ncbi.nlm.nih.gov/Taxonomy/Browser/wwwtax.cgi?mode=Info&amp;id=303710&amp;lvl=3&amp;lin=f&amp;keep=1&amp;srchmode=1&amp;unlock","Aluterus scriptus")</f>
        <v>Aluterus scriptus</v>
      </c>
      <c r="H3052" t="s">
        <v>1280</v>
      </c>
      <c r="I3052" t="str">
        <f>HYPERLINK("http://www.ncbi.nlm.nih.gov/protein/AGN55069.1","ryanodine receptor 3-like protein, partial")</f>
        <v>ryanodine receptor 3-like protein, partial</v>
      </c>
      <c r="J3052">
        <v>375.94</v>
      </c>
      <c r="K3052" t="s">
        <v>22</v>
      </c>
      <c r="L3052">
        <v>1210</v>
      </c>
      <c r="M3052">
        <v>7.13</v>
      </c>
      <c r="N3052">
        <v>3.66</v>
      </c>
      <c r="O3052" t="s">
        <v>19</v>
      </c>
      <c r="P3052" t="s">
        <v>1267</v>
      </c>
      <c r="Q3052" t="s">
        <v>19</v>
      </c>
      <c r="R3052" t="str">
        <f>HYPERLINK("https://cfpub.epa.gov/ecotox/explore.cfm?ncbi=303710","Explore in ECOTOX")</f>
        <v>Explore in ECOTOX</v>
      </c>
    </row>
    <row r="3053" spans="1:18" x14ac:dyDescent="0.45">
      <c r="A3053" t="s">
        <v>1266</v>
      </c>
      <c r="B3053">
        <v>8</v>
      </c>
      <c r="C3053" t="str">
        <f>HYPERLINK("http://www.ncbi.nlm.nih.gov/protein/AFQ97659.1","AFQ97659.1")</f>
        <v>AFQ97659.1</v>
      </c>
      <c r="D3053">
        <v>43</v>
      </c>
      <c r="E3053" t="str">
        <f>HYPERLINK("http://www.ncbi.nlm.nih.gov/Taxonomy/Browser/wwwtax.cgi?mode=Info&amp;id=89578&amp;lvl=3&amp;lin=f&amp;keep=1&amp;srchmode=1&amp;unlock","89578")</f>
        <v>89578</v>
      </c>
      <c r="F3053" t="s">
        <v>17</v>
      </c>
      <c r="G3053" t="str">
        <f>HYPERLINK("http://www.ncbi.nlm.nih.gov/Taxonomy/Browser/wwwtax.cgi?mode=Info&amp;id=89578&amp;lvl=3&amp;lin=f&amp;keep=1&amp;srchmode=1&amp;unlock","Lepidogalaxias salamandroides")</f>
        <v>Lepidogalaxias salamandroides</v>
      </c>
      <c r="H3053" t="s">
        <v>1281</v>
      </c>
      <c r="I3053" t="str">
        <f>HYPERLINK("http://www.ncbi.nlm.nih.gov/protein/AFQ97659.1","ryanodine receptor 3-like protein, partial")</f>
        <v>ryanodine receptor 3-like protein, partial</v>
      </c>
      <c r="J3053">
        <v>371.32</v>
      </c>
      <c r="K3053" t="s">
        <v>22</v>
      </c>
      <c r="L3053">
        <v>1210</v>
      </c>
      <c r="M3053">
        <v>7.13</v>
      </c>
      <c r="N3053">
        <v>3.62</v>
      </c>
      <c r="O3053" t="s">
        <v>19</v>
      </c>
      <c r="P3053" t="s">
        <v>1267</v>
      </c>
      <c r="Q3053" t="s">
        <v>19</v>
      </c>
      <c r="R3053" t="str">
        <f>HYPERLINK("https://cfpub.epa.gov/ecotox/explore.cfm?ncbi=89578","Explore in ECOTOX")</f>
        <v>Explore in ECOTOX</v>
      </c>
    </row>
    <row r="3054" spans="1:18" x14ac:dyDescent="0.45">
      <c r="A3054" t="s">
        <v>1266</v>
      </c>
      <c r="B3054">
        <v>8</v>
      </c>
      <c r="C3054" t="str">
        <f>HYPERLINK("http://www.ncbi.nlm.nih.gov/protein/ABV64917.1","ABV64917.1")</f>
        <v>ABV64917.1</v>
      </c>
      <c r="D3054">
        <v>84</v>
      </c>
      <c r="E3054" t="str">
        <f>HYPERLINK("http://www.ncbi.nlm.nih.gov/Taxonomy/Browser/wwwtax.cgi?mode=Info&amp;id=7928&amp;lvl=3&amp;lin=f&amp;keep=1&amp;srchmode=1&amp;unlock","7928")</f>
        <v>7928</v>
      </c>
      <c r="F3054" t="s">
        <v>17</v>
      </c>
      <c r="G3054" t="str">
        <f>HYPERLINK("http://www.ncbi.nlm.nih.gov/Taxonomy/Browser/wwwtax.cgi?mode=Info&amp;id=7928&amp;lvl=3&amp;lin=f&amp;keep=1&amp;srchmode=1&amp;unlock","Elops saurus")</f>
        <v>Elops saurus</v>
      </c>
      <c r="H3054" t="s">
        <v>1282</v>
      </c>
      <c r="I3054" t="str">
        <f>HYPERLINK("http://www.ncbi.nlm.nih.gov/protein/ABV64917.1","ryanodine receptor 3-like protein, partial")</f>
        <v>ryanodine receptor 3-like protein, partial</v>
      </c>
      <c r="J3054">
        <v>370.93</v>
      </c>
      <c r="K3054" t="s">
        <v>22</v>
      </c>
      <c r="L3054">
        <v>1210</v>
      </c>
      <c r="M3054">
        <v>7.13</v>
      </c>
      <c r="N3054">
        <v>3.61</v>
      </c>
      <c r="O3054" t="s">
        <v>19</v>
      </c>
      <c r="P3054" t="s">
        <v>1267</v>
      </c>
      <c r="Q3054" t="s">
        <v>19</v>
      </c>
      <c r="R3054" t="str">
        <f>HYPERLINK("https://cfpub.epa.gov/ecotox/explore.cfm?ncbi=7928","Explore in ECOTOX")</f>
        <v>Explore in ECOTOX</v>
      </c>
    </row>
    <row r="3055" spans="1:18" x14ac:dyDescent="0.45">
      <c r="A3055" t="s">
        <v>1266</v>
      </c>
      <c r="B3055">
        <v>8</v>
      </c>
      <c r="C3055" t="str">
        <f>HYPERLINK("http://www.ncbi.nlm.nih.gov/protein/AEY82566.1","AEY82566.1")</f>
        <v>AEY82566.1</v>
      </c>
      <c r="D3055">
        <v>34</v>
      </c>
      <c r="E3055" t="str">
        <f>HYPERLINK("http://www.ncbi.nlm.nih.gov/Taxonomy/Browser/wwwtax.cgi?mode=Info&amp;id=306585&amp;lvl=3&amp;lin=f&amp;keep=1&amp;srchmode=1&amp;unlock","306585")</f>
        <v>306585</v>
      </c>
      <c r="F3055" t="s">
        <v>17</v>
      </c>
      <c r="G3055" t="str">
        <f>HYPERLINK("http://www.ncbi.nlm.nih.gov/Taxonomy/Browser/wwwtax.cgi?mode=Info&amp;id=306585&amp;lvl=3&amp;lin=f&amp;keep=1&amp;srchmode=1&amp;unlock","Cephalopholis formosa")</f>
        <v>Cephalopholis formosa</v>
      </c>
      <c r="H3055" t="s">
        <v>1283</v>
      </c>
      <c r="I3055" t="str">
        <f>HYPERLINK("http://www.ncbi.nlm.nih.gov/protein/AEY82566.1","ryanodine receptor 3-like protein, partial")</f>
        <v>ryanodine receptor 3-like protein, partial</v>
      </c>
      <c r="J3055">
        <v>370.55</v>
      </c>
      <c r="K3055" t="s">
        <v>22</v>
      </c>
      <c r="L3055">
        <v>1210</v>
      </c>
      <c r="M3055">
        <v>7.13</v>
      </c>
      <c r="N3055">
        <v>3.61</v>
      </c>
      <c r="O3055" t="s">
        <v>19</v>
      </c>
      <c r="P3055" t="s">
        <v>1267</v>
      </c>
      <c r="Q3055" t="s">
        <v>19</v>
      </c>
      <c r="R3055" t="str">
        <f>HYPERLINK("https://cfpub.epa.gov/ecotox/explore.cfm?ncbi=306585","Explore in ECOTOX")</f>
        <v>Explore in ECOTOX</v>
      </c>
    </row>
    <row r="3056" spans="1:18" x14ac:dyDescent="0.45">
      <c r="A3056" t="s">
        <v>1266</v>
      </c>
      <c r="B3056">
        <v>8</v>
      </c>
      <c r="C3056" t="str">
        <f>HYPERLINK("http://www.ncbi.nlm.nih.gov/protein/ATD13583.1","ATD13583.1")</f>
        <v>ATD13583.1</v>
      </c>
      <c r="D3056">
        <v>92</v>
      </c>
      <c r="E3056" t="str">
        <f>HYPERLINK("http://www.ncbi.nlm.nih.gov/Taxonomy/Browser/wwwtax.cgi?mode=Info&amp;id=91743&amp;lvl=3&amp;lin=f&amp;keep=1&amp;srchmode=1&amp;unlock","91743")</f>
        <v>91743</v>
      </c>
      <c r="F3056" t="s">
        <v>17</v>
      </c>
      <c r="G3056" t="str">
        <f>HYPERLINK("http://www.ncbi.nlm.nih.gov/Taxonomy/Browser/wwwtax.cgi?mode=Info&amp;id=91743&amp;lvl=3&amp;lin=f&amp;keep=1&amp;srchmode=1&amp;unlock","Cephalopholis boenak")</f>
        <v>Cephalopholis boenak</v>
      </c>
      <c r="H3056" t="s">
        <v>1284</v>
      </c>
      <c r="I3056" t="str">
        <f>HYPERLINK("http://www.ncbi.nlm.nih.gov/protein/ATD13583.1","ryanodine receptor 3-like protein, partial")</f>
        <v>ryanodine receptor 3-like protein, partial</v>
      </c>
      <c r="J3056">
        <v>368.62</v>
      </c>
      <c r="K3056" t="s">
        <v>22</v>
      </c>
      <c r="L3056">
        <v>1210</v>
      </c>
      <c r="M3056">
        <v>7.13</v>
      </c>
      <c r="N3056">
        <v>3.59</v>
      </c>
      <c r="O3056" t="s">
        <v>19</v>
      </c>
      <c r="P3056" t="s">
        <v>1267</v>
      </c>
      <c r="Q3056" t="s">
        <v>19</v>
      </c>
      <c r="R3056" t="str">
        <f>HYPERLINK("https://cfpub.epa.gov/ecotox/explore.cfm?ncbi=91743","Explore in ECOTOX")</f>
        <v>Explore in ECOTOX</v>
      </c>
    </row>
    <row r="3057" spans="1:18" x14ac:dyDescent="0.45">
      <c r="A3057" t="s">
        <v>1266</v>
      </c>
      <c r="B3057">
        <v>8</v>
      </c>
      <c r="C3057" t="str">
        <f>HYPERLINK("http://www.ncbi.nlm.nih.gov/protein/AEY82567.1","AEY82567.1")</f>
        <v>AEY82567.1</v>
      </c>
      <c r="D3057">
        <v>4</v>
      </c>
      <c r="E3057" t="str">
        <f>HYPERLINK("http://www.ncbi.nlm.nih.gov/Taxonomy/Browser/wwwtax.cgi?mode=Info&amp;id=309929&amp;lvl=3&amp;lin=f&amp;keep=1&amp;srchmode=1&amp;unlock","309929")</f>
        <v>309929</v>
      </c>
      <c r="F3057" t="s">
        <v>17</v>
      </c>
      <c r="G3057" t="str">
        <f>HYPERLINK("http://www.ncbi.nlm.nih.gov/Taxonomy/Browser/wwwtax.cgi?mode=Info&amp;id=309929&amp;lvl=3&amp;lin=f&amp;keep=1&amp;srchmode=1&amp;unlock","Cephalopholis pachycentron")</f>
        <v>Cephalopholis pachycentron</v>
      </c>
      <c r="H3057" t="s">
        <v>1285</v>
      </c>
      <c r="I3057" t="str">
        <f>HYPERLINK("http://www.ncbi.nlm.nih.gov/protein/AEY82567.1","ryanodine receptor 3-like protein, partial")</f>
        <v>ryanodine receptor 3-like protein, partial</v>
      </c>
      <c r="J3057">
        <v>368.24</v>
      </c>
      <c r="K3057" t="s">
        <v>22</v>
      </c>
      <c r="L3057">
        <v>1210</v>
      </c>
      <c r="M3057">
        <v>7.13</v>
      </c>
      <c r="N3057">
        <v>3.59</v>
      </c>
      <c r="O3057" t="s">
        <v>19</v>
      </c>
      <c r="P3057" t="s">
        <v>1267</v>
      </c>
      <c r="Q3057" t="s">
        <v>19</v>
      </c>
      <c r="R3057" t="str">
        <f>HYPERLINK("https://cfpub.epa.gov/ecotox/explore.cfm?ncbi=309929","Explore in ECOTOX")</f>
        <v>Explore in ECOTOX</v>
      </c>
    </row>
    <row r="3058" spans="1:18" x14ac:dyDescent="0.45">
      <c r="A3058" t="s">
        <v>1266</v>
      </c>
      <c r="B3058">
        <v>8</v>
      </c>
      <c r="C3058" t="str">
        <f>HYPERLINK("http://www.ncbi.nlm.nih.gov/protein/AEY82555.1","AEY82555.1")</f>
        <v>AEY82555.1</v>
      </c>
      <c r="D3058">
        <v>110</v>
      </c>
      <c r="E3058" t="str">
        <f>HYPERLINK("http://www.ncbi.nlm.nih.gov/Taxonomy/Browser/wwwtax.cgi?mode=Info&amp;id=160718&amp;lvl=3&amp;lin=f&amp;keep=1&amp;srchmode=1&amp;unlock","160718")</f>
        <v>160718</v>
      </c>
      <c r="F3058" t="s">
        <v>17</v>
      </c>
      <c r="G3058" t="str">
        <f>HYPERLINK("http://www.ncbi.nlm.nih.gov/Taxonomy/Browser/wwwtax.cgi?mode=Info&amp;id=160718&amp;lvl=3&amp;lin=f&amp;keep=1&amp;srchmode=1&amp;unlock","Epinephelus fasciatus")</f>
        <v>Epinephelus fasciatus</v>
      </c>
      <c r="H3058" t="s">
        <v>1286</v>
      </c>
      <c r="I3058" t="str">
        <f>HYPERLINK("http://www.ncbi.nlm.nih.gov/protein/AEY82555.1","ryanodine receptor 3-like protein, partial")</f>
        <v>ryanodine receptor 3-like protein, partial</v>
      </c>
      <c r="J3058">
        <v>366.7</v>
      </c>
      <c r="K3058" t="s">
        <v>22</v>
      </c>
      <c r="L3058">
        <v>1210</v>
      </c>
      <c r="M3058">
        <v>7.13</v>
      </c>
      <c r="N3058">
        <v>3.57</v>
      </c>
      <c r="O3058" t="s">
        <v>19</v>
      </c>
      <c r="P3058" t="s">
        <v>1267</v>
      </c>
      <c r="Q3058" t="s">
        <v>19</v>
      </c>
      <c r="R3058" t="str">
        <f>HYPERLINK("https://cfpub.epa.gov/ecotox/explore.cfm?ncbi=160718","Explore in ECOTOX")</f>
        <v>Explore in ECOTOX</v>
      </c>
    </row>
    <row r="3059" spans="1:18" x14ac:dyDescent="0.45">
      <c r="A3059" t="s">
        <v>1266</v>
      </c>
      <c r="B3059">
        <v>8</v>
      </c>
      <c r="C3059" t="str">
        <f>HYPERLINK("http://www.ncbi.nlm.nih.gov/protein/ATD13819.1","ATD13819.1")</f>
        <v>ATD13819.1</v>
      </c>
      <c r="D3059">
        <v>26</v>
      </c>
      <c r="E3059" t="str">
        <f>HYPERLINK("http://www.ncbi.nlm.nih.gov/Taxonomy/Browser/wwwtax.cgi?mode=Info&amp;id=308560&amp;lvl=3&amp;lin=f&amp;keep=1&amp;srchmode=1&amp;unlock","308560")</f>
        <v>308560</v>
      </c>
      <c r="F3059" t="s">
        <v>17</v>
      </c>
      <c r="G3059" t="str">
        <f>HYPERLINK("http://www.ncbi.nlm.nih.gov/Taxonomy/Browser/wwwtax.cgi?mode=Info&amp;id=308560&amp;lvl=3&amp;lin=f&amp;keep=1&amp;srchmode=1&amp;unlock","Epinephelus spilotoceps")</f>
        <v>Epinephelus spilotoceps</v>
      </c>
      <c r="H3059" t="s">
        <v>1287</v>
      </c>
      <c r="I3059" t="str">
        <f>HYPERLINK("http://www.ncbi.nlm.nih.gov/protein/ATD13819.1","ryanodine receptor 3-like protein, partial")</f>
        <v>ryanodine receptor 3-like protein, partial</v>
      </c>
      <c r="J3059">
        <v>365.15</v>
      </c>
      <c r="K3059" t="s">
        <v>22</v>
      </c>
      <c r="L3059">
        <v>1210</v>
      </c>
      <c r="M3059">
        <v>7.13</v>
      </c>
      <c r="N3059">
        <v>3.56</v>
      </c>
      <c r="O3059" t="s">
        <v>19</v>
      </c>
      <c r="P3059" t="s">
        <v>1267</v>
      </c>
      <c r="Q3059" t="s">
        <v>19</v>
      </c>
      <c r="R3059" t="str">
        <f>HYPERLINK("https://cfpub.epa.gov/ecotox/explore.cfm?ncbi=308560","Explore in ECOTOX")</f>
        <v>Explore in ECOTOX</v>
      </c>
    </row>
    <row r="3060" spans="1:18" x14ac:dyDescent="0.45">
      <c r="A3060" t="s">
        <v>1266</v>
      </c>
      <c r="B3060">
        <v>8</v>
      </c>
      <c r="C3060" t="str">
        <f>HYPERLINK("http://www.ncbi.nlm.nih.gov/protein/AGN55093.1","AGN55093.1")</f>
        <v>AGN55093.1</v>
      </c>
      <c r="D3060">
        <v>41</v>
      </c>
      <c r="E3060" t="str">
        <f>HYPERLINK("http://www.ncbi.nlm.nih.gov/Taxonomy/Browser/wwwtax.cgi?mode=Info&amp;id=1341869&amp;lvl=3&amp;lin=f&amp;keep=1&amp;srchmode=1&amp;unlock","1341869")</f>
        <v>1341869</v>
      </c>
      <c r="F3060" t="s">
        <v>17</v>
      </c>
      <c r="G3060" t="str">
        <f>HYPERLINK("http://www.ncbi.nlm.nih.gov/Taxonomy/Browser/wwwtax.cgi?mode=Info&amp;id=1341869&amp;lvl=3&amp;lin=f&amp;keep=1&amp;srchmode=1&amp;unlock","Triacanthus nieuhofii")</f>
        <v>Triacanthus nieuhofii</v>
      </c>
      <c r="H3060" t="s">
        <v>1288</v>
      </c>
      <c r="I3060" t="str">
        <f>HYPERLINK("http://www.ncbi.nlm.nih.gov/protein/AGN55093.1","ryanodine receptor 3-like protein, partial")</f>
        <v>ryanodine receptor 3-like protein, partial</v>
      </c>
      <c r="J3060">
        <v>365.15</v>
      </c>
      <c r="K3060" t="s">
        <v>22</v>
      </c>
      <c r="L3060">
        <v>1210</v>
      </c>
      <c r="M3060">
        <v>7.13</v>
      </c>
      <c r="N3060">
        <v>3.56</v>
      </c>
      <c r="O3060" t="s">
        <v>19</v>
      </c>
      <c r="P3060" t="s">
        <v>1267</v>
      </c>
      <c r="Q3060" t="s">
        <v>19</v>
      </c>
      <c r="R3060" t="str">
        <f>HYPERLINK("https://cfpub.epa.gov/ecotox/explore.cfm?ncbi=1341869","Explore in ECOTOX")</f>
        <v>Explore in ECOTOX</v>
      </c>
    </row>
    <row r="3061" spans="1:18" x14ac:dyDescent="0.45">
      <c r="A3061" t="s">
        <v>1266</v>
      </c>
      <c r="B3061">
        <v>8</v>
      </c>
      <c r="C3061" t="str">
        <f>HYPERLINK("http://www.ncbi.nlm.nih.gov/protein/ATD13771.1","ATD13771.1")</f>
        <v>ATD13771.1</v>
      </c>
      <c r="D3061">
        <v>120</v>
      </c>
      <c r="E3061" t="str">
        <f>HYPERLINK("http://www.ncbi.nlm.nih.gov/Taxonomy/Browser/wwwtax.cgi?mode=Info&amp;id=215346&amp;lvl=3&amp;lin=f&amp;keep=1&amp;srchmode=1&amp;unlock","215346")</f>
        <v>215346</v>
      </c>
      <c r="F3061" t="s">
        <v>17</v>
      </c>
      <c r="G3061" t="str">
        <f>HYPERLINK("http://www.ncbi.nlm.nih.gov/Taxonomy/Browser/wwwtax.cgi?mode=Info&amp;id=215346&amp;lvl=3&amp;lin=f&amp;keep=1&amp;srchmode=1&amp;unlock","Epinephelus merra")</f>
        <v>Epinephelus merra</v>
      </c>
      <c r="H3061" t="s">
        <v>1289</v>
      </c>
      <c r="I3061" t="str">
        <f>HYPERLINK("http://www.ncbi.nlm.nih.gov/protein/ATD13771.1","ryanodine receptor 3-like protein, partial")</f>
        <v>ryanodine receptor 3-like protein, partial</v>
      </c>
      <c r="J3061">
        <v>365.15</v>
      </c>
      <c r="K3061" t="s">
        <v>22</v>
      </c>
      <c r="L3061">
        <v>1210</v>
      </c>
      <c r="M3061">
        <v>7.13</v>
      </c>
      <c r="N3061">
        <v>3.56</v>
      </c>
      <c r="O3061" t="s">
        <v>19</v>
      </c>
      <c r="P3061" t="s">
        <v>1267</v>
      </c>
      <c r="Q3061" t="s">
        <v>19</v>
      </c>
      <c r="R3061" t="str">
        <f>HYPERLINK("https://cfpub.epa.gov/ecotox/explore.cfm?ncbi=215346","Explore in ECOTOX")</f>
        <v>Explore in ECOTOX</v>
      </c>
    </row>
    <row r="3062" spans="1:18" x14ac:dyDescent="0.45">
      <c r="A3062" t="s">
        <v>1266</v>
      </c>
      <c r="B3062">
        <v>8</v>
      </c>
      <c r="C3062" t="str">
        <f>HYPERLINK("http://www.ncbi.nlm.nih.gov/protein/AEY82568.1","AEY82568.1")</f>
        <v>AEY82568.1</v>
      </c>
      <c r="D3062">
        <v>116</v>
      </c>
      <c r="E3062" t="str">
        <f>HYPERLINK("http://www.ncbi.nlm.nih.gov/Taxonomy/Browser/wwwtax.cgi?mode=Info&amp;id=309930&amp;lvl=3&amp;lin=f&amp;keep=1&amp;srchmode=1&amp;unlock","309930")</f>
        <v>309930</v>
      </c>
      <c r="F3062" t="s">
        <v>17</v>
      </c>
      <c r="G3062" t="str">
        <f>HYPERLINK("http://www.ncbi.nlm.nih.gov/Taxonomy/Browser/wwwtax.cgi?mode=Info&amp;id=309930&amp;lvl=3&amp;lin=f&amp;keep=1&amp;srchmode=1&amp;unlock","Cephalopholis argus")</f>
        <v>Cephalopholis argus</v>
      </c>
      <c r="H3062" t="s">
        <v>1290</v>
      </c>
      <c r="I3062" t="str">
        <f>HYPERLINK("http://www.ncbi.nlm.nih.gov/protein/AEY82568.1","ryanodine receptor 3-like protein, partial")</f>
        <v>ryanodine receptor 3-like protein, partial</v>
      </c>
      <c r="J3062">
        <v>364.77</v>
      </c>
      <c r="K3062" t="s">
        <v>22</v>
      </c>
      <c r="L3062">
        <v>1210</v>
      </c>
      <c r="M3062">
        <v>7.13</v>
      </c>
      <c r="N3062">
        <v>3.55</v>
      </c>
      <c r="O3062" t="s">
        <v>19</v>
      </c>
      <c r="P3062" t="s">
        <v>1267</v>
      </c>
      <c r="Q3062" t="s">
        <v>19</v>
      </c>
      <c r="R3062" t="str">
        <f>HYPERLINK("https://cfpub.epa.gov/ecotox/explore.cfm?ncbi=309930","Explore in ECOTOX")</f>
        <v>Explore in ECOTOX</v>
      </c>
    </row>
    <row r="3063" spans="1:18" x14ac:dyDescent="0.45">
      <c r="A3063" t="s">
        <v>1266</v>
      </c>
      <c r="B3063">
        <v>8</v>
      </c>
      <c r="C3063" t="str">
        <f>HYPERLINK("http://www.ncbi.nlm.nih.gov/protein/AEY82580.1","AEY82580.1")</f>
        <v>AEY82580.1</v>
      </c>
      <c r="D3063">
        <v>68</v>
      </c>
      <c r="E3063" t="str">
        <f>HYPERLINK("http://www.ncbi.nlm.nih.gov/Taxonomy/Browser/wwwtax.cgi?mode=Info&amp;id=327776&amp;lvl=3&amp;lin=f&amp;keep=1&amp;srchmode=1&amp;unlock","327776")</f>
        <v>327776</v>
      </c>
      <c r="F3063" t="s">
        <v>17</v>
      </c>
      <c r="G3063" t="str">
        <f>HYPERLINK("http://www.ncbi.nlm.nih.gov/Taxonomy/Browser/wwwtax.cgi?mode=Info&amp;id=327776&amp;lvl=3&amp;lin=f&amp;keep=1&amp;srchmode=1&amp;unlock","Aethaloperca rogaa")</f>
        <v>Aethaloperca rogaa</v>
      </c>
      <c r="H3063" t="s">
        <v>1285</v>
      </c>
      <c r="I3063" t="str">
        <f>HYPERLINK("http://www.ncbi.nlm.nih.gov/protein/AEY82580.1","ryanodine receptor 3-like protein, partial")</f>
        <v>ryanodine receptor 3-like protein, partial</v>
      </c>
      <c r="J3063">
        <v>364.77</v>
      </c>
      <c r="K3063" t="s">
        <v>22</v>
      </c>
      <c r="L3063">
        <v>1210</v>
      </c>
      <c r="M3063">
        <v>7.13</v>
      </c>
      <c r="N3063">
        <v>3.55</v>
      </c>
      <c r="O3063" t="s">
        <v>19</v>
      </c>
      <c r="P3063" t="s">
        <v>1267</v>
      </c>
      <c r="Q3063" t="s">
        <v>19</v>
      </c>
      <c r="R3063" t="str">
        <f>HYPERLINK("https://cfpub.epa.gov/ecotox/explore.cfm?ncbi=327776","Explore in ECOTOX")</f>
        <v>Explore in ECOTOX</v>
      </c>
    </row>
    <row r="3064" spans="1:18" x14ac:dyDescent="0.45">
      <c r="A3064" t="s">
        <v>1266</v>
      </c>
      <c r="B3064">
        <v>8</v>
      </c>
      <c r="C3064" t="str">
        <f>HYPERLINK("http://www.ncbi.nlm.nih.gov/protein/AGN55075.1","AGN55075.1")</f>
        <v>AGN55075.1</v>
      </c>
      <c r="D3064">
        <v>72</v>
      </c>
      <c r="E3064" t="str">
        <f>HYPERLINK("http://www.ncbi.nlm.nih.gov/Taxonomy/Browser/wwwtax.cgi?mode=Info&amp;id=143348&amp;lvl=3&amp;lin=f&amp;keep=1&amp;srchmode=1&amp;unlock","143348")</f>
        <v>143348</v>
      </c>
      <c r="F3064" t="s">
        <v>17</v>
      </c>
      <c r="G3064" t="str">
        <f>HYPERLINK("http://www.ncbi.nlm.nih.gov/Taxonomy/Browser/wwwtax.cgi?mode=Info&amp;id=143348&amp;lvl=3&amp;lin=f&amp;keep=1&amp;srchmode=1&amp;unlock","Stephanolepis cirrhifer")</f>
        <v>Stephanolepis cirrhifer</v>
      </c>
      <c r="H3064" t="s">
        <v>1291</v>
      </c>
      <c r="I3064" t="str">
        <f>HYPERLINK("http://www.ncbi.nlm.nih.gov/protein/AGN55075.1","ryanodine receptor 3-like protein, partial")</f>
        <v>ryanodine receptor 3-like protein, partial</v>
      </c>
      <c r="J3064">
        <v>360.15</v>
      </c>
      <c r="K3064" t="s">
        <v>22</v>
      </c>
      <c r="L3064">
        <v>1210</v>
      </c>
      <c r="M3064">
        <v>7.13</v>
      </c>
      <c r="N3064">
        <v>3.51</v>
      </c>
      <c r="O3064" t="s">
        <v>19</v>
      </c>
      <c r="P3064" t="s">
        <v>1267</v>
      </c>
      <c r="Q3064" t="s">
        <v>19</v>
      </c>
      <c r="R3064" t="str">
        <f>HYPERLINK("https://cfpub.epa.gov/ecotox/explore.cfm?ncbi=143348","Explore in ECOTOX")</f>
        <v>Explore in ECOTOX</v>
      </c>
    </row>
    <row r="3065" spans="1:18" x14ac:dyDescent="0.45">
      <c r="A3065" t="s">
        <v>1266</v>
      </c>
      <c r="B3065">
        <v>8</v>
      </c>
      <c r="C3065" t="str">
        <f>HYPERLINK("http://www.ncbi.nlm.nih.gov/protein/ATD13906.1","ATD13906.1")</f>
        <v>ATD13906.1</v>
      </c>
      <c r="D3065">
        <v>28</v>
      </c>
      <c r="E3065" t="str">
        <f>HYPERLINK("http://www.ncbi.nlm.nih.gov/Taxonomy/Browser/wwwtax.cgi?mode=Info&amp;id=1104567&amp;lvl=3&amp;lin=f&amp;keep=1&amp;srchmode=1&amp;unlock","1104567")</f>
        <v>1104567</v>
      </c>
      <c r="F3065" t="s">
        <v>17</v>
      </c>
      <c r="G3065" t="str">
        <f>HYPERLINK("http://www.ncbi.nlm.nih.gov/Taxonomy/Browser/wwwtax.cgi?mode=Info&amp;id=1104567&amp;lvl=3&amp;lin=f&amp;keep=1&amp;srchmode=1&amp;unlock","Epinephelus coioides x Epinephelus lanceolatus")</f>
        <v>Epinephelus coioides x Epinephelus lanceolatus</v>
      </c>
      <c r="H3065" t="s">
        <v>1285</v>
      </c>
      <c r="I3065" t="str">
        <f>HYPERLINK("http://www.ncbi.nlm.nih.gov/protein/ATD13906.1","ryanodine receptor 3-like protein, partial")</f>
        <v>ryanodine receptor 3-like protein, partial</v>
      </c>
      <c r="J3065">
        <v>358.99</v>
      </c>
      <c r="K3065" t="s">
        <v>22</v>
      </c>
      <c r="L3065">
        <v>1210</v>
      </c>
      <c r="M3065">
        <v>7.13</v>
      </c>
      <c r="N3065">
        <v>3.5</v>
      </c>
      <c r="O3065" t="s">
        <v>19</v>
      </c>
      <c r="P3065" t="s">
        <v>1267</v>
      </c>
      <c r="Q3065" t="s">
        <v>19</v>
      </c>
      <c r="R3065" t="str">
        <f>HYPERLINK("https://cfpub.epa.gov/ecotox/explore.cfm?ncbi=1104567","Explore in ECOTOX")</f>
        <v>Explore in ECOTOX</v>
      </c>
    </row>
    <row r="3066" spans="1:18" x14ac:dyDescent="0.45">
      <c r="A3066" t="s">
        <v>1266</v>
      </c>
      <c r="B3066">
        <v>8</v>
      </c>
      <c r="C3066" t="str">
        <f>HYPERLINK("http://www.ncbi.nlm.nih.gov/protein/AEY82563.1","AEY82563.1")</f>
        <v>AEY82563.1</v>
      </c>
      <c r="D3066">
        <v>10</v>
      </c>
      <c r="E3066" t="str">
        <f>HYPERLINK("http://www.ncbi.nlm.nih.gov/Taxonomy/Browser/wwwtax.cgi?mode=Info&amp;id=327942&amp;lvl=3&amp;lin=f&amp;keep=1&amp;srchmode=1&amp;unlock","327942")</f>
        <v>327942</v>
      </c>
      <c r="F3066" t="s">
        <v>17</v>
      </c>
      <c r="G3066" t="str">
        <f>HYPERLINK("http://www.ncbi.nlm.nih.gov/Taxonomy/Browser/wwwtax.cgi?mode=Info&amp;id=327942&amp;lvl=3&amp;lin=f&amp;keep=1&amp;srchmode=1&amp;unlock","Epinephelus melanostigma")</f>
        <v>Epinephelus melanostigma</v>
      </c>
      <c r="H3066" t="s">
        <v>1292</v>
      </c>
      <c r="I3066" t="str">
        <f>HYPERLINK("http://www.ncbi.nlm.nih.gov/protein/AEY82563.1","ryanodine receptor 3-like protein, partial")</f>
        <v>ryanodine receptor 3-like protein, partial</v>
      </c>
      <c r="J3066">
        <v>357.45</v>
      </c>
      <c r="K3066" t="s">
        <v>22</v>
      </c>
      <c r="L3066">
        <v>1210</v>
      </c>
      <c r="M3066">
        <v>7.13</v>
      </c>
      <c r="N3066">
        <v>3.48</v>
      </c>
      <c r="O3066" t="s">
        <v>19</v>
      </c>
      <c r="P3066" t="s">
        <v>1267</v>
      </c>
      <c r="Q3066" t="s">
        <v>19</v>
      </c>
      <c r="R3066" t="str">
        <f>HYPERLINK("https://cfpub.epa.gov/ecotox/explore.cfm?ncbi=327942","Explore in ECOTOX")</f>
        <v>Explore in ECOTOX</v>
      </c>
    </row>
    <row r="3067" spans="1:18" x14ac:dyDescent="0.45">
      <c r="A3067" t="s">
        <v>1266</v>
      </c>
      <c r="B3067">
        <v>8</v>
      </c>
      <c r="C3067" t="str">
        <f>HYPERLINK("http://www.ncbi.nlm.nih.gov/protein/AHN66408.1","AHN66408.1")</f>
        <v>AHN66408.1</v>
      </c>
      <c r="D3067">
        <v>44</v>
      </c>
      <c r="E3067" t="str">
        <f>HYPERLINK("http://www.ncbi.nlm.nih.gov/Taxonomy/Browser/wwwtax.cgi?mode=Info&amp;id=764558&amp;lvl=3&amp;lin=f&amp;keep=1&amp;srchmode=1&amp;unlock","764558")</f>
        <v>764558</v>
      </c>
      <c r="F3067" t="s">
        <v>293</v>
      </c>
      <c r="G3067" t="str">
        <f>HYPERLINK("http://www.ncbi.nlm.nih.gov/Taxonomy/Browser/wwwtax.cgi?mode=Info&amp;id=764558&amp;lvl=3&amp;lin=f&amp;keep=1&amp;srchmode=1&amp;unlock","Polypterus weeksii")</f>
        <v>Polypterus weeksii</v>
      </c>
      <c r="H3067" t="s">
        <v>1293</v>
      </c>
      <c r="I3067" t="str">
        <f>HYPERLINK("http://www.ncbi.nlm.nih.gov/protein/AHN66408.1","ryanodine receptor 3-like protein, partial")</f>
        <v>ryanodine receptor 3-like protein, partial</v>
      </c>
      <c r="J3067">
        <v>350.9</v>
      </c>
      <c r="K3067" t="s">
        <v>22</v>
      </c>
      <c r="L3067">
        <v>1210</v>
      </c>
      <c r="M3067">
        <v>7.13</v>
      </c>
      <c r="N3067">
        <v>3.42</v>
      </c>
      <c r="O3067" t="s">
        <v>19</v>
      </c>
      <c r="P3067" t="s">
        <v>1267</v>
      </c>
      <c r="Q3067" t="s">
        <v>19</v>
      </c>
      <c r="R3067" t="str">
        <f>HYPERLINK("https://cfpub.epa.gov/ecotox/explore.cfm?ncbi=764558","Explore in ECOTOX")</f>
        <v>Explore in ECOTOX</v>
      </c>
    </row>
    <row r="3068" spans="1:18" x14ac:dyDescent="0.45">
      <c r="A3068" t="s">
        <v>1266</v>
      </c>
      <c r="B3068">
        <v>8</v>
      </c>
      <c r="C3068" t="str">
        <f>HYPERLINK("http://www.ncbi.nlm.nih.gov/protein/AHN66404.1","AHN66404.1")</f>
        <v>AHN66404.1</v>
      </c>
      <c r="D3068">
        <v>48</v>
      </c>
      <c r="E3068" t="str">
        <f>HYPERLINK("http://www.ncbi.nlm.nih.gov/Taxonomy/Browser/wwwtax.cgi?mode=Info&amp;id=27688&amp;lvl=3&amp;lin=f&amp;keep=1&amp;srchmode=1&amp;unlock","27688")</f>
        <v>27688</v>
      </c>
      <c r="F3068" t="s">
        <v>293</v>
      </c>
      <c r="G3068" t="str">
        <f>HYPERLINK("http://www.ncbi.nlm.nih.gov/Taxonomy/Browser/wwwtax.cgi?mode=Info&amp;id=27688&amp;lvl=3&amp;lin=f&amp;keep=1&amp;srchmode=1&amp;unlock","Polypterus retropinnis")</f>
        <v>Polypterus retropinnis</v>
      </c>
      <c r="H3068" t="s">
        <v>1294</v>
      </c>
      <c r="I3068" t="str">
        <f>HYPERLINK("http://www.ncbi.nlm.nih.gov/protein/AHN66404.1","ryanodine receptor 3-like protein, partial")</f>
        <v>ryanodine receptor 3-like protein, partial</v>
      </c>
      <c r="J3068">
        <v>348.98</v>
      </c>
      <c r="K3068" t="s">
        <v>22</v>
      </c>
      <c r="L3068">
        <v>1210</v>
      </c>
      <c r="M3068">
        <v>7.13</v>
      </c>
      <c r="N3068">
        <v>3.4</v>
      </c>
      <c r="O3068" t="s">
        <v>19</v>
      </c>
      <c r="P3068" t="s">
        <v>1267</v>
      </c>
      <c r="Q3068" t="s">
        <v>19</v>
      </c>
      <c r="R3068" t="str">
        <f>HYPERLINK("https://cfpub.epa.gov/ecotox/explore.cfm?ncbi=27688","Explore in ECOTOX")</f>
        <v>Explore in ECOTOX</v>
      </c>
    </row>
    <row r="3069" spans="1:18" x14ac:dyDescent="0.45">
      <c r="A3069" t="s">
        <v>1266</v>
      </c>
      <c r="B3069">
        <v>8</v>
      </c>
      <c r="C3069" t="str">
        <f>HYPERLINK("http://www.ncbi.nlm.nih.gov/protein/AHN66394.1","AHN66394.1")</f>
        <v>AHN66394.1</v>
      </c>
      <c r="D3069">
        <v>94</v>
      </c>
      <c r="E3069" t="str">
        <f>HYPERLINK("http://www.ncbi.nlm.nih.gov/Taxonomy/Browser/wwwtax.cgi?mode=Info&amp;id=49895&amp;lvl=3&amp;lin=f&amp;keep=1&amp;srchmode=1&amp;unlock","49895")</f>
        <v>49895</v>
      </c>
      <c r="F3069" t="s">
        <v>293</v>
      </c>
      <c r="G3069" t="str">
        <f>HYPERLINK("http://www.ncbi.nlm.nih.gov/Taxonomy/Browser/wwwtax.cgi?mode=Info&amp;id=49895&amp;lvl=3&amp;lin=f&amp;keep=1&amp;srchmode=1&amp;unlock","Polypterus ornatipinnis")</f>
        <v>Polypterus ornatipinnis</v>
      </c>
      <c r="H3069" t="s">
        <v>1222</v>
      </c>
      <c r="I3069" t="str">
        <f>HYPERLINK("http://www.ncbi.nlm.nih.gov/protein/AHN66394.1","ryanodine receptor 3-like protein, partial")</f>
        <v>ryanodine receptor 3-like protein, partial</v>
      </c>
      <c r="J3069">
        <v>348.59</v>
      </c>
      <c r="K3069" t="s">
        <v>22</v>
      </c>
      <c r="L3069">
        <v>1210</v>
      </c>
      <c r="M3069">
        <v>7.13</v>
      </c>
      <c r="N3069">
        <v>3.4</v>
      </c>
      <c r="O3069" t="s">
        <v>19</v>
      </c>
      <c r="P3069" t="s">
        <v>1267</v>
      </c>
      <c r="Q3069" t="s">
        <v>19</v>
      </c>
      <c r="R3069" t="str">
        <f>HYPERLINK("https://cfpub.epa.gov/ecotox/explore.cfm?ncbi=49895","Explore in ECOTOX")</f>
        <v>Explore in ECOTOX</v>
      </c>
    </row>
    <row r="3070" spans="1:18" x14ac:dyDescent="0.45">
      <c r="A3070" t="s">
        <v>1266</v>
      </c>
      <c r="B3070">
        <v>8</v>
      </c>
      <c r="C3070" t="str">
        <f>HYPERLINK("http://www.ncbi.nlm.nih.gov/protein/AHN66381.1","AHN66381.1")</f>
        <v>AHN66381.1</v>
      </c>
      <c r="D3070">
        <v>14</v>
      </c>
      <c r="E3070" t="str">
        <f>HYPERLINK("http://www.ncbi.nlm.nih.gov/Taxonomy/Browser/wwwtax.cgi?mode=Info&amp;id=31136&amp;lvl=3&amp;lin=f&amp;keep=1&amp;srchmode=1&amp;unlock","31136")</f>
        <v>31136</v>
      </c>
      <c r="F3070" t="s">
        <v>293</v>
      </c>
      <c r="G3070" t="str">
        <f>HYPERLINK("http://www.ncbi.nlm.nih.gov/Taxonomy/Browser/wwwtax.cgi?mode=Info&amp;id=31136&amp;lvl=3&amp;lin=f&amp;keep=1&amp;srchmode=1&amp;unlock","Polypterus bichir")</f>
        <v>Polypterus bichir</v>
      </c>
      <c r="H3070" t="s">
        <v>1295</v>
      </c>
      <c r="I3070" t="str">
        <f>HYPERLINK("http://www.ncbi.nlm.nih.gov/protein/AHN66381.1","ryanodine receptor 3-like protein, partial")</f>
        <v>ryanodine receptor 3-like protein, partial</v>
      </c>
      <c r="J3070">
        <v>348.59</v>
      </c>
      <c r="K3070" t="s">
        <v>22</v>
      </c>
      <c r="L3070">
        <v>1210</v>
      </c>
      <c r="M3070">
        <v>7.13</v>
      </c>
      <c r="N3070">
        <v>3.4</v>
      </c>
      <c r="O3070" t="s">
        <v>19</v>
      </c>
      <c r="P3070" t="s">
        <v>1267</v>
      </c>
      <c r="Q3070" t="s">
        <v>19</v>
      </c>
      <c r="R3070" t="str">
        <f>HYPERLINK("https://cfpub.epa.gov/ecotox/explore.cfm?ncbi=31136","Explore in ECOTOX")</f>
        <v>Explore in ECOTOX</v>
      </c>
    </row>
    <row r="3071" spans="1:18" x14ac:dyDescent="0.45">
      <c r="A3071" t="s">
        <v>1266</v>
      </c>
      <c r="B3071">
        <v>8</v>
      </c>
      <c r="C3071" t="str">
        <f>HYPERLINK("http://www.ncbi.nlm.nih.gov/protein/AHN66388.1","AHN66388.1")</f>
        <v>AHN66388.1</v>
      </c>
      <c r="D3071">
        <v>38</v>
      </c>
      <c r="E3071" t="str">
        <f>HYPERLINK("http://www.ncbi.nlm.nih.gov/Taxonomy/Browser/wwwtax.cgi?mode=Info&amp;id=764550&amp;lvl=3&amp;lin=f&amp;keep=1&amp;srchmode=1&amp;unlock","764550")</f>
        <v>764550</v>
      </c>
      <c r="F3071" t="s">
        <v>293</v>
      </c>
      <c r="G3071" t="str">
        <f>HYPERLINK("http://www.ncbi.nlm.nih.gov/Taxonomy/Browser/wwwtax.cgi?mode=Info&amp;id=764550&amp;lvl=3&amp;lin=f&amp;keep=1&amp;srchmode=1&amp;unlock","Polypterus endlicherii congicus")</f>
        <v>Polypterus endlicherii congicus</v>
      </c>
      <c r="H3071" t="s">
        <v>1296</v>
      </c>
      <c r="I3071" t="str">
        <f>HYPERLINK("http://www.ncbi.nlm.nih.gov/protein/AHN66388.1","ryanodine receptor 3-like protein, partial")</f>
        <v>ryanodine receptor 3-like protein, partial</v>
      </c>
      <c r="J3071">
        <v>348.59</v>
      </c>
      <c r="K3071" t="s">
        <v>22</v>
      </c>
      <c r="L3071">
        <v>1210</v>
      </c>
      <c r="M3071">
        <v>7.13</v>
      </c>
      <c r="N3071">
        <v>3.4</v>
      </c>
      <c r="O3071" t="s">
        <v>19</v>
      </c>
      <c r="P3071" t="s">
        <v>1267</v>
      </c>
      <c r="Q3071" t="s">
        <v>19</v>
      </c>
      <c r="R3071" t="str">
        <f>HYPERLINK("https://cfpub.epa.gov/ecotox/explore.cfm?ncbi=764550","Explore in ECOTOX")</f>
        <v>Explore in ECOTOX</v>
      </c>
    </row>
    <row r="3072" spans="1:18" x14ac:dyDescent="0.45">
      <c r="A3072" t="s">
        <v>1266</v>
      </c>
      <c r="B3072">
        <v>8</v>
      </c>
      <c r="C3072" t="str">
        <f>HYPERLINK("http://www.ncbi.nlm.nih.gov/protein/AHN66384.1","AHN66384.1")</f>
        <v>AHN66384.1</v>
      </c>
      <c r="D3072">
        <v>47</v>
      </c>
      <c r="E3072" t="str">
        <f>HYPERLINK("http://www.ncbi.nlm.nih.gov/Taxonomy/Browser/wwwtax.cgi?mode=Info&amp;id=135584&amp;lvl=3&amp;lin=f&amp;keep=1&amp;srchmode=1&amp;unlock","135584")</f>
        <v>135584</v>
      </c>
      <c r="F3072" t="s">
        <v>293</v>
      </c>
      <c r="G3072" t="str">
        <f>HYPERLINK("http://www.ncbi.nlm.nih.gov/Taxonomy/Browser/wwwtax.cgi?mode=Info&amp;id=135584&amp;lvl=3&amp;lin=f&amp;keep=1&amp;srchmode=1&amp;unlock","Polypterus delhezi")</f>
        <v>Polypterus delhezi</v>
      </c>
      <c r="H3072" t="s">
        <v>1297</v>
      </c>
      <c r="I3072" t="str">
        <f>HYPERLINK("http://www.ncbi.nlm.nih.gov/protein/AHN66384.1","ryanodine receptor 3-like protein, partial")</f>
        <v>ryanodine receptor 3-like protein, partial</v>
      </c>
      <c r="J3072">
        <v>348.59</v>
      </c>
      <c r="K3072" t="s">
        <v>22</v>
      </c>
      <c r="L3072">
        <v>1210</v>
      </c>
      <c r="M3072">
        <v>7.13</v>
      </c>
      <c r="N3072">
        <v>3.4</v>
      </c>
      <c r="O3072" t="s">
        <v>19</v>
      </c>
      <c r="P3072" t="s">
        <v>1267</v>
      </c>
      <c r="Q3072" t="s">
        <v>19</v>
      </c>
      <c r="R3072" t="str">
        <f>HYPERLINK("https://cfpub.epa.gov/ecotox/explore.cfm?ncbi=135584","Explore in ECOTOX")</f>
        <v>Explore in ECOTOX</v>
      </c>
    </row>
    <row r="3073" spans="1:18" x14ac:dyDescent="0.45">
      <c r="A3073" t="s">
        <v>1266</v>
      </c>
      <c r="B3073">
        <v>8</v>
      </c>
      <c r="C3073" t="str">
        <f>HYPERLINK("http://www.ncbi.nlm.nih.gov/protein/AHN66400.1","AHN66400.1")</f>
        <v>AHN66400.1</v>
      </c>
      <c r="D3073">
        <v>39</v>
      </c>
      <c r="E3073" t="str">
        <f>HYPERLINK("http://www.ncbi.nlm.nih.gov/Taxonomy/Browser/wwwtax.cgi?mode=Info&amp;id=764553&amp;lvl=3&amp;lin=f&amp;keep=1&amp;srchmode=1&amp;unlock","764553")</f>
        <v>764553</v>
      </c>
      <c r="F3073" t="s">
        <v>293</v>
      </c>
      <c r="G3073" t="str">
        <f>HYPERLINK("http://www.ncbi.nlm.nih.gov/Taxonomy/Browser/wwwtax.cgi?mode=Info&amp;id=764553&amp;lvl=3&amp;lin=f&amp;keep=1&amp;srchmode=1&amp;unlock","Polypterus palmas polli")</f>
        <v>Polypterus palmas polli</v>
      </c>
      <c r="H3073" t="s">
        <v>1298</v>
      </c>
      <c r="I3073" t="str">
        <f>HYPERLINK("http://www.ncbi.nlm.nih.gov/protein/AHN66400.1","ryanodine receptor 3-like protein, partial")</f>
        <v>ryanodine receptor 3-like protein, partial</v>
      </c>
      <c r="J3073">
        <v>348.59</v>
      </c>
      <c r="K3073" t="s">
        <v>22</v>
      </c>
      <c r="L3073">
        <v>1210</v>
      </c>
      <c r="M3073">
        <v>7.13</v>
      </c>
      <c r="N3073">
        <v>3.4</v>
      </c>
      <c r="O3073" t="s">
        <v>19</v>
      </c>
      <c r="P3073" t="s">
        <v>1267</v>
      </c>
      <c r="Q3073" t="s">
        <v>19</v>
      </c>
      <c r="R3073" t="str">
        <f>HYPERLINK("https://cfpub.epa.gov/ecotox/explore.cfm?ncbi=764553","Explore in ECOTOX")</f>
        <v>Explore in ECOTOX</v>
      </c>
    </row>
    <row r="3074" spans="1:18" x14ac:dyDescent="0.45">
      <c r="A3074" t="s">
        <v>1266</v>
      </c>
      <c r="B3074">
        <v>8</v>
      </c>
      <c r="C3074" t="str">
        <f>HYPERLINK("http://www.ncbi.nlm.nih.gov/protein/AHN66379.1","AHN66379.1")</f>
        <v>AHN66379.1</v>
      </c>
      <c r="D3074">
        <v>44</v>
      </c>
      <c r="E3074" t="str">
        <f>HYPERLINK("http://www.ncbi.nlm.nih.gov/Taxonomy/Browser/wwwtax.cgi?mode=Info&amp;id=764547&amp;lvl=3&amp;lin=f&amp;keep=1&amp;srchmode=1&amp;unlock","764547")</f>
        <v>764547</v>
      </c>
      <c r="F3074" t="s">
        <v>293</v>
      </c>
      <c r="G3074" t="str">
        <f>HYPERLINK("http://www.ncbi.nlm.nih.gov/Taxonomy/Browser/wwwtax.cgi?mode=Info&amp;id=764547&amp;lvl=3&amp;lin=f&amp;keep=1&amp;srchmode=1&amp;unlock","Polypterus ansorgii")</f>
        <v>Polypterus ansorgii</v>
      </c>
      <c r="H3074" t="s">
        <v>1299</v>
      </c>
      <c r="I3074" t="str">
        <f>HYPERLINK("http://www.ncbi.nlm.nih.gov/protein/AHN66379.1","ryanodine receptor 3-like protein, partial")</f>
        <v>ryanodine receptor 3-like protein, partial</v>
      </c>
      <c r="J3074">
        <v>348.59</v>
      </c>
      <c r="K3074" t="s">
        <v>22</v>
      </c>
      <c r="L3074">
        <v>1210</v>
      </c>
      <c r="M3074">
        <v>7.13</v>
      </c>
      <c r="N3074">
        <v>3.4</v>
      </c>
      <c r="O3074" t="s">
        <v>19</v>
      </c>
      <c r="P3074" t="s">
        <v>1267</v>
      </c>
      <c r="Q3074" t="s">
        <v>19</v>
      </c>
      <c r="R3074" t="str">
        <f>HYPERLINK("https://cfpub.epa.gov/ecotox/explore.cfm?ncbi=764547","Explore in ECOTOX")</f>
        <v>Explore in ECOTOX</v>
      </c>
    </row>
    <row r="3075" spans="1:18" x14ac:dyDescent="0.45">
      <c r="A3075" t="s">
        <v>1266</v>
      </c>
      <c r="B3075">
        <v>8</v>
      </c>
      <c r="C3075" t="str">
        <f>HYPERLINK("http://www.ncbi.nlm.nih.gov/protein/AHN66392.1","AHN66392.1")</f>
        <v>AHN66392.1</v>
      </c>
      <c r="D3075">
        <v>51</v>
      </c>
      <c r="E3075" t="str">
        <f>HYPERLINK("http://www.ncbi.nlm.nih.gov/Taxonomy/Browser/wwwtax.cgi?mode=Info&amp;id=764552&amp;lvl=3&amp;lin=f&amp;keep=1&amp;srchmode=1&amp;unlock","764552")</f>
        <v>764552</v>
      </c>
      <c r="F3075" t="s">
        <v>293</v>
      </c>
      <c r="G3075" t="str">
        <f>HYPERLINK("http://www.ncbi.nlm.nih.gov/Taxonomy/Browser/wwwtax.cgi?mode=Info&amp;id=764552&amp;lvl=3&amp;lin=f&amp;keep=1&amp;srchmode=1&amp;unlock","Polypterus mokelembembe")</f>
        <v>Polypterus mokelembembe</v>
      </c>
      <c r="H3075" t="s">
        <v>1300</v>
      </c>
      <c r="I3075" t="str">
        <f>HYPERLINK("http://www.ncbi.nlm.nih.gov/protein/AHN66392.1","ryanodine receptor 3-like protein, partial")</f>
        <v>ryanodine receptor 3-like protein, partial</v>
      </c>
      <c r="J3075">
        <v>348.59</v>
      </c>
      <c r="K3075" t="s">
        <v>22</v>
      </c>
      <c r="L3075">
        <v>1210</v>
      </c>
      <c r="M3075">
        <v>7.13</v>
      </c>
      <c r="N3075">
        <v>3.4</v>
      </c>
      <c r="O3075" t="s">
        <v>19</v>
      </c>
      <c r="P3075" t="s">
        <v>1267</v>
      </c>
      <c r="Q3075" t="s">
        <v>19</v>
      </c>
      <c r="R3075" t="str">
        <f>HYPERLINK("https://cfpub.epa.gov/ecotox/explore.cfm?ncbi=764552","Explore in ECOTOX")</f>
        <v>Explore in ECOTOX</v>
      </c>
    </row>
    <row r="3076" spans="1:18" x14ac:dyDescent="0.45">
      <c r="A3076" t="s">
        <v>1266</v>
      </c>
      <c r="B3076">
        <v>8</v>
      </c>
      <c r="C3076" t="str">
        <f>HYPERLINK("http://www.ncbi.nlm.nih.gov/protein/AHN66407.1","AHN66407.1")</f>
        <v>AHN66407.1</v>
      </c>
      <c r="D3076">
        <v>43</v>
      </c>
      <c r="E3076" t="str">
        <f>HYPERLINK("http://www.ncbi.nlm.nih.gov/Taxonomy/Browser/wwwtax.cgi?mode=Info&amp;id=764557&amp;lvl=3&amp;lin=f&amp;keep=1&amp;srchmode=1&amp;unlock","764557")</f>
        <v>764557</v>
      </c>
      <c r="F3076" t="s">
        <v>293</v>
      </c>
      <c r="G3076" t="str">
        <f>HYPERLINK("http://www.ncbi.nlm.nih.gov/Taxonomy/Browser/wwwtax.cgi?mode=Info&amp;id=764557&amp;lvl=3&amp;lin=f&amp;keep=1&amp;srchmode=1&amp;unlock","Polypterus teugelsi")</f>
        <v>Polypterus teugelsi</v>
      </c>
      <c r="H3076" t="s">
        <v>1301</v>
      </c>
      <c r="I3076" t="str">
        <f>HYPERLINK("http://www.ncbi.nlm.nih.gov/protein/AHN66407.1","ryanodine receptor 3-like protein, partial")</f>
        <v>ryanodine receptor 3-like protein, partial</v>
      </c>
      <c r="J3076">
        <v>348.59</v>
      </c>
      <c r="K3076" t="s">
        <v>22</v>
      </c>
      <c r="L3076">
        <v>1210</v>
      </c>
      <c r="M3076">
        <v>7.13</v>
      </c>
      <c r="N3076">
        <v>3.4</v>
      </c>
      <c r="O3076" t="s">
        <v>19</v>
      </c>
      <c r="P3076" t="s">
        <v>1267</v>
      </c>
      <c r="Q3076" t="s">
        <v>19</v>
      </c>
      <c r="R3076" t="str">
        <f>HYPERLINK("https://cfpub.epa.gov/ecotox/explore.cfm?ncbi=764557","Explore in ECOTOX")</f>
        <v>Explore in ECOTOX</v>
      </c>
    </row>
    <row r="3077" spans="1:18" x14ac:dyDescent="0.45">
      <c r="A3077" t="s">
        <v>1266</v>
      </c>
      <c r="B3077">
        <v>8</v>
      </c>
      <c r="C3077" t="str">
        <f>HYPERLINK("http://www.ncbi.nlm.nih.gov/protein/AHN66382.1","AHN66382.1")</f>
        <v>AHN66382.1</v>
      </c>
      <c r="D3077">
        <v>27</v>
      </c>
      <c r="E3077" t="str">
        <f>HYPERLINK("http://www.ncbi.nlm.nih.gov/Taxonomy/Browser/wwwtax.cgi?mode=Info&amp;id=764549&amp;lvl=3&amp;lin=f&amp;keep=1&amp;srchmode=1&amp;unlock","764549")</f>
        <v>764549</v>
      </c>
      <c r="F3077" t="s">
        <v>293</v>
      </c>
      <c r="G3077" t="str">
        <f>HYPERLINK("http://www.ncbi.nlm.nih.gov/Taxonomy/Browser/wwwtax.cgi?mode=Info&amp;id=764549&amp;lvl=3&amp;lin=f&amp;keep=1&amp;srchmode=1&amp;unlock","Polypterus bichir lapradei")</f>
        <v>Polypterus bichir lapradei</v>
      </c>
      <c r="H3077" t="s">
        <v>1295</v>
      </c>
      <c r="I3077" t="str">
        <f>HYPERLINK("http://www.ncbi.nlm.nih.gov/protein/AHN66382.1","ryanodine receptor 3-like protein, partial")</f>
        <v>ryanodine receptor 3-like protein, partial</v>
      </c>
      <c r="J3077">
        <v>348.59</v>
      </c>
      <c r="K3077" t="s">
        <v>22</v>
      </c>
      <c r="L3077">
        <v>1210</v>
      </c>
      <c r="M3077">
        <v>7.13</v>
      </c>
      <c r="N3077">
        <v>3.4</v>
      </c>
      <c r="O3077" t="s">
        <v>19</v>
      </c>
      <c r="P3077" t="s">
        <v>1267</v>
      </c>
      <c r="Q3077" t="s">
        <v>19</v>
      </c>
      <c r="R3077" t="str">
        <f>HYPERLINK("https://cfpub.epa.gov/ecotox/explore.cfm?ncbi=764549","Explore in ECOTOX")</f>
        <v>Explore in ECOTOX</v>
      </c>
    </row>
    <row r="3078" spans="1:18" x14ac:dyDescent="0.45">
      <c r="A3078" t="s">
        <v>1266</v>
      </c>
      <c r="B3078">
        <v>8</v>
      </c>
      <c r="C3078" t="str">
        <f>HYPERLINK("http://www.ncbi.nlm.nih.gov/protein/AHN66396.1","AHN66396.1")</f>
        <v>AHN66396.1</v>
      </c>
      <c r="D3078">
        <v>57</v>
      </c>
      <c r="E3078" t="str">
        <f>HYPERLINK("http://www.ncbi.nlm.nih.gov/Taxonomy/Browser/wwwtax.cgi?mode=Info&amp;id=1088067&amp;lvl=3&amp;lin=f&amp;keep=1&amp;srchmode=1&amp;unlock","1088067")</f>
        <v>1088067</v>
      </c>
      <c r="F3078" t="s">
        <v>293</v>
      </c>
      <c r="G3078" t="str">
        <f>HYPERLINK("http://www.ncbi.nlm.nih.gov/Taxonomy/Browser/wwwtax.cgi?mode=Info&amp;id=1088067&amp;lvl=3&amp;lin=f&amp;keep=1&amp;srchmode=1&amp;unlock","Polypterus palmas buettikoferi")</f>
        <v>Polypterus palmas buettikoferi</v>
      </c>
      <c r="H3078" t="s">
        <v>1298</v>
      </c>
      <c r="I3078" t="str">
        <f>HYPERLINK("http://www.ncbi.nlm.nih.gov/protein/AHN66396.1","ryanodine receptor 3-like protein, partial")</f>
        <v>ryanodine receptor 3-like protein, partial</v>
      </c>
      <c r="J3078">
        <v>348.59</v>
      </c>
      <c r="K3078" t="s">
        <v>22</v>
      </c>
      <c r="L3078">
        <v>1210</v>
      </c>
      <c r="M3078">
        <v>7.13</v>
      </c>
      <c r="N3078">
        <v>3.4</v>
      </c>
      <c r="O3078" t="s">
        <v>19</v>
      </c>
      <c r="P3078" t="s">
        <v>1267</v>
      </c>
      <c r="Q3078" t="s">
        <v>19</v>
      </c>
      <c r="R3078" t="str">
        <f>HYPERLINK("https://cfpub.epa.gov/ecotox/explore.cfm?ncbi=1088067","Explore in ECOTOX")</f>
        <v>Explore in ECOTOX</v>
      </c>
    </row>
    <row r="3079" spans="1:18" x14ac:dyDescent="0.45">
      <c r="A3079" t="s">
        <v>1266</v>
      </c>
      <c r="B3079">
        <v>8</v>
      </c>
      <c r="C3079" t="str">
        <f>HYPERLINK("http://www.ncbi.nlm.nih.gov/protein/AHN66390.1","AHN66390.1")</f>
        <v>AHN66390.1</v>
      </c>
      <c r="D3079">
        <v>43</v>
      </c>
      <c r="E3079" t="str">
        <f>HYPERLINK("http://www.ncbi.nlm.nih.gov/Taxonomy/Browser/wwwtax.cgi?mode=Info&amp;id=348150&amp;lvl=3&amp;lin=f&amp;keep=1&amp;srchmode=1&amp;unlock","348150")</f>
        <v>348150</v>
      </c>
      <c r="F3079" t="s">
        <v>293</v>
      </c>
      <c r="G3079" t="str">
        <f>HYPERLINK("http://www.ncbi.nlm.nih.gov/Taxonomy/Browser/wwwtax.cgi?mode=Info&amp;id=348150&amp;lvl=3&amp;lin=f&amp;keep=1&amp;srchmode=1&amp;unlock","Polypterus endlicherii")</f>
        <v>Polypterus endlicherii</v>
      </c>
      <c r="H3079" t="s">
        <v>1296</v>
      </c>
      <c r="I3079" t="str">
        <f>HYPERLINK("http://www.ncbi.nlm.nih.gov/protein/AHN66390.1","ryanodine receptor 3-like protein, partial")</f>
        <v>ryanodine receptor 3-like protein, partial</v>
      </c>
      <c r="J3079">
        <v>348.59</v>
      </c>
      <c r="K3079" t="s">
        <v>22</v>
      </c>
      <c r="L3079">
        <v>1210</v>
      </c>
      <c r="M3079">
        <v>7.13</v>
      </c>
      <c r="N3079">
        <v>3.4</v>
      </c>
      <c r="O3079" t="s">
        <v>19</v>
      </c>
      <c r="P3079" t="s">
        <v>1267</v>
      </c>
      <c r="Q3079" t="s">
        <v>19</v>
      </c>
      <c r="R3079" t="str">
        <f>HYPERLINK("https://cfpub.epa.gov/ecotox/explore.cfm?ncbi=348150","Explore in ECOTOX")</f>
        <v>Explore in ECOTOX</v>
      </c>
    </row>
    <row r="3080" spans="1:18" x14ac:dyDescent="0.45">
      <c r="A3080" t="s">
        <v>1266</v>
      </c>
      <c r="B3080">
        <v>8</v>
      </c>
      <c r="C3080" t="str">
        <f>HYPERLINK("http://www.ncbi.nlm.nih.gov/protein/XP_004993045.1","XP_004993045.1")</f>
        <v>XP_004993045.1</v>
      </c>
      <c r="D3080">
        <v>23489</v>
      </c>
      <c r="E3080" t="str">
        <f>HYPERLINK("http://www.ncbi.nlm.nih.gov/Taxonomy/Browser/wwwtax.cgi?mode=Info&amp;id=946362&amp;lvl=3&amp;lin=f&amp;keep=1&amp;srchmode=1&amp;unlock","946362")</f>
        <v>946362</v>
      </c>
      <c r="F3080" t="s">
        <v>1218</v>
      </c>
      <c r="G3080" t="str">
        <f>HYPERLINK("http://www.ncbi.nlm.nih.gov/Taxonomy/Browser/wwwtax.cgi?mode=Info&amp;id=946362&amp;lvl=3&amp;lin=f&amp;keep=1&amp;srchmode=1&amp;unlock","Salpingoeca rosetta")</f>
        <v>Salpingoeca rosetta</v>
      </c>
      <c r="H3080" t="s">
        <v>1219</v>
      </c>
      <c r="I3080" t="str">
        <f>HYPERLINK("http://www.ncbi.nlm.nih.gov/protein/XP_004993045.1","ryanodine receptor type 1")</f>
        <v>ryanodine receptor type 1</v>
      </c>
      <c r="J3080">
        <v>348.21</v>
      </c>
      <c r="K3080" t="s">
        <v>22</v>
      </c>
      <c r="L3080">
        <v>1210</v>
      </c>
      <c r="M3080">
        <v>7.13</v>
      </c>
      <c r="N3080">
        <v>3.39</v>
      </c>
      <c r="O3080" t="s">
        <v>22</v>
      </c>
      <c r="P3080" t="s">
        <v>1267</v>
      </c>
      <c r="Q3080" t="s">
        <v>19</v>
      </c>
      <c r="R3080" t="str">
        <f>HYPERLINK("https://cfpub.epa.gov/ecotox/explore.cfm?ncbi=946362","Explore in ECOTOX")</f>
        <v>Explore in ECOTOX</v>
      </c>
    </row>
    <row r="3081" spans="1:18" x14ac:dyDescent="0.45">
      <c r="A3081" t="s">
        <v>1266</v>
      </c>
      <c r="B3081">
        <v>8</v>
      </c>
      <c r="C3081" t="str">
        <f>HYPERLINK("http://www.ncbi.nlm.nih.gov/protein/XP_004342590.1","XP_004342590.1")</f>
        <v>XP_004342590.1</v>
      </c>
      <c r="D3081">
        <v>18914</v>
      </c>
      <c r="E3081" t="str">
        <f>HYPERLINK("http://www.ncbi.nlm.nih.gov/Taxonomy/Browser/wwwtax.cgi?mode=Info&amp;id=595528&amp;lvl=3&amp;lin=f&amp;keep=1&amp;srchmode=1&amp;unlock","595528")</f>
        <v>595528</v>
      </c>
      <c r="F3081" t="s">
        <v>1220</v>
      </c>
      <c r="G3081" t="str">
        <f>HYPERLINK("http://www.ncbi.nlm.nih.gov/Taxonomy/Browser/wwwtax.cgi?mode=Info&amp;id=595528&amp;lvl=3&amp;lin=f&amp;keep=1&amp;srchmode=1&amp;unlock","Capsaspora owczarzaki ATCC 30864")</f>
        <v>Capsaspora owczarzaki ATCC 30864</v>
      </c>
      <c r="H3081" t="s">
        <v>1221</v>
      </c>
      <c r="I3081" t="str">
        <f>HYPERLINK("http://www.ncbi.nlm.nih.gov/protein/XP_004342590.1","ryanodine receptor")</f>
        <v>ryanodine receptor</v>
      </c>
      <c r="J3081">
        <v>346.28</v>
      </c>
      <c r="K3081" t="s">
        <v>22</v>
      </c>
      <c r="L3081">
        <v>1210</v>
      </c>
      <c r="M3081">
        <v>7.13</v>
      </c>
      <c r="N3081">
        <v>3.37</v>
      </c>
      <c r="O3081" t="s">
        <v>22</v>
      </c>
      <c r="P3081" t="s">
        <v>1267</v>
      </c>
      <c r="Q3081" t="s">
        <v>19</v>
      </c>
      <c r="R3081" t="str">
        <f>HYPERLINK("https://cfpub.epa.gov/ecotox/explore.cfm?ncbi=595528","Explore in ECOTOX")</f>
        <v>Explore in ECOTOX</v>
      </c>
    </row>
    <row r="3082" spans="1:18" x14ac:dyDescent="0.45">
      <c r="A3082" t="s">
        <v>1266</v>
      </c>
      <c r="B3082">
        <v>8</v>
      </c>
      <c r="C3082" t="str">
        <f>HYPERLINK("http://www.ncbi.nlm.nih.gov/protein/AEY80787.1","AEY80787.1")</f>
        <v>AEY80787.1</v>
      </c>
      <c r="D3082">
        <v>42</v>
      </c>
      <c r="E3082" t="str">
        <f>HYPERLINK("http://www.ncbi.nlm.nih.gov/Taxonomy/Browser/wwwtax.cgi?mode=Info&amp;id=66453&amp;lvl=3&amp;lin=f&amp;keep=1&amp;srchmode=1&amp;unlock","66453")</f>
        <v>66453</v>
      </c>
      <c r="F3082" t="s">
        <v>17</v>
      </c>
      <c r="G3082" t="str">
        <f>HYPERLINK("http://www.ncbi.nlm.nih.gov/Taxonomy/Browser/wwwtax.cgi?mode=Info&amp;id=66453&amp;lvl=3&amp;lin=f&amp;keep=1&amp;srchmode=1&amp;unlock","Aplochiton zebra")</f>
        <v>Aplochiton zebra</v>
      </c>
      <c r="H3082" t="s">
        <v>1302</v>
      </c>
      <c r="I3082" t="str">
        <f>HYPERLINK("http://www.ncbi.nlm.nih.gov/protein/AEY80787.1","ryanodine receptor 3-like protein, partial")</f>
        <v>ryanodine receptor 3-like protein, partial</v>
      </c>
      <c r="J3082">
        <v>345.89</v>
      </c>
      <c r="K3082" t="s">
        <v>22</v>
      </c>
      <c r="L3082">
        <v>1210</v>
      </c>
      <c r="M3082">
        <v>7.13</v>
      </c>
      <c r="N3082">
        <v>3.37</v>
      </c>
      <c r="O3082" t="s">
        <v>19</v>
      </c>
      <c r="P3082" t="s">
        <v>1267</v>
      </c>
      <c r="Q3082" t="s">
        <v>19</v>
      </c>
      <c r="R3082" t="str">
        <f>HYPERLINK("https://cfpub.epa.gov/ecotox/explore.cfm?ncbi=66453","Explore in ECOTOX")</f>
        <v>Explore in ECOTOX</v>
      </c>
    </row>
    <row r="3083" spans="1:18" x14ac:dyDescent="0.45">
      <c r="A3083" t="s">
        <v>1266</v>
      </c>
      <c r="B3083">
        <v>8</v>
      </c>
      <c r="C3083" t="str">
        <f>HYPERLINK("http://www.ncbi.nlm.nih.gov/protein/AEY80802.1","AEY80802.1")</f>
        <v>AEY80802.1</v>
      </c>
      <c r="D3083">
        <v>74</v>
      </c>
      <c r="E3083" t="str">
        <f>HYPERLINK("http://www.ncbi.nlm.nih.gov/Taxonomy/Browser/wwwtax.cgi?mode=Info&amp;id=75934&amp;lvl=3&amp;lin=f&amp;keep=1&amp;srchmode=1&amp;unlock","75934")</f>
        <v>75934</v>
      </c>
      <c r="F3083" t="s">
        <v>17</v>
      </c>
      <c r="G3083" t="str">
        <f>HYPERLINK("http://www.ncbi.nlm.nih.gov/Taxonomy/Browser/wwwtax.cgi?mode=Info&amp;id=75934&amp;lvl=3&amp;lin=f&amp;keep=1&amp;srchmode=1&amp;unlock","Umbra pygmaea")</f>
        <v>Umbra pygmaea</v>
      </c>
      <c r="H3083" t="s">
        <v>1303</v>
      </c>
      <c r="I3083" t="str">
        <f>HYPERLINK("http://www.ncbi.nlm.nih.gov/protein/AEY80802.1","ryanodine receptor 3-like protein, partial")</f>
        <v>ryanodine receptor 3-like protein, partial</v>
      </c>
      <c r="J3083">
        <v>342.04</v>
      </c>
      <c r="K3083" t="s">
        <v>22</v>
      </c>
      <c r="L3083">
        <v>1210</v>
      </c>
      <c r="M3083">
        <v>7.13</v>
      </c>
      <c r="N3083">
        <v>3.33</v>
      </c>
      <c r="O3083" t="s">
        <v>19</v>
      </c>
      <c r="P3083" t="s">
        <v>1267</v>
      </c>
      <c r="Q3083" t="s">
        <v>19</v>
      </c>
      <c r="R3083" t="str">
        <f>HYPERLINK("https://cfpub.epa.gov/ecotox/explore.cfm?ncbi=75934","Explore in ECOTOX")</f>
        <v>Explore in ECOTOX</v>
      </c>
    </row>
    <row r="3084" spans="1:18" x14ac:dyDescent="0.45">
      <c r="A3084" t="s">
        <v>1266</v>
      </c>
      <c r="B3084">
        <v>8</v>
      </c>
      <c r="C3084" t="str">
        <f>HYPERLINK("http://www.ncbi.nlm.nih.gov/protein/AGN55072.1","AGN55072.1")</f>
        <v>AGN55072.1</v>
      </c>
      <c r="D3084">
        <v>71</v>
      </c>
      <c r="E3084" t="str">
        <f>HYPERLINK("http://www.ncbi.nlm.nih.gov/Taxonomy/Browser/wwwtax.cgi?mode=Info&amp;id=392921&amp;lvl=3&amp;lin=f&amp;keep=1&amp;srchmode=1&amp;unlock","392921")</f>
        <v>392921</v>
      </c>
      <c r="F3084" t="s">
        <v>17</v>
      </c>
      <c r="G3084" t="str">
        <f>HYPERLINK("http://www.ncbi.nlm.nih.gov/Taxonomy/Browser/wwwtax.cgi?mode=Info&amp;id=392921&amp;lvl=3&amp;lin=f&amp;keep=1&amp;srchmode=1&amp;unlock","Monacanthus chinensis")</f>
        <v>Monacanthus chinensis</v>
      </c>
      <c r="H3084" t="s">
        <v>1304</v>
      </c>
      <c r="I3084" t="str">
        <f>HYPERLINK("http://www.ncbi.nlm.nih.gov/protein/AGN55072.1","ryanodine receptor 3-like protein, partial")</f>
        <v>ryanodine receptor 3-like protein, partial</v>
      </c>
      <c r="J3084">
        <v>342.04</v>
      </c>
      <c r="K3084" t="s">
        <v>22</v>
      </c>
      <c r="L3084">
        <v>1210</v>
      </c>
      <c r="M3084">
        <v>7.13</v>
      </c>
      <c r="N3084">
        <v>3.33</v>
      </c>
      <c r="O3084" t="s">
        <v>19</v>
      </c>
      <c r="P3084" t="s">
        <v>1267</v>
      </c>
      <c r="Q3084" t="s">
        <v>19</v>
      </c>
      <c r="R3084" t="str">
        <f>HYPERLINK("https://cfpub.epa.gov/ecotox/explore.cfm?ncbi=392921","Explore in ECOTOX")</f>
        <v>Explore in ECOTOX</v>
      </c>
    </row>
    <row r="3085" spans="1:18" x14ac:dyDescent="0.45">
      <c r="A3085" t="s">
        <v>1266</v>
      </c>
      <c r="B3085">
        <v>8</v>
      </c>
      <c r="C3085" t="str">
        <f>HYPERLINK("http://www.ncbi.nlm.nih.gov/protein/AEY80790.1","AEY80790.1")</f>
        <v>AEY80790.1</v>
      </c>
      <c r="D3085">
        <v>189</v>
      </c>
      <c r="E3085" t="str">
        <f>HYPERLINK("http://www.ncbi.nlm.nih.gov/Taxonomy/Browser/wwwtax.cgi?mode=Info&amp;id=66447&amp;lvl=3&amp;lin=f&amp;keep=1&amp;srchmode=1&amp;unlock","66447")</f>
        <v>66447</v>
      </c>
      <c r="F3085" t="s">
        <v>17</v>
      </c>
      <c r="G3085" t="str">
        <f>HYPERLINK("http://www.ncbi.nlm.nih.gov/Taxonomy/Browser/wwwtax.cgi?mode=Info&amp;id=66447&amp;lvl=3&amp;lin=f&amp;keep=1&amp;srchmode=1&amp;unlock","Galaxias brevipinnis")</f>
        <v>Galaxias brevipinnis</v>
      </c>
      <c r="H3085" t="s">
        <v>1305</v>
      </c>
      <c r="I3085" t="str">
        <f>HYPERLINK("http://www.ncbi.nlm.nih.gov/protein/AEY80790.1","ryanodine receptor 3-like protein, partial")</f>
        <v>ryanodine receptor 3-like protein, partial</v>
      </c>
      <c r="J3085">
        <v>340.5</v>
      </c>
      <c r="K3085" t="s">
        <v>22</v>
      </c>
      <c r="L3085">
        <v>1210</v>
      </c>
      <c r="M3085">
        <v>7.13</v>
      </c>
      <c r="N3085">
        <v>3.32</v>
      </c>
      <c r="O3085" t="s">
        <v>19</v>
      </c>
      <c r="P3085" t="s">
        <v>1267</v>
      </c>
      <c r="Q3085" t="s">
        <v>19</v>
      </c>
      <c r="R3085" t="str">
        <f>HYPERLINK("https://cfpub.epa.gov/ecotox/explore.cfm?ncbi=66447","Explore in ECOTOX")</f>
        <v>Explore in ECOTOX</v>
      </c>
    </row>
    <row r="3086" spans="1:18" x14ac:dyDescent="0.45">
      <c r="A3086" t="s">
        <v>1266</v>
      </c>
      <c r="B3086">
        <v>8</v>
      </c>
      <c r="C3086" t="str">
        <f>HYPERLINK("http://www.ncbi.nlm.nih.gov/protein/AEY80793.1","AEY80793.1")</f>
        <v>AEY80793.1</v>
      </c>
      <c r="D3086">
        <v>73</v>
      </c>
      <c r="E3086" t="str">
        <f>HYPERLINK("http://www.ncbi.nlm.nih.gov/Taxonomy/Browser/wwwtax.cgi?mode=Info&amp;id=89560&amp;lvl=3&amp;lin=f&amp;keep=1&amp;srchmode=1&amp;unlock","89560")</f>
        <v>89560</v>
      </c>
      <c r="F3086" t="s">
        <v>17</v>
      </c>
      <c r="G3086" t="str">
        <f>HYPERLINK("http://www.ncbi.nlm.nih.gov/Taxonomy/Browser/wwwtax.cgi?mode=Info&amp;id=89560&amp;lvl=3&amp;lin=f&amp;keep=1&amp;srchmode=1&amp;unlock","Galaxias paucispondylus")</f>
        <v>Galaxias paucispondylus</v>
      </c>
      <c r="H3086" t="s">
        <v>1306</v>
      </c>
      <c r="I3086" t="str">
        <f>HYPERLINK("http://www.ncbi.nlm.nih.gov/protein/AEY80793.1","ryanodine receptor 3-like protein, partial")</f>
        <v>ryanodine receptor 3-like protein, partial</v>
      </c>
      <c r="J3086">
        <v>340.5</v>
      </c>
      <c r="K3086" t="s">
        <v>22</v>
      </c>
      <c r="L3086">
        <v>1210</v>
      </c>
      <c r="M3086">
        <v>7.13</v>
      </c>
      <c r="N3086">
        <v>3.32</v>
      </c>
      <c r="O3086" t="s">
        <v>19</v>
      </c>
      <c r="P3086" t="s">
        <v>1267</v>
      </c>
      <c r="Q3086" t="s">
        <v>19</v>
      </c>
      <c r="R3086" t="str">
        <f>HYPERLINK("https://cfpub.epa.gov/ecotox/explore.cfm?ncbi=89560","Explore in ECOTOX")</f>
        <v>Explore in ECOTOX</v>
      </c>
    </row>
    <row r="3087" spans="1:18" x14ac:dyDescent="0.45">
      <c r="A3087" t="s">
        <v>1266</v>
      </c>
      <c r="B3087">
        <v>8</v>
      </c>
      <c r="C3087" t="str">
        <f>HYPERLINK("http://www.ncbi.nlm.nih.gov/protein/AEY80795.1","AEY80795.1")</f>
        <v>AEY80795.1</v>
      </c>
      <c r="D3087">
        <v>99</v>
      </c>
      <c r="E3087" t="str">
        <f>HYPERLINK("http://www.ncbi.nlm.nih.gov/Taxonomy/Browser/wwwtax.cgi?mode=Info&amp;id=126308&amp;lvl=3&amp;lin=f&amp;keep=1&amp;srchmode=1&amp;unlock","126308")</f>
        <v>126308</v>
      </c>
      <c r="F3087" t="s">
        <v>17</v>
      </c>
      <c r="G3087" t="str">
        <f>HYPERLINK("http://www.ncbi.nlm.nih.gov/Taxonomy/Browser/wwwtax.cgi?mode=Info&amp;id=126308&amp;lvl=3&amp;lin=f&amp;keep=1&amp;srchmode=1&amp;unlock","Galaxias sp. 'southern'")</f>
        <v>Galaxias sp. 'southern'</v>
      </c>
      <c r="H3087" t="s">
        <v>1307</v>
      </c>
      <c r="I3087" t="str">
        <f>HYPERLINK("http://www.ncbi.nlm.nih.gov/protein/AEY80795.1","ryanodine receptor 3-like protein, partial")</f>
        <v>ryanodine receptor 3-like protein, partial</v>
      </c>
      <c r="J3087">
        <v>340.5</v>
      </c>
      <c r="K3087" t="s">
        <v>22</v>
      </c>
      <c r="L3087">
        <v>1210</v>
      </c>
      <c r="M3087">
        <v>7.13</v>
      </c>
      <c r="N3087">
        <v>3.32</v>
      </c>
      <c r="O3087" t="s">
        <v>19</v>
      </c>
      <c r="P3087" t="s">
        <v>1267</v>
      </c>
      <c r="Q3087" t="s">
        <v>19</v>
      </c>
      <c r="R3087" t="str">
        <f>HYPERLINK("https://cfpub.epa.gov/ecotox/explore.cfm?ncbi=126308","Explore in ECOTOX")</f>
        <v>Explore in ECOTOX</v>
      </c>
    </row>
    <row r="3088" spans="1:18" x14ac:dyDescent="0.45">
      <c r="A3088" t="s">
        <v>1266</v>
      </c>
      <c r="B3088">
        <v>8</v>
      </c>
      <c r="C3088" t="str">
        <f>HYPERLINK("http://www.ncbi.nlm.nih.gov/protein/AEY80791.1","AEY80791.1")</f>
        <v>AEY80791.1</v>
      </c>
      <c r="D3088">
        <v>148</v>
      </c>
      <c r="E3088" t="str">
        <f>HYPERLINK("http://www.ncbi.nlm.nih.gov/Taxonomy/Browser/wwwtax.cgi?mode=Info&amp;id=126305&amp;lvl=3&amp;lin=f&amp;keep=1&amp;srchmode=1&amp;unlock","126305")</f>
        <v>126305</v>
      </c>
      <c r="F3088" t="s">
        <v>17</v>
      </c>
      <c r="G3088" t="str">
        <f>HYPERLINK("http://www.ncbi.nlm.nih.gov/Taxonomy/Browser/wwwtax.cgi?mode=Info&amp;id=126305&amp;lvl=3&amp;lin=f&amp;keep=1&amp;srchmode=1&amp;unlock","Galaxias gollumoides")</f>
        <v>Galaxias gollumoides</v>
      </c>
      <c r="H3088" t="s">
        <v>1308</v>
      </c>
      <c r="I3088" t="str">
        <f>HYPERLINK("http://www.ncbi.nlm.nih.gov/protein/AEY80791.1","ryanodine receptor 3-like protein, partial")</f>
        <v>ryanodine receptor 3-like protein, partial</v>
      </c>
      <c r="J3088">
        <v>340.5</v>
      </c>
      <c r="K3088" t="s">
        <v>22</v>
      </c>
      <c r="L3088">
        <v>1210</v>
      </c>
      <c r="M3088">
        <v>7.13</v>
      </c>
      <c r="N3088">
        <v>3.32</v>
      </c>
      <c r="O3088" t="s">
        <v>19</v>
      </c>
      <c r="P3088" t="s">
        <v>1267</v>
      </c>
      <c r="Q3088" t="s">
        <v>19</v>
      </c>
      <c r="R3088" t="str">
        <f>HYPERLINK("https://cfpub.epa.gov/ecotox/explore.cfm?ncbi=126305","Explore in ECOTOX")</f>
        <v>Explore in ECOTOX</v>
      </c>
    </row>
    <row r="3089" spans="1:18" x14ac:dyDescent="0.45">
      <c r="A3089" t="s">
        <v>1266</v>
      </c>
      <c r="B3089">
        <v>8</v>
      </c>
      <c r="C3089" t="str">
        <f>HYPERLINK("http://www.ncbi.nlm.nih.gov/protein/AEY80797.1","AEY80797.1")</f>
        <v>AEY80797.1</v>
      </c>
      <c r="D3089">
        <v>35</v>
      </c>
      <c r="E3089" t="str">
        <f>HYPERLINK("http://www.ncbi.nlm.nih.gov/Taxonomy/Browser/wwwtax.cgi?mode=Info&amp;id=66451&amp;lvl=3&amp;lin=f&amp;keep=1&amp;srchmode=1&amp;unlock","66451")</f>
        <v>66451</v>
      </c>
      <c r="F3089" t="s">
        <v>17</v>
      </c>
      <c r="G3089" t="str">
        <f>HYPERLINK("http://www.ncbi.nlm.nih.gov/Taxonomy/Browser/wwwtax.cgi?mode=Info&amp;id=66451&amp;lvl=3&amp;lin=f&amp;keep=1&amp;srchmode=1&amp;unlock","Neochanna burrowsius")</f>
        <v>Neochanna burrowsius</v>
      </c>
      <c r="H3089" t="s">
        <v>1302</v>
      </c>
      <c r="I3089" t="str">
        <f>HYPERLINK("http://www.ncbi.nlm.nih.gov/protein/AEY80797.1","ryanodine receptor 3-like protein, partial")</f>
        <v>ryanodine receptor 3-like protein, partial</v>
      </c>
      <c r="J3089">
        <v>340.5</v>
      </c>
      <c r="K3089" t="s">
        <v>22</v>
      </c>
      <c r="L3089">
        <v>1210</v>
      </c>
      <c r="M3089">
        <v>7.13</v>
      </c>
      <c r="N3089">
        <v>3.32</v>
      </c>
      <c r="O3089" t="s">
        <v>19</v>
      </c>
      <c r="P3089" t="s">
        <v>1267</v>
      </c>
      <c r="Q3089" t="s">
        <v>19</v>
      </c>
      <c r="R3089" t="str">
        <f>HYPERLINK("https://cfpub.epa.gov/ecotox/explore.cfm?ncbi=66451","Explore in ECOTOX")</f>
        <v>Explore in ECOTOX</v>
      </c>
    </row>
    <row r="3090" spans="1:18" x14ac:dyDescent="0.45">
      <c r="A3090" t="s">
        <v>1266</v>
      </c>
      <c r="B3090">
        <v>8</v>
      </c>
      <c r="C3090" t="str">
        <f>HYPERLINK("http://www.ncbi.nlm.nih.gov/protein/AEY80796.1","AEY80796.1")</f>
        <v>AEY80796.1</v>
      </c>
      <c r="D3090">
        <v>112</v>
      </c>
      <c r="E3090" t="str">
        <f>HYPERLINK("http://www.ncbi.nlm.nih.gov/Taxonomy/Browser/wwwtax.cgi?mode=Info&amp;id=51243&amp;lvl=3&amp;lin=f&amp;keep=1&amp;srchmode=1&amp;unlock","51243")</f>
        <v>51243</v>
      </c>
      <c r="F3090" t="s">
        <v>17</v>
      </c>
      <c r="G3090" t="str">
        <f>HYPERLINK("http://www.ncbi.nlm.nih.gov/Taxonomy/Browser/wwwtax.cgi?mode=Info&amp;id=51243&amp;lvl=3&amp;lin=f&amp;keep=1&amp;srchmode=1&amp;unlock","Galaxias zebratus")</f>
        <v>Galaxias zebratus</v>
      </c>
      <c r="H3090" t="s">
        <v>1309</v>
      </c>
      <c r="I3090" t="str">
        <f>HYPERLINK("http://www.ncbi.nlm.nih.gov/protein/AEY80796.1","ryanodine receptor 3-like protein, partial")</f>
        <v>ryanodine receptor 3-like protein, partial</v>
      </c>
      <c r="J3090">
        <v>338.19</v>
      </c>
      <c r="K3090" t="s">
        <v>22</v>
      </c>
      <c r="L3090">
        <v>1210</v>
      </c>
      <c r="M3090">
        <v>7.13</v>
      </c>
      <c r="N3090">
        <v>3.3</v>
      </c>
      <c r="O3090" t="s">
        <v>19</v>
      </c>
      <c r="P3090" t="s">
        <v>1267</v>
      </c>
      <c r="Q3090" t="s">
        <v>19</v>
      </c>
      <c r="R3090" t="str">
        <f>HYPERLINK("https://cfpub.epa.gov/ecotox/explore.cfm?ncbi=51243","Explore in ECOTOX")</f>
        <v>Explore in ECOTOX</v>
      </c>
    </row>
    <row r="3091" spans="1:18" x14ac:dyDescent="0.45">
      <c r="A3091" t="s">
        <v>1266</v>
      </c>
      <c r="B3091">
        <v>8</v>
      </c>
      <c r="C3091" t="str">
        <f>HYPERLINK("http://www.ncbi.nlm.nih.gov/protein/AEY80788.1","AEY80788.1")</f>
        <v>AEY80788.1</v>
      </c>
      <c r="D3091">
        <v>63</v>
      </c>
      <c r="E3091" t="str">
        <f>HYPERLINK("http://www.ncbi.nlm.nih.gov/Taxonomy/Browser/wwwtax.cgi?mode=Info&amp;id=1120762&amp;lvl=3&amp;lin=f&amp;keep=1&amp;srchmode=1&amp;unlock","1120762")</f>
        <v>1120762</v>
      </c>
      <c r="F3091" t="s">
        <v>17</v>
      </c>
      <c r="G3091" t="str">
        <f>HYPERLINK("http://www.ncbi.nlm.nih.gov/Taxonomy/Browser/wwwtax.cgi?mode=Info&amp;id=1120762&amp;lvl=3&amp;lin=f&amp;keep=1&amp;srchmode=1&amp;unlock","Lovettia sealii")</f>
        <v>Lovettia sealii</v>
      </c>
      <c r="H3091" t="s">
        <v>1310</v>
      </c>
      <c r="I3091" t="str">
        <f>HYPERLINK("http://www.ncbi.nlm.nih.gov/protein/AEY80788.1","ryanodine receptor 3-like protein, partial")</f>
        <v>ryanodine receptor 3-like protein, partial</v>
      </c>
      <c r="J3091">
        <v>337.42</v>
      </c>
      <c r="K3091" t="s">
        <v>22</v>
      </c>
      <c r="L3091">
        <v>1210</v>
      </c>
      <c r="M3091">
        <v>7.13</v>
      </c>
      <c r="N3091">
        <v>3.29</v>
      </c>
      <c r="O3091" t="s">
        <v>19</v>
      </c>
      <c r="P3091" t="s">
        <v>1267</v>
      </c>
      <c r="Q3091" t="s">
        <v>19</v>
      </c>
      <c r="R3091" t="str">
        <f>HYPERLINK("https://cfpub.epa.gov/ecotox/explore.cfm?ncbi=1120762","Explore in ECOTOX")</f>
        <v>Explore in ECOTOX</v>
      </c>
    </row>
    <row r="3092" spans="1:18" x14ac:dyDescent="0.45">
      <c r="A3092" t="s">
        <v>1266</v>
      </c>
      <c r="B3092">
        <v>8</v>
      </c>
      <c r="C3092" t="str">
        <f>HYPERLINK("http://www.ncbi.nlm.nih.gov/protein/AEY80794.1","AEY80794.1")</f>
        <v>AEY80794.1</v>
      </c>
      <c r="D3092">
        <v>48</v>
      </c>
      <c r="E3092" t="str">
        <f>HYPERLINK("http://www.ncbi.nlm.nih.gov/Taxonomy/Browser/wwwtax.cgi?mode=Info&amp;id=477781&amp;lvl=3&amp;lin=f&amp;keep=1&amp;srchmode=1&amp;unlock","477781")</f>
        <v>477781</v>
      </c>
      <c r="F3092" t="s">
        <v>17</v>
      </c>
      <c r="G3092" t="str">
        <f>HYPERLINK("http://www.ncbi.nlm.nih.gov/Taxonomy/Browser/wwwtax.cgi?mode=Info&amp;id=477781&amp;lvl=3&amp;lin=f&amp;keep=1&amp;srchmode=1&amp;unlock","Galaxias platei")</f>
        <v>Galaxias platei</v>
      </c>
      <c r="H3092" t="s">
        <v>1302</v>
      </c>
      <c r="I3092" t="str">
        <f>HYPERLINK("http://www.ncbi.nlm.nih.gov/protein/AEY80794.1","ryanodine receptor 3-like protein, partial")</f>
        <v>ryanodine receptor 3-like protein, partial</v>
      </c>
      <c r="J3092">
        <v>337.04</v>
      </c>
      <c r="K3092" t="s">
        <v>22</v>
      </c>
      <c r="L3092">
        <v>1210</v>
      </c>
      <c r="M3092">
        <v>7.13</v>
      </c>
      <c r="N3092">
        <v>3.28</v>
      </c>
      <c r="O3092" t="s">
        <v>19</v>
      </c>
      <c r="P3092" t="s">
        <v>1267</v>
      </c>
      <c r="Q3092" t="s">
        <v>19</v>
      </c>
      <c r="R3092" t="str">
        <f>HYPERLINK("https://cfpub.epa.gov/ecotox/explore.cfm?ncbi=477781","Explore in ECOTOX")</f>
        <v>Explore in ECOTOX</v>
      </c>
    </row>
    <row r="3093" spans="1:18" x14ac:dyDescent="0.45">
      <c r="A3093" t="s">
        <v>1266</v>
      </c>
      <c r="B3093">
        <v>8</v>
      </c>
      <c r="C3093" t="str">
        <f>HYPERLINK("http://www.ncbi.nlm.nih.gov/protein/AEY80792.1","AEY80792.1")</f>
        <v>AEY80792.1</v>
      </c>
      <c r="D3093">
        <v>131</v>
      </c>
      <c r="E3093" t="str">
        <f>HYPERLINK("http://www.ncbi.nlm.nih.gov/Taxonomy/Browser/wwwtax.cgi?mode=Info&amp;id=61620&amp;lvl=3&amp;lin=f&amp;keep=1&amp;srchmode=1&amp;unlock","61620")</f>
        <v>61620</v>
      </c>
      <c r="F3093" t="s">
        <v>17</v>
      </c>
      <c r="G3093" t="str">
        <f>HYPERLINK("http://www.ncbi.nlm.nih.gov/Taxonomy/Browser/wwwtax.cgi?mode=Info&amp;id=61620&amp;lvl=3&amp;lin=f&amp;keep=1&amp;srchmode=1&amp;unlock","Galaxias maculatus")</f>
        <v>Galaxias maculatus</v>
      </c>
      <c r="H3093" t="s">
        <v>1311</v>
      </c>
      <c r="I3093" t="str">
        <f>HYPERLINK("http://www.ncbi.nlm.nih.gov/protein/AEY80792.1","ryanodine receptor 3-like protein, partial")</f>
        <v>ryanodine receptor 3-like protein, partial</v>
      </c>
      <c r="J3093">
        <v>336.65</v>
      </c>
      <c r="K3093" t="s">
        <v>22</v>
      </c>
      <c r="L3093">
        <v>1210</v>
      </c>
      <c r="M3093">
        <v>7.13</v>
      </c>
      <c r="N3093">
        <v>3.28</v>
      </c>
      <c r="O3093" t="s">
        <v>19</v>
      </c>
      <c r="P3093" t="s">
        <v>1267</v>
      </c>
      <c r="Q3093" t="s">
        <v>19</v>
      </c>
      <c r="R3093" t="str">
        <f>HYPERLINK("https://cfpub.epa.gov/ecotox/explore.cfm?ncbi=61620","Explore in ECOTOX")</f>
        <v>Explore in ECOTOX</v>
      </c>
    </row>
    <row r="3094" spans="1:18" x14ac:dyDescent="0.45">
      <c r="A3094" t="s">
        <v>1266</v>
      </c>
      <c r="B3094">
        <v>8</v>
      </c>
      <c r="C3094" t="str">
        <f>HYPERLINK("http://www.ncbi.nlm.nih.gov/protein/AII21805.1","AII21805.1")</f>
        <v>AII21805.1</v>
      </c>
      <c r="D3094">
        <v>282</v>
      </c>
      <c r="E3094" t="str">
        <f>HYPERLINK("http://www.ncbi.nlm.nih.gov/Taxonomy/Browser/wwwtax.cgi?mode=Info&amp;id=8238&amp;lvl=3&amp;lin=f&amp;keep=1&amp;srchmode=1&amp;unlock","8238")</f>
        <v>8238</v>
      </c>
      <c r="F3094" t="s">
        <v>17</v>
      </c>
      <c r="G3094" t="str">
        <f>HYPERLINK("http://www.ncbi.nlm.nih.gov/Taxonomy/Browser/wwwtax.cgi?mode=Info&amp;id=8238&amp;lvl=3&amp;lin=f&amp;keep=1&amp;srchmode=1&amp;unlock","Thunnus orientalis")</f>
        <v>Thunnus orientalis</v>
      </c>
      <c r="H3094" t="s">
        <v>1312</v>
      </c>
      <c r="I3094" t="str">
        <f>HYPERLINK("http://www.ncbi.nlm.nih.gov/protein/AII21805.1","ryanodine receptor 2, partial")</f>
        <v>ryanodine receptor 2, partial</v>
      </c>
      <c r="J3094">
        <v>327.02</v>
      </c>
      <c r="K3094" t="s">
        <v>22</v>
      </c>
      <c r="L3094">
        <v>1210</v>
      </c>
      <c r="M3094">
        <v>7.13</v>
      </c>
      <c r="N3094">
        <v>3.19</v>
      </c>
      <c r="O3094" t="s">
        <v>19</v>
      </c>
      <c r="P3094" t="s">
        <v>1267</v>
      </c>
      <c r="Q3094" t="s">
        <v>19</v>
      </c>
      <c r="R3094" t="str">
        <f>HYPERLINK("https://cfpub.epa.gov/ecotox/explore.cfm?ncbi=8238","Explore in ECOTOX")</f>
        <v>Explore in ECOTOX</v>
      </c>
    </row>
    <row r="3095" spans="1:18" x14ac:dyDescent="0.45">
      <c r="A3095" t="s">
        <v>1266</v>
      </c>
      <c r="B3095">
        <v>8</v>
      </c>
      <c r="C3095" t="str">
        <f>HYPERLINK("http://www.ncbi.nlm.nih.gov/protein/AII21804.1","AII21804.1")</f>
        <v>AII21804.1</v>
      </c>
      <c r="D3095">
        <v>199</v>
      </c>
      <c r="E3095" t="str">
        <f>HYPERLINK("http://www.ncbi.nlm.nih.gov/Taxonomy/Browser/wwwtax.cgi?mode=Info&amp;id=8235&amp;lvl=3&amp;lin=f&amp;keep=1&amp;srchmode=1&amp;unlock","8235")</f>
        <v>8235</v>
      </c>
      <c r="F3095" t="s">
        <v>17</v>
      </c>
      <c r="G3095" t="str">
        <f>HYPERLINK("http://www.ncbi.nlm.nih.gov/Taxonomy/Browser/wwwtax.cgi?mode=Info&amp;id=8235&amp;lvl=3&amp;lin=f&amp;keep=1&amp;srchmode=1&amp;unlock","Thunnus alalunga")</f>
        <v>Thunnus alalunga</v>
      </c>
      <c r="H3095" t="s">
        <v>1313</v>
      </c>
      <c r="I3095" t="str">
        <f>HYPERLINK("http://www.ncbi.nlm.nih.gov/protein/AII21804.1","ryanodine receptor 2, partial")</f>
        <v>ryanodine receptor 2, partial</v>
      </c>
      <c r="J3095">
        <v>281.95</v>
      </c>
      <c r="K3095" t="s">
        <v>19</v>
      </c>
      <c r="L3095">
        <v>1210</v>
      </c>
      <c r="M3095">
        <v>7.13</v>
      </c>
      <c r="N3095">
        <v>2.75</v>
      </c>
      <c r="O3095" t="s">
        <v>19</v>
      </c>
      <c r="P3095" t="s">
        <v>1267</v>
      </c>
      <c r="Q3095" t="s">
        <v>19</v>
      </c>
      <c r="R3095" t="str">
        <f>HYPERLINK("https://cfpub.epa.gov/ecotox/explore.cfm?ncbi=8235","Explore in ECOTOX")</f>
        <v>Explore in ECOTOX</v>
      </c>
    </row>
    <row r="3096" spans="1:18" x14ac:dyDescent="0.45">
      <c r="A3096" t="s">
        <v>1266</v>
      </c>
      <c r="B3096">
        <v>8</v>
      </c>
      <c r="C3096" t="str">
        <f>HYPERLINK("http://www.ncbi.nlm.nih.gov/protein/KAI6060082.1","KAI6060082.1")</f>
        <v>KAI6060082.1</v>
      </c>
      <c r="D3096">
        <v>13262</v>
      </c>
      <c r="E3096" t="str">
        <f>HYPERLINK("http://www.ncbi.nlm.nih.gov/Taxonomy/Browser/wwwtax.cgi?mode=Info&amp;id=8832&amp;lvl=3&amp;lin=f&amp;keep=1&amp;srchmode=1&amp;unlock","8832")</f>
        <v>8832</v>
      </c>
      <c r="F3096" t="s">
        <v>241</v>
      </c>
      <c r="G3096" t="str">
        <f>HYPERLINK("http://www.ncbi.nlm.nih.gov/Taxonomy/Browser/wwwtax.cgi?mode=Info&amp;id=8832&amp;lvl=3&amp;lin=f&amp;keep=1&amp;srchmode=1&amp;unlock","Aix galericulata")</f>
        <v>Aix galericulata</v>
      </c>
      <c r="H3096" t="s">
        <v>1223</v>
      </c>
      <c r="I3096" t="str">
        <f>HYPERLINK("http://www.ncbi.nlm.nih.gov/protein/KAI6060082.1","Ryanodine receptor 1")</f>
        <v>Ryanodine receptor 1</v>
      </c>
      <c r="J3096">
        <v>209.53</v>
      </c>
      <c r="K3096" t="s">
        <v>22</v>
      </c>
      <c r="L3096">
        <v>1210</v>
      </c>
      <c r="M3096">
        <v>7.13</v>
      </c>
      <c r="N3096">
        <v>2.04</v>
      </c>
      <c r="O3096" t="s">
        <v>19</v>
      </c>
      <c r="P3096" t="s">
        <v>1267</v>
      </c>
      <c r="Q3096" t="s">
        <v>19</v>
      </c>
      <c r="R3096" t="str">
        <f>HYPERLINK("https://cfpub.epa.gov/ecotox/explore.cfm?ncbi=8832","Explore in ECOTOX")</f>
        <v>Explore in ECOTOX</v>
      </c>
    </row>
    <row r="3097" spans="1:18" x14ac:dyDescent="0.45">
      <c r="A3097" t="s">
        <v>1266</v>
      </c>
      <c r="B3097">
        <v>8</v>
      </c>
      <c r="C3097" t="str">
        <f>HYPERLINK("http://www.ncbi.nlm.nih.gov/protein/XP_004333542.1","XP_004333542.1")</f>
        <v>XP_004333542.1</v>
      </c>
      <c r="D3097">
        <v>29972</v>
      </c>
      <c r="E3097" t="str">
        <f>HYPERLINK("http://www.ncbi.nlm.nih.gov/Taxonomy/Browser/wwwtax.cgi?mode=Info&amp;id=1257118&amp;lvl=3&amp;lin=f&amp;keep=1&amp;srchmode=1&amp;unlock","1257118")</f>
        <v>1257118</v>
      </c>
      <c r="F3097" t="s">
        <v>1314</v>
      </c>
      <c r="G3097" t="str">
        <f>HYPERLINK("http://www.ncbi.nlm.nih.gov/Taxonomy/Browser/wwwtax.cgi?mode=Info&amp;id=1257118&amp;lvl=3&amp;lin=f&amp;keep=1&amp;srchmode=1&amp;unlock","Acanthamoeba castellanii str. Neff")</f>
        <v>Acanthamoeba castellanii str. Neff</v>
      </c>
      <c r="H3097" t="s">
        <v>1315</v>
      </c>
      <c r="I3097" t="str">
        <f>HYPERLINK("http://www.ncbi.nlm.nih.gov/protein/XP_004333542.1","Inositol 1,4,5trisphosphate receptor type 2, putative")</f>
        <v>Inositol 1,4,5trisphosphate receptor type 2, putative</v>
      </c>
      <c r="J3097">
        <v>203.76</v>
      </c>
      <c r="K3097" t="s">
        <v>22</v>
      </c>
      <c r="L3097">
        <v>1210</v>
      </c>
      <c r="M3097">
        <v>7.13</v>
      </c>
      <c r="N3097">
        <v>1.99</v>
      </c>
      <c r="O3097" t="s">
        <v>22</v>
      </c>
      <c r="P3097" t="s">
        <v>1267</v>
      </c>
      <c r="Q3097" t="s">
        <v>19</v>
      </c>
      <c r="R3097" t="str">
        <f>HYPERLINK("https://cfpub.epa.gov/ecotox/explore.cfm?ncbi=1257118","Explore in ECOTOX")</f>
        <v>Explore in ECOTOX</v>
      </c>
    </row>
    <row r="3098" spans="1:18" x14ac:dyDescent="0.45">
      <c r="A3098" t="s">
        <v>1266</v>
      </c>
      <c r="B3098">
        <v>8</v>
      </c>
      <c r="C3098" t="str">
        <f>HYPERLINK("http://www.ncbi.nlm.nih.gov/protein/KAJ9447528.1","KAJ9447528.1")</f>
        <v>KAJ9447528.1</v>
      </c>
      <c r="D3098">
        <v>37471</v>
      </c>
      <c r="E3098" t="str">
        <f>HYPERLINK("http://www.ncbi.nlm.nih.gov/Taxonomy/Browser/wwwtax.cgi?mode=Info&amp;id=91374&amp;lvl=3&amp;lin=f&amp;keep=1&amp;srchmode=1&amp;unlock","91374")</f>
        <v>91374</v>
      </c>
      <c r="F3098" t="s">
        <v>1316</v>
      </c>
      <c r="G3098" t="str">
        <f>HYPERLINK("http://www.ncbi.nlm.nih.gov/Taxonomy/Browser/wwwtax.cgi?mode=Info&amp;id=91374&amp;lvl=3&amp;lin=f&amp;keep=1&amp;srchmode=1&amp;unlock","Diplonema papillatum")</f>
        <v>Diplonema papillatum</v>
      </c>
      <c r="H3098" t="s">
        <v>1317</v>
      </c>
      <c r="I3098" t="str">
        <f>HYPERLINK("http://www.ncbi.nlm.nih.gov/protein/KAJ9447528.1","Inositol 1")</f>
        <v>Inositol 1</v>
      </c>
      <c r="J3098">
        <v>192.59</v>
      </c>
      <c r="K3098" t="s">
        <v>22</v>
      </c>
      <c r="L3098">
        <v>1210</v>
      </c>
      <c r="M3098">
        <v>7.13</v>
      </c>
      <c r="N3098">
        <v>1.88</v>
      </c>
      <c r="O3098" t="s">
        <v>22</v>
      </c>
      <c r="P3098" t="s">
        <v>1267</v>
      </c>
      <c r="Q3098" t="s">
        <v>19</v>
      </c>
      <c r="R3098" t="str">
        <f>HYPERLINK("https://cfpub.epa.gov/ecotox/explore.cfm?ncbi=91374","Explore in ECOTOX")</f>
        <v>Explore in ECOTOX</v>
      </c>
    </row>
    <row r="3099" spans="1:18" x14ac:dyDescent="0.45">
      <c r="A3099" t="s">
        <v>1266</v>
      </c>
      <c r="B3099">
        <v>8</v>
      </c>
      <c r="C3099" t="str">
        <f>HYPERLINK("http://www.ncbi.nlm.nih.gov/protein/ORX85369.1","ORX85369.1")</f>
        <v>ORX85369.1</v>
      </c>
      <c r="D3099">
        <v>16095</v>
      </c>
      <c r="E3099" t="str">
        <f>HYPERLINK("http://www.ncbi.nlm.nih.gov/Taxonomy/Browser/wwwtax.cgi?mode=Info&amp;id=1314790&amp;lvl=3&amp;lin=f&amp;keep=1&amp;srchmode=1&amp;unlock","1314790")</f>
        <v>1314790</v>
      </c>
      <c r="F3099" t="s">
        <v>1224</v>
      </c>
      <c r="G3099" t="str">
        <f>HYPERLINK("http://www.ncbi.nlm.nih.gov/Taxonomy/Browser/wwwtax.cgi?mode=Info&amp;id=1314790&amp;lvl=3&amp;lin=f&amp;keep=1&amp;srchmode=1&amp;unlock","Basidiobolus meristosporus CBS 931.73")</f>
        <v>Basidiobolus meristosporus CBS 931.73</v>
      </c>
      <c r="H3099" t="s">
        <v>1225</v>
      </c>
      <c r="I3099" t="str">
        <f>HYPERLINK("http://www.ncbi.nlm.nih.gov/protein/ORX85369.1","hypothetical protein K493DRAFT_341790")</f>
        <v>hypothetical protein K493DRAFT_341790</v>
      </c>
      <c r="J3099">
        <v>190.27</v>
      </c>
      <c r="K3099" t="s">
        <v>22</v>
      </c>
      <c r="L3099">
        <v>1210</v>
      </c>
      <c r="M3099">
        <v>7.13</v>
      </c>
      <c r="N3099">
        <v>1.85</v>
      </c>
      <c r="O3099" t="s">
        <v>22</v>
      </c>
      <c r="P3099" t="s">
        <v>1267</v>
      </c>
      <c r="Q3099" t="s">
        <v>19</v>
      </c>
      <c r="R3099" t="str">
        <f>HYPERLINK("https://cfpub.epa.gov/ecotox/explore.cfm?ncbi=1314790","Explore in ECOTOX")</f>
        <v>Explore in ECOTOX</v>
      </c>
    </row>
    <row r="3100" spans="1:18" x14ac:dyDescent="0.45">
      <c r="A3100" t="s">
        <v>1266</v>
      </c>
      <c r="B3100">
        <v>8</v>
      </c>
      <c r="C3100" t="str">
        <f>HYPERLINK("http://www.ncbi.nlm.nih.gov/protein/KAF7730560.1","KAF7730560.1")</f>
        <v>KAF7730560.1</v>
      </c>
      <c r="D3100">
        <v>9528</v>
      </c>
      <c r="E3100" t="str">
        <f>HYPERLINK("http://www.ncbi.nlm.nih.gov/Taxonomy/Browser/wwwtax.cgi?mode=Info&amp;id=679940&amp;lvl=3&amp;lin=f&amp;keep=1&amp;srchmode=1&amp;unlock","679940")</f>
        <v>679940</v>
      </c>
      <c r="F3100" t="s">
        <v>1226</v>
      </c>
      <c r="G3100" t="str">
        <f>HYPERLINK("http://www.ncbi.nlm.nih.gov/Taxonomy/Browser/wwwtax.cgi?mode=Info&amp;id=679940&amp;lvl=3&amp;lin=f&amp;keep=1&amp;srchmode=1&amp;unlock","Apophysomyces ossiformis")</f>
        <v>Apophysomyces ossiformis</v>
      </c>
      <c r="H3100" t="s">
        <v>1227</v>
      </c>
      <c r="I3100" t="str">
        <f>HYPERLINK("http://www.ncbi.nlm.nih.gov/protein/KAF7730560.1","hypothetical protein EC973_001941")</f>
        <v>hypothetical protein EC973_001941</v>
      </c>
      <c r="J3100">
        <v>188.73</v>
      </c>
      <c r="K3100" t="s">
        <v>22</v>
      </c>
      <c r="L3100">
        <v>1210</v>
      </c>
      <c r="M3100">
        <v>7.13</v>
      </c>
      <c r="N3100">
        <v>1.84</v>
      </c>
      <c r="O3100" t="s">
        <v>22</v>
      </c>
      <c r="P3100" t="s">
        <v>1267</v>
      </c>
      <c r="Q3100" t="s">
        <v>19</v>
      </c>
      <c r="R3100" t="str">
        <f>HYPERLINK("https://cfpub.epa.gov/ecotox/explore.cfm?ncbi=679940","Explore in ECOTOX")</f>
        <v>Explore in ECOTOX</v>
      </c>
    </row>
    <row r="3101" spans="1:18" x14ac:dyDescent="0.45">
      <c r="A3101" t="s">
        <v>1266</v>
      </c>
      <c r="B3101">
        <v>8</v>
      </c>
      <c r="C3101" t="str">
        <f>HYPERLINK("http://www.ncbi.nlm.nih.gov/protein/KAG0190512.1","KAG0190512.1")</f>
        <v>KAG0190512.1</v>
      </c>
      <c r="D3101">
        <v>11629</v>
      </c>
      <c r="E3101" t="str">
        <f>HYPERLINK("http://www.ncbi.nlm.nih.gov/Taxonomy/Browser/wwwtax.cgi?mode=Info&amp;id=2184029&amp;lvl=3&amp;lin=f&amp;keep=1&amp;srchmode=1&amp;unlock","2184029")</f>
        <v>2184029</v>
      </c>
      <c r="F3101" t="s">
        <v>1226</v>
      </c>
      <c r="G3101" t="str">
        <f>HYPERLINK("http://www.ncbi.nlm.nih.gov/Taxonomy/Browser/wwwtax.cgi?mode=Info&amp;id=2184029&amp;lvl=3&amp;lin=f&amp;keep=1&amp;srchmode=1&amp;unlock","Apophysomyces sp. BC1034")</f>
        <v>Apophysomyces sp. BC1034</v>
      </c>
      <c r="H3101" t="s">
        <v>1227</v>
      </c>
      <c r="I3101" t="str">
        <f>HYPERLINK("http://www.ncbi.nlm.nih.gov/protein/KAG0190512.1","hypothetical protein DFQ28_001951")</f>
        <v>hypothetical protein DFQ28_001951</v>
      </c>
      <c r="J3101">
        <v>187.96</v>
      </c>
      <c r="K3101" t="s">
        <v>22</v>
      </c>
      <c r="L3101">
        <v>1210</v>
      </c>
      <c r="M3101">
        <v>7.13</v>
      </c>
      <c r="N3101">
        <v>1.83</v>
      </c>
      <c r="O3101" t="s">
        <v>22</v>
      </c>
      <c r="P3101" t="s">
        <v>1267</v>
      </c>
      <c r="Q3101" t="s">
        <v>19</v>
      </c>
      <c r="R3101" t="str">
        <f>HYPERLINK("https://cfpub.epa.gov/ecotox/explore.cfm?ncbi=2184029","Explore in ECOTOX")</f>
        <v>Explore in ECOTOX</v>
      </c>
    </row>
    <row r="3102" spans="1:18" x14ac:dyDescent="0.45">
      <c r="A3102" t="s">
        <v>1266</v>
      </c>
      <c r="B3102">
        <v>8</v>
      </c>
      <c r="C3102" t="str">
        <f>HYPERLINK("http://www.ncbi.nlm.nih.gov/protein/KAG0179979.1","KAG0179979.1")</f>
        <v>KAG0179979.1</v>
      </c>
      <c r="D3102">
        <v>10175</v>
      </c>
      <c r="E3102" t="str">
        <f>HYPERLINK("http://www.ncbi.nlm.nih.gov/Taxonomy/Browser/wwwtax.cgi?mode=Info&amp;id=2184031&amp;lvl=3&amp;lin=f&amp;keep=1&amp;srchmode=1&amp;unlock","2184031")</f>
        <v>2184031</v>
      </c>
      <c r="F3102" t="s">
        <v>1226</v>
      </c>
      <c r="G3102" t="str">
        <f>HYPERLINK("http://www.ncbi.nlm.nih.gov/Taxonomy/Browser/wwwtax.cgi?mode=Info&amp;id=2184031&amp;lvl=3&amp;lin=f&amp;keep=1&amp;srchmode=1&amp;unlock","Apophysomyces sp. BC1021")</f>
        <v>Apophysomyces sp. BC1021</v>
      </c>
      <c r="H3102" t="s">
        <v>1227</v>
      </c>
      <c r="I3102" t="str">
        <f>HYPERLINK("http://www.ncbi.nlm.nih.gov/protein/KAG0179979.1","hypothetical protein DFQ29_001424")</f>
        <v>hypothetical protein DFQ29_001424</v>
      </c>
      <c r="J3102">
        <v>187.96</v>
      </c>
      <c r="K3102" t="s">
        <v>22</v>
      </c>
      <c r="L3102">
        <v>1210</v>
      </c>
      <c r="M3102">
        <v>7.13</v>
      </c>
      <c r="N3102">
        <v>1.83</v>
      </c>
      <c r="O3102" t="s">
        <v>22</v>
      </c>
      <c r="P3102" t="s">
        <v>1267</v>
      </c>
      <c r="Q3102" t="s">
        <v>19</v>
      </c>
      <c r="R3102" t="str">
        <f>HYPERLINK("https://cfpub.epa.gov/ecotox/explore.cfm?ncbi=2184031","Explore in ECOTOX")</f>
        <v>Explore in ECOTOX</v>
      </c>
    </row>
    <row r="3103" spans="1:18" x14ac:dyDescent="0.45">
      <c r="A3103" t="s">
        <v>1266</v>
      </c>
      <c r="B3103">
        <v>8</v>
      </c>
      <c r="C3103" t="str">
        <f>HYPERLINK("http://www.ncbi.nlm.nih.gov/protein/XP_029227132.1","XP_029227132.1")</f>
        <v>XP_029227132.1</v>
      </c>
      <c r="D3103">
        <v>20328</v>
      </c>
      <c r="E3103" t="str">
        <f>HYPERLINK("http://www.ncbi.nlm.nih.gov/Taxonomy/Browser/wwwtax.cgi?mode=Info&amp;id=83891&amp;lvl=3&amp;lin=f&amp;keep=1&amp;srchmode=1&amp;unlock","83891")</f>
        <v>83891</v>
      </c>
      <c r="F3103" t="s">
        <v>1228</v>
      </c>
      <c r="G3103" t="str">
        <f>HYPERLINK("http://www.ncbi.nlm.nih.gov/Taxonomy/Browser/wwwtax.cgi?mode=Info&amp;id=83891&amp;lvl=3&amp;lin=f&amp;keep=1&amp;srchmode=1&amp;unlock","Trypanosoma conorhini")</f>
        <v>Trypanosoma conorhini</v>
      </c>
      <c r="H3103" t="s">
        <v>1229</v>
      </c>
      <c r="I3103" t="str">
        <f>HYPERLINK("http://www.ncbi.nlm.nih.gov/protein/XP_029227132.1","inositol 1,4,5-trisphosphate receptor")</f>
        <v>inositol 1,4,5-trisphosphate receptor</v>
      </c>
      <c r="J3103">
        <v>187.19</v>
      </c>
      <c r="K3103" t="s">
        <v>22</v>
      </c>
      <c r="L3103">
        <v>1210</v>
      </c>
      <c r="M3103">
        <v>7.13</v>
      </c>
      <c r="N3103">
        <v>1.82</v>
      </c>
      <c r="O3103" t="s">
        <v>22</v>
      </c>
      <c r="P3103" t="s">
        <v>1267</v>
      </c>
      <c r="Q3103" t="s">
        <v>19</v>
      </c>
      <c r="R3103" t="str">
        <f>HYPERLINK("https://cfpub.epa.gov/ecotox/explore.cfm?ncbi=83891","Explore in ECOTOX")</f>
        <v>Explore in ECOTOX</v>
      </c>
    </row>
    <row r="3104" spans="1:18" x14ac:dyDescent="0.45">
      <c r="A3104" t="s">
        <v>1266</v>
      </c>
      <c r="B3104">
        <v>8</v>
      </c>
      <c r="C3104" t="str">
        <f>HYPERLINK("http://www.ncbi.nlm.nih.gov/protein/TNV74058.1","TNV74058.1")</f>
        <v>TNV74058.1</v>
      </c>
      <c r="D3104">
        <v>17923</v>
      </c>
      <c r="E3104" t="str">
        <f>HYPERLINK("http://www.ncbi.nlm.nih.gov/Taxonomy/Browser/wwwtax.cgi?mode=Info&amp;id=5974&amp;lvl=3&amp;lin=f&amp;keep=1&amp;srchmode=1&amp;unlock","5974")</f>
        <v>5974</v>
      </c>
      <c r="F3104" t="s">
        <v>1232</v>
      </c>
      <c r="G3104" t="str">
        <f>HYPERLINK("http://www.ncbi.nlm.nih.gov/Taxonomy/Browser/wwwtax.cgi?mode=Info&amp;id=5974&amp;lvl=3&amp;lin=f&amp;keep=1&amp;srchmode=1&amp;unlock","Halteria grandinella")</f>
        <v>Halteria grandinella</v>
      </c>
      <c r="H3104" t="s">
        <v>1233</v>
      </c>
      <c r="I3104" t="str">
        <f>HYPERLINK("http://www.ncbi.nlm.nih.gov/protein/TNV74058.1","hypothetical protein FGO68_gene7615")</f>
        <v>hypothetical protein FGO68_gene7615</v>
      </c>
      <c r="J3104">
        <v>187.19</v>
      </c>
      <c r="K3104" t="s">
        <v>22</v>
      </c>
      <c r="L3104">
        <v>1210</v>
      </c>
      <c r="M3104">
        <v>7.13</v>
      </c>
      <c r="N3104">
        <v>1.82</v>
      </c>
      <c r="O3104" t="s">
        <v>22</v>
      </c>
      <c r="P3104" t="s">
        <v>1267</v>
      </c>
      <c r="Q3104" t="s">
        <v>19</v>
      </c>
      <c r="R3104" t="str">
        <f>HYPERLINK("https://cfpub.epa.gov/ecotox/explore.cfm?ncbi=5974","Explore in ECOTOX")</f>
        <v>Explore in ECOTOX</v>
      </c>
    </row>
    <row r="3105" spans="1:18" x14ac:dyDescent="0.45">
      <c r="A3105" t="s">
        <v>1266</v>
      </c>
      <c r="B3105">
        <v>8</v>
      </c>
      <c r="C3105" t="str">
        <f>HYPERLINK("http://www.ncbi.nlm.nih.gov/protein/XP_009312767.1","XP_009312767.1")</f>
        <v>XP_009312767.1</v>
      </c>
      <c r="D3105">
        <v>21204</v>
      </c>
      <c r="E3105" t="str">
        <f>HYPERLINK("http://www.ncbi.nlm.nih.gov/Taxonomy/Browser/wwwtax.cgi?mode=Info&amp;id=71804&amp;lvl=3&amp;lin=f&amp;keep=1&amp;srchmode=1&amp;unlock","71804")</f>
        <v>71804</v>
      </c>
      <c r="F3105" t="s">
        <v>1228</v>
      </c>
      <c r="G3105" t="str">
        <f>HYPERLINK("http://www.ncbi.nlm.nih.gov/Taxonomy/Browser/wwwtax.cgi?mode=Info&amp;id=71804&amp;lvl=3&amp;lin=f&amp;keep=1&amp;srchmode=1&amp;unlock","Trypanosoma grayi")</f>
        <v>Trypanosoma grayi</v>
      </c>
      <c r="H3105" t="s">
        <v>1229</v>
      </c>
      <c r="I3105" t="str">
        <f>HYPERLINK("http://www.ncbi.nlm.nih.gov/protein/XP_009312767.1","inositol 1,4,5-trisphosphate receptor")</f>
        <v>inositol 1,4,5-trisphosphate receptor</v>
      </c>
      <c r="J3105">
        <v>185.27</v>
      </c>
      <c r="K3105" t="s">
        <v>22</v>
      </c>
      <c r="L3105">
        <v>1210</v>
      </c>
      <c r="M3105">
        <v>7.13</v>
      </c>
      <c r="N3105">
        <v>1.81</v>
      </c>
      <c r="O3105" t="s">
        <v>22</v>
      </c>
      <c r="P3105" t="s">
        <v>1267</v>
      </c>
      <c r="Q3105" t="s">
        <v>19</v>
      </c>
      <c r="R3105" t="str">
        <f>HYPERLINK("https://cfpub.epa.gov/ecotox/explore.cfm?ncbi=71804","Explore in ECOTOX")</f>
        <v>Explore in ECOTOX</v>
      </c>
    </row>
    <row r="3106" spans="1:18" x14ac:dyDescent="0.45">
      <c r="A3106" t="s">
        <v>1266</v>
      </c>
      <c r="B3106">
        <v>8</v>
      </c>
      <c r="C3106" t="str">
        <f>HYPERLINK("http://www.ncbi.nlm.nih.gov/protein/CDW78570.1","CDW78570.1")</f>
        <v>CDW78570.1</v>
      </c>
      <c r="D3106">
        <v>20871</v>
      </c>
      <c r="E3106" t="str">
        <f>HYPERLINK("http://www.ncbi.nlm.nih.gov/Taxonomy/Browser/wwwtax.cgi?mode=Info&amp;id=5949&amp;lvl=3&amp;lin=f&amp;keep=1&amp;srchmode=1&amp;unlock","5949")</f>
        <v>5949</v>
      </c>
      <c r="F3106" t="s">
        <v>1232</v>
      </c>
      <c r="G3106" t="str">
        <f>HYPERLINK("http://www.ncbi.nlm.nih.gov/Taxonomy/Browser/wwwtax.cgi?mode=Info&amp;id=5949&amp;lvl=3&amp;lin=f&amp;keep=1&amp;srchmode=1&amp;unlock","Stylonychia lemnae")</f>
        <v>Stylonychia lemnae</v>
      </c>
      <c r="H3106" t="s">
        <v>1233</v>
      </c>
      <c r="I3106" t="str">
        <f>HYPERLINK("http://www.ncbi.nlm.nih.gov/protein/CDW78570.1","cation channel family protein")</f>
        <v>cation channel family protein</v>
      </c>
      <c r="J3106">
        <v>183.73</v>
      </c>
      <c r="K3106" t="s">
        <v>22</v>
      </c>
      <c r="L3106">
        <v>1210</v>
      </c>
      <c r="M3106">
        <v>7.13</v>
      </c>
      <c r="N3106">
        <v>1.79</v>
      </c>
      <c r="O3106" t="s">
        <v>22</v>
      </c>
      <c r="P3106" t="s">
        <v>1267</v>
      </c>
      <c r="Q3106" t="s">
        <v>19</v>
      </c>
      <c r="R3106" t="str">
        <f>HYPERLINK("https://cfpub.epa.gov/ecotox/explore.cfm?ncbi=5949","Explore in ECOTOX")</f>
        <v>Explore in ECOTOX</v>
      </c>
    </row>
    <row r="3107" spans="1:18" x14ac:dyDescent="0.45">
      <c r="A3107" t="s">
        <v>1266</v>
      </c>
      <c r="B3107">
        <v>8</v>
      </c>
      <c r="C3107" t="str">
        <f>HYPERLINK("http://www.ncbi.nlm.nih.gov/protein/XP_009493566.1","XP_009493566.1")</f>
        <v>XP_009493566.1</v>
      </c>
      <c r="D3107">
        <v>12622</v>
      </c>
      <c r="E3107" t="str">
        <f>HYPERLINK("http://www.ncbi.nlm.nih.gov/Taxonomy/Browser/wwwtax.cgi?mode=Info&amp;id=691883&amp;lvl=3&amp;lin=f&amp;keep=1&amp;srchmode=1&amp;unlock","691883")</f>
        <v>691883</v>
      </c>
      <c r="F3107" t="s">
        <v>1230</v>
      </c>
      <c r="G3107" t="str">
        <f>HYPERLINK("http://www.ncbi.nlm.nih.gov/Taxonomy/Browser/wwwtax.cgi?mode=Info&amp;id=691883&amp;lvl=3&amp;lin=f&amp;keep=1&amp;srchmode=1&amp;unlock","Fonticula alba")</f>
        <v>Fonticula alba</v>
      </c>
      <c r="H3107" t="s">
        <v>1231</v>
      </c>
      <c r="I3107" t="str">
        <f>HYPERLINK("http://www.ncbi.nlm.nih.gov/protein/XP_009493566.1","hypothetical protein H696_01395")</f>
        <v>hypothetical protein H696_01395</v>
      </c>
      <c r="J3107">
        <v>181.03</v>
      </c>
      <c r="K3107" t="s">
        <v>22</v>
      </c>
      <c r="L3107">
        <v>1210</v>
      </c>
      <c r="M3107">
        <v>7.13</v>
      </c>
      <c r="N3107">
        <v>1.76</v>
      </c>
      <c r="O3107" t="s">
        <v>22</v>
      </c>
      <c r="P3107" t="s">
        <v>1267</v>
      </c>
      <c r="Q3107" t="s">
        <v>19</v>
      </c>
      <c r="R3107" t="str">
        <f>HYPERLINK("https://cfpub.epa.gov/ecotox/explore.cfm?ncbi=691883","Explore in ECOTOX")</f>
        <v>Explore in ECOTOX</v>
      </c>
    </row>
    <row r="3108" spans="1:18" x14ac:dyDescent="0.45">
      <c r="A3108" t="s">
        <v>1266</v>
      </c>
      <c r="B3108">
        <v>8</v>
      </c>
      <c r="C3108" t="str">
        <f>HYPERLINK("http://www.ncbi.nlm.nih.gov/protein/CAG9316900.1","CAG9316900.1")</f>
        <v>CAG9316900.1</v>
      </c>
      <c r="D3108">
        <v>26566</v>
      </c>
      <c r="E3108" t="str">
        <f>HYPERLINK("http://www.ncbi.nlm.nih.gov/Taxonomy/Browser/wwwtax.cgi?mode=Info&amp;id=1481888&amp;lvl=3&amp;lin=f&amp;keep=1&amp;srchmode=1&amp;unlock","1481888")</f>
        <v>1481888</v>
      </c>
      <c r="F3108" t="s">
        <v>1318</v>
      </c>
      <c r="G3108" t="str">
        <f>HYPERLINK("http://www.ncbi.nlm.nih.gov/Taxonomy/Browser/wwwtax.cgi?mode=Info&amp;id=1481888&amp;lvl=3&amp;lin=f&amp;keep=1&amp;srchmode=1&amp;unlock","Blepharisma stoltei")</f>
        <v>Blepharisma stoltei</v>
      </c>
      <c r="H3108" t="s">
        <v>1233</v>
      </c>
      <c r="I3108" t="str">
        <f>HYPERLINK("http://www.ncbi.nlm.nih.gov/protein/CAG9316900.1","unnamed protein product")</f>
        <v>unnamed protein product</v>
      </c>
      <c r="J3108">
        <v>180.64</v>
      </c>
      <c r="K3108" t="s">
        <v>22</v>
      </c>
      <c r="L3108">
        <v>1210</v>
      </c>
      <c r="M3108">
        <v>7.13</v>
      </c>
      <c r="N3108">
        <v>1.76</v>
      </c>
      <c r="O3108" t="s">
        <v>22</v>
      </c>
      <c r="P3108" t="s">
        <v>1267</v>
      </c>
      <c r="Q3108" t="s">
        <v>19</v>
      </c>
      <c r="R3108" t="str">
        <f>HYPERLINK("https://cfpub.epa.gov/ecotox/explore.cfm?ncbi=1481888","Explore in ECOTOX")</f>
        <v>Explore in ECOTOX</v>
      </c>
    </row>
    <row r="3109" spans="1:18" x14ac:dyDescent="0.45">
      <c r="A3109" t="s">
        <v>1266</v>
      </c>
      <c r="B3109">
        <v>8</v>
      </c>
      <c r="C3109" t="str">
        <f>HYPERLINK("http://www.ncbi.nlm.nih.gov/protein/XP_051428230.1","XP_051428230.1")</f>
        <v>XP_051428230.1</v>
      </c>
      <c r="D3109">
        <v>21767</v>
      </c>
      <c r="E3109" t="str">
        <f>HYPERLINK("http://www.ncbi.nlm.nih.gov/Taxonomy/Browser/wwwtax.cgi?mode=Info&amp;id=64574&amp;lvl=3&amp;lin=f&amp;keep=1&amp;srchmode=1&amp;unlock","64574")</f>
        <v>64574</v>
      </c>
      <c r="F3109" t="s">
        <v>1226</v>
      </c>
      <c r="G3109" t="str">
        <f>HYPERLINK("http://www.ncbi.nlm.nih.gov/Taxonomy/Browser/wwwtax.cgi?mode=Info&amp;id=64574&amp;lvl=3&amp;lin=f&amp;keep=1&amp;srchmode=1&amp;unlock","Radiomyces spectabilis")</f>
        <v>Radiomyces spectabilis</v>
      </c>
      <c r="H3109" t="s">
        <v>1227</v>
      </c>
      <c r="I3109" t="str">
        <f>HYPERLINK("http://www.ncbi.nlm.nih.gov/protein/XP_051428230.1","uncharacterized protein BYT42DRAFT_609468")</f>
        <v>uncharacterized protein BYT42DRAFT_609468</v>
      </c>
      <c r="J3109">
        <v>179.49</v>
      </c>
      <c r="K3109" t="s">
        <v>22</v>
      </c>
      <c r="L3109">
        <v>1210</v>
      </c>
      <c r="M3109">
        <v>7.13</v>
      </c>
      <c r="N3109">
        <v>1.75</v>
      </c>
      <c r="O3109" t="s">
        <v>22</v>
      </c>
      <c r="P3109" t="s">
        <v>1267</v>
      </c>
      <c r="Q3109" t="s">
        <v>19</v>
      </c>
      <c r="R3109" t="str">
        <f>HYPERLINK("https://cfpub.epa.gov/ecotox/explore.cfm?ncbi=64574","Explore in ECOTOX")</f>
        <v>Explore in ECOTOX</v>
      </c>
    </row>
    <row r="3110" spans="1:18" x14ac:dyDescent="0.45">
      <c r="A3110" t="s">
        <v>1266</v>
      </c>
      <c r="B3110">
        <v>8</v>
      </c>
      <c r="C3110" t="str">
        <f>HYPERLINK("http://www.ncbi.nlm.nih.gov/protein/RNF14166.1","RNF14166.1")</f>
        <v>RNF14166.1</v>
      </c>
      <c r="D3110">
        <v>179033</v>
      </c>
      <c r="E3110" t="str">
        <f>HYPERLINK("http://www.ncbi.nlm.nih.gov/Taxonomy/Browser/wwwtax.cgi?mode=Info&amp;id=5693&amp;lvl=3&amp;lin=f&amp;keep=1&amp;srchmode=1&amp;unlock","5693")</f>
        <v>5693</v>
      </c>
      <c r="F3110" t="s">
        <v>1228</v>
      </c>
      <c r="G3110" t="str">
        <f>HYPERLINK("http://www.ncbi.nlm.nih.gov/Taxonomy/Browser/wwwtax.cgi?mode=Info&amp;id=5693&amp;lvl=3&amp;lin=f&amp;keep=1&amp;srchmode=1&amp;unlock","Trypanosoma cruzi")</f>
        <v>Trypanosoma cruzi</v>
      </c>
      <c r="H3110" t="s">
        <v>1229</v>
      </c>
      <c r="I3110" t="str">
        <f>HYPERLINK("http://www.ncbi.nlm.nih.gov/protein/RNF14166.1","inositol 1,4,5-trisphosphate receptor")</f>
        <v>inositol 1,4,5-trisphosphate receptor</v>
      </c>
      <c r="J3110">
        <v>178.72</v>
      </c>
      <c r="K3110" t="s">
        <v>22</v>
      </c>
      <c r="L3110">
        <v>1210</v>
      </c>
      <c r="M3110">
        <v>7.13</v>
      </c>
      <c r="N3110">
        <v>1.74</v>
      </c>
      <c r="O3110" t="s">
        <v>22</v>
      </c>
      <c r="P3110" t="s">
        <v>1267</v>
      </c>
      <c r="Q3110" t="s">
        <v>19</v>
      </c>
      <c r="R3110" t="str">
        <f>HYPERLINK("https://cfpub.epa.gov/ecotox/explore.cfm?ncbi=5693","Explore in ECOTOX")</f>
        <v>Explore in ECOTOX</v>
      </c>
    </row>
    <row r="3111" spans="1:18" x14ac:dyDescent="0.45">
      <c r="A3111" t="s">
        <v>1266</v>
      </c>
      <c r="B3111">
        <v>8</v>
      </c>
      <c r="C3111" t="str">
        <f>HYPERLINK("http://www.ncbi.nlm.nih.gov/protein/KAJ3397228.1","KAJ3397228.1")</f>
        <v>KAJ3397228.1</v>
      </c>
      <c r="D3111">
        <v>9111</v>
      </c>
      <c r="E3111" t="str">
        <f>HYPERLINK("http://www.ncbi.nlm.nih.gov/Taxonomy/Browser/wwwtax.cgi?mode=Info&amp;id=109889&amp;lvl=3&amp;lin=f&amp;keep=1&amp;srchmode=1&amp;unlock","109889")</f>
        <v>109889</v>
      </c>
      <c r="F3111" t="s">
        <v>1234</v>
      </c>
      <c r="G3111" t="str">
        <f>HYPERLINK("http://www.ncbi.nlm.nih.gov/Taxonomy/Browser/wwwtax.cgi?mode=Info&amp;id=109889&amp;lvl=3&amp;lin=f&amp;keep=1&amp;srchmode=1&amp;unlock","Lobulomyces angularis")</f>
        <v>Lobulomyces angularis</v>
      </c>
      <c r="H3111" t="s">
        <v>1235</v>
      </c>
      <c r="I3111" t="str">
        <f>HYPERLINK("http://www.ncbi.nlm.nih.gov/protein/KAJ3397228.1","hypothetical protein HDU92_000108")</f>
        <v>hypothetical protein HDU92_000108</v>
      </c>
      <c r="J3111">
        <v>178.33</v>
      </c>
      <c r="K3111" t="s">
        <v>22</v>
      </c>
      <c r="L3111">
        <v>1210</v>
      </c>
      <c r="M3111">
        <v>7.13</v>
      </c>
      <c r="N3111">
        <v>1.74</v>
      </c>
      <c r="O3111" t="s">
        <v>22</v>
      </c>
      <c r="P3111" t="s">
        <v>1267</v>
      </c>
      <c r="Q3111" t="s">
        <v>19</v>
      </c>
      <c r="R3111" t="str">
        <f>HYPERLINK("https://cfpub.epa.gov/ecotox/explore.cfm?ncbi=109889","Explore in ECOTOX")</f>
        <v>Explore in ECOTOX</v>
      </c>
    </row>
    <row r="3112" spans="1:18" x14ac:dyDescent="0.45">
      <c r="A3112" t="s">
        <v>1266</v>
      </c>
      <c r="B3112">
        <v>8</v>
      </c>
      <c r="C3112" t="str">
        <f>HYPERLINK("http://www.ncbi.nlm.nih.gov/protein/RHW71032.1","RHW71032.1")</f>
        <v>RHW71032.1</v>
      </c>
      <c r="D3112">
        <v>7611</v>
      </c>
      <c r="E3112" t="str">
        <f>HYPERLINK("http://www.ncbi.nlm.nih.gov/Taxonomy/Browser/wwwtax.cgi?mode=Info&amp;id=630700&amp;lvl=3&amp;lin=f&amp;keep=1&amp;srchmode=1&amp;unlock","630700")</f>
        <v>630700</v>
      </c>
      <c r="F3112" t="s">
        <v>1228</v>
      </c>
      <c r="G3112" t="str">
        <f>HYPERLINK("http://www.ncbi.nlm.nih.gov/Taxonomy/Browser/wwwtax.cgi?mode=Info&amp;id=630700&amp;lvl=3&amp;lin=f&amp;keep=1&amp;srchmode=1&amp;unlock","Trypanosoma brucei equiperdum")</f>
        <v>Trypanosoma brucei equiperdum</v>
      </c>
      <c r="H3112" t="s">
        <v>1229</v>
      </c>
      <c r="I3112" t="str">
        <f>HYPERLINK("http://www.ncbi.nlm.nih.gov/protein/RHW71032.1","inositol 1")</f>
        <v>inositol 1</v>
      </c>
      <c r="J3112">
        <v>178.33</v>
      </c>
      <c r="K3112" t="s">
        <v>22</v>
      </c>
      <c r="L3112">
        <v>1210</v>
      </c>
      <c r="M3112">
        <v>7.13</v>
      </c>
      <c r="N3112">
        <v>1.74</v>
      </c>
      <c r="O3112" t="s">
        <v>22</v>
      </c>
      <c r="P3112" t="s">
        <v>1267</v>
      </c>
      <c r="Q3112" t="s">
        <v>19</v>
      </c>
      <c r="R3112" t="str">
        <f>HYPERLINK("https://cfpub.epa.gov/ecotox/explore.cfm?ncbi=630700","Explore in ECOTOX")</f>
        <v>Explore in ECOTOX</v>
      </c>
    </row>
    <row r="3113" spans="1:18" x14ac:dyDescent="0.45">
      <c r="A3113" t="s">
        <v>1266</v>
      </c>
      <c r="B3113">
        <v>8</v>
      </c>
      <c r="C3113" t="str">
        <f>HYPERLINK("http://www.ncbi.nlm.nih.gov/protein/KAJ3226355.1","KAJ3226355.1")</f>
        <v>KAJ3226355.1</v>
      </c>
      <c r="D3113">
        <v>8646</v>
      </c>
      <c r="E3113" t="str">
        <f>HYPERLINK("http://www.ncbi.nlm.nih.gov/Taxonomy/Browser/wwwtax.cgi?mode=Info&amp;id=447962&amp;lvl=3&amp;lin=f&amp;keep=1&amp;srchmode=1&amp;unlock","447962")</f>
        <v>447962</v>
      </c>
      <c r="F3113" t="s">
        <v>1234</v>
      </c>
      <c r="G3113" t="str">
        <f>HYPERLINK("http://www.ncbi.nlm.nih.gov/Taxonomy/Browser/wwwtax.cgi?mode=Info&amp;id=447962&amp;lvl=3&amp;lin=f&amp;keep=1&amp;srchmode=1&amp;unlock","Clydaea vesicula")</f>
        <v>Clydaea vesicula</v>
      </c>
      <c r="H3113" t="s">
        <v>1235</v>
      </c>
      <c r="I3113" t="str">
        <f>HYPERLINK("http://www.ncbi.nlm.nih.gov/protein/KAJ3226355.1","hypothetical protein HK099_005063")</f>
        <v>hypothetical protein HK099_005063</v>
      </c>
      <c r="J3113">
        <v>178.33</v>
      </c>
      <c r="K3113" t="s">
        <v>22</v>
      </c>
      <c r="L3113">
        <v>1210</v>
      </c>
      <c r="M3113">
        <v>7.13</v>
      </c>
      <c r="N3113">
        <v>1.74</v>
      </c>
      <c r="O3113" t="s">
        <v>22</v>
      </c>
      <c r="P3113" t="s">
        <v>1267</v>
      </c>
      <c r="Q3113" t="s">
        <v>19</v>
      </c>
      <c r="R3113" t="str">
        <f>HYPERLINK("https://cfpub.epa.gov/ecotox/explore.cfm?ncbi=447962","Explore in ECOTOX")</f>
        <v>Explore in ECOTOX</v>
      </c>
    </row>
    <row r="3114" spans="1:18" x14ac:dyDescent="0.45">
      <c r="A3114" t="s">
        <v>1266</v>
      </c>
      <c r="B3114">
        <v>8</v>
      </c>
      <c r="C3114" t="str">
        <f>HYPERLINK("http://www.ncbi.nlm.nih.gov/protein/XP_011775562.1","XP_011775562.1")</f>
        <v>XP_011775562.1</v>
      </c>
      <c r="D3114">
        <v>19492</v>
      </c>
      <c r="E3114" t="str">
        <f>HYPERLINK("http://www.ncbi.nlm.nih.gov/Taxonomy/Browser/wwwtax.cgi?mode=Info&amp;id=679716&amp;lvl=3&amp;lin=f&amp;keep=1&amp;srchmode=1&amp;unlock","679716")</f>
        <v>679716</v>
      </c>
      <c r="F3114" t="s">
        <v>1228</v>
      </c>
      <c r="G3114" t="str">
        <f>HYPERLINK("http://www.ncbi.nlm.nih.gov/Taxonomy/Browser/wwwtax.cgi?mode=Info&amp;id=679716&amp;lvl=3&amp;lin=f&amp;keep=1&amp;srchmode=1&amp;unlock","Trypanosoma brucei gambiense DAL972")</f>
        <v>Trypanosoma brucei gambiense DAL972</v>
      </c>
      <c r="H3114" t="s">
        <v>1229</v>
      </c>
      <c r="I3114" t="str">
        <f>HYPERLINK("http://www.ncbi.nlm.nih.gov/protein/XP_011775562.1","hypothetical protein, conserved")</f>
        <v>hypothetical protein, conserved</v>
      </c>
      <c r="J3114">
        <v>178.33</v>
      </c>
      <c r="K3114" t="s">
        <v>22</v>
      </c>
      <c r="L3114">
        <v>1210</v>
      </c>
      <c r="M3114">
        <v>7.13</v>
      </c>
      <c r="N3114">
        <v>1.74</v>
      </c>
      <c r="O3114" t="s">
        <v>22</v>
      </c>
      <c r="P3114" t="s">
        <v>1267</v>
      </c>
      <c r="Q3114" t="s">
        <v>19</v>
      </c>
      <c r="R3114" t="str">
        <f>HYPERLINK("https://cfpub.epa.gov/ecotox/explore.cfm?ncbi=679716","Explore in ECOTOX")</f>
        <v>Explore in ECOTOX</v>
      </c>
    </row>
    <row r="3115" spans="1:18" x14ac:dyDescent="0.45">
      <c r="A3115" t="s">
        <v>1266</v>
      </c>
      <c r="B3115">
        <v>8</v>
      </c>
      <c r="C3115" t="str">
        <f>HYPERLINK("http://www.ncbi.nlm.nih.gov/protein/ESS63463.1","ESS63463.1")</f>
        <v>ESS63463.1</v>
      </c>
      <c r="D3115">
        <v>11348</v>
      </c>
      <c r="E3115" t="str">
        <f>HYPERLINK("http://www.ncbi.nlm.nih.gov/Taxonomy/Browser/wwwtax.cgi?mode=Info&amp;id=1416333&amp;lvl=3&amp;lin=f&amp;keep=1&amp;srchmode=1&amp;unlock","1416333")</f>
        <v>1416333</v>
      </c>
      <c r="F3115" t="s">
        <v>1228</v>
      </c>
      <c r="G3115" t="str">
        <f>HYPERLINK("http://www.ncbi.nlm.nih.gov/Taxonomy/Browser/wwwtax.cgi?mode=Info&amp;id=1416333&amp;lvl=3&amp;lin=f&amp;keep=1&amp;srchmode=1&amp;unlock","Trypanosoma cruzi Dm28c")</f>
        <v>Trypanosoma cruzi Dm28c</v>
      </c>
      <c r="H3115" t="s">
        <v>1229</v>
      </c>
      <c r="I3115" t="str">
        <f>HYPERLINK("http://www.ncbi.nlm.nih.gov/protein/ESS63463.1","hypothetical protein TCDM_08713")</f>
        <v>hypothetical protein TCDM_08713</v>
      </c>
      <c r="J3115">
        <v>177.56</v>
      </c>
      <c r="K3115" t="s">
        <v>22</v>
      </c>
      <c r="L3115">
        <v>1210</v>
      </c>
      <c r="M3115">
        <v>7.13</v>
      </c>
      <c r="N3115">
        <v>1.73</v>
      </c>
      <c r="O3115" t="s">
        <v>22</v>
      </c>
      <c r="P3115" t="s">
        <v>1267</v>
      </c>
      <c r="Q3115" t="s">
        <v>19</v>
      </c>
      <c r="R3115" t="str">
        <f>HYPERLINK("https://cfpub.epa.gov/ecotox/explore.cfm?ncbi=1416333","Explore in ECOTOX")</f>
        <v>Explore in ECOTOX</v>
      </c>
    </row>
    <row r="3116" spans="1:18" x14ac:dyDescent="0.45">
      <c r="A3116" t="s">
        <v>1266</v>
      </c>
      <c r="B3116">
        <v>8</v>
      </c>
      <c r="C3116" t="str">
        <f>HYPERLINK("http://www.ncbi.nlm.nih.gov/protein/EKF26918.1","EKF26918.1")</f>
        <v>EKF26918.1</v>
      </c>
      <c r="D3116">
        <v>10317</v>
      </c>
      <c r="E3116" t="str">
        <f>HYPERLINK("http://www.ncbi.nlm.nih.gov/Taxonomy/Browser/wwwtax.cgi?mode=Info&amp;id=85056&amp;lvl=3&amp;lin=f&amp;keep=1&amp;srchmode=1&amp;unlock","85056")</f>
        <v>85056</v>
      </c>
      <c r="F3116" t="s">
        <v>1228</v>
      </c>
      <c r="G3116" t="str">
        <f>HYPERLINK("http://www.ncbi.nlm.nih.gov/Taxonomy/Browser/wwwtax.cgi?mode=Info&amp;id=85056&amp;lvl=3&amp;lin=f&amp;keep=1&amp;srchmode=1&amp;unlock","Trypanosoma cruzi marinkellei")</f>
        <v>Trypanosoma cruzi marinkellei</v>
      </c>
      <c r="H3116" t="s">
        <v>1229</v>
      </c>
      <c r="I3116" t="str">
        <f>HYPERLINK("http://www.ncbi.nlm.nih.gov/protein/EKF26918.1","hypothetical protein MOQ_009372")</f>
        <v>hypothetical protein MOQ_009372</v>
      </c>
      <c r="J3116">
        <v>176.79</v>
      </c>
      <c r="K3116" t="s">
        <v>22</v>
      </c>
      <c r="L3116">
        <v>1210</v>
      </c>
      <c r="M3116">
        <v>7.13</v>
      </c>
      <c r="N3116">
        <v>1.72</v>
      </c>
      <c r="O3116" t="s">
        <v>22</v>
      </c>
      <c r="P3116" t="s">
        <v>1267</v>
      </c>
      <c r="Q3116" t="s">
        <v>19</v>
      </c>
      <c r="R3116" t="str">
        <f>HYPERLINK("https://cfpub.epa.gov/ecotox/explore.cfm?ncbi=85056","Explore in ECOTOX")</f>
        <v>Explore in ECOTOX</v>
      </c>
    </row>
    <row r="3117" spans="1:18" x14ac:dyDescent="0.45">
      <c r="A3117" t="s">
        <v>1266</v>
      </c>
      <c r="B3117">
        <v>8</v>
      </c>
      <c r="C3117" t="str">
        <f>HYPERLINK("http://www.ncbi.nlm.nih.gov/protein/XP_847110.1","XP_847110.1")</f>
        <v>XP_847110.1</v>
      </c>
      <c r="D3117">
        <v>18261</v>
      </c>
      <c r="E3117" t="str">
        <f>HYPERLINK("http://www.ncbi.nlm.nih.gov/Taxonomy/Browser/wwwtax.cgi?mode=Info&amp;id=185431&amp;lvl=3&amp;lin=f&amp;keep=1&amp;srchmode=1&amp;unlock","185431")</f>
        <v>185431</v>
      </c>
      <c r="F3117" t="s">
        <v>1228</v>
      </c>
      <c r="G3117" t="str">
        <f>HYPERLINK("http://www.ncbi.nlm.nih.gov/Taxonomy/Browser/wwwtax.cgi?mode=Info&amp;id=185431&amp;lvl=3&amp;lin=f&amp;keep=1&amp;srchmode=1&amp;unlock","Trypanosoma brucei brucei TREU927")</f>
        <v>Trypanosoma brucei brucei TREU927</v>
      </c>
      <c r="H3117" t="s">
        <v>1229</v>
      </c>
      <c r="I3117" t="str">
        <f>HYPERLINK("http://www.ncbi.nlm.nih.gov/protein/XP_847110.1","hypothetical protein, conserved")</f>
        <v>hypothetical protein, conserved</v>
      </c>
      <c r="J3117">
        <v>176.41</v>
      </c>
      <c r="K3117" t="s">
        <v>22</v>
      </c>
      <c r="L3117">
        <v>1210</v>
      </c>
      <c r="M3117">
        <v>7.13</v>
      </c>
      <c r="N3117">
        <v>1.72</v>
      </c>
      <c r="O3117" t="s">
        <v>22</v>
      </c>
      <c r="P3117" t="s">
        <v>1267</v>
      </c>
      <c r="Q3117" t="s">
        <v>19</v>
      </c>
      <c r="R3117" t="str">
        <f>HYPERLINK("https://cfpub.epa.gov/ecotox/explore.cfm?ncbi=185431","Explore in ECOTOX")</f>
        <v>Explore in ECOTOX</v>
      </c>
    </row>
    <row r="3118" spans="1:18" x14ac:dyDescent="0.45">
      <c r="A3118" t="s">
        <v>1266</v>
      </c>
      <c r="B3118">
        <v>8</v>
      </c>
      <c r="C3118" t="str">
        <f>HYPERLINK("http://www.ncbi.nlm.nih.gov/protein/AAX69757.1","AAX69757.1")</f>
        <v>AAX69757.1</v>
      </c>
      <c r="D3118">
        <v>12700</v>
      </c>
      <c r="E3118" t="str">
        <f>HYPERLINK("http://www.ncbi.nlm.nih.gov/Taxonomy/Browser/wwwtax.cgi?mode=Info&amp;id=5691&amp;lvl=3&amp;lin=f&amp;keep=1&amp;srchmode=1&amp;unlock","5691")</f>
        <v>5691</v>
      </c>
      <c r="F3118" t="s">
        <v>1228</v>
      </c>
      <c r="G3118" t="str">
        <f>HYPERLINK("http://www.ncbi.nlm.nih.gov/Taxonomy/Browser/wwwtax.cgi?mode=Info&amp;id=5691&amp;lvl=3&amp;lin=f&amp;keep=1&amp;srchmode=1&amp;unlock","Trypanosoma brucei")</f>
        <v>Trypanosoma brucei</v>
      </c>
      <c r="H3118" t="s">
        <v>1229</v>
      </c>
      <c r="I3118" t="str">
        <f>HYPERLINK("http://www.ncbi.nlm.nih.gov/protein/AAX69757.1","hypothetical protein, conserved")</f>
        <v>hypothetical protein, conserved</v>
      </c>
      <c r="J3118">
        <v>176.41</v>
      </c>
      <c r="K3118" t="s">
        <v>22</v>
      </c>
      <c r="L3118">
        <v>1210</v>
      </c>
      <c r="M3118">
        <v>7.13</v>
      </c>
      <c r="N3118">
        <v>1.72</v>
      </c>
      <c r="O3118" t="s">
        <v>22</v>
      </c>
      <c r="P3118" t="s">
        <v>1267</v>
      </c>
      <c r="Q3118" t="s">
        <v>19</v>
      </c>
      <c r="R3118" t="str">
        <f>HYPERLINK("https://cfpub.epa.gov/ecotox/explore.cfm?ncbi=5691","Explore in ECOTOX")</f>
        <v>Explore in ECOTOX</v>
      </c>
    </row>
    <row r="3119" spans="1:18" x14ac:dyDescent="0.45">
      <c r="A3119" t="s">
        <v>1266</v>
      </c>
      <c r="B3119">
        <v>8</v>
      </c>
      <c r="C3119" t="str">
        <f>HYPERLINK("http://www.ncbi.nlm.nih.gov/protein/SCU66199.1","SCU66199.1")</f>
        <v>SCU66199.1</v>
      </c>
      <c r="D3119">
        <v>7761</v>
      </c>
      <c r="E3119" t="str">
        <f>HYPERLINK("http://www.ncbi.nlm.nih.gov/Taxonomy/Browser/wwwtax.cgi?mode=Info&amp;id=5694&amp;lvl=3&amp;lin=f&amp;keep=1&amp;srchmode=1&amp;unlock","5694")</f>
        <v>5694</v>
      </c>
      <c r="F3119" t="s">
        <v>1228</v>
      </c>
      <c r="G3119" t="str">
        <f>HYPERLINK("http://www.ncbi.nlm.nih.gov/Taxonomy/Browser/wwwtax.cgi?mode=Info&amp;id=5694&amp;lvl=3&amp;lin=f&amp;keep=1&amp;srchmode=1&amp;unlock","Trypanosoma equiperdum")</f>
        <v>Trypanosoma equiperdum</v>
      </c>
      <c r="H3119" t="s">
        <v>1229</v>
      </c>
      <c r="I3119" t="str">
        <f>HYPERLINK("http://www.ncbi.nlm.nih.gov/protein/SCU66199.1","inositol 1,4,5-trisphosphate receptor")</f>
        <v>inositol 1,4,5-trisphosphate receptor</v>
      </c>
      <c r="J3119">
        <v>176.41</v>
      </c>
      <c r="K3119" t="s">
        <v>22</v>
      </c>
      <c r="L3119">
        <v>1210</v>
      </c>
      <c r="M3119">
        <v>7.13</v>
      </c>
      <c r="N3119">
        <v>1.72</v>
      </c>
      <c r="O3119" t="s">
        <v>22</v>
      </c>
      <c r="P3119" t="s">
        <v>1267</v>
      </c>
      <c r="Q3119" t="s">
        <v>19</v>
      </c>
      <c r="R3119" t="str">
        <f>HYPERLINK("https://cfpub.epa.gov/ecotox/explore.cfm?ncbi=5694","Explore in ECOTOX")</f>
        <v>Explore in ECOTOX</v>
      </c>
    </row>
    <row r="3120" spans="1:18" x14ac:dyDescent="0.45">
      <c r="A3120" t="s">
        <v>1266</v>
      </c>
      <c r="B3120">
        <v>8</v>
      </c>
      <c r="C3120" t="str">
        <f>HYPERLINK("http://www.ncbi.nlm.nih.gov/protein/KAH6928546.1","KAH6928546.1")</f>
        <v>KAH6928546.1</v>
      </c>
      <c r="D3120">
        <v>29777</v>
      </c>
      <c r="E3120" t="str">
        <f>HYPERLINK("http://www.ncbi.nlm.nih.gov/Taxonomy/Browser/wwwtax.cgi?mode=Info&amp;id=266040&amp;lvl=3&amp;lin=f&amp;keep=1&amp;srchmode=1&amp;unlock","266040")</f>
        <v>266040</v>
      </c>
      <c r="F3120" t="s">
        <v>904</v>
      </c>
      <c r="G3120" t="str">
        <f>HYPERLINK("http://www.ncbi.nlm.nih.gov/Taxonomy/Browser/wwwtax.cgi?mode=Info&amp;id=266040&amp;lvl=3&amp;lin=f&amp;keep=1&amp;srchmode=1&amp;unlock","Hyalomma asiaticum")</f>
        <v>Hyalomma asiaticum</v>
      </c>
      <c r="H3120" t="s">
        <v>951</v>
      </c>
      <c r="I3120" t="str">
        <f>HYPERLINK("http://www.ncbi.nlm.nih.gov/protein/KAH6928546.1","hypothetical protein HPB50_016883")</f>
        <v>hypothetical protein HPB50_016883</v>
      </c>
      <c r="J3120">
        <v>175.64</v>
      </c>
      <c r="K3120" t="s">
        <v>22</v>
      </c>
      <c r="L3120">
        <v>1210</v>
      </c>
      <c r="M3120">
        <v>7.13</v>
      </c>
      <c r="N3120">
        <v>1.71</v>
      </c>
      <c r="O3120" t="s">
        <v>19</v>
      </c>
      <c r="P3120" t="s">
        <v>1267</v>
      </c>
      <c r="Q3120" t="s">
        <v>19</v>
      </c>
      <c r="R3120" t="str">
        <f>HYPERLINK("https://cfpub.epa.gov/ecotox/explore.cfm?ncbi=266040","Explore in ECOTOX")</f>
        <v>Explore in ECOTOX</v>
      </c>
    </row>
    <row r="3121" spans="1:18" x14ac:dyDescent="0.45">
      <c r="A3121" t="s">
        <v>1266</v>
      </c>
      <c r="B3121">
        <v>8</v>
      </c>
      <c r="C3121" t="str">
        <f>HYPERLINK("http://www.ncbi.nlm.nih.gov/protein/RKP13226.1","RKP13226.1")</f>
        <v>RKP13226.1</v>
      </c>
      <c r="D3121">
        <v>4301</v>
      </c>
      <c r="E3121" t="str">
        <f>HYPERLINK("http://www.ncbi.nlm.nih.gov/Taxonomy/Browser/wwwtax.cgi?mode=Info&amp;id=1907219&amp;lvl=3&amp;lin=f&amp;keep=1&amp;srchmode=1&amp;unlock","1907219")</f>
        <v>1907219</v>
      </c>
      <c r="F3121" t="s">
        <v>1236</v>
      </c>
      <c r="G3121" t="str">
        <f>HYPERLINK("http://www.ncbi.nlm.nih.gov/Taxonomy/Browser/wwwtax.cgi?mode=Info&amp;id=1907219&amp;lvl=3&amp;lin=f&amp;keep=1&amp;srchmode=1&amp;unlock","Piptocephalis cylindrospora")</f>
        <v>Piptocephalis cylindrospora</v>
      </c>
      <c r="H3121" t="s">
        <v>1225</v>
      </c>
      <c r="I3121" t="str">
        <f>HYPERLINK("http://www.ncbi.nlm.nih.gov/protein/RKP13226.1","hypothetical protein BJ684DRAFT_20267")</f>
        <v>hypothetical protein BJ684DRAFT_20267</v>
      </c>
      <c r="J3121">
        <v>175.64</v>
      </c>
      <c r="K3121" t="s">
        <v>22</v>
      </c>
      <c r="L3121">
        <v>1210</v>
      </c>
      <c r="M3121">
        <v>7.13</v>
      </c>
      <c r="N3121">
        <v>1.71</v>
      </c>
      <c r="O3121" t="s">
        <v>22</v>
      </c>
      <c r="P3121" t="s">
        <v>1267</v>
      </c>
      <c r="Q3121" t="s">
        <v>19</v>
      </c>
      <c r="R3121" t="str">
        <f>HYPERLINK("https://cfpub.epa.gov/ecotox/explore.cfm?ncbi=1907219","Explore in ECOTOX")</f>
        <v>Explore in ECOTOX</v>
      </c>
    </row>
    <row r="3122" spans="1:18" x14ac:dyDescent="0.45">
      <c r="A3122" t="s">
        <v>1266</v>
      </c>
      <c r="B3122">
        <v>8</v>
      </c>
      <c r="C3122" t="str">
        <f>HYPERLINK("http://www.ncbi.nlm.nih.gov/protein/XP_052979973.1","XP_052979973.1")</f>
        <v>XP_052979973.1</v>
      </c>
      <c r="D3122">
        <v>27965</v>
      </c>
      <c r="E3122" t="str">
        <f>HYPERLINK("http://www.ncbi.nlm.nih.gov/Taxonomy/Browser/wwwtax.cgi?mode=Info&amp;id=64656&amp;lvl=3&amp;lin=f&amp;keep=1&amp;srchmode=1&amp;unlock","64656")</f>
        <v>64656</v>
      </c>
      <c r="F3122" t="s">
        <v>1226</v>
      </c>
      <c r="G3122" t="str">
        <f>HYPERLINK("http://www.ncbi.nlm.nih.gov/Taxonomy/Browser/wwwtax.cgi?mode=Info&amp;id=64656&amp;lvl=3&amp;lin=f&amp;keep=1&amp;srchmode=1&amp;unlock","Zychaea mexicana")</f>
        <v>Zychaea mexicana</v>
      </c>
      <c r="H3122" t="s">
        <v>1227</v>
      </c>
      <c r="I3122" t="str">
        <f>HYPERLINK("http://www.ncbi.nlm.nih.gov/protein/XP_052979973.1","uncharacterized protein BDB00DRAFT_822221")</f>
        <v>uncharacterized protein BDB00DRAFT_822221</v>
      </c>
      <c r="J3122">
        <v>174.87</v>
      </c>
      <c r="K3122" t="s">
        <v>22</v>
      </c>
      <c r="L3122">
        <v>1210</v>
      </c>
      <c r="M3122">
        <v>7.13</v>
      </c>
      <c r="N3122">
        <v>1.7</v>
      </c>
      <c r="O3122" t="s">
        <v>22</v>
      </c>
      <c r="P3122" t="s">
        <v>1267</v>
      </c>
      <c r="Q3122" t="s">
        <v>19</v>
      </c>
      <c r="R3122" t="str">
        <f>HYPERLINK("https://cfpub.epa.gov/ecotox/explore.cfm?ncbi=64656","Explore in ECOTOX")</f>
        <v>Explore in ECOTOX</v>
      </c>
    </row>
    <row r="3123" spans="1:18" x14ac:dyDescent="0.45">
      <c r="A3123" t="s">
        <v>1266</v>
      </c>
      <c r="B3123">
        <v>8</v>
      </c>
      <c r="C3123" t="str">
        <f>HYPERLINK("http://www.ncbi.nlm.nih.gov/protein/KPI87904.1","KPI87904.1")</f>
        <v>KPI87904.1</v>
      </c>
      <c r="D3123">
        <v>8536</v>
      </c>
      <c r="E3123" t="str">
        <f>HYPERLINK("http://www.ncbi.nlm.nih.gov/Taxonomy/Browser/wwwtax.cgi?mode=Info&amp;id=5684&amp;lvl=3&amp;lin=f&amp;keep=1&amp;srchmode=1&amp;unlock","5684")</f>
        <v>5684</v>
      </c>
      <c r="F3123" t="s">
        <v>1228</v>
      </c>
      <c r="G3123" t="str">
        <f>HYPERLINK("http://www.ncbi.nlm.nih.gov/Taxonomy/Browser/wwwtax.cgi?mode=Info&amp;id=5684&amp;lvl=3&amp;lin=f&amp;keep=1&amp;srchmode=1&amp;unlock","Leptomonas seymouri")</f>
        <v>Leptomonas seymouri</v>
      </c>
      <c r="H3123" t="s">
        <v>1229</v>
      </c>
      <c r="I3123" t="str">
        <f>HYPERLINK("http://www.ncbi.nlm.nih.gov/protein/KPI87904.1","hypothetical protein ABL78_3014")</f>
        <v>hypothetical protein ABL78_3014</v>
      </c>
      <c r="J3123">
        <v>174.1</v>
      </c>
      <c r="K3123" t="s">
        <v>22</v>
      </c>
      <c r="L3123">
        <v>1210</v>
      </c>
      <c r="M3123">
        <v>7.13</v>
      </c>
      <c r="N3123">
        <v>1.7</v>
      </c>
      <c r="O3123" t="s">
        <v>22</v>
      </c>
      <c r="P3123" t="s">
        <v>1267</v>
      </c>
      <c r="Q3123" t="s">
        <v>19</v>
      </c>
      <c r="R3123" t="str">
        <f>HYPERLINK("https://cfpub.epa.gov/ecotox/explore.cfm?ncbi=5684","Explore in ECOTOX")</f>
        <v>Explore in ECOTOX</v>
      </c>
    </row>
    <row r="3124" spans="1:18" x14ac:dyDescent="0.45">
      <c r="A3124" t="s">
        <v>1266</v>
      </c>
      <c r="B3124">
        <v>8</v>
      </c>
      <c r="C3124" t="str">
        <f>HYPERLINK("http://www.ncbi.nlm.nih.gov/protein/KAI8144447.1","KAI8144447.1")</f>
        <v>KAI8144447.1</v>
      </c>
      <c r="D3124">
        <v>14099</v>
      </c>
      <c r="E3124" t="str">
        <f>HYPERLINK("http://www.ncbi.nlm.nih.gov/Taxonomy/Browser/wwwtax.cgi?mode=Info&amp;id=1329386&amp;lvl=3&amp;lin=f&amp;keep=1&amp;srchmode=1&amp;unlock","1329386")</f>
        <v>1329386</v>
      </c>
      <c r="F3124" t="s">
        <v>1226</v>
      </c>
      <c r="G3124" t="str">
        <f>HYPERLINK("http://www.ncbi.nlm.nih.gov/Taxonomy/Browser/wwwtax.cgi?mode=Info&amp;id=1329386&amp;lvl=3&amp;lin=f&amp;keep=1&amp;srchmode=1&amp;unlock","Fennellomyces sp. T-0311")</f>
        <v>Fennellomyces sp. T-0311</v>
      </c>
      <c r="H3124" t="s">
        <v>1227</v>
      </c>
      <c r="I3124" t="str">
        <f>HYPERLINK("http://www.ncbi.nlm.nih.gov/protein/KAI8144447.1","hypothetical protein BJV82DRAFT_607368")</f>
        <v>hypothetical protein BJV82DRAFT_607368</v>
      </c>
      <c r="J3124">
        <v>172.94</v>
      </c>
      <c r="K3124" t="s">
        <v>22</v>
      </c>
      <c r="L3124">
        <v>1210</v>
      </c>
      <c r="M3124">
        <v>7.13</v>
      </c>
      <c r="N3124">
        <v>1.69</v>
      </c>
      <c r="O3124" t="s">
        <v>22</v>
      </c>
      <c r="P3124" t="s">
        <v>1267</v>
      </c>
      <c r="Q3124" t="s">
        <v>19</v>
      </c>
      <c r="R3124" t="str">
        <f>HYPERLINK("https://cfpub.epa.gov/ecotox/explore.cfm?ncbi=1329386","Explore in ECOTOX")</f>
        <v>Explore in ECOTOX</v>
      </c>
    </row>
    <row r="3125" spans="1:18" x14ac:dyDescent="0.45">
      <c r="A3125" t="s">
        <v>1266</v>
      </c>
      <c r="B3125">
        <v>8</v>
      </c>
      <c r="C3125" t="str">
        <f>HYPERLINK("http://www.ncbi.nlm.nih.gov/protein/KAJ3091045.1","KAJ3091045.1")</f>
        <v>KAJ3091045.1</v>
      </c>
      <c r="D3125">
        <v>13723</v>
      </c>
      <c r="E3125" t="str">
        <f>HYPERLINK("http://www.ncbi.nlm.nih.gov/Taxonomy/Browser/wwwtax.cgi?mode=Info&amp;id=2654861&amp;lvl=3&amp;lin=f&amp;keep=1&amp;srchmode=1&amp;unlock","2654861")</f>
        <v>2654861</v>
      </c>
      <c r="F3125" t="s">
        <v>1234</v>
      </c>
      <c r="G3125" t="str">
        <f>HYPERLINK("http://www.ncbi.nlm.nih.gov/Taxonomy/Browser/wwwtax.cgi?mode=Info&amp;id=2654861&amp;lvl=3&amp;lin=f&amp;keep=1&amp;srchmode=1&amp;unlock","Quaeritorhiza haematococci")</f>
        <v>Quaeritorhiza haematococci</v>
      </c>
      <c r="H3125" t="s">
        <v>1235</v>
      </c>
      <c r="I3125" t="str">
        <f>HYPERLINK("http://www.ncbi.nlm.nih.gov/protein/KAJ3091045.1","hypothetical protein HK102_001865")</f>
        <v>hypothetical protein HK102_001865</v>
      </c>
      <c r="J3125">
        <v>172.17</v>
      </c>
      <c r="K3125" t="s">
        <v>22</v>
      </c>
      <c r="L3125">
        <v>1210</v>
      </c>
      <c r="M3125">
        <v>7.13</v>
      </c>
      <c r="N3125">
        <v>1.68</v>
      </c>
      <c r="O3125" t="s">
        <v>22</v>
      </c>
      <c r="P3125" t="s">
        <v>1267</v>
      </c>
      <c r="Q3125" t="s">
        <v>19</v>
      </c>
      <c r="R3125" t="str">
        <f>HYPERLINK("https://cfpub.epa.gov/ecotox/explore.cfm?ncbi=2654861","Explore in ECOTOX")</f>
        <v>Explore in ECOTOX</v>
      </c>
    </row>
    <row r="3126" spans="1:18" x14ac:dyDescent="0.45">
      <c r="A3126" t="s">
        <v>1266</v>
      </c>
      <c r="B3126">
        <v>8</v>
      </c>
      <c r="C3126" t="str">
        <f>HYPERLINK("http://www.ncbi.nlm.nih.gov/protein/KAI7851268.1","KAI7851268.1")</f>
        <v>KAI7851268.1</v>
      </c>
      <c r="D3126">
        <v>14689</v>
      </c>
      <c r="E3126" t="str">
        <f>HYPERLINK("http://www.ncbi.nlm.nih.gov/Taxonomy/Browser/wwwtax.cgi?mode=Info&amp;id=101103&amp;lvl=3&amp;lin=f&amp;keep=1&amp;srchmode=1&amp;unlock","101103")</f>
        <v>101103</v>
      </c>
      <c r="F3126" t="s">
        <v>1226</v>
      </c>
      <c r="G3126" t="str">
        <f>HYPERLINK("http://www.ncbi.nlm.nih.gov/Taxonomy/Browser/wwwtax.cgi?mode=Info&amp;id=101103&amp;lvl=3&amp;lin=f&amp;keep=1&amp;srchmode=1&amp;unlock","Circinella umbellata")</f>
        <v>Circinella umbellata</v>
      </c>
      <c r="H3126" t="s">
        <v>1227</v>
      </c>
      <c r="I3126" t="str">
        <f>HYPERLINK("http://www.ncbi.nlm.nih.gov/protein/KAI7851268.1","hypothetical protein BDC45DRAFT_572076")</f>
        <v>hypothetical protein BDC45DRAFT_572076</v>
      </c>
      <c r="J3126">
        <v>171.01</v>
      </c>
      <c r="K3126" t="s">
        <v>22</v>
      </c>
      <c r="L3126">
        <v>1210</v>
      </c>
      <c r="M3126">
        <v>7.13</v>
      </c>
      <c r="N3126">
        <v>1.67</v>
      </c>
      <c r="O3126" t="s">
        <v>22</v>
      </c>
      <c r="P3126" t="s">
        <v>1267</v>
      </c>
      <c r="Q3126" t="s">
        <v>19</v>
      </c>
      <c r="R3126" t="str">
        <f>HYPERLINK("https://cfpub.epa.gov/ecotox/explore.cfm?ncbi=101103","Explore in ECOTOX")</f>
        <v>Explore in ECOTOX</v>
      </c>
    </row>
    <row r="3127" spans="1:18" x14ac:dyDescent="0.45">
      <c r="A3127" t="s">
        <v>1266</v>
      </c>
      <c r="B3127">
        <v>8</v>
      </c>
      <c r="C3127" t="str">
        <f>HYPERLINK("http://www.ncbi.nlm.nih.gov/protein/CCC92047.1","CCC92047.1")</f>
        <v>CCC92047.1</v>
      </c>
      <c r="D3127">
        <v>12934</v>
      </c>
      <c r="E3127" t="str">
        <f>HYPERLINK("http://www.ncbi.nlm.nih.gov/Taxonomy/Browser/wwwtax.cgi?mode=Info&amp;id=1068625&amp;lvl=3&amp;lin=f&amp;keep=1&amp;srchmode=1&amp;unlock","1068625")</f>
        <v>1068625</v>
      </c>
      <c r="F3127" t="s">
        <v>1228</v>
      </c>
      <c r="G3127" t="str">
        <f>HYPERLINK("http://www.ncbi.nlm.nih.gov/Taxonomy/Browser/wwwtax.cgi?mode=Info&amp;id=1068625&amp;lvl=3&amp;lin=f&amp;keep=1&amp;srchmode=1&amp;unlock","Trypanosoma congolense IL3000")</f>
        <v>Trypanosoma congolense IL3000</v>
      </c>
      <c r="H3127" t="s">
        <v>1229</v>
      </c>
      <c r="I3127" t="str">
        <f>HYPERLINK("http://www.ncbi.nlm.nih.gov/protein/CCC92047.1","conserved hypothetical protein")</f>
        <v>conserved hypothetical protein</v>
      </c>
      <c r="J3127">
        <v>171.01</v>
      </c>
      <c r="K3127" t="s">
        <v>22</v>
      </c>
      <c r="L3127">
        <v>1210</v>
      </c>
      <c r="M3127">
        <v>7.13</v>
      </c>
      <c r="N3127">
        <v>1.67</v>
      </c>
      <c r="O3127" t="s">
        <v>22</v>
      </c>
      <c r="P3127" t="s">
        <v>1267</v>
      </c>
      <c r="Q3127" t="s">
        <v>19</v>
      </c>
      <c r="R3127" t="str">
        <f>HYPERLINK("https://cfpub.epa.gov/ecotox/explore.cfm?ncbi=1068625","Explore in ECOTOX")</f>
        <v>Explore in ECOTOX</v>
      </c>
    </row>
    <row r="3128" spans="1:18" x14ac:dyDescent="0.45">
      <c r="A3128" t="s">
        <v>1266</v>
      </c>
      <c r="B3128">
        <v>8</v>
      </c>
      <c r="C3128" t="str">
        <f>HYPERLINK("http://www.ncbi.nlm.nih.gov/protein/XP_001017190.2","XP_001017190.2")</f>
        <v>XP_001017190.2</v>
      </c>
      <c r="D3128">
        <v>55463</v>
      </c>
      <c r="E3128" t="str">
        <f>HYPERLINK("http://www.ncbi.nlm.nih.gov/Taxonomy/Browser/wwwtax.cgi?mode=Info&amp;id=312017&amp;lvl=3&amp;lin=f&amp;keep=1&amp;srchmode=1&amp;unlock","312017")</f>
        <v>312017</v>
      </c>
      <c r="F3128" t="s">
        <v>1319</v>
      </c>
      <c r="G3128" t="str">
        <f>HYPERLINK("http://www.ncbi.nlm.nih.gov/Taxonomy/Browser/wwwtax.cgi?mode=Info&amp;id=312017&amp;lvl=3&amp;lin=f&amp;keep=1&amp;srchmode=1&amp;unlock","Tetrahymena thermophila SB210")</f>
        <v>Tetrahymena thermophila SB210</v>
      </c>
      <c r="H3128" t="s">
        <v>1233</v>
      </c>
      <c r="I3128" t="str">
        <f>HYPERLINK("http://www.ncbi.nlm.nih.gov/protein/XP_001017190.2","cation channel family protein")</f>
        <v>cation channel family protein</v>
      </c>
      <c r="J3128">
        <v>169.86</v>
      </c>
      <c r="K3128" t="s">
        <v>22</v>
      </c>
      <c r="L3128">
        <v>1210</v>
      </c>
      <c r="M3128">
        <v>7.13</v>
      </c>
      <c r="N3128">
        <v>1.66</v>
      </c>
      <c r="O3128" t="s">
        <v>22</v>
      </c>
      <c r="P3128" t="s">
        <v>1267</v>
      </c>
      <c r="Q3128" t="s">
        <v>19</v>
      </c>
      <c r="R3128" t="str">
        <f>HYPERLINK("https://cfpub.epa.gov/ecotox/explore.cfm?ncbi=312017","Explore in ECOTOX")</f>
        <v>Explore in ECOTOX</v>
      </c>
    </row>
    <row r="3129" spans="1:18" x14ac:dyDescent="0.45">
      <c r="A3129" t="s">
        <v>1266</v>
      </c>
      <c r="B3129">
        <v>8</v>
      </c>
      <c r="C3129" t="str">
        <f>HYPERLINK("http://www.ncbi.nlm.nih.gov/protein/KAI9249172.1","KAI9249172.1")</f>
        <v>KAI9249172.1</v>
      </c>
      <c r="D3129">
        <v>14496</v>
      </c>
      <c r="E3129" t="str">
        <f>HYPERLINK("http://www.ncbi.nlm.nih.gov/Taxonomy/Browser/wwwtax.cgi?mode=Info&amp;id=60185&amp;lvl=3&amp;lin=f&amp;keep=1&amp;srchmode=1&amp;unlock","60185")</f>
        <v>60185</v>
      </c>
      <c r="F3129" t="s">
        <v>1226</v>
      </c>
      <c r="G3129" t="str">
        <f>HYPERLINK("http://www.ncbi.nlm.nih.gov/Taxonomy/Browser/wwwtax.cgi?mode=Info&amp;id=60185&amp;lvl=3&amp;lin=f&amp;keep=1&amp;srchmode=1&amp;unlock","Phascolomyces articulosus")</f>
        <v>Phascolomyces articulosus</v>
      </c>
      <c r="H3129" t="s">
        <v>1227</v>
      </c>
      <c r="I3129" t="str">
        <f>HYPERLINK("http://www.ncbi.nlm.nih.gov/protein/KAI9249172.1","hypothetical protein BDA99DRAFT_575816")</f>
        <v>hypothetical protein BDA99DRAFT_575816</v>
      </c>
      <c r="J3129">
        <v>169.86</v>
      </c>
      <c r="K3129" t="s">
        <v>22</v>
      </c>
      <c r="L3129">
        <v>1210</v>
      </c>
      <c r="M3129">
        <v>7.13</v>
      </c>
      <c r="N3129">
        <v>1.66</v>
      </c>
      <c r="O3129" t="s">
        <v>22</v>
      </c>
      <c r="P3129" t="s">
        <v>1267</v>
      </c>
      <c r="Q3129" t="s">
        <v>19</v>
      </c>
      <c r="R3129" t="str">
        <f>HYPERLINK("https://cfpub.epa.gov/ecotox/explore.cfm?ncbi=60185","Explore in ECOTOX")</f>
        <v>Explore in ECOTOX</v>
      </c>
    </row>
    <row r="3130" spans="1:18" x14ac:dyDescent="0.45">
      <c r="A3130" t="s">
        <v>1266</v>
      </c>
      <c r="B3130">
        <v>8</v>
      </c>
      <c r="C3130" t="str">
        <f>HYPERLINK("http://www.ncbi.nlm.nih.gov/protein/KAI9227279.1","KAI9227279.1")</f>
        <v>KAI9227279.1</v>
      </c>
      <c r="D3130">
        <v>5810</v>
      </c>
      <c r="E3130" t="str">
        <f>HYPERLINK("http://www.ncbi.nlm.nih.gov/Taxonomy/Browser/wwwtax.cgi?mode=Info&amp;id=1286916&amp;lvl=3&amp;lin=f&amp;keep=1&amp;srchmode=1&amp;unlock","1286916")</f>
        <v>1286916</v>
      </c>
      <c r="F3130" t="s">
        <v>1236</v>
      </c>
      <c r="G3130" t="str">
        <f>HYPERLINK("http://www.ncbi.nlm.nih.gov/Taxonomy/Browser/wwwtax.cgi?mode=Info&amp;id=1286916&amp;lvl=3&amp;lin=f&amp;keep=1&amp;srchmode=1&amp;unlock","Piptocephalis tieghemiana")</f>
        <v>Piptocephalis tieghemiana</v>
      </c>
      <c r="H3130" t="s">
        <v>1225</v>
      </c>
      <c r="I3130" t="str">
        <f>HYPERLINK("http://www.ncbi.nlm.nih.gov/protein/KAI9227279.1","MAG: hypothetical protein DHS80DRAFT_24427")</f>
        <v>MAG: hypothetical protein DHS80DRAFT_24427</v>
      </c>
      <c r="J3130">
        <v>169.86</v>
      </c>
      <c r="K3130" t="s">
        <v>22</v>
      </c>
      <c r="L3130">
        <v>1210</v>
      </c>
      <c r="M3130">
        <v>7.13</v>
      </c>
      <c r="N3130">
        <v>1.66</v>
      </c>
      <c r="O3130" t="s">
        <v>22</v>
      </c>
      <c r="P3130" t="s">
        <v>1267</v>
      </c>
      <c r="Q3130" t="s">
        <v>19</v>
      </c>
      <c r="R3130" t="str">
        <f>HYPERLINK("https://cfpub.epa.gov/ecotox/explore.cfm?ncbi=1286916","Explore in ECOTOX")</f>
        <v>Explore in ECOTOX</v>
      </c>
    </row>
    <row r="3131" spans="1:18" x14ac:dyDescent="0.45">
      <c r="A3131" t="s">
        <v>1266</v>
      </c>
      <c r="B3131">
        <v>8</v>
      </c>
      <c r="C3131" t="str">
        <f>HYPERLINK("http://www.ncbi.nlm.nih.gov/protein/XP_018299153.1","XP_018299153.1")</f>
        <v>XP_018299153.1</v>
      </c>
      <c r="D3131">
        <v>33066</v>
      </c>
      <c r="E3131" t="str">
        <f>HYPERLINK("http://www.ncbi.nlm.nih.gov/Taxonomy/Browser/wwwtax.cgi?mode=Info&amp;id=763407&amp;lvl=3&amp;lin=f&amp;keep=1&amp;srchmode=1&amp;unlock","763407")</f>
        <v>763407</v>
      </c>
      <c r="F3131" t="s">
        <v>1226</v>
      </c>
      <c r="G3131" t="str">
        <f>HYPERLINK("http://www.ncbi.nlm.nih.gov/Taxonomy/Browser/wwwtax.cgi?mode=Info&amp;id=763407&amp;lvl=3&amp;lin=f&amp;keep=1&amp;srchmode=1&amp;unlock","Phycomyces blakesleeanus NRRL 1555(-)")</f>
        <v>Phycomyces blakesleeanus NRRL 1555(-)</v>
      </c>
      <c r="H3131" t="s">
        <v>1227</v>
      </c>
      <c r="I3131" t="str">
        <f>HYPERLINK("http://www.ncbi.nlm.nih.gov/protein/XP_018299153.1","IP3 receptor")</f>
        <v>IP3 receptor</v>
      </c>
      <c r="J3131">
        <v>169.47</v>
      </c>
      <c r="K3131" t="s">
        <v>22</v>
      </c>
      <c r="L3131">
        <v>1210</v>
      </c>
      <c r="M3131">
        <v>7.13</v>
      </c>
      <c r="N3131">
        <v>1.65</v>
      </c>
      <c r="O3131" t="s">
        <v>22</v>
      </c>
      <c r="P3131" t="s">
        <v>1267</v>
      </c>
      <c r="Q3131" t="s">
        <v>19</v>
      </c>
      <c r="R3131" t="str">
        <f>HYPERLINK("https://cfpub.epa.gov/ecotox/explore.cfm?ncbi=763407","Explore in ECOTOX")</f>
        <v>Explore in ECOTOX</v>
      </c>
    </row>
    <row r="3132" spans="1:18" x14ac:dyDescent="0.45">
      <c r="A3132" t="s">
        <v>1266</v>
      </c>
      <c r="B3132">
        <v>8</v>
      </c>
      <c r="C3132" t="str">
        <f>HYPERLINK("http://www.ncbi.nlm.nih.gov/protein/OAD02504.1","OAD02504.1")</f>
        <v>OAD02504.1</v>
      </c>
      <c r="D3132">
        <v>11660</v>
      </c>
      <c r="E3132" t="str">
        <f>HYPERLINK("http://www.ncbi.nlm.nih.gov/Taxonomy/Browser/wwwtax.cgi?mode=Info&amp;id=747725&amp;lvl=3&amp;lin=f&amp;keep=1&amp;srchmode=1&amp;unlock","747725")</f>
        <v>747725</v>
      </c>
      <c r="F3132" t="s">
        <v>1226</v>
      </c>
      <c r="G3132" t="str">
        <f>HYPERLINK("http://www.ncbi.nlm.nih.gov/Taxonomy/Browser/wwwtax.cgi?mode=Info&amp;id=747725&amp;lvl=3&amp;lin=f&amp;keep=1&amp;srchmode=1&amp;unlock","Mucor lusitanicus CBS 277.49")</f>
        <v>Mucor lusitanicus CBS 277.49</v>
      </c>
      <c r="H3132" t="s">
        <v>1227</v>
      </c>
      <c r="I3132" t="str">
        <f>HYPERLINK("http://www.ncbi.nlm.nih.gov/protein/OAD02504.1","hypothetical protein MUCCIDRAFT_111891")</f>
        <v>hypothetical protein MUCCIDRAFT_111891</v>
      </c>
      <c r="J3132">
        <v>167.93</v>
      </c>
      <c r="K3132" t="s">
        <v>22</v>
      </c>
      <c r="L3132">
        <v>1210</v>
      </c>
      <c r="M3132">
        <v>7.13</v>
      </c>
      <c r="N3132">
        <v>1.64</v>
      </c>
      <c r="O3132" t="s">
        <v>22</v>
      </c>
      <c r="P3132" t="s">
        <v>1267</v>
      </c>
      <c r="Q3132" t="s">
        <v>19</v>
      </c>
      <c r="R3132" t="str">
        <f>HYPERLINK("https://cfpub.epa.gov/ecotox/explore.cfm?ncbi=747725","Explore in ECOTOX")</f>
        <v>Explore in ECOTOX</v>
      </c>
    </row>
    <row r="3133" spans="1:18" x14ac:dyDescent="0.45">
      <c r="A3133" t="s">
        <v>1266</v>
      </c>
      <c r="B3133">
        <v>8</v>
      </c>
      <c r="C3133" t="str">
        <f>HYPERLINK("http://www.ncbi.nlm.nih.gov/protein/GAN04326.1","GAN04326.1")</f>
        <v>GAN04326.1</v>
      </c>
      <c r="D3133">
        <v>11331</v>
      </c>
      <c r="E3133" t="str">
        <f>HYPERLINK("http://www.ncbi.nlm.nih.gov/Taxonomy/Browser/wwwtax.cgi?mode=Info&amp;id=91626&amp;lvl=3&amp;lin=f&amp;keep=1&amp;srchmode=1&amp;unlock","91626")</f>
        <v>91626</v>
      </c>
      <c r="F3133" t="s">
        <v>1226</v>
      </c>
      <c r="G3133" t="str">
        <f>HYPERLINK("http://www.ncbi.nlm.nih.gov/Taxonomy/Browser/wwwtax.cgi?mode=Info&amp;id=91626&amp;lvl=3&amp;lin=f&amp;keep=1&amp;srchmode=1&amp;unlock","Mucor ambiguus")</f>
        <v>Mucor ambiguus</v>
      </c>
      <c r="H3133" t="s">
        <v>1227</v>
      </c>
      <c r="I3133" t="str">
        <f>HYPERLINK("http://www.ncbi.nlm.nih.gov/protein/GAN04326.1","conserved hypothetical protein")</f>
        <v>conserved hypothetical protein</v>
      </c>
      <c r="J3133">
        <v>167.55</v>
      </c>
      <c r="K3133" t="s">
        <v>22</v>
      </c>
      <c r="L3133">
        <v>1210</v>
      </c>
      <c r="M3133">
        <v>7.13</v>
      </c>
      <c r="N3133">
        <v>1.63</v>
      </c>
      <c r="O3133" t="s">
        <v>22</v>
      </c>
      <c r="P3133" t="s">
        <v>1267</v>
      </c>
      <c r="Q3133" t="s">
        <v>19</v>
      </c>
      <c r="R3133" t="str">
        <f>HYPERLINK("https://cfpub.epa.gov/ecotox/explore.cfm?ncbi=91626","Explore in ECOTOX")</f>
        <v>Explore in ECOTOX</v>
      </c>
    </row>
    <row r="3134" spans="1:18" x14ac:dyDescent="0.45">
      <c r="A3134" t="s">
        <v>1266</v>
      </c>
      <c r="B3134">
        <v>8</v>
      </c>
      <c r="C3134" t="str">
        <f>HYPERLINK("http://www.ncbi.nlm.nih.gov/protein/AAA88319.1","AAA88319.1")</f>
        <v>AAA88319.1</v>
      </c>
      <c r="D3134">
        <v>3238</v>
      </c>
      <c r="E3134" t="str">
        <f>HYPERLINK("http://www.ncbi.nlm.nih.gov/Taxonomy/Browser/wwwtax.cgi?mode=Info&amp;id=10092&amp;lvl=3&amp;lin=f&amp;keep=1&amp;srchmode=1&amp;unlock","10092")</f>
        <v>10092</v>
      </c>
      <c r="F3134" t="s">
        <v>96</v>
      </c>
      <c r="G3134" t="str">
        <f>HYPERLINK("http://www.ncbi.nlm.nih.gov/Taxonomy/Browser/wwwtax.cgi?mode=Info&amp;id=10092&amp;lvl=3&amp;lin=f&amp;keep=1&amp;srchmode=1&amp;unlock","Mus musculus domesticus")</f>
        <v>Mus musculus domesticus</v>
      </c>
      <c r="H3134" t="s">
        <v>1237</v>
      </c>
      <c r="I3134" t="str">
        <f>HYPERLINK("http://www.ncbi.nlm.nih.gov/protein/AAA88319.1","putative")</f>
        <v>putative</v>
      </c>
      <c r="J3134">
        <v>163.31</v>
      </c>
      <c r="K3134" t="s">
        <v>22</v>
      </c>
      <c r="L3134">
        <v>1210</v>
      </c>
      <c r="M3134">
        <v>7.13</v>
      </c>
      <c r="N3134">
        <v>1.59</v>
      </c>
      <c r="O3134" t="s">
        <v>19</v>
      </c>
      <c r="P3134" t="s">
        <v>1267</v>
      </c>
      <c r="Q3134" t="s">
        <v>19</v>
      </c>
      <c r="R3134" t="str">
        <f>HYPERLINK("https://cfpub.epa.gov/ecotox/explore.cfm?ncbi=10092","Explore in ECOTOX")</f>
        <v>Explore in ECOTOX</v>
      </c>
    </row>
    <row r="3135" spans="1:18" x14ac:dyDescent="0.45">
      <c r="A3135" t="s">
        <v>1265</v>
      </c>
      <c r="B3135">
        <v>8</v>
      </c>
      <c r="C3135" t="str">
        <f>HYPERLINK("http://www.ncbi.nlm.nih.gov/protein/XP_039525313.1","XP_039525313.1")</f>
        <v>XP_039525313.1</v>
      </c>
      <c r="D3135">
        <v>96127</v>
      </c>
      <c r="E3135" t="str">
        <f>HYPERLINK("http://www.ncbi.nlm.nih.gov/Taxonomy/Browser/wwwtax.cgi?mode=Info&amp;id=90988&amp;lvl=3&amp;lin=f&amp;keep=1&amp;srchmode=1&amp;unlock","90988")</f>
        <v>90988</v>
      </c>
      <c r="F3135" t="s">
        <v>17</v>
      </c>
      <c r="G3135" t="str">
        <f>HYPERLINK("http://www.ncbi.nlm.nih.gov/Taxonomy/Browser/wwwtax.cgi?mode=Info&amp;id=90988&amp;lvl=3&amp;lin=f&amp;keep=1&amp;srchmode=1&amp;unlock","Pimephales promelas")</f>
        <v>Pimephales promelas</v>
      </c>
      <c r="H3135" t="s">
        <v>18</v>
      </c>
      <c r="I3135" t="str">
        <f>HYPERLINK("http://www.ncbi.nlm.nih.gov/protein/XP_039525313.1","ryanodine receptor 3 isoform X15")</f>
        <v>ryanodine receptor 3 isoform X15</v>
      </c>
      <c r="J3135">
        <v>10160.799999999999</v>
      </c>
      <c r="K3135" t="s">
        <v>19</v>
      </c>
      <c r="L3135">
        <v>76</v>
      </c>
      <c r="M3135">
        <v>12.58</v>
      </c>
      <c r="N3135">
        <v>100</v>
      </c>
      <c r="O3135" t="s">
        <v>19</v>
      </c>
      <c r="P3135" t="s">
        <v>1320</v>
      </c>
      <c r="Q3135" t="s">
        <v>19</v>
      </c>
      <c r="R3135" t="str">
        <f>HYPERLINK("https://cfpub.epa.gov/ecotox/explore.cfm?ncbi=90988","Explore in ECOTOX")</f>
        <v>Explore in ECOTOX</v>
      </c>
    </row>
    <row r="3136" spans="1:18" x14ac:dyDescent="0.45">
      <c r="A3136" t="s">
        <v>1265</v>
      </c>
      <c r="B3136">
        <v>8</v>
      </c>
      <c r="C3136" t="str">
        <f>HYPERLINK("http://www.ncbi.nlm.nih.gov/protein/XP_056092684.1","XP_056092684.1")</f>
        <v>XP_056092684.1</v>
      </c>
      <c r="D3136">
        <v>40181</v>
      </c>
      <c r="E3136" t="str">
        <f>HYPERLINK("http://www.ncbi.nlm.nih.gov/Taxonomy/Browser/wwwtax.cgi?mode=Info&amp;id=3034132&amp;lvl=3&amp;lin=f&amp;keep=1&amp;srchmode=1&amp;unlock","3034132")</f>
        <v>3034132</v>
      </c>
      <c r="F3136" t="s">
        <v>17</v>
      </c>
      <c r="G3136" t="str">
        <f>HYPERLINK("http://www.ncbi.nlm.nih.gov/Taxonomy/Browser/wwwtax.cgi?mode=Info&amp;id=3034132&amp;lvl=3&amp;lin=f&amp;keep=1&amp;srchmode=1&amp;unlock","Rhinichthys klamathensis goyatoka")</f>
        <v>Rhinichthys klamathensis goyatoka</v>
      </c>
      <c r="H3136" t="s">
        <v>21</v>
      </c>
      <c r="I3136" t="str">
        <f>HYPERLINK("http://www.ncbi.nlm.nih.gov/protein/XP_056092684.1","ryanodine receptor 3")</f>
        <v>ryanodine receptor 3</v>
      </c>
      <c r="J3136">
        <v>10004.799999999999</v>
      </c>
      <c r="K3136" t="s">
        <v>22</v>
      </c>
      <c r="L3136">
        <v>76</v>
      </c>
      <c r="M3136">
        <v>12.58</v>
      </c>
      <c r="N3136">
        <v>98.46</v>
      </c>
      <c r="O3136" t="s">
        <v>19</v>
      </c>
      <c r="P3136" t="s">
        <v>1320</v>
      </c>
      <c r="Q3136" t="s">
        <v>19</v>
      </c>
      <c r="R3136" t="str">
        <f>HYPERLINK("https://cfpub.epa.gov/ecotox/explore.cfm?ncbi=3034132","Explore in ECOTOX")</f>
        <v>Explore in ECOTOX</v>
      </c>
    </row>
    <row r="3137" spans="1:18" x14ac:dyDescent="0.45">
      <c r="A3137" t="s">
        <v>1265</v>
      </c>
      <c r="B3137">
        <v>8</v>
      </c>
      <c r="C3137" t="str">
        <f>HYPERLINK("http://www.ncbi.nlm.nih.gov/protein/XP_048048046.1","XP_048048046.1")</f>
        <v>XP_048048046.1</v>
      </c>
      <c r="D3137">
        <v>60768</v>
      </c>
      <c r="E3137" t="str">
        <f>HYPERLINK("http://www.ncbi.nlm.nih.gov/Taxonomy/Browser/wwwtax.cgi?mode=Info&amp;id=75352&amp;lvl=3&amp;lin=f&amp;keep=1&amp;srchmode=1&amp;unlock","75352")</f>
        <v>75352</v>
      </c>
      <c r="F3137" t="s">
        <v>17</v>
      </c>
      <c r="G3137" t="str">
        <f>HYPERLINK("http://www.ncbi.nlm.nih.gov/Taxonomy/Browser/wwwtax.cgi?mode=Info&amp;id=75352&amp;lvl=3&amp;lin=f&amp;keep=1&amp;srchmode=1&amp;unlock","Megalobrama amblycephala")</f>
        <v>Megalobrama amblycephala</v>
      </c>
      <c r="H3137" t="s">
        <v>23</v>
      </c>
      <c r="I3137" t="str">
        <f>HYPERLINK("http://www.ncbi.nlm.nih.gov/protein/XP_048048046.1","ryanodine receptor 3 isoform X2")</f>
        <v>ryanodine receptor 3 isoform X2</v>
      </c>
      <c r="J3137">
        <v>9737.83</v>
      </c>
      <c r="K3137" t="s">
        <v>22</v>
      </c>
      <c r="L3137">
        <v>76</v>
      </c>
      <c r="M3137">
        <v>12.58</v>
      </c>
      <c r="N3137">
        <v>95.84</v>
      </c>
      <c r="O3137" t="s">
        <v>19</v>
      </c>
      <c r="P3137" t="s">
        <v>1320</v>
      </c>
      <c r="Q3137" t="s">
        <v>19</v>
      </c>
      <c r="R3137" t="str">
        <f>HYPERLINK("https://cfpub.epa.gov/ecotox/explore.cfm?ncbi=75352","Explore in ECOTOX")</f>
        <v>Explore in ECOTOX</v>
      </c>
    </row>
    <row r="3138" spans="1:18" x14ac:dyDescent="0.45">
      <c r="A3138" t="s">
        <v>1265</v>
      </c>
      <c r="B3138">
        <v>8</v>
      </c>
      <c r="C3138" t="str">
        <f>HYPERLINK("http://www.ncbi.nlm.nih.gov/protein/XP_051725113.1","XP_051725113.1")</f>
        <v>XP_051725113.1</v>
      </c>
      <c r="D3138">
        <v>61666</v>
      </c>
      <c r="E3138" t="str">
        <f>HYPERLINK("http://www.ncbi.nlm.nih.gov/Taxonomy/Browser/wwwtax.cgi?mode=Info&amp;id=7959&amp;lvl=3&amp;lin=f&amp;keep=1&amp;srchmode=1&amp;unlock","7959")</f>
        <v>7959</v>
      </c>
      <c r="F3138" t="s">
        <v>17</v>
      </c>
      <c r="G3138" t="str">
        <f>HYPERLINK("http://www.ncbi.nlm.nih.gov/Taxonomy/Browser/wwwtax.cgi?mode=Info&amp;id=7959&amp;lvl=3&amp;lin=f&amp;keep=1&amp;srchmode=1&amp;unlock","Ctenopharyngodon idella")</f>
        <v>Ctenopharyngodon idella</v>
      </c>
      <c r="H3138" t="s">
        <v>24</v>
      </c>
      <c r="I3138" t="str">
        <f>HYPERLINK("http://www.ncbi.nlm.nih.gov/protein/XP_051725113.1","ryanodine receptor 3 isoform X12")</f>
        <v>ryanodine receptor 3 isoform X12</v>
      </c>
      <c r="J3138">
        <v>9737.4500000000007</v>
      </c>
      <c r="K3138" t="s">
        <v>22</v>
      </c>
      <c r="L3138">
        <v>76</v>
      </c>
      <c r="M3138">
        <v>12.58</v>
      </c>
      <c r="N3138">
        <v>95.83</v>
      </c>
      <c r="O3138" t="s">
        <v>19</v>
      </c>
      <c r="P3138" t="s">
        <v>1320</v>
      </c>
      <c r="Q3138" t="s">
        <v>19</v>
      </c>
      <c r="R3138" t="str">
        <f>HYPERLINK("https://cfpub.epa.gov/ecotox/explore.cfm?ncbi=7959","Explore in ECOTOX")</f>
        <v>Explore in ECOTOX</v>
      </c>
    </row>
    <row r="3139" spans="1:18" x14ac:dyDescent="0.45">
      <c r="A3139" t="s">
        <v>1265</v>
      </c>
      <c r="B3139">
        <v>8</v>
      </c>
      <c r="C3139" t="str">
        <f>HYPERLINK("http://www.ncbi.nlm.nih.gov/protein/XP_050990010.1","XP_050990010.1")</f>
        <v>XP_050990010.1</v>
      </c>
      <c r="D3139">
        <v>110562</v>
      </c>
      <c r="E3139" t="str">
        <f>HYPERLINK("http://www.ncbi.nlm.nih.gov/Taxonomy/Browser/wwwtax.cgi?mode=Info&amp;id=84645&amp;lvl=3&amp;lin=f&amp;keep=1&amp;srchmode=1&amp;unlock","84645")</f>
        <v>84645</v>
      </c>
      <c r="F3139" t="s">
        <v>17</v>
      </c>
      <c r="G3139" t="str">
        <f>HYPERLINK("http://www.ncbi.nlm.nih.gov/Taxonomy/Browser/wwwtax.cgi?mode=Info&amp;id=84645&amp;lvl=3&amp;lin=f&amp;keep=1&amp;srchmode=1&amp;unlock","Labeo rohita")</f>
        <v>Labeo rohita</v>
      </c>
      <c r="H3139" t="s">
        <v>30</v>
      </c>
      <c r="I3139" t="str">
        <f>HYPERLINK("http://www.ncbi.nlm.nih.gov/protein/XP_050990010.1","ryanodine receptor 3 isoform X1")</f>
        <v>ryanodine receptor 3 isoform X1</v>
      </c>
      <c r="J3139">
        <v>9446.24</v>
      </c>
      <c r="K3139" t="s">
        <v>22</v>
      </c>
      <c r="L3139">
        <v>76</v>
      </c>
      <c r="M3139">
        <v>12.58</v>
      </c>
      <c r="N3139">
        <v>92.97</v>
      </c>
      <c r="O3139" t="s">
        <v>19</v>
      </c>
      <c r="P3139" t="s">
        <v>1320</v>
      </c>
      <c r="Q3139" t="s">
        <v>19</v>
      </c>
      <c r="R3139" t="str">
        <f>HYPERLINK("https://cfpub.epa.gov/ecotox/explore.cfm?ncbi=84645","Explore in ECOTOX")</f>
        <v>Explore in ECOTOX</v>
      </c>
    </row>
    <row r="3140" spans="1:18" x14ac:dyDescent="0.45">
      <c r="A3140" t="s">
        <v>1265</v>
      </c>
      <c r="B3140">
        <v>8</v>
      </c>
      <c r="C3140" t="str">
        <f>HYPERLINK("http://www.ncbi.nlm.nih.gov/protein/XP_051578743.1","XP_051578743.1")</f>
        <v>XP_051578743.1</v>
      </c>
      <c r="D3140">
        <v>81242</v>
      </c>
      <c r="E3140" t="str">
        <f>HYPERLINK("http://www.ncbi.nlm.nih.gov/Taxonomy/Browser/wwwtax.cgi?mode=Info&amp;id=70543&amp;lvl=3&amp;lin=f&amp;keep=1&amp;srchmode=1&amp;unlock","70543")</f>
        <v>70543</v>
      </c>
      <c r="F3140" t="s">
        <v>17</v>
      </c>
      <c r="G3140" t="str">
        <f>HYPERLINK("http://www.ncbi.nlm.nih.gov/Taxonomy/Browser/wwwtax.cgi?mode=Info&amp;id=70543&amp;lvl=3&amp;lin=f&amp;keep=1&amp;srchmode=1&amp;unlock","Myxocyprinus asiaticus")</f>
        <v>Myxocyprinus asiaticus</v>
      </c>
      <c r="H3140" t="s">
        <v>32</v>
      </c>
      <c r="I3140" t="str">
        <f>HYPERLINK("http://www.ncbi.nlm.nih.gov/protein/XP_051578743.1","ryanodine receptor 3-like")</f>
        <v>ryanodine receptor 3-like</v>
      </c>
      <c r="J3140">
        <v>9366.8799999999992</v>
      </c>
      <c r="K3140" t="s">
        <v>22</v>
      </c>
      <c r="L3140">
        <v>76</v>
      </c>
      <c r="M3140">
        <v>12.58</v>
      </c>
      <c r="N3140">
        <v>92.19</v>
      </c>
      <c r="O3140" t="s">
        <v>19</v>
      </c>
      <c r="P3140" t="s">
        <v>1320</v>
      </c>
      <c r="Q3140" t="s">
        <v>19</v>
      </c>
      <c r="R3140" t="str">
        <f>HYPERLINK("https://cfpub.epa.gov/ecotox/explore.cfm?ncbi=70543","Explore in ECOTOX")</f>
        <v>Explore in ECOTOX</v>
      </c>
    </row>
    <row r="3141" spans="1:18" x14ac:dyDescent="0.45">
      <c r="A3141" t="s">
        <v>1265</v>
      </c>
      <c r="B3141">
        <v>8</v>
      </c>
      <c r="C3141" t="str">
        <f>HYPERLINK("http://www.ncbi.nlm.nih.gov/protein/KAK2879234.1","KAK2879234.1")</f>
        <v>KAK2879234.1</v>
      </c>
      <c r="D3141">
        <v>25876</v>
      </c>
      <c r="E3141" t="str">
        <f>HYPERLINK("http://www.ncbi.nlm.nih.gov/Taxonomy/Browser/wwwtax.cgi?mode=Info&amp;id=172907&amp;lvl=3&amp;lin=f&amp;keep=1&amp;srchmode=1&amp;unlock","172907")</f>
        <v>172907</v>
      </c>
      <c r="F3141" t="s">
        <v>17</v>
      </c>
      <c r="G3141" t="str">
        <f>HYPERLINK("http://www.ncbi.nlm.nih.gov/Taxonomy/Browser/wwwtax.cgi?mode=Info&amp;id=172907&amp;lvl=3&amp;lin=f&amp;keep=1&amp;srchmode=1&amp;unlock","Cirrhinus molitorella")</f>
        <v>Cirrhinus molitorella</v>
      </c>
      <c r="H3141" t="s">
        <v>31</v>
      </c>
      <c r="I3141" t="str">
        <f>HYPERLINK("http://www.ncbi.nlm.nih.gov/protein/KAK2879234.1","hypothetical protein Q8A67_020025")</f>
        <v>hypothetical protein Q8A67_020025</v>
      </c>
      <c r="J3141">
        <v>9348.7800000000007</v>
      </c>
      <c r="K3141" t="s">
        <v>22</v>
      </c>
      <c r="L3141">
        <v>76</v>
      </c>
      <c r="M3141">
        <v>12.58</v>
      </c>
      <c r="N3141">
        <v>92.01</v>
      </c>
      <c r="O3141" t="s">
        <v>19</v>
      </c>
      <c r="P3141" t="s">
        <v>1320</v>
      </c>
      <c r="Q3141" t="s">
        <v>19</v>
      </c>
      <c r="R3141" t="str">
        <f>HYPERLINK("https://cfpub.epa.gov/ecotox/explore.cfm?ncbi=172907","Explore in ECOTOX")</f>
        <v>Explore in ECOTOX</v>
      </c>
    </row>
    <row r="3142" spans="1:18" x14ac:dyDescent="0.45">
      <c r="A3142" t="s">
        <v>1265</v>
      </c>
      <c r="B3142">
        <v>8</v>
      </c>
      <c r="C3142" t="str">
        <f>HYPERLINK("http://www.ncbi.nlm.nih.gov/protein/XP_058604317.1","XP_058604317.1")</f>
        <v>XP_058604317.1</v>
      </c>
      <c r="D3142">
        <v>80341</v>
      </c>
      <c r="E3142" t="str">
        <f>HYPERLINK("http://www.ncbi.nlm.nih.gov/Taxonomy/Browser/wwwtax.cgi?mode=Info&amp;id=369639&amp;lvl=3&amp;lin=f&amp;keep=1&amp;srchmode=1&amp;unlock","369639")</f>
        <v>369639</v>
      </c>
      <c r="F3142" t="s">
        <v>17</v>
      </c>
      <c r="G3142" t="str">
        <f>HYPERLINK("http://www.ncbi.nlm.nih.gov/Taxonomy/Browser/wwwtax.cgi?mode=Info&amp;id=369639&amp;lvl=3&amp;lin=f&amp;keep=1&amp;srchmode=1&amp;unlock","Onychostoma macrolepis")</f>
        <v>Onychostoma macrolepis</v>
      </c>
      <c r="H3142" t="s">
        <v>21</v>
      </c>
      <c r="I3142" t="str">
        <f>HYPERLINK("http://www.ncbi.nlm.nih.gov/protein/XP_058604317.1","LOW QUALITY PROTEIN: ryanodine receptor 3")</f>
        <v>LOW QUALITY PROTEIN: ryanodine receptor 3</v>
      </c>
      <c r="J3142">
        <v>9329.9</v>
      </c>
      <c r="K3142" t="s">
        <v>22</v>
      </c>
      <c r="L3142">
        <v>76</v>
      </c>
      <c r="M3142">
        <v>12.58</v>
      </c>
      <c r="N3142">
        <v>91.82</v>
      </c>
      <c r="O3142" t="s">
        <v>19</v>
      </c>
      <c r="P3142" t="s">
        <v>1320</v>
      </c>
      <c r="Q3142" t="s">
        <v>19</v>
      </c>
      <c r="R3142" t="str">
        <f>HYPERLINK("https://cfpub.epa.gov/ecotox/explore.cfm?ncbi=369639","Explore in ECOTOX")</f>
        <v>Explore in ECOTOX</v>
      </c>
    </row>
    <row r="3143" spans="1:18" x14ac:dyDescent="0.45">
      <c r="A3143" t="s">
        <v>1265</v>
      </c>
      <c r="B3143">
        <v>8</v>
      </c>
      <c r="C3143" t="str">
        <f>HYPERLINK("http://www.ncbi.nlm.nih.gov/protein/XP_043088311.1","XP_043088311.1")</f>
        <v>XP_043088311.1</v>
      </c>
      <c r="D3143">
        <v>48795</v>
      </c>
      <c r="E3143" t="str">
        <f>HYPERLINK("http://www.ncbi.nlm.nih.gov/Taxonomy/Browser/wwwtax.cgi?mode=Info&amp;id=1606681&amp;lvl=3&amp;lin=f&amp;keep=1&amp;srchmode=1&amp;unlock","1606681")</f>
        <v>1606681</v>
      </c>
      <c r="F3143" t="s">
        <v>17</v>
      </c>
      <c r="G3143" t="str">
        <f>HYPERLINK("http://www.ncbi.nlm.nih.gov/Taxonomy/Browser/wwwtax.cgi?mode=Info&amp;id=1606681&amp;lvl=3&amp;lin=f&amp;keep=1&amp;srchmode=1&amp;unlock","Puntigrus tetrazona")</f>
        <v>Puntigrus tetrazona</v>
      </c>
      <c r="H3143" t="s">
        <v>27</v>
      </c>
      <c r="I3143" t="str">
        <f>HYPERLINK("http://www.ncbi.nlm.nih.gov/protein/XP_043088311.1","ryanodine receptor 3 isoform X10")</f>
        <v>ryanodine receptor 3 isoform X10</v>
      </c>
      <c r="J3143">
        <v>9315.27</v>
      </c>
      <c r="K3143" t="s">
        <v>19</v>
      </c>
      <c r="L3143">
        <v>76</v>
      </c>
      <c r="M3143">
        <v>12.58</v>
      </c>
      <c r="N3143">
        <v>91.68</v>
      </c>
      <c r="O3143" t="s">
        <v>19</v>
      </c>
      <c r="P3143" t="s">
        <v>1320</v>
      </c>
      <c r="Q3143" t="s">
        <v>19</v>
      </c>
      <c r="R3143" t="str">
        <f>HYPERLINK("https://cfpub.epa.gov/ecotox/explore.cfm?ncbi=1606681","Explore in ECOTOX")</f>
        <v>Explore in ECOTOX</v>
      </c>
    </row>
    <row r="3144" spans="1:18" x14ac:dyDescent="0.45">
      <c r="A3144" t="s">
        <v>1265</v>
      </c>
      <c r="B3144">
        <v>8</v>
      </c>
      <c r="C3144" t="str">
        <f>HYPERLINK("http://www.ncbi.nlm.nih.gov/protein/XP_052385870.1","XP_052385870.1")</f>
        <v>XP_052385870.1</v>
      </c>
      <c r="D3144">
        <v>91592</v>
      </c>
      <c r="E3144" t="str">
        <f>HYPERLINK("http://www.ncbi.nlm.nih.gov/Taxonomy/Browser/wwwtax.cgi?mode=Info&amp;id=101364&amp;lvl=3&amp;lin=f&amp;keep=1&amp;srchmode=1&amp;unlock","101364")</f>
        <v>101364</v>
      </c>
      <c r="F3144" t="s">
        <v>17</v>
      </c>
      <c r="G3144" t="str">
        <f>HYPERLINK("http://www.ncbi.nlm.nih.gov/Taxonomy/Browser/wwwtax.cgi?mode=Info&amp;id=101364&amp;lvl=3&amp;lin=f&amp;keep=1&amp;srchmode=1&amp;unlock","Carassius gibelio")</f>
        <v>Carassius gibelio</v>
      </c>
      <c r="H3144" t="s">
        <v>28</v>
      </c>
      <c r="I3144" t="str">
        <f>HYPERLINK("http://www.ncbi.nlm.nih.gov/protein/XP_052385870.1","ryanodine receptor 3 isoform X1")</f>
        <v>ryanodine receptor 3 isoform X1</v>
      </c>
      <c r="J3144">
        <v>9284.07</v>
      </c>
      <c r="K3144" t="s">
        <v>22</v>
      </c>
      <c r="L3144">
        <v>76</v>
      </c>
      <c r="M3144">
        <v>12.58</v>
      </c>
      <c r="N3144">
        <v>91.37</v>
      </c>
      <c r="O3144" t="s">
        <v>19</v>
      </c>
      <c r="P3144" t="s">
        <v>1320</v>
      </c>
      <c r="Q3144" t="s">
        <v>19</v>
      </c>
      <c r="R3144" t="str">
        <f>HYPERLINK("https://cfpub.epa.gov/ecotox/explore.cfm?ncbi=101364","Explore in ECOTOX")</f>
        <v>Explore in ECOTOX</v>
      </c>
    </row>
    <row r="3145" spans="1:18" x14ac:dyDescent="0.45">
      <c r="A3145" t="s">
        <v>1265</v>
      </c>
      <c r="B3145">
        <v>8</v>
      </c>
      <c r="C3145" t="str">
        <f>HYPERLINK("http://www.ncbi.nlm.nih.gov/protein/XP_059411480.1","XP_059411480.1")</f>
        <v>XP_059411480.1</v>
      </c>
      <c r="D3145">
        <v>74399</v>
      </c>
      <c r="E3145" t="str">
        <f>HYPERLINK("http://www.ncbi.nlm.nih.gov/Taxonomy/Browser/wwwtax.cgi?mode=Info&amp;id=217509&amp;lvl=3&amp;lin=f&amp;keep=1&amp;srchmode=1&amp;unlock","217509")</f>
        <v>217509</v>
      </c>
      <c r="F3145" t="s">
        <v>17</v>
      </c>
      <c r="G3145" t="str">
        <f>HYPERLINK("http://www.ncbi.nlm.nih.gov/Taxonomy/Browser/wwwtax.cgi?mode=Info&amp;id=217509&amp;lvl=3&amp;lin=f&amp;keep=1&amp;srchmode=1&amp;unlock","Carassius carassius")</f>
        <v>Carassius carassius</v>
      </c>
      <c r="H3145" t="s">
        <v>25</v>
      </c>
      <c r="I3145" t="str">
        <f>HYPERLINK("http://www.ncbi.nlm.nih.gov/protein/XP_059411480.1","ryanodine receptor 3 isoform X6")</f>
        <v>ryanodine receptor 3 isoform X6</v>
      </c>
      <c r="J3145">
        <v>9283.68</v>
      </c>
      <c r="K3145" t="s">
        <v>19</v>
      </c>
      <c r="L3145">
        <v>76</v>
      </c>
      <c r="M3145">
        <v>12.58</v>
      </c>
      <c r="N3145">
        <v>91.37</v>
      </c>
      <c r="O3145" t="s">
        <v>19</v>
      </c>
      <c r="P3145" t="s">
        <v>1320</v>
      </c>
      <c r="Q3145" t="s">
        <v>19</v>
      </c>
      <c r="R3145" t="str">
        <f>HYPERLINK("https://cfpub.epa.gov/ecotox/explore.cfm?ncbi=217509","Explore in ECOTOX")</f>
        <v>Explore in ECOTOX</v>
      </c>
    </row>
    <row r="3146" spans="1:18" x14ac:dyDescent="0.45">
      <c r="A3146" t="s">
        <v>1265</v>
      </c>
      <c r="B3146">
        <v>8</v>
      </c>
      <c r="C3146" t="str">
        <f>HYPERLINK("http://www.ncbi.nlm.nih.gov/protein/XP_016329558.1","XP_016329558.1")</f>
        <v>XP_016329558.1</v>
      </c>
      <c r="D3146">
        <v>68489</v>
      </c>
      <c r="E3146" t="str">
        <f>HYPERLINK("http://www.ncbi.nlm.nih.gov/Taxonomy/Browser/wwwtax.cgi?mode=Info&amp;id=1608454&amp;lvl=3&amp;lin=f&amp;keep=1&amp;srchmode=1&amp;unlock","1608454")</f>
        <v>1608454</v>
      </c>
      <c r="F3146" t="s">
        <v>17</v>
      </c>
      <c r="G3146" t="str">
        <f>HYPERLINK("http://www.ncbi.nlm.nih.gov/Taxonomy/Browser/wwwtax.cgi?mode=Info&amp;id=1608454&amp;lvl=3&amp;lin=f&amp;keep=1&amp;srchmode=1&amp;unlock","Sinocyclocheilus anshuiensis")</f>
        <v>Sinocyclocheilus anshuiensis</v>
      </c>
      <c r="H3146" t="s">
        <v>21</v>
      </c>
      <c r="I3146" t="str">
        <f>HYPERLINK("http://www.ncbi.nlm.nih.gov/protein/XP_016329558.1","PREDICTED: ryanodine receptor 3-like")</f>
        <v>PREDICTED: ryanodine receptor 3-like</v>
      </c>
      <c r="J3146">
        <v>9279.83</v>
      </c>
      <c r="K3146" t="s">
        <v>22</v>
      </c>
      <c r="L3146">
        <v>76</v>
      </c>
      <c r="M3146">
        <v>12.58</v>
      </c>
      <c r="N3146">
        <v>91.33</v>
      </c>
      <c r="O3146" t="s">
        <v>19</v>
      </c>
      <c r="P3146" t="s">
        <v>1320</v>
      </c>
      <c r="Q3146" t="s">
        <v>19</v>
      </c>
      <c r="R3146" t="str">
        <f>HYPERLINK("https://cfpub.epa.gov/ecotox/explore.cfm?ncbi=1608454","Explore in ECOTOX")</f>
        <v>Explore in ECOTOX</v>
      </c>
    </row>
    <row r="3147" spans="1:18" x14ac:dyDescent="0.45">
      <c r="A3147" t="s">
        <v>1265</v>
      </c>
      <c r="B3147">
        <v>8</v>
      </c>
      <c r="C3147" t="str">
        <f>HYPERLINK("http://www.ncbi.nlm.nih.gov/protein/XP_052001465.1","XP_052001465.1")</f>
        <v>XP_052001465.1</v>
      </c>
      <c r="D3147">
        <v>66368</v>
      </c>
      <c r="E3147" t="str">
        <f>HYPERLINK("http://www.ncbi.nlm.nih.gov/Taxonomy/Browser/wwwtax.cgi?mode=Info&amp;id=154827&amp;lvl=3&amp;lin=f&amp;keep=1&amp;srchmode=1&amp;unlock","154827")</f>
        <v>154827</v>
      </c>
      <c r="F3147" t="s">
        <v>17</v>
      </c>
      <c r="G3147" t="str">
        <f>HYPERLINK("http://www.ncbi.nlm.nih.gov/Taxonomy/Browser/wwwtax.cgi?mode=Info&amp;id=154827&amp;lvl=3&amp;lin=f&amp;keep=1&amp;srchmode=1&amp;unlock","Xyrauchen texanus")</f>
        <v>Xyrauchen texanus</v>
      </c>
      <c r="H3147" t="s">
        <v>34</v>
      </c>
      <c r="I3147" t="str">
        <f>HYPERLINK("http://www.ncbi.nlm.nih.gov/protein/XP_052001465.1","LOW QUALITY PROTEIN: ryanodine receptor 3")</f>
        <v>LOW QUALITY PROTEIN: ryanodine receptor 3</v>
      </c>
      <c r="J3147">
        <v>9231.2900000000009</v>
      </c>
      <c r="K3147" t="s">
        <v>22</v>
      </c>
      <c r="L3147">
        <v>76</v>
      </c>
      <c r="M3147">
        <v>12.58</v>
      </c>
      <c r="N3147">
        <v>90.85</v>
      </c>
      <c r="O3147" t="s">
        <v>19</v>
      </c>
      <c r="P3147" t="s">
        <v>1320</v>
      </c>
      <c r="Q3147" t="s">
        <v>19</v>
      </c>
      <c r="R3147" t="str">
        <f>HYPERLINK("https://cfpub.epa.gov/ecotox/explore.cfm?ncbi=154827","Explore in ECOTOX")</f>
        <v>Explore in ECOTOX</v>
      </c>
    </row>
    <row r="3148" spans="1:18" x14ac:dyDescent="0.45">
      <c r="A3148" t="s">
        <v>1265</v>
      </c>
      <c r="B3148">
        <v>8</v>
      </c>
      <c r="C3148" t="str">
        <f>HYPERLINK("http://www.ncbi.nlm.nih.gov/protein/XP_026100727.1","XP_026100727.1")</f>
        <v>XP_026100727.1</v>
      </c>
      <c r="D3148">
        <v>99050</v>
      </c>
      <c r="E3148" t="str">
        <f>HYPERLINK("http://www.ncbi.nlm.nih.gov/Taxonomy/Browser/wwwtax.cgi?mode=Info&amp;id=7957&amp;lvl=3&amp;lin=f&amp;keep=1&amp;srchmode=1&amp;unlock","7957")</f>
        <v>7957</v>
      </c>
      <c r="F3148" t="s">
        <v>17</v>
      </c>
      <c r="G3148" t="str">
        <f>HYPERLINK("http://www.ncbi.nlm.nih.gov/Taxonomy/Browser/wwwtax.cgi?mode=Info&amp;id=7957&amp;lvl=3&amp;lin=f&amp;keep=1&amp;srchmode=1&amp;unlock","Carassius auratus")</f>
        <v>Carassius auratus</v>
      </c>
      <c r="H3148" t="s">
        <v>29</v>
      </c>
      <c r="I3148" t="str">
        <f>HYPERLINK("http://www.ncbi.nlm.nih.gov/protein/XP_026100727.1","ryanodine receptor 3-like")</f>
        <v>ryanodine receptor 3-like</v>
      </c>
      <c r="J3148">
        <v>9222.82</v>
      </c>
      <c r="K3148" t="s">
        <v>22</v>
      </c>
      <c r="L3148">
        <v>76</v>
      </c>
      <c r="M3148">
        <v>12.58</v>
      </c>
      <c r="N3148">
        <v>90.77</v>
      </c>
      <c r="O3148" t="s">
        <v>19</v>
      </c>
      <c r="P3148" t="s">
        <v>1320</v>
      </c>
      <c r="Q3148" t="s">
        <v>19</v>
      </c>
      <c r="R3148" t="str">
        <f>HYPERLINK("https://cfpub.epa.gov/ecotox/explore.cfm?ncbi=7957","Explore in ECOTOX")</f>
        <v>Explore in ECOTOX</v>
      </c>
    </row>
    <row r="3149" spans="1:18" x14ac:dyDescent="0.45">
      <c r="A3149" t="s">
        <v>1265</v>
      </c>
      <c r="B3149">
        <v>8</v>
      </c>
      <c r="C3149" t="str">
        <f>HYPERLINK("http://www.ncbi.nlm.nih.gov/protein/XP_055028691.1","XP_055028691.1")</f>
        <v>XP_055028691.1</v>
      </c>
      <c r="D3149">
        <v>54879</v>
      </c>
      <c r="E3149" t="str">
        <f>HYPERLINK("http://www.ncbi.nlm.nih.gov/Taxonomy/Browser/wwwtax.cgi?mode=Info&amp;id=75329&amp;lvl=3&amp;lin=f&amp;keep=1&amp;srchmode=1&amp;unlock","75329")</f>
        <v>75329</v>
      </c>
      <c r="F3149" t="s">
        <v>17</v>
      </c>
      <c r="G3149" t="str">
        <f>HYPERLINK("http://www.ncbi.nlm.nih.gov/Taxonomy/Browser/wwwtax.cgi?mode=Info&amp;id=75329&amp;lvl=3&amp;lin=f&amp;keep=1&amp;srchmode=1&amp;unlock","Misgurnus anguillicaudatus")</f>
        <v>Misgurnus anguillicaudatus</v>
      </c>
      <c r="H3149" t="s">
        <v>36</v>
      </c>
      <c r="I3149" t="str">
        <f>HYPERLINK("http://www.ncbi.nlm.nih.gov/protein/XP_055028691.1","ryanodine receptor 3 isoform X15")</f>
        <v>ryanodine receptor 3 isoform X15</v>
      </c>
      <c r="J3149">
        <v>9056.7999999999993</v>
      </c>
      <c r="K3149" t="s">
        <v>19</v>
      </c>
      <c r="L3149">
        <v>76</v>
      </c>
      <c r="M3149">
        <v>12.58</v>
      </c>
      <c r="N3149">
        <v>89.13</v>
      </c>
      <c r="O3149" t="s">
        <v>19</v>
      </c>
      <c r="P3149" t="s">
        <v>1320</v>
      </c>
      <c r="Q3149" t="s">
        <v>19</v>
      </c>
      <c r="R3149" t="str">
        <f>HYPERLINK("https://cfpub.epa.gov/ecotox/explore.cfm?ncbi=75329","Explore in ECOTOX")</f>
        <v>Explore in ECOTOX</v>
      </c>
    </row>
    <row r="3150" spans="1:18" x14ac:dyDescent="0.45">
      <c r="A3150" t="s">
        <v>1265</v>
      </c>
      <c r="B3150">
        <v>8</v>
      </c>
      <c r="C3150" t="str">
        <f>HYPERLINK("http://www.ncbi.nlm.nih.gov/protein/XP_049319477.1","XP_049319477.1")</f>
        <v>XP_049319477.1</v>
      </c>
      <c r="D3150">
        <v>77276</v>
      </c>
      <c r="E3150" t="str">
        <f>HYPERLINK("http://www.ncbi.nlm.nih.gov/Taxonomy/Browser/wwwtax.cgi?mode=Info&amp;id=7994&amp;lvl=3&amp;lin=f&amp;keep=1&amp;srchmode=1&amp;unlock","7994")</f>
        <v>7994</v>
      </c>
      <c r="F3150" t="s">
        <v>17</v>
      </c>
      <c r="G3150" t="str">
        <f>HYPERLINK("http://www.ncbi.nlm.nih.gov/Taxonomy/Browser/wwwtax.cgi?mode=Info&amp;id=7994&amp;lvl=3&amp;lin=f&amp;keep=1&amp;srchmode=1&amp;unlock","Astyanax mexicanus")</f>
        <v>Astyanax mexicanus</v>
      </c>
      <c r="H3150" t="s">
        <v>37</v>
      </c>
      <c r="I3150" t="str">
        <f>HYPERLINK("http://www.ncbi.nlm.nih.gov/protein/XP_049319477.1","ryanodine receptor 3-like isoform X4")</f>
        <v>ryanodine receptor 3-like isoform X4</v>
      </c>
      <c r="J3150">
        <v>9036</v>
      </c>
      <c r="K3150" t="s">
        <v>22</v>
      </c>
      <c r="L3150">
        <v>76</v>
      </c>
      <c r="M3150">
        <v>12.58</v>
      </c>
      <c r="N3150">
        <v>88.93</v>
      </c>
      <c r="O3150" t="s">
        <v>19</v>
      </c>
      <c r="P3150" t="s">
        <v>1320</v>
      </c>
      <c r="Q3150" t="s">
        <v>19</v>
      </c>
      <c r="R3150" t="str">
        <f>HYPERLINK("https://cfpub.epa.gov/ecotox/explore.cfm?ncbi=7994","Explore in ECOTOX")</f>
        <v>Explore in ECOTOX</v>
      </c>
    </row>
    <row r="3151" spans="1:18" x14ac:dyDescent="0.45">
      <c r="A3151" t="s">
        <v>1265</v>
      </c>
      <c r="B3151">
        <v>8</v>
      </c>
      <c r="C3151" t="str">
        <f>HYPERLINK("http://www.ncbi.nlm.nih.gov/protein/XP_036448593.1","XP_036448593.1")</f>
        <v>XP_036448593.1</v>
      </c>
      <c r="D3151">
        <v>43804</v>
      </c>
      <c r="E3151" t="str">
        <f>HYPERLINK("http://www.ncbi.nlm.nih.gov/Taxonomy/Browser/wwwtax.cgi?mode=Info&amp;id=42526&amp;lvl=3&amp;lin=f&amp;keep=1&amp;srchmode=1&amp;unlock","42526")</f>
        <v>42526</v>
      </c>
      <c r="F3151" t="s">
        <v>17</v>
      </c>
      <c r="G3151" t="str">
        <f>HYPERLINK("http://www.ncbi.nlm.nih.gov/Taxonomy/Browser/wwwtax.cgi?mode=Info&amp;id=42526&amp;lvl=3&amp;lin=f&amp;keep=1&amp;srchmode=1&amp;unlock","Colossoma macropomum")</f>
        <v>Colossoma macropomum</v>
      </c>
      <c r="H3151" t="s">
        <v>38</v>
      </c>
      <c r="I3151" t="str">
        <f>HYPERLINK("http://www.ncbi.nlm.nih.gov/protein/XP_036448593.1","ryanodine receptor 3")</f>
        <v>ryanodine receptor 3</v>
      </c>
      <c r="J3151">
        <v>9034.07</v>
      </c>
      <c r="K3151" t="s">
        <v>22</v>
      </c>
      <c r="L3151">
        <v>76</v>
      </c>
      <c r="M3151">
        <v>12.58</v>
      </c>
      <c r="N3151">
        <v>88.91</v>
      </c>
      <c r="O3151" t="s">
        <v>19</v>
      </c>
      <c r="P3151" t="s">
        <v>1320</v>
      </c>
      <c r="Q3151" t="s">
        <v>19</v>
      </c>
      <c r="R3151" t="str">
        <f>HYPERLINK("https://cfpub.epa.gov/ecotox/explore.cfm?ncbi=42526","Explore in ECOTOX")</f>
        <v>Explore in ECOTOX</v>
      </c>
    </row>
    <row r="3152" spans="1:18" x14ac:dyDescent="0.45">
      <c r="A3152" t="s">
        <v>1265</v>
      </c>
      <c r="B3152">
        <v>8</v>
      </c>
      <c r="C3152" t="str">
        <f>HYPERLINK("http://www.ncbi.nlm.nih.gov/protein/XP_056624493.1","XP_056624493.1")</f>
        <v>XP_056624493.1</v>
      </c>
      <c r="D3152">
        <v>44187</v>
      </c>
      <c r="E3152" t="str">
        <f>HYPERLINK("http://www.ncbi.nlm.nih.gov/Taxonomy/Browser/wwwtax.cgi?mode=Info&amp;id=1582913&amp;lvl=3&amp;lin=f&amp;keep=1&amp;srchmode=1&amp;unlock","1582913")</f>
        <v>1582913</v>
      </c>
      <c r="F3152" t="s">
        <v>17</v>
      </c>
      <c r="G3152" t="str">
        <f>HYPERLINK("http://www.ncbi.nlm.nih.gov/Taxonomy/Browser/wwwtax.cgi?mode=Info&amp;id=1582913&amp;lvl=3&amp;lin=f&amp;keep=1&amp;srchmode=1&amp;unlock","Triplophysa dalaica")</f>
        <v>Triplophysa dalaica</v>
      </c>
      <c r="H3152" t="s">
        <v>33</v>
      </c>
      <c r="I3152" t="str">
        <f>HYPERLINK("http://www.ncbi.nlm.nih.gov/protein/XP_056624493.1","ryanodine receptor 3 isoform X2")</f>
        <v>ryanodine receptor 3 isoform X2</v>
      </c>
      <c r="J3152">
        <v>9028.2900000000009</v>
      </c>
      <c r="K3152" t="s">
        <v>22</v>
      </c>
      <c r="L3152">
        <v>76</v>
      </c>
      <c r="M3152">
        <v>12.58</v>
      </c>
      <c r="N3152">
        <v>88.85</v>
      </c>
      <c r="O3152" t="s">
        <v>19</v>
      </c>
      <c r="P3152" t="s">
        <v>1320</v>
      </c>
      <c r="Q3152" t="s">
        <v>19</v>
      </c>
      <c r="R3152" t="str">
        <f>HYPERLINK("https://cfpub.epa.gov/ecotox/explore.cfm?ncbi=1582913","Explore in ECOTOX")</f>
        <v>Explore in ECOTOX</v>
      </c>
    </row>
    <row r="3153" spans="1:18" x14ac:dyDescent="0.45">
      <c r="A3153" t="s">
        <v>1265</v>
      </c>
      <c r="B3153">
        <v>8</v>
      </c>
      <c r="C3153" t="str">
        <f>HYPERLINK("http://www.ncbi.nlm.nih.gov/protein/XP_037397583.1","XP_037397583.1")</f>
        <v>XP_037397583.1</v>
      </c>
      <c r="D3153">
        <v>50772</v>
      </c>
      <c r="E3153" t="str">
        <f>HYPERLINK("http://www.ncbi.nlm.nih.gov/Taxonomy/Browser/wwwtax.cgi?mode=Info&amp;id=42514&amp;lvl=3&amp;lin=f&amp;keep=1&amp;srchmode=1&amp;unlock","42514")</f>
        <v>42514</v>
      </c>
      <c r="F3153" t="s">
        <v>17</v>
      </c>
      <c r="G3153" t="str">
        <f>HYPERLINK("http://www.ncbi.nlm.nih.gov/Taxonomy/Browser/wwwtax.cgi?mode=Info&amp;id=42514&amp;lvl=3&amp;lin=f&amp;keep=1&amp;srchmode=1&amp;unlock","Pygocentrus nattereri")</f>
        <v>Pygocentrus nattereri</v>
      </c>
      <c r="H3153" t="s">
        <v>39</v>
      </c>
      <c r="I3153" t="str">
        <f>HYPERLINK("http://www.ncbi.nlm.nih.gov/protein/XP_037397583.1","ryanodine receptor 3-like isoform X1")</f>
        <v>ryanodine receptor 3-like isoform X1</v>
      </c>
      <c r="J3153">
        <v>9018.2800000000007</v>
      </c>
      <c r="K3153" t="s">
        <v>22</v>
      </c>
      <c r="L3153">
        <v>76</v>
      </c>
      <c r="M3153">
        <v>12.58</v>
      </c>
      <c r="N3153">
        <v>88.76</v>
      </c>
      <c r="O3153" t="s">
        <v>19</v>
      </c>
      <c r="P3153" t="s">
        <v>1320</v>
      </c>
      <c r="Q3153" t="s">
        <v>19</v>
      </c>
      <c r="R3153" t="str">
        <f>HYPERLINK("https://cfpub.epa.gov/ecotox/explore.cfm?ncbi=42514","Explore in ECOTOX")</f>
        <v>Explore in ECOTOX</v>
      </c>
    </row>
    <row r="3154" spans="1:18" x14ac:dyDescent="0.45">
      <c r="A3154" t="s">
        <v>1265</v>
      </c>
      <c r="B3154">
        <v>8</v>
      </c>
      <c r="C3154" t="str">
        <f>HYPERLINK("http://www.ncbi.nlm.nih.gov/protein/XP_053093316.1","XP_053093316.1")</f>
        <v>XP_053093316.1</v>
      </c>
      <c r="D3154">
        <v>68828</v>
      </c>
      <c r="E3154" t="str">
        <f>HYPERLINK("http://www.ncbi.nlm.nih.gov/Taxonomy/Browser/wwwtax.cgi?mode=Info&amp;id=310915&amp;lvl=3&amp;lin=f&amp;keep=1&amp;srchmode=1&amp;unlock","310915")</f>
        <v>310915</v>
      </c>
      <c r="F3154" t="s">
        <v>17</v>
      </c>
      <c r="G3154" t="str">
        <f>HYPERLINK("http://www.ncbi.nlm.nih.gov/Taxonomy/Browser/wwwtax.cgi?mode=Info&amp;id=310915&amp;lvl=3&amp;lin=f&amp;keep=1&amp;srchmode=1&amp;unlock","Pangasianodon hypophthalmus")</f>
        <v>Pangasianodon hypophthalmus</v>
      </c>
      <c r="H3154" t="s">
        <v>344</v>
      </c>
      <c r="I3154" t="str">
        <f>HYPERLINK("http://www.ncbi.nlm.nih.gov/protein/XP_053093316.1","ryanodine receptor 3 isoform X9")</f>
        <v>ryanodine receptor 3 isoform X9</v>
      </c>
      <c r="J3154">
        <v>9002.1</v>
      </c>
      <c r="K3154" t="s">
        <v>19</v>
      </c>
      <c r="L3154">
        <v>76</v>
      </c>
      <c r="M3154">
        <v>12.58</v>
      </c>
      <c r="N3154">
        <v>88.6</v>
      </c>
      <c r="O3154" t="s">
        <v>19</v>
      </c>
      <c r="P3154" t="s">
        <v>1320</v>
      </c>
      <c r="Q3154" t="s">
        <v>19</v>
      </c>
      <c r="R3154" t="str">
        <f>HYPERLINK("https://cfpub.epa.gov/ecotox/explore.cfm?ncbi=310915","Explore in ECOTOX")</f>
        <v>Explore in ECOTOX</v>
      </c>
    </row>
    <row r="3155" spans="1:18" x14ac:dyDescent="0.45">
      <c r="A3155" t="s">
        <v>1265</v>
      </c>
      <c r="B3155">
        <v>8</v>
      </c>
      <c r="C3155" t="str">
        <f>HYPERLINK("http://www.ncbi.nlm.nih.gov/protein/XP_060788785.1","XP_060788785.1")</f>
        <v>XP_060788785.1</v>
      </c>
      <c r="D3155">
        <v>46654</v>
      </c>
      <c r="E3155" t="str">
        <f>HYPERLINK("http://www.ncbi.nlm.nih.gov/Taxonomy/Browser/wwwtax.cgi?mode=Info&amp;id=443677&amp;lvl=3&amp;lin=f&amp;keep=1&amp;srchmode=1&amp;unlock","443677")</f>
        <v>443677</v>
      </c>
      <c r="F3155" t="s">
        <v>17</v>
      </c>
      <c r="G3155" t="str">
        <f>HYPERLINK("http://www.ncbi.nlm.nih.gov/Taxonomy/Browser/wwwtax.cgi?mode=Info&amp;id=443677&amp;lvl=3&amp;lin=f&amp;keep=1&amp;srchmode=1&amp;unlock","Neoarius graeffei")</f>
        <v>Neoarius graeffei</v>
      </c>
      <c r="H3155" t="s">
        <v>41</v>
      </c>
      <c r="I3155" t="str">
        <f>HYPERLINK("http://www.ncbi.nlm.nih.gov/protein/XP_060788785.1","ryanodine receptor 3")</f>
        <v>ryanodine receptor 3</v>
      </c>
      <c r="J3155">
        <v>8962.81</v>
      </c>
      <c r="K3155" t="s">
        <v>22</v>
      </c>
      <c r="L3155">
        <v>76</v>
      </c>
      <c r="M3155">
        <v>12.58</v>
      </c>
      <c r="N3155">
        <v>88.21</v>
      </c>
      <c r="O3155" t="s">
        <v>19</v>
      </c>
      <c r="P3155" t="s">
        <v>1320</v>
      </c>
      <c r="Q3155" t="s">
        <v>19</v>
      </c>
      <c r="R3155" t="str">
        <f>HYPERLINK("https://cfpub.epa.gov/ecotox/explore.cfm?ncbi=443677","Explore in ECOTOX")</f>
        <v>Explore in ECOTOX</v>
      </c>
    </row>
    <row r="3156" spans="1:18" x14ac:dyDescent="0.45">
      <c r="A3156" t="s">
        <v>1265</v>
      </c>
      <c r="B3156">
        <v>8</v>
      </c>
      <c r="C3156" t="str">
        <f>HYPERLINK("http://www.ncbi.nlm.nih.gov/protein/XP_058255379.1","XP_058255379.1")</f>
        <v>XP_058255379.1</v>
      </c>
      <c r="D3156">
        <v>69182</v>
      </c>
      <c r="E3156" t="str">
        <f>HYPERLINK("http://www.ncbi.nlm.nih.gov/Taxonomy/Browser/wwwtax.cgi?mode=Info&amp;id=337641&amp;lvl=3&amp;lin=f&amp;keep=1&amp;srchmode=1&amp;unlock","337641")</f>
        <v>337641</v>
      </c>
      <c r="F3156" t="s">
        <v>17</v>
      </c>
      <c r="G3156" t="str">
        <f>HYPERLINK("http://www.ncbi.nlm.nih.gov/Taxonomy/Browser/wwwtax.cgi?mode=Info&amp;id=337641&amp;lvl=3&amp;lin=f&amp;keep=1&amp;srchmode=1&amp;unlock","Hemibagrus wyckioides")</f>
        <v>Hemibagrus wyckioides</v>
      </c>
      <c r="H3156" t="s">
        <v>45</v>
      </c>
      <c r="I3156" t="str">
        <f>HYPERLINK("http://www.ncbi.nlm.nih.gov/protein/XP_058255379.1","ryanodine receptor 3 isoform X4")</f>
        <v>ryanodine receptor 3 isoform X4</v>
      </c>
      <c r="J3156">
        <v>8945.86</v>
      </c>
      <c r="K3156" t="s">
        <v>19</v>
      </c>
      <c r="L3156">
        <v>76</v>
      </c>
      <c r="M3156">
        <v>12.58</v>
      </c>
      <c r="N3156">
        <v>88.04</v>
      </c>
      <c r="O3156" t="s">
        <v>19</v>
      </c>
      <c r="P3156" t="s">
        <v>1320</v>
      </c>
      <c r="Q3156" t="s">
        <v>19</v>
      </c>
      <c r="R3156" t="str">
        <f>HYPERLINK("https://cfpub.epa.gov/ecotox/explore.cfm?ncbi=337641","Explore in ECOTOX")</f>
        <v>Explore in ECOTOX</v>
      </c>
    </row>
    <row r="3157" spans="1:18" x14ac:dyDescent="0.45">
      <c r="A3157" t="s">
        <v>1265</v>
      </c>
      <c r="B3157">
        <v>8</v>
      </c>
      <c r="C3157" t="str">
        <f>HYPERLINK("http://www.ncbi.nlm.nih.gov/protein/XP_030634419.1","XP_030634419.1")</f>
        <v>XP_030634419.1</v>
      </c>
      <c r="D3157">
        <v>30218</v>
      </c>
      <c r="E3157" t="str">
        <f>HYPERLINK("http://www.ncbi.nlm.nih.gov/Taxonomy/Browser/wwwtax.cgi?mode=Info&amp;id=29144&amp;lvl=3&amp;lin=f&amp;keep=1&amp;srchmode=1&amp;unlock","29144")</f>
        <v>29144</v>
      </c>
      <c r="F3157" t="s">
        <v>17</v>
      </c>
      <c r="G3157" t="str">
        <f>HYPERLINK("http://www.ncbi.nlm.nih.gov/Taxonomy/Browser/wwwtax.cgi?mode=Info&amp;id=29144&amp;lvl=3&amp;lin=f&amp;keep=1&amp;srchmode=1&amp;unlock","Chanos chanos")</f>
        <v>Chanos chanos</v>
      </c>
      <c r="H3157" t="s">
        <v>231</v>
      </c>
      <c r="I3157" t="str">
        <f>HYPERLINK("http://www.ncbi.nlm.nih.gov/protein/XP_030634419.1","ryanodine receptor 3-like")</f>
        <v>ryanodine receptor 3-like</v>
      </c>
      <c r="J3157">
        <v>8936.6200000000008</v>
      </c>
      <c r="K3157" t="s">
        <v>19</v>
      </c>
      <c r="L3157">
        <v>76</v>
      </c>
      <c r="M3157">
        <v>12.58</v>
      </c>
      <c r="N3157">
        <v>87.95</v>
      </c>
      <c r="O3157" t="s">
        <v>19</v>
      </c>
      <c r="P3157" t="s">
        <v>1320</v>
      </c>
      <c r="Q3157" t="s">
        <v>19</v>
      </c>
      <c r="R3157" t="str">
        <f>HYPERLINK("https://cfpub.epa.gov/ecotox/explore.cfm?ncbi=29144","Explore in ECOTOX")</f>
        <v>Explore in ECOTOX</v>
      </c>
    </row>
    <row r="3158" spans="1:18" x14ac:dyDescent="0.45">
      <c r="A3158" t="s">
        <v>1265</v>
      </c>
      <c r="B3158">
        <v>8</v>
      </c>
      <c r="C3158" t="str">
        <f>HYPERLINK("http://www.ncbi.nlm.nih.gov/protein/XP_053489427.1","XP_053489427.1")</f>
        <v>XP_053489427.1</v>
      </c>
      <c r="D3158">
        <v>45079</v>
      </c>
      <c r="E3158" t="str">
        <f>HYPERLINK("http://www.ncbi.nlm.nih.gov/Taxonomy/Browser/wwwtax.cgi?mode=Info&amp;id=66913&amp;lvl=3&amp;lin=f&amp;keep=1&amp;srchmode=1&amp;unlock","66913")</f>
        <v>66913</v>
      </c>
      <c r="F3158" t="s">
        <v>17</v>
      </c>
      <c r="G3158" t="str">
        <f>HYPERLINK("http://www.ncbi.nlm.nih.gov/Taxonomy/Browser/wwwtax.cgi?mode=Info&amp;id=66913&amp;lvl=3&amp;lin=f&amp;keep=1&amp;srchmode=1&amp;unlock","Ictalurus furcatus")</f>
        <v>Ictalurus furcatus</v>
      </c>
      <c r="H3158" t="s">
        <v>42</v>
      </c>
      <c r="I3158" t="str">
        <f>HYPERLINK("http://www.ncbi.nlm.nih.gov/protein/XP_053489427.1","ryanodine receptor 3")</f>
        <v>ryanodine receptor 3</v>
      </c>
      <c r="J3158">
        <v>8921.2099999999991</v>
      </c>
      <c r="K3158" t="s">
        <v>22</v>
      </c>
      <c r="L3158">
        <v>76</v>
      </c>
      <c r="M3158">
        <v>12.58</v>
      </c>
      <c r="N3158">
        <v>87.8</v>
      </c>
      <c r="O3158" t="s">
        <v>19</v>
      </c>
      <c r="P3158" t="s">
        <v>1320</v>
      </c>
      <c r="Q3158" t="s">
        <v>19</v>
      </c>
      <c r="R3158" t="str">
        <f>HYPERLINK("https://cfpub.epa.gov/ecotox/explore.cfm?ncbi=66913","Explore in ECOTOX")</f>
        <v>Explore in ECOTOX</v>
      </c>
    </row>
    <row r="3159" spans="1:18" x14ac:dyDescent="0.45">
      <c r="A3159" t="s">
        <v>1265</v>
      </c>
      <c r="B3159">
        <v>8</v>
      </c>
      <c r="C3159" t="str">
        <f>HYPERLINK("http://www.ncbi.nlm.nih.gov/protein/KAF4083867.1","KAF4083867.1")</f>
        <v>KAF4083867.1</v>
      </c>
      <c r="D3159">
        <v>24522</v>
      </c>
      <c r="E3159" t="str">
        <f>HYPERLINK("http://www.ncbi.nlm.nih.gov/Taxonomy/Browser/wwwtax.cgi?mode=Info&amp;id=219545&amp;lvl=3&amp;lin=f&amp;keep=1&amp;srchmode=1&amp;unlock","219545")</f>
        <v>219545</v>
      </c>
      <c r="F3159" t="s">
        <v>17</v>
      </c>
      <c r="G3159" t="str">
        <f>HYPERLINK("http://www.ncbi.nlm.nih.gov/Taxonomy/Browser/wwwtax.cgi?mode=Info&amp;id=219545&amp;lvl=3&amp;lin=f&amp;keep=1&amp;srchmode=1&amp;unlock","Ameiurus melas")</f>
        <v>Ameiurus melas</v>
      </c>
      <c r="H3159" t="s">
        <v>737</v>
      </c>
      <c r="I3159" t="str">
        <f>HYPERLINK("http://www.ncbi.nlm.nih.gov/protein/KAF4083867.1","hypothetical protein AMELA_G00122270")</f>
        <v>hypothetical protein AMELA_G00122270</v>
      </c>
      <c r="J3159">
        <v>8912.35</v>
      </c>
      <c r="K3159" t="s">
        <v>22</v>
      </c>
      <c r="L3159">
        <v>76</v>
      </c>
      <c r="M3159">
        <v>12.58</v>
      </c>
      <c r="N3159">
        <v>87.71</v>
      </c>
      <c r="O3159" t="s">
        <v>19</v>
      </c>
      <c r="P3159" t="s">
        <v>1320</v>
      </c>
      <c r="Q3159" t="s">
        <v>19</v>
      </c>
      <c r="R3159" t="str">
        <f>HYPERLINK("https://cfpub.epa.gov/ecotox/explore.cfm?ncbi=219545","Explore in ECOTOX")</f>
        <v>Explore in ECOTOX</v>
      </c>
    </row>
    <row r="3160" spans="1:18" x14ac:dyDescent="0.45">
      <c r="A3160" t="s">
        <v>1265</v>
      </c>
      <c r="B3160">
        <v>8</v>
      </c>
      <c r="C3160" t="str">
        <f>HYPERLINK("http://www.ncbi.nlm.nih.gov/protein/XP_053538586.1","XP_053538586.1")</f>
        <v>XP_053538586.1</v>
      </c>
      <c r="D3160">
        <v>54807</v>
      </c>
      <c r="E3160" t="str">
        <f>HYPERLINK("http://www.ncbi.nlm.nih.gov/Taxonomy/Browser/wwwtax.cgi?mode=Info&amp;id=7998&amp;lvl=3&amp;lin=f&amp;keep=1&amp;srchmode=1&amp;unlock","7998")</f>
        <v>7998</v>
      </c>
      <c r="F3160" t="s">
        <v>17</v>
      </c>
      <c r="G3160" t="str">
        <f>HYPERLINK("http://www.ncbi.nlm.nih.gov/Taxonomy/Browser/wwwtax.cgi?mode=Info&amp;id=7998&amp;lvl=3&amp;lin=f&amp;keep=1&amp;srchmode=1&amp;unlock","Ictalurus punctatus")</f>
        <v>Ictalurus punctatus</v>
      </c>
      <c r="H3160" t="s">
        <v>40</v>
      </c>
      <c r="I3160" t="str">
        <f>HYPERLINK("http://www.ncbi.nlm.nih.gov/protein/XP_053538586.1","ryanodine receptor 3")</f>
        <v>ryanodine receptor 3</v>
      </c>
      <c r="J3160">
        <v>8897.7099999999991</v>
      </c>
      <c r="K3160" t="s">
        <v>22</v>
      </c>
      <c r="L3160">
        <v>76</v>
      </c>
      <c r="M3160">
        <v>12.58</v>
      </c>
      <c r="N3160">
        <v>87.57</v>
      </c>
      <c r="O3160" t="s">
        <v>19</v>
      </c>
      <c r="P3160" t="s">
        <v>1320</v>
      </c>
      <c r="Q3160" t="s">
        <v>19</v>
      </c>
      <c r="R3160" t="str">
        <f>HYPERLINK("https://cfpub.epa.gov/ecotox/explore.cfm?ncbi=7998","Explore in ECOTOX")</f>
        <v>Explore in ECOTOX</v>
      </c>
    </row>
    <row r="3161" spans="1:18" x14ac:dyDescent="0.45">
      <c r="A3161" t="s">
        <v>1265</v>
      </c>
      <c r="B3161">
        <v>8</v>
      </c>
      <c r="C3161" t="str">
        <f>HYPERLINK("http://www.ncbi.nlm.nih.gov/protein/XP_053365801.1","XP_053365801.1")</f>
        <v>XP_053365801.1</v>
      </c>
      <c r="D3161">
        <v>41392</v>
      </c>
      <c r="E3161" t="str">
        <f>HYPERLINK("http://www.ncbi.nlm.nih.gov/Taxonomy/Browser/wwwtax.cgi?mode=Info&amp;id=13013&amp;lvl=3&amp;lin=f&amp;keep=1&amp;srchmode=1&amp;unlock","13013")</f>
        <v>13013</v>
      </c>
      <c r="F3161" t="s">
        <v>17</v>
      </c>
      <c r="G3161" t="str">
        <f>HYPERLINK("http://www.ncbi.nlm.nih.gov/Taxonomy/Browser/wwwtax.cgi?mode=Info&amp;id=13013&amp;lvl=3&amp;lin=f&amp;keep=1&amp;srchmode=1&amp;unlock","Clarias gariepinus")</f>
        <v>Clarias gariepinus</v>
      </c>
      <c r="H3161" t="s">
        <v>43</v>
      </c>
      <c r="I3161" t="str">
        <f>HYPERLINK("http://www.ncbi.nlm.nih.gov/protein/XP_053365801.1","LOW QUALITY PROTEIN: ryanodine receptor 3")</f>
        <v>LOW QUALITY PROTEIN: ryanodine receptor 3</v>
      </c>
      <c r="J3161">
        <v>8894.24</v>
      </c>
      <c r="K3161" t="s">
        <v>22</v>
      </c>
      <c r="L3161">
        <v>76</v>
      </c>
      <c r="M3161">
        <v>12.58</v>
      </c>
      <c r="N3161">
        <v>87.53</v>
      </c>
      <c r="O3161" t="s">
        <v>19</v>
      </c>
      <c r="P3161" t="s">
        <v>1320</v>
      </c>
      <c r="Q3161" t="s">
        <v>19</v>
      </c>
      <c r="R3161" t="str">
        <f>HYPERLINK("https://cfpub.epa.gov/ecotox/explore.cfm?ncbi=13013","Explore in ECOTOX")</f>
        <v>Explore in ECOTOX</v>
      </c>
    </row>
    <row r="3162" spans="1:18" x14ac:dyDescent="0.45">
      <c r="A3162" t="s">
        <v>1265</v>
      </c>
      <c r="B3162">
        <v>8</v>
      </c>
      <c r="C3162" t="str">
        <f>HYPERLINK("http://www.ncbi.nlm.nih.gov/protein/XP_028834435.1","XP_028834435.1")</f>
        <v>XP_028834435.1</v>
      </c>
      <c r="D3162">
        <v>50098</v>
      </c>
      <c r="E3162" t="str">
        <f>HYPERLINK("http://www.ncbi.nlm.nih.gov/Taxonomy/Browser/wwwtax.cgi?mode=Info&amp;id=299321&amp;lvl=3&amp;lin=f&amp;keep=1&amp;srchmode=1&amp;unlock","299321")</f>
        <v>299321</v>
      </c>
      <c r="F3162" t="s">
        <v>17</v>
      </c>
      <c r="G3162" t="str">
        <f>HYPERLINK("http://www.ncbi.nlm.nih.gov/Taxonomy/Browser/wwwtax.cgi?mode=Info&amp;id=299321&amp;lvl=3&amp;lin=f&amp;keep=1&amp;srchmode=1&amp;unlock","Denticeps clupeoides")</f>
        <v>Denticeps clupeoides</v>
      </c>
      <c r="H3162" t="s">
        <v>48</v>
      </c>
      <c r="I3162" t="str">
        <f>HYPERLINK("http://www.ncbi.nlm.nih.gov/protein/XP_028834435.1","ryanodine receptor 3-like isoform X18")</f>
        <v>ryanodine receptor 3-like isoform X18</v>
      </c>
      <c r="J3162">
        <v>8892.32</v>
      </c>
      <c r="K3162" t="s">
        <v>19</v>
      </c>
      <c r="L3162">
        <v>76</v>
      </c>
      <c r="M3162">
        <v>12.58</v>
      </c>
      <c r="N3162">
        <v>87.52</v>
      </c>
      <c r="O3162" t="s">
        <v>19</v>
      </c>
      <c r="P3162" t="s">
        <v>1320</v>
      </c>
      <c r="Q3162" t="s">
        <v>19</v>
      </c>
      <c r="R3162" t="str">
        <f>HYPERLINK("https://cfpub.epa.gov/ecotox/explore.cfm?ncbi=299321","Explore in ECOTOX")</f>
        <v>Explore in ECOTOX</v>
      </c>
    </row>
    <row r="3163" spans="1:18" x14ac:dyDescent="0.45">
      <c r="A3163" t="s">
        <v>1265</v>
      </c>
      <c r="B3163">
        <v>8</v>
      </c>
      <c r="C3163" t="str">
        <f>HYPERLINK("http://www.ncbi.nlm.nih.gov/protein/XP_047677279.1","XP_047677279.1")</f>
        <v>XP_047677279.1</v>
      </c>
      <c r="D3163">
        <v>56318</v>
      </c>
      <c r="E3163" t="str">
        <f>HYPERLINK("http://www.ncbi.nlm.nih.gov/Taxonomy/Browser/wwwtax.cgi?mode=Info&amp;id=1234273&amp;lvl=3&amp;lin=f&amp;keep=1&amp;srchmode=1&amp;unlock","1234273")</f>
        <v>1234273</v>
      </c>
      <c r="F3163" t="s">
        <v>17</v>
      </c>
      <c r="G3163" t="str">
        <f>HYPERLINK("http://www.ncbi.nlm.nih.gov/Taxonomy/Browser/wwwtax.cgi?mode=Info&amp;id=1234273&amp;lvl=3&amp;lin=f&amp;keep=1&amp;srchmode=1&amp;unlock","Tachysurus fulvidraco")</f>
        <v>Tachysurus fulvidraco</v>
      </c>
      <c r="H3163" t="s">
        <v>47</v>
      </c>
      <c r="I3163" t="str">
        <f>HYPERLINK("http://www.ncbi.nlm.nih.gov/protein/XP_047677279.1","ryanodine receptor 3 isoform X1")</f>
        <v>ryanodine receptor 3 isoform X1</v>
      </c>
      <c r="J3163">
        <v>8863.81</v>
      </c>
      <c r="K3163" t="s">
        <v>22</v>
      </c>
      <c r="L3163">
        <v>76</v>
      </c>
      <c r="M3163">
        <v>12.58</v>
      </c>
      <c r="N3163">
        <v>87.24</v>
      </c>
      <c r="O3163" t="s">
        <v>19</v>
      </c>
      <c r="P3163" t="s">
        <v>1320</v>
      </c>
      <c r="Q3163" t="s">
        <v>19</v>
      </c>
      <c r="R3163" t="str">
        <f>HYPERLINK("https://cfpub.epa.gov/ecotox/explore.cfm?ncbi=1234273","Explore in ECOTOX")</f>
        <v>Explore in ECOTOX</v>
      </c>
    </row>
    <row r="3164" spans="1:18" x14ac:dyDescent="0.45">
      <c r="A3164" t="s">
        <v>1265</v>
      </c>
      <c r="B3164">
        <v>8</v>
      </c>
      <c r="C3164" t="str">
        <f>HYPERLINK("http://www.ncbi.nlm.nih.gov/protein/XP_060736247.1","XP_060736247.1")</f>
        <v>XP_060736247.1</v>
      </c>
      <c r="D3164">
        <v>64250</v>
      </c>
      <c r="E3164" t="str">
        <f>HYPERLINK("http://www.ncbi.nlm.nih.gov/Taxonomy/Browser/wwwtax.cgi?mode=Info&amp;id=175792&amp;lvl=3&amp;lin=f&amp;keep=1&amp;srchmode=1&amp;unlock","175792")</f>
        <v>175792</v>
      </c>
      <c r="F3164" t="s">
        <v>17</v>
      </c>
      <c r="G3164" t="str">
        <f>HYPERLINK("http://www.ncbi.nlm.nih.gov/Taxonomy/Browser/wwwtax.cgi?mode=Info&amp;id=175792&amp;lvl=3&amp;lin=f&amp;keep=1&amp;srchmode=1&amp;unlock","Tachysurus vachellii")</f>
        <v>Tachysurus vachellii</v>
      </c>
      <c r="H3164" t="s">
        <v>45</v>
      </c>
      <c r="I3164" t="str">
        <f>HYPERLINK("http://www.ncbi.nlm.nih.gov/protein/XP_060736247.1","ryanodine receptor 3")</f>
        <v>ryanodine receptor 3</v>
      </c>
      <c r="J3164">
        <v>8862.66</v>
      </c>
      <c r="K3164" t="s">
        <v>22</v>
      </c>
      <c r="L3164">
        <v>76</v>
      </c>
      <c r="M3164">
        <v>12.58</v>
      </c>
      <c r="N3164">
        <v>87.22</v>
      </c>
      <c r="O3164" t="s">
        <v>19</v>
      </c>
      <c r="P3164" t="s">
        <v>1320</v>
      </c>
      <c r="Q3164" t="s">
        <v>19</v>
      </c>
      <c r="R3164" t="str">
        <f>HYPERLINK("https://cfpub.epa.gov/ecotox/explore.cfm?ncbi=175792","Explore in ECOTOX")</f>
        <v>Explore in ECOTOX</v>
      </c>
    </row>
    <row r="3165" spans="1:18" x14ac:dyDescent="0.45">
      <c r="A3165" t="s">
        <v>1265</v>
      </c>
      <c r="B3165">
        <v>8</v>
      </c>
      <c r="C3165" t="str">
        <f>HYPERLINK("http://www.ncbi.nlm.nih.gov/protein/XP_057200726.1","XP_057200726.1")</f>
        <v>XP_057200726.1</v>
      </c>
      <c r="D3165">
        <v>70292</v>
      </c>
      <c r="E3165" t="str">
        <f>HYPERLINK("http://www.ncbi.nlm.nih.gov/Taxonomy/Browser/wwwtax.cgi?mode=Info&amp;id=992332&amp;lvl=3&amp;lin=f&amp;keep=1&amp;srchmode=1&amp;unlock","992332")</f>
        <v>992332</v>
      </c>
      <c r="F3165" t="s">
        <v>17</v>
      </c>
      <c r="G3165" t="str">
        <f>HYPERLINK("http://www.ncbi.nlm.nih.gov/Taxonomy/Browser/wwwtax.cgi?mode=Info&amp;id=992332&amp;lvl=3&amp;lin=f&amp;keep=1&amp;srchmode=1&amp;unlock","Triplophysa rosa")</f>
        <v>Triplophysa rosa</v>
      </c>
      <c r="H3165" t="s">
        <v>33</v>
      </c>
      <c r="I3165" t="str">
        <f>HYPERLINK("http://www.ncbi.nlm.nih.gov/protein/XP_057200726.1","ryanodine receptor 3")</f>
        <v>ryanodine receptor 3</v>
      </c>
      <c r="J3165">
        <v>8856.11</v>
      </c>
      <c r="K3165" t="s">
        <v>22</v>
      </c>
      <c r="L3165">
        <v>76</v>
      </c>
      <c r="M3165">
        <v>12.58</v>
      </c>
      <c r="N3165">
        <v>87.16</v>
      </c>
      <c r="O3165" t="s">
        <v>19</v>
      </c>
      <c r="P3165" t="s">
        <v>1320</v>
      </c>
      <c r="Q3165" t="s">
        <v>19</v>
      </c>
      <c r="R3165" t="str">
        <f>HYPERLINK("https://cfpub.epa.gov/ecotox/explore.cfm?ncbi=992332","Explore in ECOTOX")</f>
        <v>Explore in ECOTOX</v>
      </c>
    </row>
    <row r="3166" spans="1:18" x14ac:dyDescent="0.45">
      <c r="A3166" t="s">
        <v>1265</v>
      </c>
      <c r="B3166">
        <v>8</v>
      </c>
      <c r="C3166" t="str">
        <f>HYPERLINK("http://www.ncbi.nlm.nih.gov/protein/XP_029937802.1","XP_029937802.1")</f>
        <v>XP_029937802.1</v>
      </c>
      <c r="D3166">
        <v>38178</v>
      </c>
      <c r="E3166" t="str">
        <f>HYPERLINK("http://www.ncbi.nlm.nih.gov/Taxonomy/Browser/wwwtax.cgi?mode=Info&amp;id=586833&amp;lvl=3&amp;lin=f&amp;keep=1&amp;srchmode=1&amp;unlock","586833")</f>
        <v>586833</v>
      </c>
      <c r="F3166" t="s">
        <v>17</v>
      </c>
      <c r="G3166" t="str">
        <f>HYPERLINK("http://www.ncbi.nlm.nih.gov/Taxonomy/Browser/wwwtax.cgi?mode=Info&amp;id=586833&amp;lvl=3&amp;lin=f&amp;keep=1&amp;srchmode=1&amp;unlock","Myripristis murdjan")</f>
        <v>Myripristis murdjan</v>
      </c>
      <c r="H3166" t="s">
        <v>53</v>
      </c>
      <c r="I3166" t="str">
        <f>HYPERLINK("http://www.ncbi.nlm.nih.gov/protein/XP_029937802.1","ryanodine receptor 3-like")</f>
        <v>ryanodine receptor 3-like</v>
      </c>
      <c r="J3166">
        <v>8846.09</v>
      </c>
      <c r="K3166" t="s">
        <v>22</v>
      </c>
      <c r="L3166">
        <v>76</v>
      </c>
      <c r="M3166">
        <v>12.58</v>
      </c>
      <c r="N3166">
        <v>87.06</v>
      </c>
      <c r="O3166" t="s">
        <v>19</v>
      </c>
      <c r="P3166" t="s">
        <v>1320</v>
      </c>
      <c r="Q3166" t="s">
        <v>19</v>
      </c>
      <c r="R3166" t="str">
        <f>HYPERLINK("https://cfpub.epa.gov/ecotox/explore.cfm?ncbi=586833","Explore in ECOTOX")</f>
        <v>Explore in ECOTOX</v>
      </c>
    </row>
    <row r="3167" spans="1:18" x14ac:dyDescent="0.45">
      <c r="A3167" t="s">
        <v>1265</v>
      </c>
      <c r="B3167">
        <v>8</v>
      </c>
      <c r="C3167" t="str">
        <f>HYPERLINK("http://www.ncbi.nlm.nih.gov/protein/XP_056151338.1","XP_056151338.1")</f>
        <v>XP_056151338.1</v>
      </c>
      <c r="D3167">
        <v>29577</v>
      </c>
      <c r="E3167" t="str">
        <f>HYPERLINK("http://www.ncbi.nlm.nih.gov/Taxonomy/Browser/wwwtax.cgi?mode=Info&amp;id=2546036&amp;lvl=3&amp;lin=f&amp;keep=1&amp;srchmode=1&amp;unlock","2546036")</f>
        <v>2546036</v>
      </c>
      <c r="F3167" t="s">
        <v>17</v>
      </c>
      <c r="G3167" t="str">
        <f>HYPERLINK("http://www.ncbi.nlm.nih.gov/Taxonomy/Browser/wwwtax.cgi?mode=Info&amp;id=2546036&amp;lvl=3&amp;lin=f&amp;keep=1&amp;srchmode=1&amp;unlock","Lampris incognitus")</f>
        <v>Lampris incognitus</v>
      </c>
      <c r="H3167" t="s">
        <v>422</v>
      </c>
      <c r="I3167" t="str">
        <f>HYPERLINK("http://www.ncbi.nlm.nih.gov/protein/XP_056151338.1","ryanodine receptor 3-like")</f>
        <v>ryanodine receptor 3-like</v>
      </c>
      <c r="J3167">
        <v>8841.09</v>
      </c>
      <c r="K3167" t="s">
        <v>22</v>
      </c>
      <c r="L3167">
        <v>76</v>
      </c>
      <c r="M3167">
        <v>12.58</v>
      </c>
      <c r="N3167">
        <v>87.01</v>
      </c>
      <c r="O3167" t="s">
        <v>19</v>
      </c>
      <c r="P3167" t="s">
        <v>1320</v>
      </c>
      <c r="Q3167" t="s">
        <v>19</v>
      </c>
      <c r="R3167" t="str">
        <f>HYPERLINK("https://cfpub.epa.gov/ecotox/explore.cfm?ncbi=2546036","Explore in ECOTOX")</f>
        <v>Explore in ECOTOX</v>
      </c>
    </row>
    <row r="3168" spans="1:18" x14ac:dyDescent="0.45">
      <c r="A3168" t="s">
        <v>1265</v>
      </c>
      <c r="B3168">
        <v>8</v>
      </c>
      <c r="C3168" t="str">
        <f>HYPERLINK("http://www.ncbi.nlm.nih.gov/protein/XP_048084263.1","XP_048084263.1")</f>
        <v>XP_048084263.1</v>
      </c>
      <c r="D3168">
        <v>70070</v>
      </c>
      <c r="E3168" t="str">
        <f>HYPERLINK("http://www.ncbi.nlm.nih.gov/Taxonomy/Browser/wwwtax.cgi?mode=Info&amp;id=278164&amp;lvl=3&amp;lin=f&amp;keep=1&amp;srchmode=1&amp;unlock","278164")</f>
        <v>278164</v>
      </c>
      <c r="F3168" t="s">
        <v>17</v>
      </c>
      <c r="G3168" t="str">
        <f>HYPERLINK("http://www.ncbi.nlm.nih.gov/Taxonomy/Browser/wwwtax.cgi?mode=Info&amp;id=278164&amp;lvl=3&amp;lin=f&amp;keep=1&amp;srchmode=1&amp;unlock","Alosa alosa")</f>
        <v>Alosa alosa</v>
      </c>
      <c r="H3168" t="s">
        <v>201</v>
      </c>
      <c r="I3168" t="str">
        <f>HYPERLINK("http://www.ncbi.nlm.nih.gov/protein/XP_048084263.1","ryanodine receptor 3-like isoform X7")</f>
        <v>ryanodine receptor 3-like isoform X7</v>
      </c>
      <c r="J3168">
        <v>8833</v>
      </c>
      <c r="K3168" t="s">
        <v>22</v>
      </c>
      <c r="L3168">
        <v>76</v>
      </c>
      <c r="M3168">
        <v>12.58</v>
      </c>
      <c r="N3168">
        <v>86.93</v>
      </c>
      <c r="O3168" t="s">
        <v>19</v>
      </c>
      <c r="P3168" t="s">
        <v>1320</v>
      </c>
      <c r="Q3168" t="s">
        <v>19</v>
      </c>
      <c r="R3168" t="str">
        <f>HYPERLINK("https://cfpub.epa.gov/ecotox/explore.cfm?ncbi=278164","Explore in ECOTOX")</f>
        <v>Explore in ECOTOX</v>
      </c>
    </row>
    <row r="3169" spans="1:18" x14ac:dyDescent="0.45">
      <c r="A3169" t="s">
        <v>1265</v>
      </c>
      <c r="B3169">
        <v>8</v>
      </c>
      <c r="C3169" t="str">
        <f>HYPERLINK("http://www.ncbi.nlm.nih.gov/protein/XP_038585371.1","XP_038585371.1")</f>
        <v>XP_038585371.1</v>
      </c>
      <c r="D3169">
        <v>48388</v>
      </c>
      <c r="E3169" t="str">
        <f>HYPERLINK("http://www.ncbi.nlm.nih.gov/Taxonomy/Browser/wwwtax.cgi?mode=Info&amp;id=27706&amp;lvl=3&amp;lin=f&amp;keep=1&amp;srchmode=1&amp;unlock","27706")</f>
        <v>27706</v>
      </c>
      <c r="F3169" t="s">
        <v>17</v>
      </c>
      <c r="G3169" t="str">
        <f>HYPERLINK("http://www.ncbi.nlm.nih.gov/Taxonomy/Browser/wwwtax.cgi?mode=Info&amp;id=27706&amp;lvl=3&amp;lin=f&amp;keep=1&amp;srchmode=1&amp;unlock","Micropterus salmoides")</f>
        <v>Micropterus salmoides</v>
      </c>
      <c r="H3169" t="s">
        <v>71</v>
      </c>
      <c r="I3169" t="str">
        <f>HYPERLINK("http://www.ncbi.nlm.nih.gov/protein/XP_038585371.1","LOW QUALITY PROTEIN: ryanodine receptor 3-like")</f>
        <v>LOW QUALITY PROTEIN: ryanodine receptor 3-like</v>
      </c>
      <c r="J3169">
        <v>8832.23</v>
      </c>
      <c r="K3169" t="s">
        <v>19</v>
      </c>
      <c r="L3169">
        <v>76</v>
      </c>
      <c r="M3169">
        <v>12.58</v>
      </c>
      <c r="N3169">
        <v>86.92</v>
      </c>
      <c r="O3169" t="s">
        <v>19</v>
      </c>
      <c r="P3169" t="s">
        <v>1320</v>
      </c>
      <c r="Q3169" t="s">
        <v>19</v>
      </c>
      <c r="R3169" t="str">
        <f>HYPERLINK("https://cfpub.epa.gov/ecotox/explore.cfm?ncbi=27706","Explore in ECOTOX")</f>
        <v>Explore in ECOTOX</v>
      </c>
    </row>
    <row r="3170" spans="1:18" x14ac:dyDescent="0.45">
      <c r="A3170" t="s">
        <v>1265</v>
      </c>
      <c r="B3170">
        <v>8</v>
      </c>
      <c r="C3170" t="str">
        <f>HYPERLINK("http://www.ncbi.nlm.nih.gov/protein/XP_050933914.1","XP_050933914.1")</f>
        <v>XP_050933914.1</v>
      </c>
      <c r="D3170">
        <v>45877</v>
      </c>
      <c r="E3170" t="str">
        <f>HYPERLINK("http://www.ncbi.nlm.nih.gov/Taxonomy/Browser/wwwtax.cgi?mode=Info&amp;id=8187&amp;lvl=3&amp;lin=f&amp;keep=1&amp;srchmode=1&amp;unlock","8187")</f>
        <v>8187</v>
      </c>
      <c r="F3170" t="s">
        <v>17</v>
      </c>
      <c r="G3170" t="str">
        <f>HYPERLINK("http://www.ncbi.nlm.nih.gov/Taxonomy/Browser/wwwtax.cgi?mode=Info&amp;id=8187&amp;lvl=3&amp;lin=f&amp;keep=1&amp;srchmode=1&amp;unlock","Lates calcarifer")</f>
        <v>Lates calcarifer</v>
      </c>
      <c r="H3170" t="s">
        <v>388</v>
      </c>
      <c r="I3170" t="str">
        <f>HYPERLINK("http://www.ncbi.nlm.nih.gov/protein/XP_050933914.1","ryanodine receptor 3 isoform X2")</f>
        <v>ryanodine receptor 3 isoform X2</v>
      </c>
      <c r="J3170">
        <v>8831.07</v>
      </c>
      <c r="K3170" t="s">
        <v>22</v>
      </c>
      <c r="L3170">
        <v>76</v>
      </c>
      <c r="M3170">
        <v>12.58</v>
      </c>
      <c r="N3170">
        <v>86.91</v>
      </c>
      <c r="O3170" t="s">
        <v>19</v>
      </c>
      <c r="P3170" t="s">
        <v>1320</v>
      </c>
      <c r="Q3170" t="s">
        <v>19</v>
      </c>
      <c r="R3170" t="str">
        <f>HYPERLINK("https://cfpub.epa.gov/ecotox/explore.cfm?ncbi=8187","Explore in ECOTOX")</f>
        <v>Explore in ECOTOX</v>
      </c>
    </row>
    <row r="3171" spans="1:18" x14ac:dyDescent="0.45">
      <c r="A3171" t="s">
        <v>1265</v>
      </c>
      <c r="B3171">
        <v>8</v>
      </c>
      <c r="C3171" t="str">
        <f>HYPERLINK("http://www.ncbi.nlm.nih.gov/protein/XP_049451408.1","XP_049451408.1")</f>
        <v>XP_049451408.1</v>
      </c>
      <c r="D3171">
        <v>45353</v>
      </c>
      <c r="E3171" t="str">
        <f>HYPERLINK("http://www.ncbi.nlm.nih.gov/Taxonomy/Browser/wwwtax.cgi?mode=Info&amp;id=293821&amp;lvl=3&amp;lin=f&amp;keep=1&amp;srchmode=1&amp;unlock","293821")</f>
        <v>293821</v>
      </c>
      <c r="F3171" t="s">
        <v>17</v>
      </c>
      <c r="G3171" t="str">
        <f>HYPERLINK("http://www.ncbi.nlm.nih.gov/Taxonomy/Browser/wwwtax.cgi?mode=Info&amp;id=293821&amp;lvl=3&amp;lin=f&amp;keep=1&amp;srchmode=1&amp;unlock","Epinephelus fuscoguttatus")</f>
        <v>Epinephelus fuscoguttatus</v>
      </c>
      <c r="H3171" t="s">
        <v>366</v>
      </c>
      <c r="I3171" t="str">
        <f>HYPERLINK("http://www.ncbi.nlm.nih.gov/protein/XP_049451408.1","ryanodine receptor 3-like isoform X7")</f>
        <v>ryanodine receptor 3-like isoform X7</v>
      </c>
      <c r="J3171">
        <v>8829.92</v>
      </c>
      <c r="K3171" t="s">
        <v>19</v>
      </c>
      <c r="L3171">
        <v>76</v>
      </c>
      <c r="M3171">
        <v>12.58</v>
      </c>
      <c r="N3171">
        <v>86.9</v>
      </c>
      <c r="O3171" t="s">
        <v>19</v>
      </c>
      <c r="P3171" t="s">
        <v>1320</v>
      </c>
      <c r="Q3171" t="s">
        <v>19</v>
      </c>
      <c r="R3171" t="str">
        <f>HYPERLINK("https://cfpub.epa.gov/ecotox/explore.cfm?ncbi=293821","Explore in ECOTOX")</f>
        <v>Explore in ECOTOX</v>
      </c>
    </row>
    <row r="3172" spans="1:18" x14ac:dyDescent="0.45">
      <c r="A3172" t="s">
        <v>1265</v>
      </c>
      <c r="B3172">
        <v>8</v>
      </c>
      <c r="C3172" t="str">
        <f>HYPERLINK("http://www.ncbi.nlm.nih.gov/protein/XP_041929228.1","XP_041929228.1")</f>
        <v>XP_041929228.1</v>
      </c>
      <c r="D3172">
        <v>56130</v>
      </c>
      <c r="E3172" t="str">
        <f>HYPERLINK("http://www.ncbi.nlm.nih.gov/Taxonomy/Browser/wwwtax.cgi?mode=Info&amp;id=34773&amp;lvl=3&amp;lin=f&amp;keep=1&amp;srchmode=1&amp;unlock","34773")</f>
        <v>34773</v>
      </c>
      <c r="F3172" t="s">
        <v>17</v>
      </c>
      <c r="G3172" t="str">
        <f>HYPERLINK("http://www.ncbi.nlm.nih.gov/Taxonomy/Browser/wwwtax.cgi?mode=Info&amp;id=34773&amp;lvl=3&amp;lin=f&amp;keep=1&amp;srchmode=1&amp;unlock","Alosa sapidissima")</f>
        <v>Alosa sapidissima</v>
      </c>
      <c r="H3172" t="s">
        <v>46</v>
      </c>
      <c r="I3172" t="str">
        <f>HYPERLINK("http://www.ncbi.nlm.nih.gov/protein/XP_041929228.1","ryanodine receptor 3-like isoform X7")</f>
        <v>ryanodine receptor 3-like isoform X7</v>
      </c>
      <c r="J3172">
        <v>8826.4500000000007</v>
      </c>
      <c r="K3172" t="s">
        <v>22</v>
      </c>
      <c r="L3172">
        <v>76</v>
      </c>
      <c r="M3172">
        <v>12.58</v>
      </c>
      <c r="N3172">
        <v>86.87</v>
      </c>
      <c r="O3172" t="s">
        <v>19</v>
      </c>
      <c r="P3172" t="s">
        <v>1320</v>
      </c>
      <c r="Q3172" t="s">
        <v>19</v>
      </c>
      <c r="R3172" t="str">
        <f>HYPERLINK("https://cfpub.epa.gov/ecotox/explore.cfm?ncbi=34773","Explore in ECOTOX")</f>
        <v>Explore in ECOTOX</v>
      </c>
    </row>
    <row r="3173" spans="1:18" x14ac:dyDescent="0.45">
      <c r="A3173" t="s">
        <v>1265</v>
      </c>
      <c r="B3173">
        <v>8</v>
      </c>
      <c r="C3173" t="str">
        <f>HYPERLINK("http://www.ncbi.nlm.nih.gov/protein/XP_023273014.1","XP_023273014.1")</f>
        <v>XP_023273014.1</v>
      </c>
      <c r="D3173">
        <v>38591</v>
      </c>
      <c r="E3173" t="str">
        <f>HYPERLINK("http://www.ncbi.nlm.nih.gov/Taxonomy/Browser/wwwtax.cgi?mode=Info&amp;id=1841481&amp;lvl=3&amp;lin=f&amp;keep=1&amp;srchmode=1&amp;unlock","1841481")</f>
        <v>1841481</v>
      </c>
      <c r="F3173" t="s">
        <v>17</v>
      </c>
      <c r="G3173" t="str">
        <f>HYPERLINK("http://www.ncbi.nlm.nih.gov/Taxonomy/Browser/wwwtax.cgi?mode=Info&amp;id=1841481&amp;lvl=3&amp;lin=f&amp;keep=1&amp;srchmode=1&amp;unlock","Seriola lalandi dorsalis")</f>
        <v>Seriola lalandi dorsalis</v>
      </c>
      <c r="H3173" t="s">
        <v>61</v>
      </c>
      <c r="I3173" t="str">
        <f>HYPERLINK("http://www.ncbi.nlm.nih.gov/protein/XP_023273014.1","ryanodine receptor 3-like")</f>
        <v>ryanodine receptor 3-like</v>
      </c>
      <c r="J3173">
        <v>8824.52</v>
      </c>
      <c r="K3173" t="s">
        <v>22</v>
      </c>
      <c r="L3173">
        <v>76</v>
      </c>
      <c r="M3173">
        <v>12.58</v>
      </c>
      <c r="N3173">
        <v>86.85</v>
      </c>
      <c r="O3173" t="s">
        <v>19</v>
      </c>
      <c r="P3173" t="s">
        <v>1320</v>
      </c>
      <c r="Q3173" t="s">
        <v>19</v>
      </c>
      <c r="R3173" t="str">
        <f>HYPERLINK("https://cfpub.epa.gov/ecotox/explore.cfm?ncbi=1841481","Explore in ECOTOX")</f>
        <v>Explore in ECOTOX</v>
      </c>
    </row>
    <row r="3174" spans="1:18" x14ac:dyDescent="0.45">
      <c r="A3174" t="s">
        <v>1265</v>
      </c>
      <c r="B3174">
        <v>8</v>
      </c>
      <c r="C3174" t="str">
        <f>HYPERLINK("http://www.ncbi.nlm.nih.gov/protein/XP_035388370.1","XP_035388370.1")</f>
        <v>XP_035388370.1</v>
      </c>
      <c r="D3174">
        <v>45401</v>
      </c>
      <c r="E3174" t="str">
        <f>HYPERLINK("http://www.ncbi.nlm.nih.gov/Taxonomy/Browser/wwwtax.cgi?mode=Info&amp;id=8005&amp;lvl=3&amp;lin=f&amp;keep=1&amp;srchmode=1&amp;unlock","8005")</f>
        <v>8005</v>
      </c>
      <c r="F3174" t="s">
        <v>17</v>
      </c>
      <c r="G3174" t="str">
        <f>HYPERLINK("http://www.ncbi.nlm.nih.gov/Taxonomy/Browser/wwwtax.cgi?mode=Info&amp;id=8005&amp;lvl=3&amp;lin=f&amp;keep=1&amp;srchmode=1&amp;unlock","Electrophorus electricus")</f>
        <v>Electrophorus electricus</v>
      </c>
      <c r="H3174" t="s">
        <v>51</v>
      </c>
      <c r="I3174" t="str">
        <f>HYPERLINK("http://www.ncbi.nlm.nih.gov/protein/XP_035388370.1","LOW QUALITY PROTEIN: ryanodine receptor 3")</f>
        <v>LOW QUALITY PROTEIN: ryanodine receptor 3</v>
      </c>
      <c r="J3174">
        <v>8824.14</v>
      </c>
      <c r="K3174" t="s">
        <v>22</v>
      </c>
      <c r="L3174">
        <v>76</v>
      </c>
      <c r="M3174">
        <v>12.58</v>
      </c>
      <c r="N3174">
        <v>86.84</v>
      </c>
      <c r="O3174" t="s">
        <v>19</v>
      </c>
      <c r="P3174" t="s">
        <v>1320</v>
      </c>
      <c r="Q3174" t="s">
        <v>19</v>
      </c>
      <c r="R3174" t="str">
        <f>HYPERLINK("https://cfpub.epa.gov/ecotox/explore.cfm?ncbi=8005","Explore in ECOTOX")</f>
        <v>Explore in ECOTOX</v>
      </c>
    </row>
    <row r="3175" spans="1:18" x14ac:dyDescent="0.45">
      <c r="A3175" t="s">
        <v>1265</v>
      </c>
      <c r="B3175">
        <v>8</v>
      </c>
      <c r="C3175" t="str">
        <f>HYPERLINK("http://www.ncbi.nlm.nih.gov/protein/XP_054861876.1","XP_054861876.1")</f>
        <v>XP_054861876.1</v>
      </c>
      <c r="D3175">
        <v>47453</v>
      </c>
      <c r="E3175" t="str">
        <f>HYPERLINK("http://www.ncbi.nlm.nih.gov/Taxonomy/Browser/wwwtax.cgi?mode=Info&amp;id=80972&amp;lvl=3&amp;lin=f&amp;keep=1&amp;srchmode=1&amp;unlock","80972")</f>
        <v>80972</v>
      </c>
      <c r="F3175" t="s">
        <v>17</v>
      </c>
      <c r="G3175" t="str">
        <f>HYPERLINK("http://www.ncbi.nlm.nih.gov/Taxonomy/Browser/wwwtax.cgi?mode=Info&amp;id=80972&amp;lvl=3&amp;lin=f&amp;keep=1&amp;srchmode=1&amp;unlock","Amphiprion ocellaris")</f>
        <v>Amphiprion ocellaris</v>
      </c>
      <c r="H3175" t="s">
        <v>56</v>
      </c>
      <c r="I3175" t="str">
        <f>HYPERLINK("http://www.ncbi.nlm.nih.gov/protein/XP_054861876.1","ryanodine receptor 3-like isoform X5")</f>
        <v>ryanodine receptor 3-like isoform X5</v>
      </c>
      <c r="J3175">
        <v>8823.3700000000008</v>
      </c>
      <c r="K3175" t="s">
        <v>19</v>
      </c>
      <c r="L3175">
        <v>76</v>
      </c>
      <c r="M3175">
        <v>12.58</v>
      </c>
      <c r="N3175">
        <v>86.84</v>
      </c>
      <c r="O3175" t="s">
        <v>19</v>
      </c>
      <c r="P3175" t="s">
        <v>1320</v>
      </c>
      <c r="Q3175" t="s">
        <v>19</v>
      </c>
      <c r="R3175" t="str">
        <f>HYPERLINK("https://cfpub.epa.gov/ecotox/explore.cfm?ncbi=80972","Explore in ECOTOX")</f>
        <v>Explore in ECOTOX</v>
      </c>
    </row>
    <row r="3176" spans="1:18" x14ac:dyDescent="0.45">
      <c r="A3176" t="s">
        <v>1265</v>
      </c>
      <c r="B3176">
        <v>8</v>
      </c>
      <c r="C3176" t="str">
        <f>HYPERLINK("http://www.ncbi.nlm.nih.gov/protein/XP_026008345.1","XP_026008345.1")</f>
        <v>XP_026008345.1</v>
      </c>
      <c r="D3176">
        <v>52755</v>
      </c>
      <c r="E3176" t="str">
        <f>HYPERLINK("http://www.ncbi.nlm.nih.gov/Taxonomy/Browser/wwwtax.cgi?mode=Info&amp;id=8154&amp;lvl=3&amp;lin=f&amp;keep=1&amp;srchmode=1&amp;unlock","8154")</f>
        <v>8154</v>
      </c>
      <c r="F3176" t="s">
        <v>17</v>
      </c>
      <c r="G3176" t="str">
        <f>HYPERLINK("http://www.ncbi.nlm.nih.gov/Taxonomy/Browser/wwwtax.cgi?mode=Info&amp;id=8154&amp;lvl=3&amp;lin=f&amp;keep=1&amp;srchmode=1&amp;unlock","Astatotilapia calliptera")</f>
        <v>Astatotilapia calliptera</v>
      </c>
      <c r="H3176" t="s">
        <v>74</v>
      </c>
      <c r="I3176" t="str">
        <f>HYPERLINK("http://www.ncbi.nlm.nih.gov/protein/XP_026008345.1","ryanodine receptor 3-like isoform X14")</f>
        <v>ryanodine receptor 3-like isoform X14</v>
      </c>
      <c r="J3176">
        <v>8823.3700000000008</v>
      </c>
      <c r="K3176" t="s">
        <v>19</v>
      </c>
      <c r="L3176">
        <v>76</v>
      </c>
      <c r="M3176">
        <v>12.58</v>
      </c>
      <c r="N3176">
        <v>86.84</v>
      </c>
      <c r="O3176" t="s">
        <v>19</v>
      </c>
      <c r="P3176" t="s">
        <v>1320</v>
      </c>
      <c r="Q3176" t="s">
        <v>19</v>
      </c>
      <c r="R3176" t="str">
        <f>HYPERLINK("https://cfpub.epa.gov/ecotox/explore.cfm?ncbi=8154","Explore in ECOTOX")</f>
        <v>Explore in ECOTOX</v>
      </c>
    </row>
    <row r="3177" spans="1:18" x14ac:dyDescent="0.45">
      <c r="A3177" t="s">
        <v>1265</v>
      </c>
      <c r="B3177">
        <v>8</v>
      </c>
      <c r="C3177" t="str">
        <f>HYPERLINK("http://www.ncbi.nlm.nih.gov/protein/XP_056249309.1","XP_056249309.1")</f>
        <v>XP_056249309.1</v>
      </c>
      <c r="D3177">
        <v>42717</v>
      </c>
      <c r="E3177" t="str">
        <f>HYPERLINK("http://www.ncbi.nlm.nih.gov/Taxonomy/Browser/wwwtax.cgi?mode=Info&amp;id=2871759&amp;lvl=3&amp;lin=f&amp;keep=1&amp;srchmode=1&amp;unlock","2871759")</f>
        <v>2871759</v>
      </c>
      <c r="F3177" t="s">
        <v>17</v>
      </c>
      <c r="G3177" t="str">
        <f>HYPERLINK("http://www.ncbi.nlm.nih.gov/Taxonomy/Browser/wwwtax.cgi?mode=Info&amp;id=2871759&amp;lvl=3&amp;lin=f&amp;keep=1&amp;srchmode=1&amp;unlock","Seriola aureovittata")</f>
        <v>Seriola aureovittata</v>
      </c>
      <c r="H3177" t="s">
        <v>54</v>
      </c>
      <c r="I3177" t="str">
        <f>HYPERLINK("http://www.ncbi.nlm.nih.gov/protein/XP_056249309.1","ryanodine receptor 3-like isoform X2")</f>
        <v>ryanodine receptor 3-like isoform X2</v>
      </c>
      <c r="J3177">
        <v>8822.98</v>
      </c>
      <c r="K3177" t="s">
        <v>22</v>
      </c>
      <c r="L3177">
        <v>76</v>
      </c>
      <c r="M3177">
        <v>12.58</v>
      </c>
      <c r="N3177">
        <v>86.83</v>
      </c>
      <c r="O3177" t="s">
        <v>19</v>
      </c>
      <c r="P3177" t="s">
        <v>1320</v>
      </c>
      <c r="Q3177" t="s">
        <v>19</v>
      </c>
      <c r="R3177" t="str">
        <f>HYPERLINK("https://cfpub.epa.gov/ecotox/explore.cfm?ncbi=2871759","Explore in ECOTOX")</f>
        <v>Explore in ECOTOX</v>
      </c>
    </row>
    <row r="3178" spans="1:18" x14ac:dyDescent="0.45">
      <c r="A3178" t="s">
        <v>1265</v>
      </c>
      <c r="B3178">
        <v>8</v>
      </c>
      <c r="C3178" t="str">
        <f>HYPERLINK("http://www.ncbi.nlm.nih.gov/protein/XP_051242155.1","XP_051242155.1")</f>
        <v>XP_051242155.1</v>
      </c>
      <c r="D3178">
        <v>57329</v>
      </c>
      <c r="E3178" t="str">
        <f>HYPERLINK("http://www.ncbi.nlm.nih.gov/Taxonomy/Browser/wwwtax.cgi?mode=Info&amp;id=13489&amp;lvl=3&amp;lin=f&amp;keep=1&amp;srchmode=1&amp;unlock","13489")</f>
        <v>13489</v>
      </c>
      <c r="F3178" t="s">
        <v>17</v>
      </c>
      <c r="G3178" t="str">
        <f>HYPERLINK("http://www.ncbi.nlm.nih.gov/Taxonomy/Browser/wwwtax.cgi?mode=Info&amp;id=13489&amp;lvl=3&amp;lin=f&amp;keep=1&amp;srchmode=1&amp;unlock","Dicentrarchus labrax")</f>
        <v>Dicentrarchus labrax</v>
      </c>
      <c r="H3178" t="s">
        <v>77</v>
      </c>
      <c r="I3178" t="str">
        <f>HYPERLINK("http://www.ncbi.nlm.nih.gov/protein/XP_051242155.1","ryanodine receptor 3-like isoform X10")</f>
        <v>ryanodine receptor 3-like isoform X10</v>
      </c>
      <c r="J3178">
        <v>8818.36</v>
      </c>
      <c r="K3178" t="s">
        <v>19</v>
      </c>
      <c r="L3178">
        <v>76</v>
      </c>
      <c r="M3178">
        <v>12.58</v>
      </c>
      <c r="N3178">
        <v>86.79</v>
      </c>
      <c r="O3178" t="s">
        <v>19</v>
      </c>
      <c r="P3178" t="s">
        <v>1320</v>
      </c>
      <c r="Q3178" t="s">
        <v>19</v>
      </c>
      <c r="R3178" t="str">
        <f>HYPERLINK("https://cfpub.epa.gov/ecotox/explore.cfm?ncbi=13489","Explore in ECOTOX")</f>
        <v>Explore in ECOTOX</v>
      </c>
    </row>
    <row r="3179" spans="1:18" x14ac:dyDescent="0.45">
      <c r="A3179" t="s">
        <v>1265</v>
      </c>
      <c r="B3179">
        <v>8</v>
      </c>
      <c r="C3179" t="str">
        <f>HYPERLINK("http://www.ncbi.nlm.nih.gov/protein/XP_045917923.1","XP_045917923.1")</f>
        <v>XP_045917923.1</v>
      </c>
      <c r="D3179">
        <v>48490</v>
      </c>
      <c r="E3179" t="str">
        <f>HYPERLINK("http://www.ncbi.nlm.nih.gov/Taxonomy/Browser/wwwtax.cgi?mode=Info&amp;id=147949&amp;lvl=3&amp;lin=f&amp;keep=1&amp;srchmode=1&amp;unlock","147949")</f>
        <v>147949</v>
      </c>
      <c r="F3179" t="s">
        <v>17</v>
      </c>
      <c r="G3179" t="str">
        <f>HYPERLINK("http://www.ncbi.nlm.nih.gov/Taxonomy/Browser/wwwtax.cgi?mode=Info&amp;id=147949&amp;lvl=3&amp;lin=f&amp;keep=1&amp;srchmode=1&amp;unlock","Micropterus dolomieu")</f>
        <v>Micropterus dolomieu</v>
      </c>
      <c r="H3179" t="s">
        <v>82</v>
      </c>
      <c r="I3179" t="str">
        <f>HYPERLINK("http://www.ncbi.nlm.nih.gov/protein/XP_045917923.1","ryanodine receptor 3-like")</f>
        <v>ryanodine receptor 3-like</v>
      </c>
      <c r="J3179">
        <v>8817.59</v>
      </c>
      <c r="K3179" t="s">
        <v>22</v>
      </c>
      <c r="L3179">
        <v>76</v>
      </c>
      <c r="M3179">
        <v>12.58</v>
      </c>
      <c r="N3179">
        <v>86.78</v>
      </c>
      <c r="O3179" t="s">
        <v>19</v>
      </c>
      <c r="P3179" t="s">
        <v>1320</v>
      </c>
      <c r="Q3179" t="s">
        <v>19</v>
      </c>
      <c r="R3179" t="str">
        <f>HYPERLINK("https://cfpub.epa.gov/ecotox/explore.cfm?ncbi=147949","Explore in ECOTOX")</f>
        <v>Explore in ECOTOX</v>
      </c>
    </row>
    <row r="3180" spans="1:18" x14ac:dyDescent="0.45">
      <c r="A3180" t="s">
        <v>1265</v>
      </c>
      <c r="B3180">
        <v>8</v>
      </c>
      <c r="C3180" t="str">
        <f>HYPERLINK("http://www.ncbi.nlm.nih.gov/protein/XP_029973170.1","XP_029973170.1")</f>
        <v>XP_029973170.1</v>
      </c>
      <c r="D3180">
        <v>39290</v>
      </c>
      <c r="E3180" t="str">
        <f>HYPERLINK("http://www.ncbi.nlm.nih.gov/Taxonomy/Browser/wwwtax.cgi?mode=Info&amp;id=181472&amp;lvl=3&amp;lin=f&amp;keep=1&amp;srchmode=1&amp;unlock","181472")</f>
        <v>181472</v>
      </c>
      <c r="F3180" t="s">
        <v>17</v>
      </c>
      <c r="G3180" t="str">
        <f>HYPERLINK("http://www.ncbi.nlm.nih.gov/Taxonomy/Browser/wwwtax.cgi?mode=Info&amp;id=181472&amp;lvl=3&amp;lin=f&amp;keep=1&amp;srchmode=1&amp;unlock","Salarias fasciatus")</f>
        <v>Salarias fasciatus</v>
      </c>
      <c r="H3180" t="s">
        <v>531</v>
      </c>
      <c r="I3180" t="str">
        <f>HYPERLINK("http://www.ncbi.nlm.nih.gov/protein/XP_029973170.1","ryanodine receptor 3-like")</f>
        <v>ryanodine receptor 3-like</v>
      </c>
      <c r="J3180">
        <v>8817.59</v>
      </c>
      <c r="K3180" t="s">
        <v>22</v>
      </c>
      <c r="L3180">
        <v>76</v>
      </c>
      <c r="M3180">
        <v>12.58</v>
      </c>
      <c r="N3180">
        <v>86.78</v>
      </c>
      <c r="O3180" t="s">
        <v>19</v>
      </c>
      <c r="P3180" t="s">
        <v>1320</v>
      </c>
      <c r="Q3180" t="s">
        <v>19</v>
      </c>
      <c r="R3180" t="str">
        <f>HYPERLINK("https://cfpub.epa.gov/ecotox/explore.cfm?ncbi=181472","Explore in ECOTOX")</f>
        <v>Explore in ECOTOX</v>
      </c>
    </row>
    <row r="3181" spans="1:18" x14ac:dyDescent="0.45">
      <c r="A3181" t="s">
        <v>1265</v>
      </c>
      <c r="B3181">
        <v>8</v>
      </c>
      <c r="C3181" t="str">
        <f>HYPERLINK("http://www.ncbi.nlm.nih.gov/protein/XP_049917845.1","XP_049917845.1")</f>
        <v>XP_049917845.1</v>
      </c>
      <c r="D3181">
        <v>42914</v>
      </c>
      <c r="E3181" t="str">
        <f>HYPERLINK("http://www.ncbi.nlm.nih.gov/Taxonomy/Browser/wwwtax.cgi?mode=Info&amp;id=300413&amp;lvl=3&amp;lin=f&amp;keep=1&amp;srchmode=1&amp;unlock","300413")</f>
        <v>300413</v>
      </c>
      <c r="F3181" t="s">
        <v>17</v>
      </c>
      <c r="G3181" t="str">
        <f>HYPERLINK("http://www.ncbi.nlm.nih.gov/Taxonomy/Browser/wwwtax.cgi?mode=Info&amp;id=300413&amp;lvl=3&amp;lin=f&amp;keep=1&amp;srchmode=1&amp;unlock","Epinephelus moara")</f>
        <v>Epinephelus moara</v>
      </c>
      <c r="H3181" t="s">
        <v>392</v>
      </c>
      <c r="I3181" t="str">
        <f>HYPERLINK("http://www.ncbi.nlm.nih.gov/protein/XP_049917845.1","ryanodine receptor 3-like")</f>
        <v>ryanodine receptor 3-like</v>
      </c>
      <c r="J3181">
        <v>8816.0499999999993</v>
      </c>
      <c r="K3181" t="s">
        <v>22</v>
      </c>
      <c r="L3181">
        <v>76</v>
      </c>
      <c r="M3181">
        <v>12.58</v>
      </c>
      <c r="N3181">
        <v>86.77</v>
      </c>
      <c r="O3181" t="s">
        <v>19</v>
      </c>
      <c r="P3181" t="s">
        <v>1320</v>
      </c>
      <c r="Q3181" t="s">
        <v>19</v>
      </c>
      <c r="R3181" t="str">
        <f>HYPERLINK("https://cfpub.epa.gov/ecotox/explore.cfm?ncbi=300413","Explore in ECOTOX")</f>
        <v>Explore in ECOTOX</v>
      </c>
    </row>
    <row r="3182" spans="1:18" x14ac:dyDescent="0.45">
      <c r="A3182" t="s">
        <v>1265</v>
      </c>
      <c r="B3182">
        <v>8</v>
      </c>
      <c r="C3182" t="str">
        <f>HYPERLINK("http://www.ncbi.nlm.nih.gov/protein/XP_035275239.1","XP_035275239.1")</f>
        <v>XP_035275239.1</v>
      </c>
      <c r="D3182">
        <v>86970</v>
      </c>
      <c r="E3182" t="str">
        <f>HYPERLINK("http://www.ncbi.nlm.nih.gov/Taxonomy/Browser/wwwtax.cgi?mode=Info&amp;id=7936&amp;lvl=3&amp;lin=f&amp;keep=1&amp;srchmode=1&amp;unlock","7936")</f>
        <v>7936</v>
      </c>
      <c r="F3182" t="s">
        <v>17</v>
      </c>
      <c r="G3182" t="str">
        <f>HYPERLINK("http://www.ncbi.nlm.nih.gov/Taxonomy/Browser/wwwtax.cgi?mode=Info&amp;id=7936&amp;lvl=3&amp;lin=f&amp;keep=1&amp;srchmode=1&amp;unlock","Anguilla anguilla")</f>
        <v>Anguilla anguilla</v>
      </c>
      <c r="H3182" t="s">
        <v>282</v>
      </c>
      <c r="I3182" t="str">
        <f>HYPERLINK("http://www.ncbi.nlm.nih.gov/protein/XP_035275239.1","ryanodine receptor 3 isoform X8")</f>
        <v>ryanodine receptor 3 isoform X8</v>
      </c>
      <c r="J3182">
        <v>8815.66</v>
      </c>
      <c r="K3182" t="s">
        <v>22</v>
      </c>
      <c r="L3182">
        <v>76</v>
      </c>
      <c r="M3182">
        <v>12.58</v>
      </c>
      <c r="N3182">
        <v>86.76</v>
      </c>
      <c r="O3182" t="s">
        <v>19</v>
      </c>
      <c r="P3182" t="s">
        <v>1320</v>
      </c>
      <c r="Q3182" t="s">
        <v>19</v>
      </c>
      <c r="R3182" t="str">
        <f>HYPERLINK("https://cfpub.epa.gov/ecotox/explore.cfm?ncbi=7936","Explore in ECOTOX")</f>
        <v>Explore in ECOTOX</v>
      </c>
    </row>
    <row r="3183" spans="1:18" x14ac:dyDescent="0.45">
      <c r="A3183" t="s">
        <v>1265</v>
      </c>
      <c r="B3183">
        <v>8</v>
      </c>
      <c r="C3183" t="str">
        <f>HYPERLINK("http://www.ncbi.nlm.nih.gov/protein/XP_039897729.1","XP_039897729.1")</f>
        <v>XP_039897729.1</v>
      </c>
      <c r="D3183">
        <v>53697</v>
      </c>
      <c r="E3183" t="str">
        <f>HYPERLINK("http://www.ncbi.nlm.nih.gov/Taxonomy/Browser/wwwtax.cgi?mode=Info&amp;id=43689&amp;lvl=3&amp;lin=f&amp;keep=1&amp;srchmode=1&amp;unlock","43689")</f>
        <v>43689</v>
      </c>
      <c r="F3183" t="s">
        <v>17</v>
      </c>
      <c r="G3183" t="str">
        <f>HYPERLINK("http://www.ncbi.nlm.nih.gov/Taxonomy/Browser/wwwtax.cgi?mode=Info&amp;id=43689&amp;lvl=3&amp;lin=f&amp;keep=1&amp;srchmode=1&amp;unlock","Simochromis diagramma")</f>
        <v>Simochromis diagramma</v>
      </c>
      <c r="H3183" t="s">
        <v>73</v>
      </c>
      <c r="I3183" t="str">
        <f>HYPERLINK("http://www.ncbi.nlm.nih.gov/protein/XP_039897729.1","ryanodine receptor 3-like isoform X7")</f>
        <v>ryanodine receptor 3-like isoform X7</v>
      </c>
      <c r="J3183">
        <v>8815.66</v>
      </c>
      <c r="K3183" t="s">
        <v>22</v>
      </c>
      <c r="L3183">
        <v>76</v>
      </c>
      <c r="M3183">
        <v>12.58</v>
      </c>
      <c r="N3183">
        <v>86.76</v>
      </c>
      <c r="O3183" t="s">
        <v>19</v>
      </c>
      <c r="P3183" t="s">
        <v>1320</v>
      </c>
      <c r="Q3183" t="s">
        <v>19</v>
      </c>
      <c r="R3183" t="str">
        <f>HYPERLINK("https://cfpub.epa.gov/ecotox/explore.cfm?ncbi=43689","Explore in ECOTOX")</f>
        <v>Explore in ECOTOX</v>
      </c>
    </row>
    <row r="3184" spans="1:18" x14ac:dyDescent="0.45">
      <c r="A3184" t="s">
        <v>1265</v>
      </c>
      <c r="B3184">
        <v>8</v>
      </c>
      <c r="C3184" t="str">
        <f>HYPERLINK("http://www.ncbi.nlm.nih.gov/protein/XP_024662014.1","XP_024662014.1")</f>
        <v>XP_024662014.1</v>
      </c>
      <c r="D3184">
        <v>46437</v>
      </c>
      <c r="E3184" t="str">
        <f>HYPERLINK("http://www.ncbi.nlm.nih.gov/Taxonomy/Browser/wwwtax.cgi?mode=Info&amp;id=106582&amp;lvl=3&amp;lin=f&amp;keep=1&amp;srchmode=1&amp;unlock","106582")</f>
        <v>106582</v>
      </c>
      <c r="F3184" t="s">
        <v>17</v>
      </c>
      <c r="G3184" t="str">
        <f>HYPERLINK("http://www.ncbi.nlm.nih.gov/Taxonomy/Browser/wwwtax.cgi?mode=Info&amp;id=106582&amp;lvl=3&amp;lin=f&amp;keep=1&amp;srchmode=1&amp;unlock","Maylandia zebra")</f>
        <v>Maylandia zebra</v>
      </c>
      <c r="H3184" t="s">
        <v>80</v>
      </c>
      <c r="I3184" t="str">
        <f>HYPERLINK("http://www.ncbi.nlm.nih.gov/protein/XP_024662014.1","ryanodine receptor 3 isoform X2")</f>
        <v>ryanodine receptor 3 isoform X2</v>
      </c>
      <c r="J3184">
        <v>8815.2800000000007</v>
      </c>
      <c r="K3184" t="s">
        <v>22</v>
      </c>
      <c r="L3184">
        <v>76</v>
      </c>
      <c r="M3184">
        <v>12.58</v>
      </c>
      <c r="N3184">
        <v>86.76</v>
      </c>
      <c r="O3184" t="s">
        <v>19</v>
      </c>
      <c r="P3184" t="s">
        <v>1320</v>
      </c>
      <c r="Q3184" t="s">
        <v>19</v>
      </c>
      <c r="R3184" t="str">
        <f>HYPERLINK("https://cfpub.epa.gov/ecotox/explore.cfm?ncbi=106582","Explore in ECOTOX")</f>
        <v>Explore in ECOTOX</v>
      </c>
    </row>
    <row r="3185" spans="1:18" x14ac:dyDescent="0.45">
      <c r="A3185" t="s">
        <v>1265</v>
      </c>
      <c r="B3185">
        <v>8</v>
      </c>
      <c r="C3185" t="str">
        <f>HYPERLINK("http://www.ncbi.nlm.nih.gov/protein/XP_044021705.1","XP_044021705.1")</f>
        <v>XP_044021705.1</v>
      </c>
      <c r="D3185">
        <v>59434</v>
      </c>
      <c r="E3185" t="str">
        <f>HYPERLINK("http://www.ncbi.nlm.nih.gov/Taxonomy/Browser/wwwtax.cgi?mode=Info&amp;id=119488&amp;lvl=3&amp;lin=f&amp;keep=1&amp;srchmode=1&amp;unlock","119488")</f>
        <v>119488</v>
      </c>
      <c r="F3185" t="s">
        <v>17</v>
      </c>
      <c r="G3185" t="str">
        <f>HYPERLINK("http://www.ncbi.nlm.nih.gov/Taxonomy/Browser/wwwtax.cgi?mode=Info&amp;id=119488&amp;lvl=3&amp;lin=f&amp;keep=1&amp;srchmode=1&amp;unlock","Siniperca chuatsi")</f>
        <v>Siniperca chuatsi</v>
      </c>
      <c r="H3185" t="s">
        <v>62</v>
      </c>
      <c r="I3185" t="str">
        <f>HYPERLINK("http://www.ncbi.nlm.nih.gov/protein/XP_044021705.1","ryanodine receptor 3-like isoform X12")</f>
        <v>ryanodine receptor 3-like isoform X12</v>
      </c>
      <c r="J3185">
        <v>8814.1200000000008</v>
      </c>
      <c r="K3185" t="s">
        <v>22</v>
      </c>
      <c r="L3185">
        <v>76</v>
      </c>
      <c r="M3185">
        <v>12.58</v>
      </c>
      <c r="N3185">
        <v>86.75</v>
      </c>
      <c r="O3185" t="s">
        <v>19</v>
      </c>
      <c r="P3185" t="s">
        <v>1320</v>
      </c>
      <c r="Q3185" t="s">
        <v>19</v>
      </c>
      <c r="R3185" t="str">
        <f>HYPERLINK("https://cfpub.epa.gov/ecotox/explore.cfm?ncbi=119488","Explore in ECOTOX")</f>
        <v>Explore in ECOTOX</v>
      </c>
    </row>
    <row r="3186" spans="1:18" x14ac:dyDescent="0.45">
      <c r="A3186" t="s">
        <v>1265</v>
      </c>
      <c r="B3186">
        <v>8</v>
      </c>
      <c r="C3186" t="str">
        <f>HYPERLINK("http://www.ncbi.nlm.nih.gov/protein/XP_031436769.1","XP_031436769.1")</f>
        <v>XP_031436769.1</v>
      </c>
      <c r="D3186">
        <v>47169</v>
      </c>
      <c r="E3186" t="str">
        <f>HYPERLINK("http://www.ncbi.nlm.nih.gov/Taxonomy/Browser/wwwtax.cgi?mode=Info&amp;id=7950&amp;lvl=3&amp;lin=f&amp;keep=1&amp;srchmode=1&amp;unlock","7950")</f>
        <v>7950</v>
      </c>
      <c r="F3186" t="s">
        <v>17</v>
      </c>
      <c r="G3186" t="str">
        <f>HYPERLINK("http://www.ncbi.nlm.nih.gov/Taxonomy/Browser/wwwtax.cgi?mode=Info&amp;id=7950&amp;lvl=3&amp;lin=f&amp;keep=1&amp;srchmode=1&amp;unlock","Clupea harengus")</f>
        <v>Clupea harengus</v>
      </c>
      <c r="H3186" t="s">
        <v>375</v>
      </c>
      <c r="I3186" t="str">
        <f>HYPERLINK("http://www.ncbi.nlm.nih.gov/protein/XP_031436769.1","LOW QUALITY PROTEIN: ryanodine receptor 3-like")</f>
        <v>LOW QUALITY PROTEIN: ryanodine receptor 3-like</v>
      </c>
      <c r="J3186">
        <v>8814.1200000000008</v>
      </c>
      <c r="K3186" t="s">
        <v>22</v>
      </c>
      <c r="L3186">
        <v>76</v>
      </c>
      <c r="M3186">
        <v>12.58</v>
      </c>
      <c r="N3186">
        <v>86.75</v>
      </c>
      <c r="O3186" t="s">
        <v>19</v>
      </c>
      <c r="P3186" t="s">
        <v>1320</v>
      </c>
      <c r="Q3186" t="s">
        <v>19</v>
      </c>
      <c r="R3186" t="str">
        <f>HYPERLINK("https://cfpub.epa.gov/ecotox/explore.cfm?ncbi=7950","Explore in ECOTOX")</f>
        <v>Explore in ECOTOX</v>
      </c>
    </row>
    <row r="3187" spans="1:18" x14ac:dyDescent="0.45">
      <c r="A3187" t="s">
        <v>1265</v>
      </c>
      <c r="B3187">
        <v>8</v>
      </c>
      <c r="C3187" t="str">
        <f>HYPERLINK("http://www.ncbi.nlm.nih.gov/protein/XP_006786089.1","XP_006786089.1")</f>
        <v>XP_006786089.1</v>
      </c>
      <c r="D3187">
        <v>36437</v>
      </c>
      <c r="E3187" t="str">
        <f>HYPERLINK("http://www.ncbi.nlm.nih.gov/Taxonomy/Browser/wwwtax.cgi?mode=Info&amp;id=32507&amp;lvl=3&amp;lin=f&amp;keep=1&amp;srchmode=1&amp;unlock","32507")</f>
        <v>32507</v>
      </c>
      <c r="F3187" t="s">
        <v>17</v>
      </c>
      <c r="G3187" t="str">
        <f>HYPERLINK("http://www.ncbi.nlm.nih.gov/Taxonomy/Browser/wwwtax.cgi?mode=Info&amp;id=32507&amp;lvl=3&amp;lin=f&amp;keep=1&amp;srchmode=1&amp;unlock","Neolamprologus brichardi")</f>
        <v>Neolamprologus brichardi</v>
      </c>
      <c r="H3187" t="s">
        <v>72</v>
      </c>
      <c r="I3187" t="str">
        <f>HYPERLINK("http://www.ncbi.nlm.nih.gov/protein/XP_006786089.1","ryanodine receptor 3-like isoform X3")</f>
        <v>ryanodine receptor 3-like isoform X3</v>
      </c>
      <c r="J3187">
        <v>8810.27</v>
      </c>
      <c r="K3187" t="s">
        <v>19</v>
      </c>
      <c r="L3187">
        <v>76</v>
      </c>
      <c r="M3187">
        <v>12.58</v>
      </c>
      <c r="N3187">
        <v>86.71</v>
      </c>
      <c r="O3187" t="s">
        <v>19</v>
      </c>
      <c r="P3187" t="s">
        <v>1320</v>
      </c>
      <c r="Q3187" t="s">
        <v>19</v>
      </c>
      <c r="R3187" t="str">
        <f>HYPERLINK("https://cfpub.epa.gov/ecotox/explore.cfm?ncbi=32507","Explore in ECOTOX")</f>
        <v>Explore in ECOTOX</v>
      </c>
    </row>
    <row r="3188" spans="1:18" x14ac:dyDescent="0.45">
      <c r="A3188" t="s">
        <v>1265</v>
      </c>
      <c r="B3188">
        <v>8</v>
      </c>
      <c r="C3188" t="str">
        <f>HYPERLINK("http://www.ncbi.nlm.nih.gov/protein/XP_033498888.1","XP_033498888.1")</f>
        <v>XP_033498888.1</v>
      </c>
      <c r="D3188">
        <v>43085</v>
      </c>
      <c r="E3188" t="str">
        <f>HYPERLINK("http://www.ncbi.nlm.nih.gov/Taxonomy/Browser/wwwtax.cgi?mode=Info&amp;id=310571&amp;lvl=3&amp;lin=f&amp;keep=1&amp;srchmode=1&amp;unlock","310571")</f>
        <v>310571</v>
      </c>
      <c r="F3188" t="s">
        <v>17</v>
      </c>
      <c r="G3188" t="str">
        <f>HYPERLINK("http://www.ncbi.nlm.nih.gov/Taxonomy/Browser/wwwtax.cgi?mode=Info&amp;id=310571&amp;lvl=3&amp;lin=f&amp;keep=1&amp;srchmode=1&amp;unlock","Epinephelus lanceolatus")</f>
        <v>Epinephelus lanceolatus</v>
      </c>
      <c r="H3188" t="s">
        <v>335</v>
      </c>
      <c r="I3188" t="str">
        <f>HYPERLINK("http://www.ncbi.nlm.nih.gov/protein/XP_033498888.1","LOW QUALITY PROTEIN: ryanodine receptor 3-like")</f>
        <v>LOW QUALITY PROTEIN: ryanodine receptor 3-like</v>
      </c>
      <c r="J3188">
        <v>8809.11</v>
      </c>
      <c r="K3188" t="s">
        <v>22</v>
      </c>
      <c r="L3188">
        <v>76</v>
      </c>
      <c r="M3188">
        <v>12.58</v>
      </c>
      <c r="N3188">
        <v>86.7</v>
      </c>
      <c r="O3188" t="s">
        <v>19</v>
      </c>
      <c r="P3188" t="s">
        <v>1320</v>
      </c>
      <c r="Q3188" t="s">
        <v>19</v>
      </c>
      <c r="R3188" t="str">
        <f>HYPERLINK("https://cfpub.epa.gov/ecotox/explore.cfm?ncbi=310571","Explore in ECOTOX")</f>
        <v>Explore in ECOTOX</v>
      </c>
    </row>
    <row r="3189" spans="1:18" x14ac:dyDescent="0.45">
      <c r="A3189" t="s">
        <v>1265</v>
      </c>
      <c r="B3189">
        <v>8</v>
      </c>
      <c r="C3189" t="str">
        <f>HYPERLINK("http://www.ncbi.nlm.nih.gov/protein/XP_019204642.1","XP_019204642.1")</f>
        <v>XP_019204642.1</v>
      </c>
      <c r="D3189">
        <v>63723</v>
      </c>
      <c r="E3189" t="str">
        <f>HYPERLINK("http://www.ncbi.nlm.nih.gov/Taxonomy/Browser/wwwtax.cgi?mode=Info&amp;id=8128&amp;lvl=3&amp;lin=f&amp;keep=1&amp;srchmode=1&amp;unlock","8128")</f>
        <v>8128</v>
      </c>
      <c r="F3189" t="s">
        <v>17</v>
      </c>
      <c r="G3189" t="str">
        <f>HYPERLINK("http://www.ncbi.nlm.nih.gov/Taxonomy/Browser/wwwtax.cgi?mode=Info&amp;id=8128&amp;lvl=3&amp;lin=f&amp;keep=1&amp;srchmode=1&amp;unlock","Oreochromis niloticus")</f>
        <v>Oreochromis niloticus</v>
      </c>
      <c r="H3189" t="s">
        <v>86</v>
      </c>
      <c r="I3189" t="str">
        <f>HYPERLINK("http://www.ncbi.nlm.nih.gov/protein/XP_019204642.1","ryanodine receptor 3 isoform X4")</f>
        <v>ryanodine receptor 3 isoform X4</v>
      </c>
      <c r="J3189">
        <v>8808.34</v>
      </c>
      <c r="K3189" t="s">
        <v>22</v>
      </c>
      <c r="L3189">
        <v>76</v>
      </c>
      <c r="M3189">
        <v>12.58</v>
      </c>
      <c r="N3189">
        <v>86.69</v>
      </c>
      <c r="O3189" t="s">
        <v>19</v>
      </c>
      <c r="P3189" t="s">
        <v>1320</v>
      </c>
      <c r="Q3189" t="s">
        <v>19</v>
      </c>
      <c r="R3189" t="str">
        <f>HYPERLINK("https://cfpub.epa.gov/ecotox/explore.cfm?ncbi=8128","Explore in ECOTOX")</f>
        <v>Explore in ECOTOX</v>
      </c>
    </row>
    <row r="3190" spans="1:18" x14ac:dyDescent="0.45">
      <c r="A3190" t="s">
        <v>1265</v>
      </c>
      <c r="B3190">
        <v>8</v>
      </c>
      <c r="C3190" t="str">
        <f>HYPERLINK("http://www.ncbi.nlm.nih.gov/protein/XP_029982083.1","XP_029982083.1")</f>
        <v>XP_029982083.1</v>
      </c>
      <c r="D3190">
        <v>42356</v>
      </c>
      <c r="E3190" t="str">
        <f>HYPERLINK("http://www.ncbi.nlm.nih.gov/Taxonomy/Browser/wwwtax.cgi?mode=Info&amp;id=375764&amp;lvl=3&amp;lin=f&amp;keep=1&amp;srchmode=1&amp;unlock","375764")</f>
        <v>375764</v>
      </c>
      <c r="F3190" t="s">
        <v>17</v>
      </c>
      <c r="G3190" t="str">
        <f>HYPERLINK("http://www.ncbi.nlm.nih.gov/Taxonomy/Browser/wwwtax.cgi?mode=Info&amp;id=375764&amp;lvl=3&amp;lin=f&amp;keep=1&amp;srchmode=1&amp;unlock","Sphaeramia orbicularis")</f>
        <v>Sphaeramia orbicularis</v>
      </c>
      <c r="H3190" t="s">
        <v>153</v>
      </c>
      <c r="I3190" t="str">
        <f>HYPERLINK("http://www.ncbi.nlm.nih.gov/protein/XP_029982083.1","ryanodine receptor 3-like")</f>
        <v>ryanodine receptor 3-like</v>
      </c>
      <c r="J3190">
        <v>8806.42</v>
      </c>
      <c r="K3190" t="s">
        <v>22</v>
      </c>
      <c r="L3190">
        <v>76</v>
      </c>
      <c r="M3190">
        <v>12.58</v>
      </c>
      <c r="N3190">
        <v>86.67</v>
      </c>
      <c r="O3190" t="s">
        <v>19</v>
      </c>
      <c r="P3190" t="s">
        <v>1320</v>
      </c>
      <c r="Q3190" t="s">
        <v>19</v>
      </c>
      <c r="R3190" t="str">
        <f>HYPERLINK("https://cfpub.epa.gov/ecotox/explore.cfm?ncbi=375764","Explore in ECOTOX")</f>
        <v>Explore in ECOTOX</v>
      </c>
    </row>
    <row r="3191" spans="1:18" x14ac:dyDescent="0.45">
      <c r="A3191" t="s">
        <v>1265</v>
      </c>
      <c r="B3191">
        <v>8</v>
      </c>
      <c r="C3191" t="str">
        <f>HYPERLINK("http://www.ncbi.nlm.nih.gov/protein/XP_036928489.1","XP_036928489.1")</f>
        <v>XP_036928489.1</v>
      </c>
      <c r="D3191">
        <v>54713</v>
      </c>
      <c r="E3191" t="str">
        <f>HYPERLINK("http://www.ncbi.nlm.nih.gov/Taxonomy/Browser/wwwtax.cgi?mode=Info&amp;id=8177&amp;lvl=3&amp;lin=f&amp;keep=1&amp;srchmode=1&amp;unlock","8177")</f>
        <v>8177</v>
      </c>
      <c r="F3191" t="s">
        <v>17</v>
      </c>
      <c r="G3191" t="str">
        <f>HYPERLINK("http://www.ncbi.nlm.nih.gov/Taxonomy/Browser/wwwtax.cgi?mode=Info&amp;id=8177&amp;lvl=3&amp;lin=f&amp;keep=1&amp;srchmode=1&amp;unlock","Acanthopagrus latus")</f>
        <v>Acanthopagrus latus</v>
      </c>
      <c r="H3191" t="s">
        <v>100</v>
      </c>
      <c r="I3191" t="str">
        <f>HYPERLINK("http://www.ncbi.nlm.nih.gov/protein/XP_036928489.1","ryanodine receptor 3-like isoform X3")</f>
        <v>ryanodine receptor 3-like isoform X3</v>
      </c>
      <c r="J3191">
        <v>8804.49</v>
      </c>
      <c r="K3191" t="s">
        <v>19</v>
      </c>
      <c r="L3191">
        <v>76</v>
      </c>
      <c r="M3191">
        <v>12.58</v>
      </c>
      <c r="N3191">
        <v>86.65</v>
      </c>
      <c r="O3191" t="s">
        <v>19</v>
      </c>
      <c r="P3191" t="s">
        <v>1320</v>
      </c>
      <c r="Q3191" t="s">
        <v>19</v>
      </c>
      <c r="R3191" t="str">
        <f>HYPERLINK("https://cfpub.epa.gov/ecotox/explore.cfm?ncbi=8177","Explore in ECOTOX")</f>
        <v>Explore in ECOTOX</v>
      </c>
    </row>
    <row r="3192" spans="1:18" x14ac:dyDescent="0.45">
      <c r="A3192" t="s">
        <v>1265</v>
      </c>
      <c r="B3192">
        <v>8</v>
      </c>
      <c r="C3192" t="str">
        <f>HYPERLINK("http://www.ncbi.nlm.nih.gov/protein/CAI5696833.1","CAI5696833.1")</f>
        <v>CAI5696833.1</v>
      </c>
      <c r="D3192">
        <v>120022</v>
      </c>
      <c r="E3192" t="str">
        <f>HYPERLINK("http://www.ncbi.nlm.nih.gov/Taxonomy/Browser/wwwtax.cgi?mode=Info&amp;id=9669&amp;lvl=3&amp;lin=f&amp;keep=1&amp;srchmode=1&amp;unlock","9669")</f>
        <v>9669</v>
      </c>
      <c r="F3192" t="s">
        <v>96</v>
      </c>
      <c r="G3192" t="str">
        <f>HYPERLINK("http://www.ncbi.nlm.nih.gov/Taxonomy/Browser/wwwtax.cgi?mode=Info&amp;id=9669&amp;lvl=3&amp;lin=f&amp;keep=1&amp;srchmode=1&amp;unlock","Mustela putorius furo")</f>
        <v>Mustela putorius furo</v>
      </c>
      <c r="H3192" t="s">
        <v>97</v>
      </c>
      <c r="I3192" t="str">
        <f>HYPERLINK("http://www.ncbi.nlm.nih.gov/protein/CAI5696833.1","unnamed protein product")</f>
        <v>unnamed protein product</v>
      </c>
      <c r="J3192">
        <v>8804.49</v>
      </c>
      <c r="K3192" t="s">
        <v>22</v>
      </c>
      <c r="L3192">
        <v>76</v>
      </c>
      <c r="M3192">
        <v>12.58</v>
      </c>
      <c r="N3192">
        <v>86.65</v>
      </c>
      <c r="O3192" t="s">
        <v>19</v>
      </c>
      <c r="P3192" t="s">
        <v>1320</v>
      </c>
      <c r="Q3192" t="s">
        <v>19</v>
      </c>
      <c r="R3192" t="str">
        <f>HYPERLINK("https://cfpub.epa.gov/ecotox/explore.cfm?ncbi=9669","Explore in ECOTOX")</f>
        <v>Explore in ECOTOX</v>
      </c>
    </row>
    <row r="3193" spans="1:18" x14ac:dyDescent="0.45">
      <c r="A3193" t="s">
        <v>1265</v>
      </c>
      <c r="B3193">
        <v>8</v>
      </c>
      <c r="C3193" t="str">
        <f>HYPERLINK("http://www.ncbi.nlm.nih.gov/protein/XP_042074192.1","XP_042074192.1")</f>
        <v>XP_042074192.1</v>
      </c>
      <c r="D3193">
        <v>49303</v>
      </c>
      <c r="E3193" t="str">
        <f>HYPERLINK("http://www.ncbi.nlm.nih.gov/Taxonomy/Browser/wwwtax.cgi?mode=Info&amp;id=8153&amp;lvl=3&amp;lin=f&amp;keep=1&amp;srchmode=1&amp;unlock","8153")</f>
        <v>8153</v>
      </c>
      <c r="F3193" t="s">
        <v>17</v>
      </c>
      <c r="G3193" t="str">
        <f>HYPERLINK("http://www.ncbi.nlm.nih.gov/Taxonomy/Browser/wwwtax.cgi?mode=Info&amp;id=8153&amp;lvl=3&amp;lin=f&amp;keep=1&amp;srchmode=1&amp;unlock","Haplochromis burtoni")</f>
        <v>Haplochromis burtoni</v>
      </c>
      <c r="H3193" t="s">
        <v>75</v>
      </c>
      <c r="I3193" t="str">
        <f>HYPERLINK("http://www.ncbi.nlm.nih.gov/protein/XP_042074192.1","ryanodine receptor 3 isoform X6")</f>
        <v>ryanodine receptor 3 isoform X6</v>
      </c>
      <c r="J3193">
        <v>8804.49</v>
      </c>
      <c r="K3193" t="s">
        <v>22</v>
      </c>
      <c r="L3193">
        <v>76</v>
      </c>
      <c r="M3193">
        <v>12.58</v>
      </c>
      <c r="N3193">
        <v>86.65</v>
      </c>
      <c r="O3193" t="s">
        <v>19</v>
      </c>
      <c r="P3193" t="s">
        <v>1320</v>
      </c>
      <c r="Q3193" t="s">
        <v>19</v>
      </c>
      <c r="R3193" t="str">
        <f>HYPERLINK("https://cfpub.epa.gov/ecotox/explore.cfm?ncbi=8153","Explore in ECOTOX")</f>
        <v>Explore in ECOTOX</v>
      </c>
    </row>
    <row r="3194" spans="1:18" x14ac:dyDescent="0.45">
      <c r="A3194" t="s">
        <v>1265</v>
      </c>
      <c r="B3194">
        <v>8</v>
      </c>
      <c r="C3194" t="str">
        <f>HYPERLINK("http://www.ncbi.nlm.nih.gov/protein/XP_026211310.1","XP_026211310.1")</f>
        <v>XP_026211310.1</v>
      </c>
      <c r="D3194">
        <v>40663</v>
      </c>
      <c r="E3194" t="str">
        <f>HYPERLINK("http://www.ncbi.nlm.nih.gov/Taxonomy/Browser/wwwtax.cgi?mode=Info&amp;id=64144&amp;lvl=3&amp;lin=f&amp;keep=1&amp;srchmode=1&amp;unlock","64144")</f>
        <v>64144</v>
      </c>
      <c r="F3194" t="s">
        <v>17</v>
      </c>
      <c r="G3194" t="str">
        <f>HYPERLINK("http://www.ncbi.nlm.nih.gov/Taxonomy/Browser/wwwtax.cgi?mode=Info&amp;id=64144&amp;lvl=3&amp;lin=f&amp;keep=1&amp;srchmode=1&amp;unlock","Anabas testudineus")</f>
        <v>Anabas testudineus</v>
      </c>
      <c r="H3194" t="s">
        <v>140</v>
      </c>
      <c r="I3194" t="str">
        <f>HYPERLINK("http://www.ncbi.nlm.nih.gov/protein/XP_026211310.1","ryanodine receptor 3-like")</f>
        <v>ryanodine receptor 3-like</v>
      </c>
      <c r="J3194">
        <v>8803.34</v>
      </c>
      <c r="K3194" t="s">
        <v>22</v>
      </c>
      <c r="L3194">
        <v>76</v>
      </c>
      <c r="M3194">
        <v>12.58</v>
      </c>
      <c r="N3194">
        <v>86.64</v>
      </c>
      <c r="O3194" t="s">
        <v>19</v>
      </c>
      <c r="P3194" t="s">
        <v>1320</v>
      </c>
      <c r="Q3194" t="s">
        <v>19</v>
      </c>
      <c r="R3194" t="str">
        <f>HYPERLINK("https://cfpub.epa.gov/ecotox/explore.cfm?ncbi=64144","Explore in ECOTOX")</f>
        <v>Explore in ECOTOX</v>
      </c>
    </row>
    <row r="3195" spans="1:18" x14ac:dyDescent="0.45">
      <c r="A3195" t="s">
        <v>1265</v>
      </c>
      <c r="B3195">
        <v>8</v>
      </c>
      <c r="C3195" t="str">
        <f>HYPERLINK("http://www.ncbi.nlm.nih.gov/protein/XP_055361918.1","XP_055361918.1")</f>
        <v>XP_055361918.1</v>
      </c>
      <c r="D3195">
        <v>52191</v>
      </c>
      <c r="E3195" t="str">
        <f>HYPERLINK("http://www.ncbi.nlm.nih.gov/Taxonomy/Browser/wwwtax.cgi?mode=Info&amp;id=158456&amp;lvl=3&amp;lin=f&amp;keep=1&amp;srchmode=1&amp;unlock","158456")</f>
        <v>158456</v>
      </c>
      <c r="F3195" t="s">
        <v>17</v>
      </c>
      <c r="G3195" t="str">
        <f>HYPERLINK("http://www.ncbi.nlm.nih.gov/Taxonomy/Browser/wwwtax.cgi?mode=Info&amp;id=158456&amp;lvl=3&amp;lin=f&amp;keep=1&amp;srchmode=1&amp;unlock","Betta splendens")</f>
        <v>Betta splendens</v>
      </c>
      <c r="H3195" t="s">
        <v>102</v>
      </c>
      <c r="I3195" t="str">
        <f>HYPERLINK("http://www.ncbi.nlm.nih.gov/protein/XP_055361918.1","ryanodine receptor 3-like isoform X3")</f>
        <v>ryanodine receptor 3-like isoform X3</v>
      </c>
      <c r="J3195">
        <v>8800.26</v>
      </c>
      <c r="K3195" t="s">
        <v>22</v>
      </c>
      <c r="L3195">
        <v>76</v>
      </c>
      <c r="M3195">
        <v>12.58</v>
      </c>
      <c r="N3195">
        <v>86.61</v>
      </c>
      <c r="O3195" t="s">
        <v>19</v>
      </c>
      <c r="P3195" t="s">
        <v>1320</v>
      </c>
      <c r="Q3195" t="s">
        <v>19</v>
      </c>
      <c r="R3195" t="str">
        <f>HYPERLINK("https://cfpub.epa.gov/ecotox/explore.cfm?ncbi=158456","Explore in ECOTOX")</f>
        <v>Explore in ECOTOX</v>
      </c>
    </row>
    <row r="3196" spans="1:18" x14ac:dyDescent="0.45">
      <c r="A3196" t="s">
        <v>1265</v>
      </c>
      <c r="B3196">
        <v>8</v>
      </c>
      <c r="C3196" t="str">
        <f>HYPERLINK("http://www.ncbi.nlm.nih.gov/protein/XP_047466818.1","XP_047466818.1")</f>
        <v>XP_047466818.1</v>
      </c>
      <c r="D3196">
        <v>45447</v>
      </c>
      <c r="E3196" t="str">
        <f>HYPERLINK("http://www.ncbi.nlm.nih.gov/Taxonomy/Browser/wwwtax.cgi?mode=Info&amp;id=48193&amp;lvl=3&amp;lin=f&amp;keep=1&amp;srchmode=1&amp;unlock","48193")</f>
        <v>48193</v>
      </c>
      <c r="F3196" t="s">
        <v>17</v>
      </c>
      <c r="G3196" t="str">
        <f>HYPERLINK("http://www.ncbi.nlm.nih.gov/Taxonomy/Browser/wwwtax.cgi?mode=Info&amp;id=48193&amp;lvl=3&amp;lin=f&amp;keep=1&amp;srchmode=1&amp;unlock","Mugil cephalus")</f>
        <v>Mugil cephalus</v>
      </c>
      <c r="H3196" t="s">
        <v>68</v>
      </c>
      <c r="I3196" t="str">
        <f>HYPERLINK("http://www.ncbi.nlm.nih.gov/protein/XP_047466818.1","ryanodine receptor 3-like isoform X7")</f>
        <v>ryanodine receptor 3-like isoform X7</v>
      </c>
      <c r="J3196">
        <v>8796.7900000000009</v>
      </c>
      <c r="K3196" t="s">
        <v>22</v>
      </c>
      <c r="L3196">
        <v>76</v>
      </c>
      <c r="M3196">
        <v>12.58</v>
      </c>
      <c r="N3196">
        <v>86.58</v>
      </c>
      <c r="O3196" t="s">
        <v>19</v>
      </c>
      <c r="P3196" t="s">
        <v>1320</v>
      </c>
      <c r="Q3196" t="s">
        <v>19</v>
      </c>
      <c r="R3196" t="str">
        <f>HYPERLINK("https://cfpub.epa.gov/ecotox/explore.cfm?ncbi=48193","Explore in ECOTOX")</f>
        <v>Explore in ECOTOX</v>
      </c>
    </row>
    <row r="3197" spans="1:18" x14ac:dyDescent="0.45">
      <c r="A3197" t="s">
        <v>1265</v>
      </c>
      <c r="B3197">
        <v>8</v>
      </c>
      <c r="C3197" t="str">
        <f>HYPERLINK("http://www.ncbi.nlm.nih.gov/protein/XP_030299708.1","XP_030299708.1")</f>
        <v>XP_030299708.1</v>
      </c>
      <c r="D3197">
        <v>54212</v>
      </c>
      <c r="E3197" t="str">
        <f>HYPERLINK("http://www.ncbi.nlm.nih.gov/Taxonomy/Browser/wwwtax.cgi?mode=Info&amp;id=8175&amp;lvl=3&amp;lin=f&amp;keep=1&amp;srchmode=1&amp;unlock","8175")</f>
        <v>8175</v>
      </c>
      <c r="F3197" t="s">
        <v>17</v>
      </c>
      <c r="G3197" t="str">
        <f>HYPERLINK("http://www.ncbi.nlm.nih.gov/Taxonomy/Browser/wwwtax.cgi?mode=Info&amp;id=8175&amp;lvl=3&amp;lin=f&amp;keep=1&amp;srchmode=1&amp;unlock","Sparus aurata")</f>
        <v>Sparus aurata</v>
      </c>
      <c r="H3197" t="s">
        <v>84</v>
      </c>
      <c r="I3197" t="str">
        <f>HYPERLINK("http://www.ncbi.nlm.nih.gov/protein/XP_030299708.1","ryanodine receptor 3-like isoform X8")</f>
        <v>ryanodine receptor 3-like isoform X8</v>
      </c>
      <c r="J3197">
        <v>8795.25</v>
      </c>
      <c r="K3197" t="s">
        <v>19</v>
      </c>
      <c r="L3197">
        <v>76</v>
      </c>
      <c r="M3197">
        <v>12.58</v>
      </c>
      <c r="N3197">
        <v>86.56</v>
      </c>
      <c r="O3197" t="s">
        <v>19</v>
      </c>
      <c r="P3197" t="s">
        <v>1320</v>
      </c>
      <c r="Q3197" t="s">
        <v>19</v>
      </c>
      <c r="R3197" t="str">
        <f>HYPERLINK("https://cfpub.epa.gov/ecotox/explore.cfm?ncbi=8175","Explore in ECOTOX")</f>
        <v>Explore in ECOTOX</v>
      </c>
    </row>
    <row r="3198" spans="1:18" x14ac:dyDescent="0.45">
      <c r="A3198" t="s">
        <v>1265</v>
      </c>
      <c r="B3198">
        <v>8</v>
      </c>
      <c r="C3198" t="str">
        <f>HYPERLINK("http://www.ncbi.nlm.nih.gov/protein/XP_039993328.1","XP_039993328.1")</f>
        <v>XP_039993328.1</v>
      </c>
      <c r="D3198">
        <v>44874</v>
      </c>
      <c r="E3198" t="str">
        <f>HYPERLINK("http://www.ncbi.nlm.nih.gov/Taxonomy/Browser/wwwtax.cgi?mode=Info&amp;id=8245&amp;lvl=3&amp;lin=f&amp;keep=1&amp;srchmode=1&amp;unlock","8245")</f>
        <v>8245</v>
      </c>
      <c r="F3198" t="s">
        <v>17</v>
      </c>
      <c r="G3198" t="str">
        <f>HYPERLINK("http://www.ncbi.nlm.nih.gov/Taxonomy/Browser/wwwtax.cgi?mode=Info&amp;id=8245&amp;lvl=3&amp;lin=f&amp;keep=1&amp;srchmode=1&amp;unlock","Xiphias gladius")</f>
        <v>Xiphias gladius</v>
      </c>
      <c r="H3198" t="s">
        <v>113</v>
      </c>
      <c r="I3198" t="str">
        <f>HYPERLINK("http://www.ncbi.nlm.nih.gov/protein/XP_039993328.1","ryanodine receptor 3-like")</f>
        <v>ryanodine receptor 3-like</v>
      </c>
      <c r="J3198">
        <v>8794.86</v>
      </c>
      <c r="K3198" t="s">
        <v>19</v>
      </c>
      <c r="L3198">
        <v>76</v>
      </c>
      <c r="M3198">
        <v>12.58</v>
      </c>
      <c r="N3198">
        <v>86.56</v>
      </c>
      <c r="O3198" t="s">
        <v>19</v>
      </c>
      <c r="P3198" t="s">
        <v>1320</v>
      </c>
      <c r="Q3198" t="s">
        <v>19</v>
      </c>
      <c r="R3198" t="str">
        <f>HYPERLINK("https://cfpub.epa.gov/ecotox/explore.cfm?ncbi=8245","Explore in ECOTOX")</f>
        <v>Explore in ECOTOX</v>
      </c>
    </row>
    <row r="3199" spans="1:18" x14ac:dyDescent="0.45">
      <c r="A3199" t="s">
        <v>1265</v>
      </c>
      <c r="B3199">
        <v>8</v>
      </c>
      <c r="C3199" t="str">
        <f>HYPERLINK("http://www.ncbi.nlm.nih.gov/protein/XP_039641456.1","XP_039641456.1")</f>
        <v>XP_039641456.1</v>
      </c>
      <c r="D3199">
        <v>74384</v>
      </c>
      <c r="E3199" t="str">
        <f>HYPERLINK("http://www.ncbi.nlm.nih.gov/Taxonomy/Browser/wwwtax.cgi?mode=Info&amp;id=8168&amp;lvl=3&amp;lin=f&amp;keep=1&amp;srchmode=1&amp;unlock","8168")</f>
        <v>8168</v>
      </c>
      <c r="F3199" t="s">
        <v>17</v>
      </c>
      <c r="G3199" t="str">
        <f>HYPERLINK("http://www.ncbi.nlm.nih.gov/Taxonomy/Browser/wwwtax.cgi?mode=Info&amp;id=8168&amp;lvl=3&amp;lin=f&amp;keep=1&amp;srchmode=1&amp;unlock","Perca fluviatilis")</f>
        <v>Perca fluviatilis</v>
      </c>
      <c r="H3199" t="s">
        <v>118</v>
      </c>
      <c r="I3199" t="str">
        <f>HYPERLINK("http://www.ncbi.nlm.nih.gov/protein/XP_039641456.1","ryanodine receptor 3-like isoform X12")</f>
        <v>ryanodine receptor 3-like isoform X12</v>
      </c>
      <c r="J3199">
        <v>8794.48</v>
      </c>
      <c r="K3199" t="s">
        <v>19</v>
      </c>
      <c r="L3199">
        <v>76</v>
      </c>
      <c r="M3199">
        <v>12.58</v>
      </c>
      <c r="N3199">
        <v>86.55</v>
      </c>
      <c r="O3199" t="s">
        <v>19</v>
      </c>
      <c r="P3199" t="s">
        <v>1320</v>
      </c>
      <c r="Q3199" t="s">
        <v>19</v>
      </c>
      <c r="R3199" t="str">
        <f>HYPERLINK("https://cfpub.epa.gov/ecotox/explore.cfm?ncbi=8168","Explore in ECOTOX")</f>
        <v>Explore in ECOTOX</v>
      </c>
    </row>
    <row r="3200" spans="1:18" x14ac:dyDescent="0.45">
      <c r="A3200" t="s">
        <v>1265</v>
      </c>
      <c r="B3200">
        <v>8</v>
      </c>
      <c r="C3200" t="str">
        <f>HYPERLINK("http://www.ncbi.nlm.nih.gov/protein/XP_042244104.1","XP_042244104.1")</f>
        <v>XP_042244104.1</v>
      </c>
      <c r="D3200">
        <v>49622</v>
      </c>
      <c r="E3200" t="str">
        <f>HYPERLINK("http://www.ncbi.nlm.nih.gov/Taxonomy/Browser/wwwtax.cgi?mode=Info&amp;id=8240&amp;lvl=3&amp;lin=f&amp;keep=1&amp;srchmode=1&amp;unlock","8240")</f>
        <v>8240</v>
      </c>
      <c r="F3200" t="s">
        <v>17</v>
      </c>
      <c r="G3200" t="str">
        <f>HYPERLINK("http://www.ncbi.nlm.nih.gov/Taxonomy/Browser/wwwtax.cgi?mode=Info&amp;id=8240&amp;lvl=3&amp;lin=f&amp;keep=1&amp;srchmode=1&amp;unlock","Thunnus maccoyii")</f>
        <v>Thunnus maccoyii</v>
      </c>
      <c r="H3200" t="s">
        <v>420</v>
      </c>
      <c r="I3200" t="str">
        <f>HYPERLINK("http://www.ncbi.nlm.nih.gov/protein/XP_042244104.1","ryanodine receptor 3-like")</f>
        <v>ryanodine receptor 3-like</v>
      </c>
      <c r="J3200">
        <v>8788.7000000000007</v>
      </c>
      <c r="K3200" t="s">
        <v>22</v>
      </c>
      <c r="L3200">
        <v>76</v>
      </c>
      <c r="M3200">
        <v>12.58</v>
      </c>
      <c r="N3200">
        <v>86.5</v>
      </c>
      <c r="O3200" t="s">
        <v>19</v>
      </c>
      <c r="P3200" t="s">
        <v>1320</v>
      </c>
      <c r="Q3200" t="s">
        <v>19</v>
      </c>
      <c r="R3200" t="str">
        <f>HYPERLINK("https://cfpub.epa.gov/ecotox/explore.cfm?ncbi=8240","Explore in ECOTOX")</f>
        <v>Explore in ECOTOX</v>
      </c>
    </row>
    <row r="3201" spans="1:18" x14ac:dyDescent="0.45">
      <c r="A3201" t="s">
        <v>1265</v>
      </c>
      <c r="B3201">
        <v>8</v>
      </c>
      <c r="C3201" t="str">
        <f>HYPERLINK("http://www.ncbi.nlm.nih.gov/protein/XP_035850394.1","XP_035850394.1")</f>
        <v>XP_035850394.1</v>
      </c>
      <c r="D3201">
        <v>56708</v>
      </c>
      <c r="E3201" t="str">
        <f>HYPERLINK("http://www.ncbi.nlm.nih.gov/Taxonomy/Browser/wwwtax.cgi?mode=Info&amp;id=283035&amp;lvl=3&amp;lin=f&amp;keep=1&amp;srchmode=1&amp;unlock","283035")</f>
        <v>283035</v>
      </c>
      <c r="F3201" t="s">
        <v>17</v>
      </c>
      <c r="G3201" t="str">
        <f>HYPERLINK("http://www.ncbi.nlm.nih.gov/Taxonomy/Browser/wwwtax.cgi?mode=Info&amp;id=283035&amp;lvl=3&amp;lin=f&amp;keep=1&amp;srchmode=1&amp;unlock","Sander lucioperca")</f>
        <v>Sander lucioperca</v>
      </c>
      <c r="H3201" t="s">
        <v>99</v>
      </c>
      <c r="I3201" t="str">
        <f>HYPERLINK("http://www.ncbi.nlm.nih.gov/protein/XP_035850394.1","ryanodine receptor 3-like isoform X4")</f>
        <v>ryanodine receptor 3-like isoform X4</v>
      </c>
      <c r="J3201">
        <v>8787.93</v>
      </c>
      <c r="K3201" t="s">
        <v>22</v>
      </c>
      <c r="L3201">
        <v>76</v>
      </c>
      <c r="M3201">
        <v>12.58</v>
      </c>
      <c r="N3201">
        <v>86.49</v>
      </c>
      <c r="O3201" t="s">
        <v>19</v>
      </c>
      <c r="P3201" t="s">
        <v>1320</v>
      </c>
      <c r="Q3201" t="s">
        <v>19</v>
      </c>
      <c r="R3201" t="str">
        <f>HYPERLINK("https://cfpub.epa.gov/ecotox/explore.cfm?ncbi=283035","Explore in ECOTOX")</f>
        <v>Explore in ECOTOX</v>
      </c>
    </row>
    <row r="3202" spans="1:18" x14ac:dyDescent="0.45">
      <c r="A3202" t="s">
        <v>1265</v>
      </c>
      <c r="B3202">
        <v>8</v>
      </c>
      <c r="C3202" t="str">
        <f>HYPERLINK("http://www.ncbi.nlm.nih.gov/protein/XP_048830197.1","XP_048830197.1")</f>
        <v>XP_048830197.1</v>
      </c>
      <c r="D3202">
        <v>62344</v>
      </c>
      <c r="E3202" t="str">
        <f>HYPERLINK("http://www.ncbi.nlm.nih.gov/Taxonomy/Browser/wwwtax.cgi?mode=Info&amp;id=42636&amp;lvl=3&amp;lin=f&amp;keep=1&amp;srchmode=1&amp;unlock","42636")</f>
        <v>42636</v>
      </c>
      <c r="F3202" t="s">
        <v>17</v>
      </c>
      <c r="G3202" t="str">
        <f>HYPERLINK("http://www.ncbi.nlm.nih.gov/Taxonomy/Browser/wwwtax.cgi?mode=Info&amp;id=42636&amp;lvl=3&amp;lin=f&amp;keep=1&amp;srchmode=1&amp;unlock","Brienomyrus brachyistius")</f>
        <v>Brienomyrus brachyistius</v>
      </c>
      <c r="H3202" t="s">
        <v>79</v>
      </c>
      <c r="I3202" t="str">
        <f>HYPERLINK("http://www.ncbi.nlm.nih.gov/protein/XP_048830197.1","ryanodine receptor 3 isoform X3")</f>
        <v>ryanodine receptor 3 isoform X3</v>
      </c>
      <c r="J3202">
        <v>8787.5400000000009</v>
      </c>
      <c r="K3202" t="s">
        <v>22</v>
      </c>
      <c r="L3202">
        <v>76</v>
      </c>
      <c r="M3202">
        <v>12.58</v>
      </c>
      <c r="N3202">
        <v>86.48</v>
      </c>
      <c r="O3202" t="s">
        <v>19</v>
      </c>
      <c r="P3202" t="s">
        <v>1320</v>
      </c>
      <c r="Q3202" t="s">
        <v>19</v>
      </c>
      <c r="R3202" t="str">
        <f>HYPERLINK("https://cfpub.epa.gov/ecotox/explore.cfm?ncbi=42636","Explore in ECOTOX")</f>
        <v>Explore in ECOTOX</v>
      </c>
    </row>
    <row r="3203" spans="1:18" x14ac:dyDescent="0.45">
      <c r="A3203" t="s">
        <v>1265</v>
      </c>
      <c r="B3203">
        <v>8</v>
      </c>
      <c r="C3203" t="str">
        <f>HYPERLINK("http://www.ncbi.nlm.nih.gov/protein/XP_036397616.1","XP_036397616.1")</f>
        <v>XP_036397616.1</v>
      </c>
      <c r="D3203">
        <v>40219</v>
      </c>
      <c r="E3203" t="str">
        <f>HYPERLINK("http://www.ncbi.nlm.nih.gov/Taxonomy/Browser/wwwtax.cgi?mode=Info&amp;id=118141&amp;lvl=3&amp;lin=f&amp;keep=1&amp;srchmode=1&amp;unlock","118141")</f>
        <v>118141</v>
      </c>
      <c r="F3203" t="s">
        <v>17</v>
      </c>
      <c r="G3203" t="str">
        <f>HYPERLINK("http://www.ncbi.nlm.nih.gov/Taxonomy/Browser/wwwtax.cgi?mode=Info&amp;id=118141&amp;lvl=3&amp;lin=f&amp;keep=1&amp;srchmode=1&amp;unlock","Megalops cyprinoides")</f>
        <v>Megalops cyprinoides</v>
      </c>
      <c r="H3203" t="s">
        <v>724</v>
      </c>
      <c r="I3203" t="str">
        <f>HYPERLINK("http://www.ncbi.nlm.nih.gov/protein/XP_036397616.1","ryanodine receptor 3-like isoform X7")</f>
        <v>ryanodine receptor 3-like isoform X7</v>
      </c>
      <c r="J3203">
        <v>8787.16</v>
      </c>
      <c r="K3203" t="s">
        <v>19</v>
      </c>
      <c r="L3203">
        <v>76</v>
      </c>
      <c r="M3203">
        <v>12.58</v>
      </c>
      <c r="N3203">
        <v>86.48</v>
      </c>
      <c r="O3203" t="s">
        <v>19</v>
      </c>
      <c r="P3203" t="s">
        <v>1320</v>
      </c>
      <c r="Q3203" t="s">
        <v>19</v>
      </c>
      <c r="R3203" t="str">
        <f>HYPERLINK("https://cfpub.epa.gov/ecotox/explore.cfm?ncbi=118141","Explore in ECOTOX")</f>
        <v>Explore in ECOTOX</v>
      </c>
    </row>
    <row r="3204" spans="1:18" x14ac:dyDescent="0.45">
      <c r="A3204" t="s">
        <v>1265</v>
      </c>
      <c r="B3204">
        <v>8</v>
      </c>
      <c r="C3204" t="str">
        <f>HYPERLINK("http://www.ncbi.nlm.nih.gov/protein/XP_032355552.1","XP_032355552.1")</f>
        <v>XP_032355552.1</v>
      </c>
      <c r="D3204">
        <v>64511</v>
      </c>
      <c r="E3204" t="str">
        <f>HYPERLINK("http://www.ncbi.nlm.nih.gov/Taxonomy/Browser/wwwtax.cgi?mode=Info&amp;id=54343&amp;lvl=3&amp;lin=f&amp;keep=1&amp;srchmode=1&amp;unlock","54343")</f>
        <v>54343</v>
      </c>
      <c r="F3204" t="s">
        <v>17</v>
      </c>
      <c r="G3204" t="str">
        <f>HYPERLINK("http://www.ncbi.nlm.nih.gov/Taxonomy/Browser/wwwtax.cgi?mode=Info&amp;id=54343&amp;lvl=3&amp;lin=f&amp;keep=1&amp;srchmode=1&amp;unlock","Etheostoma spectabile")</f>
        <v>Etheostoma spectabile</v>
      </c>
      <c r="H3204" t="s">
        <v>89</v>
      </c>
      <c r="I3204" t="str">
        <f>HYPERLINK("http://www.ncbi.nlm.nih.gov/protein/XP_032355552.1","ryanodine receptor 3-like isoform X5")</f>
        <v>ryanodine receptor 3-like isoform X5</v>
      </c>
      <c r="J3204">
        <v>8784.85</v>
      </c>
      <c r="K3204" t="s">
        <v>22</v>
      </c>
      <c r="L3204">
        <v>76</v>
      </c>
      <c r="M3204">
        <v>12.58</v>
      </c>
      <c r="N3204">
        <v>86.46</v>
      </c>
      <c r="O3204" t="s">
        <v>19</v>
      </c>
      <c r="P3204" t="s">
        <v>1320</v>
      </c>
      <c r="Q3204" t="s">
        <v>19</v>
      </c>
      <c r="R3204" t="str">
        <f>HYPERLINK("https://cfpub.epa.gov/ecotox/explore.cfm?ncbi=54343","Explore in ECOTOX")</f>
        <v>Explore in ECOTOX</v>
      </c>
    </row>
    <row r="3205" spans="1:18" x14ac:dyDescent="0.45">
      <c r="A3205" t="s">
        <v>1265</v>
      </c>
      <c r="B3205">
        <v>8</v>
      </c>
      <c r="C3205" t="str">
        <f>HYPERLINK("http://www.ncbi.nlm.nih.gov/protein/XP_027130695.1","XP_027130695.1")</f>
        <v>XP_027130695.1</v>
      </c>
      <c r="D3205">
        <v>94610</v>
      </c>
      <c r="E3205" t="str">
        <f>HYPERLINK("http://www.ncbi.nlm.nih.gov/Taxonomy/Browser/wwwtax.cgi?mode=Info&amp;id=215358&amp;lvl=3&amp;lin=f&amp;keep=1&amp;srchmode=1&amp;unlock","215358")</f>
        <v>215358</v>
      </c>
      <c r="F3205" t="s">
        <v>17</v>
      </c>
      <c r="G3205" t="str">
        <f>HYPERLINK("http://www.ncbi.nlm.nih.gov/Taxonomy/Browser/wwwtax.cgi?mode=Info&amp;id=215358&amp;lvl=3&amp;lin=f&amp;keep=1&amp;srchmode=1&amp;unlock","Larimichthys crocea")</f>
        <v>Larimichthys crocea</v>
      </c>
      <c r="H3205" t="s">
        <v>55</v>
      </c>
      <c r="I3205" t="str">
        <f>HYPERLINK("http://www.ncbi.nlm.nih.gov/protein/XP_027130695.1","ryanodine receptor 3")</f>
        <v>ryanodine receptor 3</v>
      </c>
      <c r="J3205">
        <v>8783.69</v>
      </c>
      <c r="K3205" t="s">
        <v>22</v>
      </c>
      <c r="L3205">
        <v>76</v>
      </c>
      <c r="M3205">
        <v>12.58</v>
      </c>
      <c r="N3205">
        <v>86.45</v>
      </c>
      <c r="O3205" t="s">
        <v>19</v>
      </c>
      <c r="P3205" t="s">
        <v>1320</v>
      </c>
      <c r="Q3205" t="s">
        <v>19</v>
      </c>
      <c r="R3205" t="str">
        <f>HYPERLINK("https://cfpub.epa.gov/ecotox/explore.cfm?ncbi=215358","Explore in ECOTOX")</f>
        <v>Explore in ECOTOX</v>
      </c>
    </row>
    <row r="3206" spans="1:18" x14ac:dyDescent="0.45">
      <c r="A3206" t="s">
        <v>1265</v>
      </c>
      <c r="B3206">
        <v>8</v>
      </c>
      <c r="C3206" t="str">
        <f>HYPERLINK("http://www.ncbi.nlm.nih.gov/protein/XP_044231144.1","XP_044231144.1")</f>
        <v>XP_044231144.1</v>
      </c>
      <c r="D3206">
        <v>48680</v>
      </c>
      <c r="E3206" t="str">
        <f>HYPERLINK("http://www.ncbi.nlm.nih.gov/Taxonomy/Browser/wwwtax.cgi?mode=Info&amp;id=8236&amp;lvl=3&amp;lin=f&amp;keep=1&amp;srchmode=1&amp;unlock","8236")</f>
        <v>8236</v>
      </c>
      <c r="F3206" t="s">
        <v>17</v>
      </c>
      <c r="G3206" t="str">
        <f>HYPERLINK("http://www.ncbi.nlm.nih.gov/Taxonomy/Browser/wwwtax.cgi?mode=Info&amp;id=8236&amp;lvl=3&amp;lin=f&amp;keep=1&amp;srchmode=1&amp;unlock","Thunnus albacares")</f>
        <v>Thunnus albacares</v>
      </c>
      <c r="H3206" t="s">
        <v>424</v>
      </c>
      <c r="I3206" t="str">
        <f>HYPERLINK("http://www.ncbi.nlm.nih.gov/protein/XP_044231144.1","ryanodine receptor 3-like isoform X4")</f>
        <v>ryanodine receptor 3-like isoform X4</v>
      </c>
      <c r="J3206">
        <v>8780.61</v>
      </c>
      <c r="K3206" t="s">
        <v>22</v>
      </c>
      <c r="L3206">
        <v>76</v>
      </c>
      <c r="M3206">
        <v>12.58</v>
      </c>
      <c r="N3206">
        <v>86.42</v>
      </c>
      <c r="O3206" t="s">
        <v>19</v>
      </c>
      <c r="P3206" t="s">
        <v>1320</v>
      </c>
      <c r="Q3206" t="s">
        <v>19</v>
      </c>
      <c r="R3206" t="str">
        <f>HYPERLINK("https://cfpub.epa.gov/ecotox/explore.cfm?ncbi=8236","Explore in ECOTOX")</f>
        <v>Explore in ECOTOX</v>
      </c>
    </row>
    <row r="3207" spans="1:18" x14ac:dyDescent="0.45">
      <c r="A3207" t="s">
        <v>1265</v>
      </c>
      <c r="B3207">
        <v>8</v>
      </c>
      <c r="C3207" t="str">
        <f>HYPERLINK("http://www.ncbi.nlm.nih.gov/protein/XP_037602140.1","XP_037602140.1")</f>
        <v>XP_037602140.1</v>
      </c>
      <c r="D3207">
        <v>50721</v>
      </c>
      <c r="E3207" t="str">
        <f>HYPERLINK("http://www.ncbi.nlm.nih.gov/Taxonomy/Browser/wwwtax.cgi?mode=Info&amp;id=72105&amp;lvl=3&amp;lin=f&amp;keep=1&amp;srchmode=1&amp;unlock","72105")</f>
        <v>72105</v>
      </c>
      <c r="F3207" t="s">
        <v>17</v>
      </c>
      <c r="G3207" t="str">
        <f>HYPERLINK("http://www.ncbi.nlm.nih.gov/Taxonomy/Browser/wwwtax.cgi?mode=Info&amp;id=72105&amp;lvl=3&amp;lin=f&amp;keep=1&amp;srchmode=1&amp;unlock","Sebastes umbrosus")</f>
        <v>Sebastes umbrosus</v>
      </c>
      <c r="H3207" t="s">
        <v>455</v>
      </c>
      <c r="I3207" t="str">
        <f>HYPERLINK("http://www.ncbi.nlm.nih.gov/protein/XP_037602140.1","ryanodine receptor 3-like isoform X8")</f>
        <v>ryanodine receptor 3-like isoform X8</v>
      </c>
      <c r="J3207">
        <v>8775.99</v>
      </c>
      <c r="K3207" t="s">
        <v>22</v>
      </c>
      <c r="L3207">
        <v>76</v>
      </c>
      <c r="M3207">
        <v>12.58</v>
      </c>
      <c r="N3207">
        <v>86.37</v>
      </c>
      <c r="O3207" t="s">
        <v>19</v>
      </c>
      <c r="P3207" t="s">
        <v>1320</v>
      </c>
      <c r="Q3207" t="s">
        <v>19</v>
      </c>
      <c r="R3207" t="str">
        <f>HYPERLINK("https://cfpub.epa.gov/ecotox/explore.cfm?ncbi=72105","Explore in ECOTOX")</f>
        <v>Explore in ECOTOX</v>
      </c>
    </row>
    <row r="3208" spans="1:18" x14ac:dyDescent="0.45">
      <c r="A3208" t="s">
        <v>1265</v>
      </c>
      <c r="B3208">
        <v>8</v>
      </c>
      <c r="C3208" t="str">
        <f>HYPERLINK("http://www.ncbi.nlm.nih.gov/protein/XP_031644071.1","XP_031644071.1")</f>
        <v>XP_031644071.1</v>
      </c>
      <c r="D3208">
        <v>89618</v>
      </c>
      <c r="E3208" t="str">
        <f>HYPERLINK("http://www.ncbi.nlm.nih.gov/Taxonomy/Browser/wwwtax.cgi?mode=Info&amp;id=8019&amp;lvl=3&amp;lin=f&amp;keep=1&amp;srchmode=1&amp;unlock","8019")</f>
        <v>8019</v>
      </c>
      <c r="F3208" t="s">
        <v>17</v>
      </c>
      <c r="G3208" t="str">
        <f>HYPERLINK("http://www.ncbi.nlm.nih.gov/Taxonomy/Browser/wwwtax.cgi?mode=Info&amp;id=8019&amp;lvl=3&amp;lin=f&amp;keep=1&amp;srchmode=1&amp;unlock","Oncorhynchus kisutch")</f>
        <v>Oncorhynchus kisutch</v>
      </c>
      <c r="H3208" t="s">
        <v>164</v>
      </c>
      <c r="I3208" t="str">
        <f>HYPERLINK("http://www.ncbi.nlm.nih.gov/protein/XP_031644071.1","ryanodine receptor 3-like isoform X4")</f>
        <v>ryanodine receptor 3-like isoform X4</v>
      </c>
      <c r="J3208">
        <v>8770.98</v>
      </c>
      <c r="K3208" t="s">
        <v>22</v>
      </c>
      <c r="L3208">
        <v>76</v>
      </c>
      <c r="M3208">
        <v>12.58</v>
      </c>
      <c r="N3208">
        <v>86.32</v>
      </c>
      <c r="O3208" t="s">
        <v>19</v>
      </c>
      <c r="P3208" t="s">
        <v>1320</v>
      </c>
      <c r="Q3208" t="s">
        <v>19</v>
      </c>
      <c r="R3208" t="str">
        <f>HYPERLINK("https://cfpub.epa.gov/ecotox/explore.cfm?ncbi=8019","Explore in ECOTOX")</f>
        <v>Explore in ECOTOX</v>
      </c>
    </row>
    <row r="3209" spans="1:18" x14ac:dyDescent="0.45">
      <c r="A3209" t="s">
        <v>1265</v>
      </c>
      <c r="B3209">
        <v>8</v>
      </c>
      <c r="C3209" t="str">
        <f>HYPERLINK("http://www.ncbi.nlm.nih.gov/protein/XP_036066007.1","XP_036066007.1")</f>
        <v>XP_036066007.1</v>
      </c>
      <c r="D3209">
        <v>69270</v>
      </c>
      <c r="E3209" t="str">
        <f>HYPERLINK("http://www.ncbi.nlm.nih.gov/Taxonomy/Browser/wwwtax.cgi?mode=Info&amp;id=30732&amp;lvl=3&amp;lin=f&amp;keep=1&amp;srchmode=1&amp;unlock","30732")</f>
        <v>30732</v>
      </c>
      <c r="F3209" t="s">
        <v>17</v>
      </c>
      <c r="G3209" t="str">
        <f>HYPERLINK("http://www.ncbi.nlm.nih.gov/Taxonomy/Browser/wwwtax.cgi?mode=Info&amp;id=30732&amp;lvl=3&amp;lin=f&amp;keep=1&amp;srchmode=1&amp;unlock","Oryzias melastigma")</f>
        <v>Oryzias melastigma</v>
      </c>
      <c r="H3209" t="s">
        <v>69</v>
      </c>
      <c r="I3209" t="str">
        <f>HYPERLINK("http://www.ncbi.nlm.nih.gov/protein/XP_036066007.1","ryanodine receptor 3 isoform X7")</f>
        <v>ryanodine receptor 3 isoform X7</v>
      </c>
      <c r="J3209">
        <v>8770.98</v>
      </c>
      <c r="K3209" t="s">
        <v>19</v>
      </c>
      <c r="L3209">
        <v>76</v>
      </c>
      <c r="M3209">
        <v>12.58</v>
      </c>
      <c r="N3209">
        <v>86.32</v>
      </c>
      <c r="O3209" t="s">
        <v>19</v>
      </c>
      <c r="P3209" t="s">
        <v>1320</v>
      </c>
      <c r="Q3209" t="s">
        <v>19</v>
      </c>
      <c r="R3209" t="str">
        <f>HYPERLINK("https://cfpub.epa.gov/ecotox/explore.cfm?ncbi=30732","Explore in ECOTOX")</f>
        <v>Explore in ECOTOX</v>
      </c>
    </row>
    <row r="3210" spans="1:18" x14ac:dyDescent="0.45">
      <c r="A3210" t="s">
        <v>1265</v>
      </c>
      <c r="B3210">
        <v>8</v>
      </c>
      <c r="C3210" t="str">
        <f>HYPERLINK("http://www.ncbi.nlm.nih.gov/protein/XP_034714451.1","XP_034714451.1")</f>
        <v>XP_034714451.1</v>
      </c>
      <c r="D3210">
        <v>45233</v>
      </c>
      <c r="E3210" t="str">
        <f>HYPERLINK("http://www.ncbi.nlm.nih.gov/Taxonomy/Browser/wwwtax.cgi?mode=Info&amp;id=417921&amp;lvl=3&amp;lin=f&amp;keep=1&amp;srchmode=1&amp;unlock","417921")</f>
        <v>417921</v>
      </c>
      <c r="F3210" t="s">
        <v>17</v>
      </c>
      <c r="G3210" t="str">
        <f>HYPERLINK("http://www.ncbi.nlm.nih.gov/Taxonomy/Browser/wwwtax.cgi?mode=Info&amp;id=417921&amp;lvl=3&amp;lin=f&amp;keep=1&amp;srchmode=1&amp;unlock","Etheostoma cragini")</f>
        <v>Etheostoma cragini</v>
      </c>
      <c r="H3210" t="s">
        <v>76</v>
      </c>
      <c r="I3210" t="str">
        <f>HYPERLINK("http://www.ncbi.nlm.nih.gov/protein/XP_034714451.1","ryanodine receptor 3-like isoform X5")</f>
        <v>ryanodine receptor 3-like isoform X5</v>
      </c>
      <c r="J3210">
        <v>8770.2099999999991</v>
      </c>
      <c r="K3210" t="s">
        <v>22</v>
      </c>
      <c r="L3210">
        <v>76</v>
      </c>
      <c r="M3210">
        <v>12.58</v>
      </c>
      <c r="N3210">
        <v>86.31</v>
      </c>
      <c r="O3210" t="s">
        <v>19</v>
      </c>
      <c r="P3210" t="s">
        <v>1320</v>
      </c>
      <c r="Q3210" t="s">
        <v>19</v>
      </c>
      <c r="R3210" t="str">
        <f>HYPERLINK("https://cfpub.epa.gov/ecotox/explore.cfm?ncbi=417921","Explore in ECOTOX")</f>
        <v>Explore in ECOTOX</v>
      </c>
    </row>
    <row r="3211" spans="1:18" x14ac:dyDescent="0.45">
      <c r="A3211" t="s">
        <v>1265</v>
      </c>
      <c r="B3211">
        <v>8</v>
      </c>
      <c r="C3211" t="str">
        <f>HYPERLINK("http://www.ncbi.nlm.nih.gov/protein/XP_028422374.1","XP_028422374.1")</f>
        <v>XP_028422374.1</v>
      </c>
      <c r="D3211">
        <v>65002</v>
      </c>
      <c r="E3211" t="str">
        <f>HYPERLINK("http://www.ncbi.nlm.nih.gov/Taxonomy/Browser/wwwtax.cgi?mode=Info&amp;id=8167&amp;lvl=3&amp;lin=f&amp;keep=1&amp;srchmode=1&amp;unlock","8167")</f>
        <v>8167</v>
      </c>
      <c r="F3211" t="s">
        <v>17</v>
      </c>
      <c r="G3211" t="str">
        <f>HYPERLINK("http://www.ncbi.nlm.nih.gov/Taxonomy/Browser/wwwtax.cgi?mode=Info&amp;id=8167&amp;lvl=3&amp;lin=f&amp;keep=1&amp;srchmode=1&amp;unlock","Perca flavescens")</f>
        <v>Perca flavescens</v>
      </c>
      <c r="H3211" t="s">
        <v>67</v>
      </c>
      <c r="I3211" t="str">
        <f>HYPERLINK("http://www.ncbi.nlm.nih.gov/protein/XP_028422374.1","ryanodine receptor 3-like")</f>
        <v>ryanodine receptor 3-like</v>
      </c>
      <c r="J3211">
        <v>8768.67</v>
      </c>
      <c r="K3211" t="s">
        <v>22</v>
      </c>
      <c r="L3211">
        <v>76</v>
      </c>
      <c r="M3211">
        <v>12.58</v>
      </c>
      <c r="N3211">
        <v>86.3</v>
      </c>
      <c r="O3211" t="s">
        <v>19</v>
      </c>
      <c r="P3211" t="s">
        <v>1320</v>
      </c>
      <c r="Q3211" t="s">
        <v>19</v>
      </c>
      <c r="R3211" t="str">
        <f>HYPERLINK("https://cfpub.epa.gov/ecotox/explore.cfm?ncbi=8167","Explore in ECOTOX")</f>
        <v>Explore in ECOTOX</v>
      </c>
    </row>
    <row r="3212" spans="1:18" x14ac:dyDescent="0.45">
      <c r="A3212" t="s">
        <v>1265</v>
      </c>
      <c r="B3212">
        <v>8</v>
      </c>
      <c r="C3212" t="str">
        <f>HYPERLINK("http://www.ncbi.nlm.nih.gov/protein/XP_041809993.1","XP_041809993.1")</f>
        <v>XP_041809993.1</v>
      </c>
      <c r="D3212">
        <v>33964</v>
      </c>
      <c r="E3212" t="str">
        <f>HYPERLINK("http://www.ncbi.nlm.nih.gov/Taxonomy/Browser/wwwtax.cgi?mode=Info&amp;id=109905&amp;lvl=3&amp;lin=f&amp;keep=1&amp;srchmode=1&amp;unlock","109905")</f>
        <v>109905</v>
      </c>
      <c r="F3212" t="s">
        <v>17</v>
      </c>
      <c r="G3212" t="str">
        <f>HYPERLINK("http://www.ncbi.nlm.nih.gov/Taxonomy/Browser/wwwtax.cgi?mode=Info&amp;id=109905&amp;lvl=3&amp;lin=f&amp;keep=1&amp;srchmode=1&amp;unlock","Chelmon rostratus")</f>
        <v>Chelmon rostratus</v>
      </c>
      <c r="H3212" t="s">
        <v>64</v>
      </c>
      <c r="I3212" t="str">
        <f>HYPERLINK("http://www.ncbi.nlm.nih.gov/protein/XP_041809993.1","ryanodine receptor 3-like")</f>
        <v>ryanodine receptor 3-like</v>
      </c>
      <c r="J3212">
        <v>8768.2800000000007</v>
      </c>
      <c r="K3212" t="s">
        <v>22</v>
      </c>
      <c r="L3212">
        <v>76</v>
      </c>
      <c r="M3212">
        <v>12.58</v>
      </c>
      <c r="N3212">
        <v>86.3</v>
      </c>
      <c r="O3212" t="s">
        <v>19</v>
      </c>
      <c r="P3212" t="s">
        <v>1320</v>
      </c>
      <c r="Q3212" t="s">
        <v>19</v>
      </c>
      <c r="R3212" t="str">
        <f>HYPERLINK("https://cfpub.epa.gov/ecotox/explore.cfm?ncbi=109905","Explore in ECOTOX")</f>
        <v>Explore in ECOTOX</v>
      </c>
    </row>
    <row r="3213" spans="1:18" x14ac:dyDescent="0.45">
      <c r="A3213" t="s">
        <v>1265</v>
      </c>
      <c r="B3213">
        <v>8</v>
      </c>
      <c r="C3213" t="str">
        <f>HYPERLINK("http://www.ncbi.nlm.nih.gov/protein/KAG7466369.1","KAG7466369.1")</f>
        <v>KAG7466369.1</v>
      </c>
      <c r="D3213">
        <v>23906</v>
      </c>
      <c r="E3213" t="str">
        <f>HYPERLINK("http://www.ncbi.nlm.nih.gov/Taxonomy/Browser/wwwtax.cgi?mode=Info&amp;id=7932&amp;lvl=3&amp;lin=f&amp;keep=1&amp;srchmode=1&amp;unlock","7932")</f>
        <v>7932</v>
      </c>
      <c r="F3213" t="s">
        <v>17</v>
      </c>
      <c r="G3213" t="str">
        <f>HYPERLINK("http://www.ncbi.nlm.nih.gov/Taxonomy/Browser/wwwtax.cgi?mode=Info&amp;id=7932&amp;lvl=3&amp;lin=f&amp;keep=1&amp;srchmode=1&amp;unlock","Megalops atlanticus")</f>
        <v>Megalops atlanticus</v>
      </c>
      <c r="H3213" t="s">
        <v>44</v>
      </c>
      <c r="I3213" t="str">
        <f>HYPERLINK("http://www.ncbi.nlm.nih.gov/protein/KAG7466369.1","hypothetical protein MATL_G00163920")</f>
        <v>hypothetical protein MATL_G00163920</v>
      </c>
      <c r="J3213">
        <v>8765.9699999999993</v>
      </c>
      <c r="K3213" t="s">
        <v>22</v>
      </c>
      <c r="L3213">
        <v>76</v>
      </c>
      <c r="M3213">
        <v>12.58</v>
      </c>
      <c r="N3213">
        <v>86.27</v>
      </c>
      <c r="O3213" t="s">
        <v>19</v>
      </c>
      <c r="P3213" t="s">
        <v>1320</v>
      </c>
      <c r="Q3213" t="s">
        <v>19</v>
      </c>
      <c r="R3213" t="str">
        <f>HYPERLINK("https://cfpub.epa.gov/ecotox/explore.cfm?ncbi=7932","Explore in ECOTOX")</f>
        <v>Explore in ECOTOX</v>
      </c>
    </row>
    <row r="3214" spans="1:18" x14ac:dyDescent="0.45">
      <c r="A3214" t="s">
        <v>1265</v>
      </c>
      <c r="B3214">
        <v>8</v>
      </c>
      <c r="C3214" t="str">
        <f>HYPERLINK("http://www.ncbi.nlm.nih.gov/protein/XP_028251793.1","XP_028251793.1")</f>
        <v>XP_028251793.1</v>
      </c>
      <c r="D3214">
        <v>41039</v>
      </c>
      <c r="E3214" t="str">
        <f>HYPERLINK("http://www.ncbi.nlm.nih.gov/Taxonomy/Browser/wwwtax.cgi?mode=Info&amp;id=210632&amp;lvl=3&amp;lin=f&amp;keep=1&amp;srchmode=1&amp;unlock","210632")</f>
        <v>210632</v>
      </c>
      <c r="F3214" t="s">
        <v>17</v>
      </c>
      <c r="G3214" t="str">
        <f>HYPERLINK("http://www.ncbi.nlm.nih.gov/Taxonomy/Browser/wwwtax.cgi?mode=Info&amp;id=210632&amp;lvl=3&amp;lin=f&amp;keep=1&amp;srchmode=1&amp;unlock","Parambassis ranga")</f>
        <v>Parambassis ranga</v>
      </c>
      <c r="H3214" t="s">
        <v>50</v>
      </c>
      <c r="I3214" t="str">
        <f>HYPERLINK("http://www.ncbi.nlm.nih.gov/protein/XP_028251793.1","ryanodine receptor 3-like")</f>
        <v>ryanodine receptor 3-like</v>
      </c>
      <c r="J3214">
        <v>8762.51</v>
      </c>
      <c r="K3214" t="s">
        <v>22</v>
      </c>
      <c r="L3214">
        <v>76</v>
      </c>
      <c r="M3214">
        <v>12.58</v>
      </c>
      <c r="N3214">
        <v>86.24</v>
      </c>
      <c r="O3214" t="s">
        <v>19</v>
      </c>
      <c r="P3214" t="s">
        <v>1320</v>
      </c>
      <c r="Q3214" t="s">
        <v>19</v>
      </c>
      <c r="R3214" t="str">
        <f>HYPERLINK("https://cfpub.epa.gov/ecotox/explore.cfm?ncbi=210632","Explore in ECOTOX")</f>
        <v>Explore in ECOTOX</v>
      </c>
    </row>
    <row r="3215" spans="1:18" x14ac:dyDescent="0.45">
      <c r="A3215" t="s">
        <v>1265</v>
      </c>
      <c r="B3215">
        <v>8</v>
      </c>
      <c r="C3215" t="str">
        <f>HYPERLINK("http://www.ncbi.nlm.nih.gov/protein/XP_024285830.1","XP_024285830.1")</f>
        <v>XP_024285830.1</v>
      </c>
      <c r="D3215">
        <v>83228</v>
      </c>
      <c r="E3215" t="str">
        <f>HYPERLINK("http://www.ncbi.nlm.nih.gov/Taxonomy/Browser/wwwtax.cgi?mode=Info&amp;id=74940&amp;lvl=3&amp;lin=f&amp;keep=1&amp;srchmode=1&amp;unlock","74940")</f>
        <v>74940</v>
      </c>
      <c r="F3215" t="s">
        <v>17</v>
      </c>
      <c r="G3215" t="str">
        <f>HYPERLINK("http://www.ncbi.nlm.nih.gov/Taxonomy/Browser/wwwtax.cgi?mode=Info&amp;id=74940&amp;lvl=3&amp;lin=f&amp;keep=1&amp;srchmode=1&amp;unlock","Oncorhynchus tshawytscha")</f>
        <v>Oncorhynchus tshawytscha</v>
      </c>
      <c r="H3215" t="s">
        <v>185</v>
      </c>
      <c r="I3215" t="str">
        <f>HYPERLINK("http://www.ncbi.nlm.nih.gov/protein/XP_024285830.1","ryanodine receptor 3")</f>
        <v>ryanodine receptor 3</v>
      </c>
      <c r="J3215">
        <v>8762.1200000000008</v>
      </c>
      <c r="K3215" t="s">
        <v>22</v>
      </c>
      <c r="L3215">
        <v>76</v>
      </c>
      <c r="M3215">
        <v>12.58</v>
      </c>
      <c r="N3215">
        <v>86.23</v>
      </c>
      <c r="O3215" t="s">
        <v>19</v>
      </c>
      <c r="P3215" t="s">
        <v>1320</v>
      </c>
      <c r="Q3215" t="s">
        <v>19</v>
      </c>
      <c r="R3215" t="str">
        <f>HYPERLINK("https://cfpub.epa.gov/ecotox/explore.cfm?ncbi=74940","Explore in ECOTOX")</f>
        <v>Explore in ECOTOX</v>
      </c>
    </row>
    <row r="3216" spans="1:18" x14ac:dyDescent="0.45">
      <c r="A3216" t="s">
        <v>1265</v>
      </c>
      <c r="B3216">
        <v>8</v>
      </c>
      <c r="C3216" t="str">
        <f>HYPERLINK("http://www.ncbi.nlm.nih.gov/protein/XP_029350174.1","XP_029350174.1")</f>
        <v>XP_029350174.1</v>
      </c>
      <c r="D3216">
        <v>38281</v>
      </c>
      <c r="E3216" t="str">
        <f>HYPERLINK("http://www.ncbi.nlm.nih.gov/Taxonomy/Browser/wwwtax.cgi?mode=Info&amp;id=173247&amp;lvl=3&amp;lin=f&amp;keep=1&amp;srchmode=1&amp;unlock","173247")</f>
        <v>173247</v>
      </c>
      <c r="F3216" t="s">
        <v>17</v>
      </c>
      <c r="G3216" t="str">
        <f>HYPERLINK("http://www.ncbi.nlm.nih.gov/Taxonomy/Browser/wwwtax.cgi?mode=Info&amp;id=173247&amp;lvl=3&amp;lin=f&amp;keep=1&amp;srchmode=1&amp;unlock","Echeneis naucrates")</f>
        <v>Echeneis naucrates</v>
      </c>
      <c r="H3216" t="s">
        <v>66</v>
      </c>
      <c r="I3216" t="str">
        <f>HYPERLINK("http://www.ncbi.nlm.nih.gov/protein/XP_029350174.1","ryanodine receptor 3-like")</f>
        <v>ryanodine receptor 3-like</v>
      </c>
      <c r="J3216">
        <v>8758.27</v>
      </c>
      <c r="K3216" t="s">
        <v>22</v>
      </c>
      <c r="L3216">
        <v>76</v>
      </c>
      <c r="M3216">
        <v>12.58</v>
      </c>
      <c r="N3216">
        <v>86.2</v>
      </c>
      <c r="O3216" t="s">
        <v>19</v>
      </c>
      <c r="P3216" t="s">
        <v>1320</v>
      </c>
      <c r="Q3216" t="s">
        <v>19</v>
      </c>
      <c r="R3216" t="str">
        <f>HYPERLINK("https://cfpub.epa.gov/ecotox/explore.cfm?ncbi=173247","Explore in ECOTOX")</f>
        <v>Explore in ECOTOX</v>
      </c>
    </row>
    <row r="3217" spans="1:18" x14ac:dyDescent="0.45">
      <c r="A3217" t="s">
        <v>1265</v>
      </c>
      <c r="B3217">
        <v>8</v>
      </c>
      <c r="C3217" t="str">
        <f>HYPERLINK("http://www.ncbi.nlm.nih.gov/protein/XP_013768729.1","XP_013768729.1")</f>
        <v>XP_013768729.1</v>
      </c>
      <c r="D3217">
        <v>38743</v>
      </c>
      <c r="E3217" t="str">
        <f>HYPERLINK("http://www.ncbi.nlm.nih.gov/Taxonomy/Browser/wwwtax.cgi?mode=Info&amp;id=303518&amp;lvl=3&amp;lin=f&amp;keep=1&amp;srchmode=1&amp;unlock","303518")</f>
        <v>303518</v>
      </c>
      <c r="F3217" t="s">
        <v>17</v>
      </c>
      <c r="G3217" t="str">
        <f>HYPERLINK("http://www.ncbi.nlm.nih.gov/Taxonomy/Browser/wwwtax.cgi?mode=Info&amp;id=303518&amp;lvl=3&amp;lin=f&amp;keep=1&amp;srchmode=1&amp;unlock","Pundamilia nyererei")</f>
        <v>Pundamilia nyererei</v>
      </c>
      <c r="H3217" t="s">
        <v>73</v>
      </c>
      <c r="I3217" t="str">
        <f>HYPERLINK("http://www.ncbi.nlm.nih.gov/protein/XP_013768729.1","PREDICTED: LOW QUALITY PROTEIN: ryanodine receptor 3-like")</f>
        <v>PREDICTED: LOW QUALITY PROTEIN: ryanodine receptor 3-like</v>
      </c>
      <c r="J3217">
        <v>8758.27</v>
      </c>
      <c r="K3217" t="s">
        <v>22</v>
      </c>
      <c r="L3217">
        <v>76</v>
      </c>
      <c r="M3217">
        <v>12.58</v>
      </c>
      <c r="N3217">
        <v>86.2</v>
      </c>
      <c r="O3217" t="s">
        <v>19</v>
      </c>
      <c r="P3217" t="s">
        <v>1320</v>
      </c>
      <c r="Q3217" t="s">
        <v>19</v>
      </c>
      <c r="R3217" t="str">
        <f>HYPERLINK("https://cfpub.epa.gov/ecotox/explore.cfm?ncbi=303518","Explore in ECOTOX")</f>
        <v>Explore in ECOTOX</v>
      </c>
    </row>
    <row r="3218" spans="1:18" x14ac:dyDescent="0.45">
      <c r="A3218" t="s">
        <v>1265</v>
      </c>
      <c r="B3218">
        <v>8</v>
      </c>
      <c r="C3218" t="str">
        <f>HYPERLINK("http://www.ncbi.nlm.nih.gov/protein/XP_060918710.1","XP_060918710.1")</f>
        <v>XP_060918710.1</v>
      </c>
      <c r="D3218">
        <v>39850</v>
      </c>
      <c r="E3218" t="str">
        <f>HYPERLINK("http://www.ncbi.nlm.nih.gov/Taxonomy/Browser/wwwtax.cgi?mode=Info&amp;id=508554&amp;lvl=3&amp;lin=f&amp;keep=1&amp;srchmode=1&amp;unlock","508554")</f>
        <v>508554</v>
      </c>
      <c r="F3218" t="s">
        <v>17</v>
      </c>
      <c r="G3218" t="str">
        <f>HYPERLINK("http://www.ncbi.nlm.nih.gov/Taxonomy/Browser/wwwtax.cgi?mode=Info&amp;id=508554&amp;lvl=3&amp;lin=f&amp;keep=1&amp;srchmode=1&amp;unlock","Labrus mixtus")</f>
        <v>Labrus mixtus</v>
      </c>
      <c r="H3218" t="s">
        <v>92</v>
      </c>
      <c r="I3218" t="str">
        <f>HYPERLINK("http://www.ncbi.nlm.nih.gov/protein/XP_060918710.1","ryanodine receptor 3-like")</f>
        <v>ryanodine receptor 3-like</v>
      </c>
      <c r="J3218">
        <v>8753.26</v>
      </c>
      <c r="K3218" t="s">
        <v>22</v>
      </c>
      <c r="L3218">
        <v>76</v>
      </c>
      <c r="M3218">
        <v>12.58</v>
      </c>
      <c r="N3218">
        <v>86.15</v>
      </c>
      <c r="O3218" t="s">
        <v>19</v>
      </c>
      <c r="P3218" t="s">
        <v>1320</v>
      </c>
      <c r="Q3218" t="s">
        <v>19</v>
      </c>
      <c r="R3218" t="str">
        <f>HYPERLINK("https://cfpub.epa.gov/ecotox/explore.cfm?ncbi=508554","Explore in ECOTOX")</f>
        <v>Explore in ECOTOX</v>
      </c>
    </row>
    <row r="3219" spans="1:18" x14ac:dyDescent="0.45">
      <c r="A3219" t="s">
        <v>1265</v>
      </c>
      <c r="B3219">
        <v>8</v>
      </c>
      <c r="C3219" t="str">
        <f>HYPERLINK("http://www.ncbi.nlm.nih.gov/protein/CAG5866321.1","CAG5866321.1")</f>
        <v>CAG5866321.1</v>
      </c>
      <c r="D3219">
        <v>21784</v>
      </c>
      <c r="E3219" t="str">
        <f>HYPERLINK("http://www.ncbi.nlm.nih.gov/Taxonomy/Browser/wwwtax.cgi?mode=Info&amp;id=238744&amp;lvl=3&amp;lin=f&amp;keep=1&amp;srchmode=1&amp;unlock","238744")</f>
        <v>238744</v>
      </c>
      <c r="F3219" t="s">
        <v>17</v>
      </c>
      <c r="G3219" t="str">
        <f>HYPERLINK("http://www.ncbi.nlm.nih.gov/Taxonomy/Browser/wwwtax.cgi?mode=Info&amp;id=238744&amp;lvl=3&amp;lin=f&amp;keep=1&amp;srchmode=1&amp;unlock","Menidia menidia")</f>
        <v>Menidia menidia</v>
      </c>
      <c r="H3219" t="s">
        <v>124</v>
      </c>
      <c r="I3219" t="str">
        <f>HYPERLINK("http://www.ncbi.nlm.nih.gov/protein/CAG5866321.1","unnamed protein product")</f>
        <v>unnamed protein product</v>
      </c>
      <c r="J3219">
        <v>8752.11</v>
      </c>
      <c r="K3219" t="s">
        <v>22</v>
      </c>
      <c r="L3219">
        <v>76</v>
      </c>
      <c r="M3219">
        <v>12.58</v>
      </c>
      <c r="N3219">
        <v>86.14</v>
      </c>
      <c r="O3219" t="s">
        <v>19</v>
      </c>
      <c r="P3219" t="s">
        <v>1320</v>
      </c>
      <c r="Q3219" t="s">
        <v>19</v>
      </c>
      <c r="R3219" t="str">
        <f>HYPERLINK("https://cfpub.epa.gov/ecotox/explore.cfm?ncbi=238744","Explore in ECOTOX")</f>
        <v>Explore in ECOTOX</v>
      </c>
    </row>
    <row r="3220" spans="1:18" x14ac:dyDescent="0.45">
      <c r="A3220" t="s">
        <v>1265</v>
      </c>
      <c r="B3220">
        <v>8</v>
      </c>
      <c r="C3220" t="str">
        <f>HYPERLINK("http://www.ncbi.nlm.nih.gov/protein/XP_031703592.1","XP_031703592.1")</f>
        <v>XP_031703592.1</v>
      </c>
      <c r="D3220">
        <v>41917</v>
      </c>
      <c r="E3220" t="str">
        <f>HYPERLINK("http://www.ncbi.nlm.nih.gov/Taxonomy/Browser/wwwtax.cgi?mode=Info&amp;id=433405&amp;lvl=3&amp;lin=f&amp;keep=1&amp;srchmode=1&amp;unlock","433405")</f>
        <v>433405</v>
      </c>
      <c r="F3220" t="s">
        <v>17</v>
      </c>
      <c r="G3220" t="str">
        <f>HYPERLINK("http://www.ncbi.nlm.nih.gov/Taxonomy/Browser/wwwtax.cgi?mode=Info&amp;id=433405&amp;lvl=3&amp;lin=f&amp;keep=1&amp;srchmode=1&amp;unlock","Anarrhichthys ocellatus")</f>
        <v>Anarrhichthys ocellatus</v>
      </c>
      <c r="H3220" t="s">
        <v>98</v>
      </c>
      <c r="I3220" t="str">
        <f>HYPERLINK("http://www.ncbi.nlm.nih.gov/protein/XP_031703592.1","ryanodine receptor 3-like isoform X14")</f>
        <v>ryanodine receptor 3-like isoform X14</v>
      </c>
      <c r="J3220">
        <v>8750.18</v>
      </c>
      <c r="K3220" t="s">
        <v>19</v>
      </c>
      <c r="L3220">
        <v>76</v>
      </c>
      <c r="M3220">
        <v>12.58</v>
      </c>
      <c r="N3220">
        <v>86.12</v>
      </c>
      <c r="O3220" t="s">
        <v>19</v>
      </c>
      <c r="P3220" t="s">
        <v>1320</v>
      </c>
      <c r="Q3220" t="s">
        <v>19</v>
      </c>
      <c r="R3220" t="str">
        <f>HYPERLINK("https://cfpub.epa.gov/ecotox/explore.cfm?ncbi=433405","Explore in ECOTOX")</f>
        <v>Explore in ECOTOX</v>
      </c>
    </row>
    <row r="3221" spans="1:18" x14ac:dyDescent="0.45">
      <c r="A3221" t="s">
        <v>1265</v>
      </c>
      <c r="B3221">
        <v>8</v>
      </c>
      <c r="C3221" t="str">
        <f>HYPERLINK("http://www.ncbi.nlm.nih.gov/protein/KAI1895464.1","KAI1895464.1")</f>
        <v>KAI1895464.1</v>
      </c>
      <c r="D3221">
        <v>23597</v>
      </c>
      <c r="E3221" t="str">
        <f>HYPERLINK("http://www.ncbi.nlm.nih.gov/Taxonomy/Browser/wwwtax.cgi?mode=Info&amp;id=1534307&amp;lvl=3&amp;lin=f&amp;keep=1&amp;srchmode=1&amp;unlock","1534307")</f>
        <v>1534307</v>
      </c>
      <c r="F3221" t="s">
        <v>17</v>
      </c>
      <c r="G3221" t="str">
        <f>HYPERLINK("http://www.ncbi.nlm.nih.gov/Taxonomy/Browser/wwwtax.cgi?mode=Info&amp;id=1534307&amp;lvl=3&amp;lin=f&amp;keep=1&amp;srchmode=1&amp;unlock","Albula goreensis")</f>
        <v>Albula goreensis</v>
      </c>
      <c r="H3221" t="s">
        <v>110</v>
      </c>
      <c r="I3221" t="str">
        <f>HYPERLINK("http://www.ncbi.nlm.nih.gov/protein/KAI1895464.1","hypothetical protein AGOR_G00106540")</f>
        <v>hypothetical protein AGOR_G00106540</v>
      </c>
      <c r="J3221">
        <v>8747.8700000000008</v>
      </c>
      <c r="K3221" t="s">
        <v>22</v>
      </c>
      <c r="L3221">
        <v>76</v>
      </c>
      <c r="M3221">
        <v>12.58</v>
      </c>
      <c r="N3221">
        <v>86.09</v>
      </c>
      <c r="O3221" t="s">
        <v>19</v>
      </c>
      <c r="P3221" t="s">
        <v>1320</v>
      </c>
      <c r="Q3221" t="s">
        <v>19</v>
      </c>
      <c r="R3221" t="str">
        <f>HYPERLINK("https://cfpub.epa.gov/ecotox/explore.cfm?ncbi=1534307","Explore in ECOTOX")</f>
        <v>Explore in ECOTOX</v>
      </c>
    </row>
    <row r="3222" spans="1:18" x14ac:dyDescent="0.45">
      <c r="A3222" t="s">
        <v>1265</v>
      </c>
      <c r="B3222">
        <v>8</v>
      </c>
      <c r="C3222" t="str">
        <f>HYPERLINK("http://www.ncbi.nlm.nih.gov/protein/XP_053702099.1","XP_053702099.1")</f>
        <v>XP_053702099.1</v>
      </c>
      <c r="D3222">
        <v>44916</v>
      </c>
      <c r="E3222" t="str">
        <f>HYPERLINK("http://www.ncbi.nlm.nih.gov/Taxonomy/Browser/wwwtax.cgi?mode=Info&amp;id=270530&amp;lvl=3&amp;lin=f&amp;keep=1&amp;srchmode=1&amp;unlock","270530")</f>
        <v>270530</v>
      </c>
      <c r="F3222" t="s">
        <v>17</v>
      </c>
      <c r="G3222" t="str">
        <f>HYPERLINK("http://www.ncbi.nlm.nih.gov/Taxonomy/Browser/wwwtax.cgi?mode=Info&amp;id=270530&amp;lvl=3&amp;lin=f&amp;keep=1&amp;srchmode=1&amp;unlock","Synchiropus splendidus")</f>
        <v>Synchiropus splendidus</v>
      </c>
      <c r="H3222" t="s">
        <v>134</v>
      </c>
      <c r="I3222" t="str">
        <f>HYPERLINK("http://www.ncbi.nlm.nih.gov/protein/XP_053702099.1","ryanodine receptor 3-like isoform X2")</f>
        <v>ryanodine receptor 3-like isoform X2</v>
      </c>
      <c r="J3222">
        <v>8742.86</v>
      </c>
      <c r="K3222" t="s">
        <v>22</v>
      </c>
      <c r="L3222">
        <v>76</v>
      </c>
      <c r="M3222">
        <v>12.58</v>
      </c>
      <c r="N3222">
        <v>86.04</v>
      </c>
      <c r="O3222" t="s">
        <v>19</v>
      </c>
      <c r="P3222" t="s">
        <v>1320</v>
      </c>
      <c r="Q3222" t="s">
        <v>19</v>
      </c>
      <c r="R3222" t="str">
        <f>HYPERLINK("https://cfpub.epa.gov/ecotox/explore.cfm?ncbi=270530","Explore in ECOTOX")</f>
        <v>Explore in ECOTOX</v>
      </c>
    </row>
    <row r="3223" spans="1:18" x14ac:dyDescent="0.45">
      <c r="A3223" t="s">
        <v>1265</v>
      </c>
      <c r="B3223">
        <v>8</v>
      </c>
      <c r="C3223" t="str">
        <f>HYPERLINK("http://www.ncbi.nlm.nih.gov/protein/XP_020441896.1","XP_020441896.1")</f>
        <v>XP_020441896.1</v>
      </c>
      <c r="D3223">
        <v>41130</v>
      </c>
      <c r="E3223" t="str">
        <f>HYPERLINK("http://www.ncbi.nlm.nih.gov/Taxonomy/Browser/wwwtax.cgi?mode=Info&amp;id=43700&amp;lvl=3&amp;lin=f&amp;keep=1&amp;srchmode=1&amp;unlock","43700")</f>
        <v>43700</v>
      </c>
      <c r="F3223" t="s">
        <v>17</v>
      </c>
      <c r="G3223" t="str">
        <f>HYPERLINK("http://www.ncbi.nlm.nih.gov/Taxonomy/Browser/wwwtax.cgi?mode=Info&amp;id=43700&amp;lvl=3&amp;lin=f&amp;keep=1&amp;srchmode=1&amp;unlock","Monopterus albus")</f>
        <v>Monopterus albus</v>
      </c>
      <c r="H3223" t="s">
        <v>157</v>
      </c>
      <c r="I3223" t="str">
        <f>HYPERLINK("http://www.ncbi.nlm.nih.gov/protein/XP_020441896.1","ryanodine receptor 3-like")</f>
        <v>ryanodine receptor 3-like</v>
      </c>
      <c r="J3223">
        <v>8740.93</v>
      </c>
      <c r="K3223" t="s">
        <v>22</v>
      </c>
      <c r="L3223">
        <v>76</v>
      </c>
      <c r="M3223">
        <v>12.58</v>
      </c>
      <c r="N3223">
        <v>86.03</v>
      </c>
      <c r="O3223" t="s">
        <v>19</v>
      </c>
      <c r="P3223" t="s">
        <v>1320</v>
      </c>
      <c r="Q3223" t="s">
        <v>19</v>
      </c>
      <c r="R3223" t="str">
        <f>HYPERLINK("https://cfpub.epa.gov/ecotox/explore.cfm?ncbi=43700","Explore in ECOTOX")</f>
        <v>Explore in ECOTOX</v>
      </c>
    </row>
    <row r="3224" spans="1:18" x14ac:dyDescent="0.45">
      <c r="A3224" t="s">
        <v>1265</v>
      </c>
      <c r="B3224">
        <v>8</v>
      </c>
      <c r="C3224" t="str">
        <f>HYPERLINK("http://www.ncbi.nlm.nih.gov/protein/XP_061089687.1","XP_061089687.1")</f>
        <v>XP_061089687.1</v>
      </c>
      <c r="D3224">
        <v>71858</v>
      </c>
      <c r="E3224" t="str">
        <f>HYPERLINK("http://www.ncbi.nlm.nih.gov/Taxonomy/Browser/wwwtax.cgi?mode=Info&amp;id=82655&amp;lvl=3&amp;lin=f&amp;keep=1&amp;srchmode=1&amp;unlock","82655")</f>
        <v>82655</v>
      </c>
      <c r="F3224" t="s">
        <v>17</v>
      </c>
      <c r="G3224" t="str">
        <f>HYPERLINK("http://www.ncbi.nlm.nih.gov/Taxonomy/Browser/wwwtax.cgi?mode=Info&amp;id=82655&amp;lvl=3&amp;lin=f&amp;keep=1&amp;srchmode=1&amp;unlock","Conger conger")</f>
        <v>Conger conger</v>
      </c>
      <c r="H3224" t="s">
        <v>268</v>
      </c>
      <c r="I3224" t="str">
        <f>HYPERLINK("http://www.ncbi.nlm.nih.gov/protein/XP_061089687.1","ryanodine receptor 3 isoform X3")</f>
        <v>ryanodine receptor 3 isoform X3</v>
      </c>
      <c r="J3224">
        <v>8740.5499999999993</v>
      </c>
      <c r="K3224" t="s">
        <v>19</v>
      </c>
      <c r="L3224">
        <v>76</v>
      </c>
      <c r="M3224">
        <v>12.58</v>
      </c>
      <c r="N3224">
        <v>86.02</v>
      </c>
      <c r="O3224" t="s">
        <v>19</v>
      </c>
      <c r="P3224" t="s">
        <v>1320</v>
      </c>
      <c r="Q3224" t="s">
        <v>19</v>
      </c>
      <c r="R3224" t="str">
        <f>HYPERLINK("https://cfpub.epa.gov/ecotox/explore.cfm?ncbi=82655","Explore in ECOTOX")</f>
        <v>Explore in ECOTOX</v>
      </c>
    </row>
    <row r="3225" spans="1:18" x14ac:dyDescent="0.45">
      <c r="A3225" t="s">
        <v>1265</v>
      </c>
      <c r="B3225">
        <v>8</v>
      </c>
      <c r="C3225" t="str">
        <f>HYPERLINK("http://www.ncbi.nlm.nih.gov/protein/XP_046269039.1","XP_046269039.1")</f>
        <v>XP_046269039.1</v>
      </c>
      <c r="D3225">
        <v>48619</v>
      </c>
      <c r="E3225" t="str">
        <f>HYPERLINK("http://www.ncbi.nlm.nih.gov/Taxonomy/Browser/wwwtax.cgi?mode=Info&amp;id=75038&amp;lvl=3&amp;lin=f&amp;keep=1&amp;srchmode=1&amp;unlock","75038")</f>
        <v>75038</v>
      </c>
      <c r="F3225" t="s">
        <v>17</v>
      </c>
      <c r="G3225" t="str">
        <f>HYPERLINK("http://www.ncbi.nlm.nih.gov/Taxonomy/Browser/wwwtax.cgi?mode=Info&amp;id=75038&amp;lvl=3&amp;lin=f&amp;keep=1&amp;srchmode=1&amp;unlock","Scatophagus argus")</f>
        <v>Scatophagus argus</v>
      </c>
      <c r="H3225" t="s">
        <v>407</v>
      </c>
      <c r="I3225" t="str">
        <f>HYPERLINK("http://www.ncbi.nlm.nih.gov/protein/XP_046269039.1","ryanodine receptor 3-like")</f>
        <v>ryanodine receptor 3-like</v>
      </c>
      <c r="J3225">
        <v>8740.16</v>
      </c>
      <c r="K3225" t="s">
        <v>22</v>
      </c>
      <c r="L3225">
        <v>76</v>
      </c>
      <c r="M3225">
        <v>12.58</v>
      </c>
      <c r="N3225">
        <v>86.02</v>
      </c>
      <c r="O3225" t="s">
        <v>19</v>
      </c>
      <c r="P3225" t="s">
        <v>1320</v>
      </c>
      <c r="Q3225" t="s">
        <v>19</v>
      </c>
      <c r="R3225" t="str">
        <f>HYPERLINK("https://cfpub.epa.gov/ecotox/explore.cfm?ncbi=75038","Explore in ECOTOX")</f>
        <v>Explore in ECOTOX</v>
      </c>
    </row>
    <row r="3226" spans="1:18" x14ac:dyDescent="0.45">
      <c r="A3226" t="s">
        <v>1265</v>
      </c>
      <c r="B3226">
        <v>8</v>
      </c>
      <c r="C3226" t="str">
        <f>HYPERLINK("http://www.ncbi.nlm.nih.gov/protein/XP_022606767.1","XP_022606767.1")</f>
        <v>XP_022606767.1</v>
      </c>
      <c r="D3226">
        <v>32913</v>
      </c>
      <c r="E3226" t="str">
        <f>HYPERLINK("http://www.ncbi.nlm.nih.gov/Taxonomy/Browser/wwwtax.cgi?mode=Info&amp;id=41447&amp;lvl=3&amp;lin=f&amp;keep=1&amp;srchmode=1&amp;unlock","41447")</f>
        <v>41447</v>
      </c>
      <c r="F3226" t="s">
        <v>17</v>
      </c>
      <c r="G3226" t="str">
        <f>HYPERLINK("http://www.ncbi.nlm.nih.gov/Taxonomy/Browser/wwwtax.cgi?mode=Info&amp;id=41447&amp;lvl=3&amp;lin=f&amp;keep=1&amp;srchmode=1&amp;unlock","Seriola dumerili")</f>
        <v>Seriola dumerili</v>
      </c>
      <c r="H3226" t="s">
        <v>57</v>
      </c>
      <c r="I3226" t="str">
        <f>HYPERLINK("http://www.ncbi.nlm.nih.gov/protein/XP_022606767.1","ryanodine receptor 3-like")</f>
        <v>ryanodine receptor 3-like</v>
      </c>
      <c r="J3226">
        <v>8739.39</v>
      </c>
      <c r="K3226" t="s">
        <v>22</v>
      </c>
      <c r="L3226">
        <v>76</v>
      </c>
      <c r="M3226">
        <v>12.58</v>
      </c>
      <c r="N3226">
        <v>86.01</v>
      </c>
      <c r="O3226" t="s">
        <v>19</v>
      </c>
      <c r="P3226" t="s">
        <v>1320</v>
      </c>
      <c r="Q3226" t="s">
        <v>19</v>
      </c>
      <c r="R3226" t="str">
        <f>HYPERLINK("https://cfpub.epa.gov/ecotox/explore.cfm?ncbi=41447","Explore in ECOTOX")</f>
        <v>Explore in ECOTOX</v>
      </c>
    </row>
    <row r="3227" spans="1:18" x14ac:dyDescent="0.45">
      <c r="A3227" t="s">
        <v>1265</v>
      </c>
      <c r="B3227">
        <v>8</v>
      </c>
      <c r="C3227" t="str">
        <f>HYPERLINK("http://www.ncbi.nlm.nih.gov/protein/XP_053191148.1","XP_053191148.1")</f>
        <v>XP_053191148.1</v>
      </c>
      <c r="D3227">
        <v>30754</v>
      </c>
      <c r="E3227" t="str">
        <f>HYPERLINK("http://www.ncbi.nlm.nih.gov/Taxonomy/Browser/wwwtax.cgi?mode=Info&amp;id=13676&amp;lvl=3&amp;lin=f&amp;keep=1&amp;srchmode=1&amp;unlock","13676")</f>
        <v>13676</v>
      </c>
      <c r="F3227" t="s">
        <v>17</v>
      </c>
      <c r="G3227" t="str">
        <f>HYPERLINK("http://www.ncbi.nlm.nih.gov/Taxonomy/Browser/wwwtax.cgi?mode=Info&amp;id=13676&amp;lvl=3&amp;lin=f&amp;keep=1&amp;srchmode=1&amp;unlock","Scomber japonicus")</f>
        <v>Scomber japonicus</v>
      </c>
      <c r="H3227" t="s">
        <v>87</v>
      </c>
      <c r="I3227" t="str">
        <f>HYPERLINK("http://www.ncbi.nlm.nih.gov/protein/XP_053191148.1","ryanodine receptor 3-like")</f>
        <v>ryanodine receptor 3-like</v>
      </c>
      <c r="J3227">
        <v>8738.24</v>
      </c>
      <c r="K3227" t="s">
        <v>22</v>
      </c>
      <c r="L3227">
        <v>76</v>
      </c>
      <c r="M3227">
        <v>12.58</v>
      </c>
      <c r="N3227">
        <v>86</v>
      </c>
      <c r="O3227" t="s">
        <v>19</v>
      </c>
      <c r="P3227" t="s">
        <v>1320</v>
      </c>
      <c r="Q3227" t="s">
        <v>19</v>
      </c>
      <c r="R3227" t="str">
        <f>HYPERLINK("https://cfpub.epa.gov/ecotox/explore.cfm?ncbi=13676","Explore in ECOTOX")</f>
        <v>Explore in ECOTOX</v>
      </c>
    </row>
    <row r="3228" spans="1:18" x14ac:dyDescent="0.45">
      <c r="A3228" t="s">
        <v>1265</v>
      </c>
      <c r="B3228">
        <v>8</v>
      </c>
      <c r="C3228" t="str">
        <f>HYPERLINK("http://www.ncbi.nlm.nih.gov/protein/XP_028294203.1","XP_028294203.1")</f>
        <v>XP_028294203.1</v>
      </c>
      <c r="D3228">
        <v>43575</v>
      </c>
      <c r="E3228" t="str">
        <f>HYPERLINK("http://www.ncbi.nlm.nih.gov/Taxonomy/Browser/wwwtax.cgi?mode=Info&amp;id=441366&amp;lvl=3&amp;lin=f&amp;keep=1&amp;srchmode=1&amp;unlock","441366")</f>
        <v>441366</v>
      </c>
      <c r="F3228" t="s">
        <v>17</v>
      </c>
      <c r="G3228" t="str">
        <f>HYPERLINK("http://www.ncbi.nlm.nih.gov/Taxonomy/Browser/wwwtax.cgi?mode=Info&amp;id=441366&amp;lvl=3&amp;lin=f&amp;keep=1&amp;srchmode=1&amp;unlock","Gouania willdenowi")</f>
        <v>Gouania willdenowi</v>
      </c>
      <c r="H3228" t="s">
        <v>116</v>
      </c>
      <c r="I3228" t="str">
        <f>HYPERLINK("http://www.ncbi.nlm.nih.gov/protein/XP_028294203.1","ryanodine receptor 3-like isoform X4")</f>
        <v>ryanodine receptor 3-like isoform X4</v>
      </c>
      <c r="J3228">
        <v>8736.7000000000007</v>
      </c>
      <c r="K3228" t="s">
        <v>22</v>
      </c>
      <c r="L3228">
        <v>76</v>
      </c>
      <c r="M3228">
        <v>12.58</v>
      </c>
      <c r="N3228">
        <v>85.98</v>
      </c>
      <c r="O3228" t="s">
        <v>19</v>
      </c>
      <c r="P3228" t="s">
        <v>1320</v>
      </c>
      <c r="Q3228" t="s">
        <v>19</v>
      </c>
      <c r="R3228" t="str">
        <f>HYPERLINK("https://cfpub.epa.gov/ecotox/explore.cfm?ncbi=441366","Explore in ECOTOX")</f>
        <v>Explore in ECOTOX</v>
      </c>
    </row>
    <row r="3229" spans="1:18" x14ac:dyDescent="0.45">
      <c r="A3229" t="s">
        <v>1265</v>
      </c>
      <c r="B3229">
        <v>8</v>
      </c>
      <c r="C3229" t="str">
        <f>HYPERLINK("http://www.ncbi.nlm.nih.gov/protein/KAF7669532.1","KAF7669532.1")</f>
        <v>KAF7669532.1</v>
      </c>
      <c r="D3229">
        <v>29676</v>
      </c>
      <c r="E3229" t="str">
        <f>HYPERLINK("http://www.ncbi.nlm.nih.gov/Taxonomy/Browser/wwwtax.cgi?mode=Info&amp;id=670423&amp;lvl=3&amp;lin=f&amp;keep=1&amp;srchmode=1&amp;unlock","670423")</f>
        <v>670423</v>
      </c>
      <c r="F3229" t="s">
        <v>17</v>
      </c>
      <c r="G3229" t="str">
        <f>HYPERLINK("http://www.ncbi.nlm.nih.gov/Taxonomy/Browser/wwwtax.cgi?mode=Info&amp;id=670423&amp;lvl=3&amp;lin=f&amp;keep=1&amp;srchmode=1&amp;unlock","Lucifuga dentata")</f>
        <v>Lucifuga dentata</v>
      </c>
      <c r="H3229" t="s">
        <v>175</v>
      </c>
      <c r="I3229" t="str">
        <f>HYPERLINK("http://www.ncbi.nlm.nih.gov/protein/KAF7669532.1","hypothetical protein LDENG_00182670")</f>
        <v>hypothetical protein LDENG_00182670</v>
      </c>
      <c r="J3229">
        <v>8735.5400000000009</v>
      </c>
      <c r="K3229" t="s">
        <v>22</v>
      </c>
      <c r="L3229">
        <v>76</v>
      </c>
      <c r="M3229">
        <v>12.58</v>
      </c>
      <c r="N3229">
        <v>85.97</v>
      </c>
      <c r="O3229" t="s">
        <v>19</v>
      </c>
      <c r="P3229" t="s">
        <v>1320</v>
      </c>
      <c r="Q3229" t="s">
        <v>19</v>
      </c>
      <c r="R3229" t="str">
        <f>HYPERLINK("https://cfpub.epa.gov/ecotox/explore.cfm?ncbi=670423","Explore in ECOTOX")</f>
        <v>Explore in ECOTOX</v>
      </c>
    </row>
    <row r="3230" spans="1:18" x14ac:dyDescent="0.45">
      <c r="A3230" t="s">
        <v>1265</v>
      </c>
      <c r="B3230">
        <v>8</v>
      </c>
      <c r="C3230" t="str">
        <f>HYPERLINK("http://www.ncbi.nlm.nih.gov/protein/XP_019909879.2","XP_019909879.2")</f>
        <v>XP_019909879.2</v>
      </c>
      <c r="D3230">
        <v>59810</v>
      </c>
      <c r="E3230" t="str">
        <f>HYPERLINK("http://www.ncbi.nlm.nih.gov/Taxonomy/Browser/wwwtax.cgi?mode=Info&amp;id=8010&amp;lvl=3&amp;lin=f&amp;keep=1&amp;srchmode=1&amp;unlock","8010")</f>
        <v>8010</v>
      </c>
      <c r="F3230" t="s">
        <v>17</v>
      </c>
      <c r="G3230" t="str">
        <f>HYPERLINK("http://www.ncbi.nlm.nih.gov/Taxonomy/Browser/wwwtax.cgi?mode=Info&amp;id=8010&amp;lvl=3&amp;lin=f&amp;keep=1&amp;srchmode=1&amp;unlock","Esox lucius")</f>
        <v>Esox lucius</v>
      </c>
      <c r="H3230" t="s">
        <v>49</v>
      </c>
      <c r="I3230" t="str">
        <f>HYPERLINK("http://www.ncbi.nlm.nih.gov/protein/XP_019909879.2","ryanodine receptor 3")</f>
        <v>ryanodine receptor 3</v>
      </c>
      <c r="J3230">
        <v>8735.5400000000009</v>
      </c>
      <c r="K3230" t="s">
        <v>22</v>
      </c>
      <c r="L3230">
        <v>76</v>
      </c>
      <c r="M3230">
        <v>12.58</v>
      </c>
      <c r="N3230">
        <v>85.97</v>
      </c>
      <c r="O3230" t="s">
        <v>19</v>
      </c>
      <c r="P3230" t="s">
        <v>1320</v>
      </c>
      <c r="Q3230" t="s">
        <v>19</v>
      </c>
      <c r="R3230" t="str">
        <f>HYPERLINK("https://cfpub.epa.gov/ecotox/explore.cfm?ncbi=8010","Explore in ECOTOX")</f>
        <v>Explore in ECOTOX</v>
      </c>
    </row>
    <row r="3231" spans="1:18" x14ac:dyDescent="0.45">
      <c r="A3231" t="s">
        <v>1265</v>
      </c>
      <c r="B3231">
        <v>8</v>
      </c>
      <c r="C3231" t="str">
        <f>HYPERLINK("http://www.ncbi.nlm.nih.gov/protein/XP_052352849.1","XP_052352849.1")</f>
        <v>XP_052352849.1</v>
      </c>
      <c r="D3231">
        <v>116232</v>
      </c>
      <c r="E3231" t="str">
        <f>HYPERLINK("http://www.ncbi.nlm.nih.gov/Taxonomy/Browser/wwwtax.cgi?mode=Info&amp;id=8018&amp;lvl=3&amp;lin=f&amp;keep=1&amp;srchmode=1&amp;unlock","8018")</f>
        <v>8018</v>
      </c>
      <c r="F3231" t="s">
        <v>17</v>
      </c>
      <c r="G3231" t="str">
        <f>HYPERLINK("http://www.ncbi.nlm.nih.gov/Taxonomy/Browser/wwwtax.cgi?mode=Info&amp;id=8018&amp;lvl=3&amp;lin=f&amp;keep=1&amp;srchmode=1&amp;unlock","Oncorhynchus keta")</f>
        <v>Oncorhynchus keta</v>
      </c>
      <c r="H3231" t="s">
        <v>146</v>
      </c>
      <c r="I3231" t="str">
        <f>HYPERLINK("http://www.ncbi.nlm.nih.gov/protein/XP_052352849.1","ryanodine receptor 3-like isoform X11")</f>
        <v>ryanodine receptor 3-like isoform X11</v>
      </c>
      <c r="J3231">
        <v>8732.85</v>
      </c>
      <c r="K3231" t="s">
        <v>22</v>
      </c>
      <c r="L3231">
        <v>76</v>
      </c>
      <c r="M3231">
        <v>12.58</v>
      </c>
      <c r="N3231">
        <v>85.95</v>
      </c>
      <c r="O3231" t="s">
        <v>19</v>
      </c>
      <c r="P3231" t="s">
        <v>1320</v>
      </c>
      <c r="Q3231" t="s">
        <v>19</v>
      </c>
      <c r="R3231" t="str">
        <f>HYPERLINK("https://cfpub.epa.gov/ecotox/explore.cfm?ncbi=8018","Explore in ECOTOX")</f>
        <v>Explore in ECOTOX</v>
      </c>
    </row>
    <row r="3232" spans="1:18" x14ac:dyDescent="0.45">
      <c r="A3232" t="s">
        <v>1265</v>
      </c>
      <c r="B3232">
        <v>8</v>
      </c>
      <c r="C3232" t="str">
        <f>HYPERLINK("http://www.ncbi.nlm.nih.gov/protein/XP_019940275.1","XP_019940275.1")</f>
        <v>XP_019940275.1</v>
      </c>
      <c r="D3232">
        <v>37917</v>
      </c>
      <c r="E3232" t="str">
        <f>HYPERLINK("http://www.ncbi.nlm.nih.gov/Taxonomy/Browser/wwwtax.cgi?mode=Info&amp;id=8255&amp;lvl=3&amp;lin=f&amp;keep=1&amp;srchmode=1&amp;unlock","8255")</f>
        <v>8255</v>
      </c>
      <c r="F3232" t="s">
        <v>17</v>
      </c>
      <c r="G3232" t="str">
        <f>HYPERLINK("http://www.ncbi.nlm.nih.gov/Taxonomy/Browser/wwwtax.cgi?mode=Info&amp;id=8255&amp;lvl=3&amp;lin=f&amp;keep=1&amp;srchmode=1&amp;unlock","Paralichthys olivaceus")</f>
        <v>Paralichthys olivaceus</v>
      </c>
      <c r="H3232" t="s">
        <v>83</v>
      </c>
      <c r="I3232" t="str">
        <f>HYPERLINK("http://www.ncbi.nlm.nih.gov/protein/XP_019940275.1","PREDICTED: ryanodine receptor 3-like")</f>
        <v>PREDICTED: ryanodine receptor 3-like</v>
      </c>
      <c r="J3232">
        <v>8731.2999999999993</v>
      </c>
      <c r="K3232" t="s">
        <v>22</v>
      </c>
      <c r="L3232">
        <v>76</v>
      </c>
      <c r="M3232">
        <v>12.58</v>
      </c>
      <c r="N3232">
        <v>85.93</v>
      </c>
      <c r="O3232" t="s">
        <v>19</v>
      </c>
      <c r="P3232" t="s">
        <v>1320</v>
      </c>
      <c r="Q3232" t="s">
        <v>19</v>
      </c>
      <c r="R3232" t="str">
        <f>HYPERLINK("https://cfpub.epa.gov/ecotox/explore.cfm?ncbi=8255","Explore in ECOTOX")</f>
        <v>Explore in ECOTOX</v>
      </c>
    </row>
    <row r="3233" spans="1:18" x14ac:dyDescent="0.45">
      <c r="A3233" t="s">
        <v>1265</v>
      </c>
      <c r="B3233">
        <v>8</v>
      </c>
      <c r="C3233" t="str">
        <f>HYPERLINK("http://www.ncbi.nlm.nih.gov/protein/CAJ1073769.1","CAJ1073769.1")</f>
        <v>CAJ1073769.1</v>
      </c>
      <c r="D3233">
        <v>39630</v>
      </c>
      <c r="E3233" t="str">
        <f>HYPERLINK("http://www.ncbi.nlm.nih.gov/Taxonomy/Browser/wwwtax.cgi?mode=Info&amp;id=13765&amp;lvl=3&amp;lin=f&amp;keep=1&amp;srchmode=1&amp;unlock","13765")</f>
        <v>13765</v>
      </c>
      <c r="F3233" t="s">
        <v>17</v>
      </c>
      <c r="G3233" t="str">
        <f>HYPERLINK("http://www.ncbi.nlm.nih.gov/Taxonomy/Browser/wwwtax.cgi?mode=Info&amp;id=13765&amp;lvl=3&amp;lin=f&amp;keep=1&amp;srchmode=1&amp;unlock","Xyrichtys novacula")</f>
        <v>Xyrichtys novacula</v>
      </c>
      <c r="H3233" t="s">
        <v>460</v>
      </c>
      <c r="I3233" t="str">
        <f>HYPERLINK("http://www.ncbi.nlm.nih.gov/protein/CAJ1073769.1","ryanodine receptor 3-like isoform X17")</f>
        <v>ryanodine receptor 3-like isoform X17</v>
      </c>
      <c r="J3233">
        <v>8731.2999999999993</v>
      </c>
      <c r="K3233" t="s">
        <v>22</v>
      </c>
      <c r="L3233">
        <v>76</v>
      </c>
      <c r="M3233">
        <v>12.58</v>
      </c>
      <c r="N3233">
        <v>85.93</v>
      </c>
      <c r="O3233" t="s">
        <v>19</v>
      </c>
      <c r="P3233" t="s">
        <v>1320</v>
      </c>
      <c r="Q3233" t="s">
        <v>19</v>
      </c>
      <c r="R3233" t="str">
        <f>HYPERLINK("https://cfpub.epa.gov/ecotox/explore.cfm?ncbi=13765","Explore in ECOTOX")</f>
        <v>Explore in ECOTOX</v>
      </c>
    </row>
    <row r="3234" spans="1:18" x14ac:dyDescent="0.45">
      <c r="A3234" t="s">
        <v>1265</v>
      </c>
      <c r="B3234">
        <v>8</v>
      </c>
      <c r="C3234" t="str">
        <f>HYPERLINK("http://www.ncbi.nlm.nih.gov/protein/XP_029114126.1","XP_029114126.1")</f>
        <v>XP_029114126.1</v>
      </c>
      <c r="D3234">
        <v>72575</v>
      </c>
      <c r="E3234" t="str">
        <f>HYPERLINK("http://www.ncbi.nlm.nih.gov/Taxonomy/Browser/wwwtax.cgi?mode=Info&amp;id=113540&amp;lvl=3&amp;lin=f&amp;keep=1&amp;srchmode=1&amp;unlock","113540")</f>
        <v>113540</v>
      </c>
      <c r="F3234" t="s">
        <v>17</v>
      </c>
      <c r="G3234" t="str">
        <f>HYPERLINK("http://www.ncbi.nlm.nih.gov/Taxonomy/Browser/wwwtax.cgi?mode=Info&amp;id=113540&amp;lvl=3&amp;lin=f&amp;keep=1&amp;srchmode=1&amp;unlock","Scleropages formosus")</f>
        <v>Scleropages formosus</v>
      </c>
      <c r="H3234" t="s">
        <v>105</v>
      </c>
      <c r="I3234" t="str">
        <f>HYPERLINK("http://www.ncbi.nlm.nih.gov/protein/XP_029114126.1","ryanodine receptor 3 isoform X2")</f>
        <v>ryanodine receptor 3 isoform X2</v>
      </c>
      <c r="J3234">
        <v>8725.5300000000007</v>
      </c>
      <c r="K3234" t="s">
        <v>22</v>
      </c>
      <c r="L3234">
        <v>76</v>
      </c>
      <c r="M3234">
        <v>12.58</v>
      </c>
      <c r="N3234">
        <v>85.87</v>
      </c>
      <c r="O3234" t="s">
        <v>19</v>
      </c>
      <c r="P3234" t="s">
        <v>1320</v>
      </c>
      <c r="Q3234" t="s">
        <v>19</v>
      </c>
      <c r="R3234" t="str">
        <f>HYPERLINK("https://cfpub.epa.gov/ecotox/explore.cfm?ncbi=113540","Explore in ECOTOX")</f>
        <v>Explore in ECOTOX</v>
      </c>
    </row>
    <row r="3235" spans="1:18" x14ac:dyDescent="0.45">
      <c r="A3235" t="s">
        <v>1265</v>
      </c>
      <c r="B3235">
        <v>8</v>
      </c>
      <c r="C3235" t="str">
        <f>HYPERLINK("http://www.ncbi.nlm.nih.gov/protein/XP_035465429.1","XP_035465429.1")</f>
        <v>XP_035465429.1</v>
      </c>
      <c r="D3235">
        <v>104790</v>
      </c>
      <c r="E3235" t="str">
        <f>HYPERLINK("http://www.ncbi.nlm.nih.gov/Taxonomy/Browser/wwwtax.cgi?mode=Info&amp;id=52904&amp;lvl=3&amp;lin=f&amp;keep=1&amp;srchmode=1&amp;unlock","52904")</f>
        <v>52904</v>
      </c>
      <c r="F3235" t="s">
        <v>17</v>
      </c>
      <c r="G3235" t="str">
        <f>HYPERLINK("http://www.ncbi.nlm.nih.gov/Taxonomy/Browser/wwwtax.cgi?mode=Info&amp;id=52904&amp;lvl=3&amp;lin=f&amp;keep=1&amp;srchmode=1&amp;unlock","Scophthalmus maximus")</f>
        <v>Scophthalmus maximus</v>
      </c>
      <c r="H3235" t="s">
        <v>58</v>
      </c>
      <c r="I3235" t="str">
        <f>HYPERLINK("http://www.ncbi.nlm.nih.gov/protein/XP_035465429.1","ryanodine receptor 3 isoform X3")</f>
        <v>ryanodine receptor 3 isoform X3</v>
      </c>
      <c r="J3235">
        <v>8724.76</v>
      </c>
      <c r="K3235" t="s">
        <v>22</v>
      </c>
      <c r="L3235">
        <v>76</v>
      </c>
      <c r="M3235">
        <v>12.58</v>
      </c>
      <c r="N3235">
        <v>85.87</v>
      </c>
      <c r="O3235" t="s">
        <v>19</v>
      </c>
      <c r="P3235" t="s">
        <v>1320</v>
      </c>
      <c r="Q3235" t="s">
        <v>19</v>
      </c>
      <c r="R3235" t="str">
        <f>HYPERLINK("https://cfpub.epa.gov/ecotox/explore.cfm?ncbi=52904","Explore in ECOTOX")</f>
        <v>Explore in ECOTOX</v>
      </c>
    </row>
    <row r="3236" spans="1:18" x14ac:dyDescent="0.45">
      <c r="A3236" t="s">
        <v>1265</v>
      </c>
      <c r="B3236">
        <v>8</v>
      </c>
      <c r="C3236" t="str">
        <f>HYPERLINK("http://www.ncbi.nlm.nih.gov/protein/XP_029569460.1","XP_029569460.1")</f>
        <v>XP_029569460.1</v>
      </c>
      <c r="D3236">
        <v>88731</v>
      </c>
      <c r="E3236" t="str">
        <f>HYPERLINK("http://www.ncbi.nlm.nih.gov/Taxonomy/Browser/wwwtax.cgi?mode=Info&amp;id=8032&amp;lvl=3&amp;lin=f&amp;keep=1&amp;srchmode=1&amp;unlock","8032")</f>
        <v>8032</v>
      </c>
      <c r="F3236" t="s">
        <v>17</v>
      </c>
      <c r="G3236" t="str">
        <f>HYPERLINK("http://www.ncbi.nlm.nih.gov/Taxonomy/Browser/wwwtax.cgi?mode=Info&amp;id=8032&amp;lvl=3&amp;lin=f&amp;keep=1&amp;srchmode=1&amp;unlock","Salmo trutta")</f>
        <v>Salmo trutta</v>
      </c>
      <c r="H3236" t="s">
        <v>150</v>
      </c>
      <c r="I3236" t="str">
        <f>HYPERLINK("http://www.ncbi.nlm.nih.gov/protein/XP_029569460.1","ryanodine receptor 3-like")</f>
        <v>ryanodine receptor 3-like</v>
      </c>
      <c r="J3236">
        <v>8723.99</v>
      </c>
      <c r="K3236" t="s">
        <v>22</v>
      </c>
      <c r="L3236">
        <v>76</v>
      </c>
      <c r="M3236">
        <v>12.58</v>
      </c>
      <c r="N3236">
        <v>85.86</v>
      </c>
      <c r="O3236" t="s">
        <v>19</v>
      </c>
      <c r="P3236" t="s">
        <v>1320</v>
      </c>
      <c r="Q3236" t="s">
        <v>19</v>
      </c>
      <c r="R3236" t="str">
        <f>HYPERLINK("https://cfpub.epa.gov/ecotox/explore.cfm?ncbi=8032","Explore in ECOTOX")</f>
        <v>Explore in ECOTOX</v>
      </c>
    </row>
    <row r="3237" spans="1:18" x14ac:dyDescent="0.45">
      <c r="A3237" t="s">
        <v>1265</v>
      </c>
      <c r="B3237">
        <v>8</v>
      </c>
      <c r="C3237" t="str">
        <f>HYPERLINK("http://www.ncbi.nlm.nih.gov/protein/XP_037833839.1","XP_037833839.1")</f>
        <v>XP_037833839.1</v>
      </c>
      <c r="D3237">
        <v>43415</v>
      </c>
      <c r="E3237" t="str">
        <f>HYPERLINK("http://www.ncbi.nlm.nih.gov/Taxonomy/Browser/wwwtax.cgi?mode=Info&amp;id=37003&amp;lvl=3&amp;lin=f&amp;keep=1&amp;srchmode=1&amp;unlock","37003")</f>
        <v>37003</v>
      </c>
      <c r="F3237" t="s">
        <v>17</v>
      </c>
      <c r="G3237" t="str">
        <f>HYPERLINK("http://www.ncbi.nlm.nih.gov/Taxonomy/Browser/wwwtax.cgi?mode=Info&amp;id=37003&amp;lvl=3&amp;lin=f&amp;keep=1&amp;srchmode=1&amp;unlock","Kryptolebias marmoratus")</f>
        <v>Kryptolebias marmoratus</v>
      </c>
      <c r="H3237" t="s">
        <v>141</v>
      </c>
      <c r="I3237" t="str">
        <f>HYPERLINK("http://www.ncbi.nlm.nih.gov/protein/XP_037833839.1","ryanodine receptor 3 isoform X4")</f>
        <v>ryanodine receptor 3 isoform X4</v>
      </c>
      <c r="J3237">
        <v>8722.06</v>
      </c>
      <c r="K3237" t="s">
        <v>22</v>
      </c>
      <c r="L3237">
        <v>76</v>
      </c>
      <c r="M3237">
        <v>12.58</v>
      </c>
      <c r="N3237">
        <v>85.84</v>
      </c>
      <c r="O3237" t="s">
        <v>19</v>
      </c>
      <c r="P3237" t="s">
        <v>1320</v>
      </c>
      <c r="Q3237" t="s">
        <v>19</v>
      </c>
      <c r="R3237" t="str">
        <f>HYPERLINK("https://cfpub.epa.gov/ecotox/explore.cfm?ncbi=37003","Explore in ECOTOX")</f>
        <v>Explore in ECOTOX</v>
      </c>
    </row>
    <row r="3238" spans="1:18" x14ac:dyDescent="0.45">
      <c r="A3238" t="s">
        <v>1265</v>
      </c>
      <c r="B3238">
        <v>8</v>
      </c>
      <c r="C3238" t="str">
        <f>HYPERLINK("http://www.ncbi.nlm.nih.gov/protein/XP_055720749.1","XP_055720749.1")</f>
        <v>XP_055720749.1</v>
      </c>
      <c r="D3238">
        <v>83509</v>
      </c>
      <c r="E3238" t="str">
        <f>HYPERLINK("http://www.ncbi.nlm.nih.gov/Taxonomy/Browser/wwwtax.cgi?mode=Info&amp;id=8038&amp;lvl=3&amp;lin=f&amp;keep=1&amp;srchmode=1&amp;unlock","8038")</f>
        <v>8038</v>
      </c>
      <c r="F3238" t="s">
        <v>17</v>
      </c>
      <c r="G3238" t="str">
        <f>HYPERLINK("http://www.ncbi.nlm.nih.gov/Taxonomy/Browser/wwwtax.cgi?mode=Info&amp;id=8038&amp;lvl=3&amp;lin=f&amp;keep=1&amp;srchmode=1&amp;unlock","Salvelinus fontinalis")</f>
        <v>Salvelinus fontinalis</v>
      </c>
      <c r="H3238" t="s">
        <v>149</v>
      </c>
      <c r="I3238" t="str">
        <f>HYPERLINK("http://www.ncbi.nlm.nih.gov/protein/XP_055720749.1","ryanodine receptor 3-like isoform X9")</f>
        <v>ryanodine receptor 3-like isoform X9</v>
      </c>
      <c r="J3238">
        <v>8722.06</v>
      </c>
      <c r="K3238" t="s">
        <v>22</v>
      </c>
      <c r="L3238">
        <v>76</v>
      </c>
      <c r="M3238">
        <v>12.58</v>
      </c>
      <c r="N3238">
        <v>85.84</v>
      </c>
      <c r="O3238" t="s">
        <v>19</v>
      </c>
      <c r="P3238" t="s">
        <v>1320</v>
      </c>
      <c r="Q3238" t="s">
        <v>19</v>
      </c>
      <c r="R3238" t="str">
        <f>HYPERLINK("https://cfpub.epa.gov/ecotox/explore.cfm?ncbi=8038","Explore in ECOTOX")</f>
        <v>Explore in ECOTOX</v>
      </c>
    </row>
    <row r="3239" spans="1:18" x14ac:dyDescent="0.45">
      <c r="A3239" t="s">
        <v>1265</v>
      </c>
      <c r="B3239">
        <v>8</v>
      </c>
      <c r="C3239" t="str">
        <f>HYPERLINK("http://www.ncbi.nlm.nih.gov/protein/XP_056914899.1","XP_056914899.1")</f>
        <v>XP_056914899.1</v>
      </c>
      <c r="D3239">
        <v>77522</v>
      </c>
      <c r="E3239" t="str">
        <f>HYPERLINK("http://www.ncbi.nlm.nih.gov/Taxonomy/Browser/wwwtax.cgi?mode=Info&amp;id=433684&amp;lvl=3&amp;lin=f&amp;keep=1&amp;srchmode=1&amp;unlock","433684")</f>
        <v>433684</v>
      </c>
      <c r="F3239" t="s">
        <v>17</v>
      </c>
      <c r="G3239" t="str">
        <f>HYPERLINK("http://www.ncbi.nlm.nih.gov/Taxonomy/Browser/wwwtax.cgi?mode=Info&amp;id=433684&amp;lvl=3&amp;lin=f&amp;keep=1&amp;srchmode=1&amp;unlock","Takifugu flavidus")</f>
        <v>Takifugu flavidus</v>
      </c>
      <c r="H3239" t="s">
        <v>509</v>
      </c>
      <c r="I3239" t="str">
        <f>HYPERLINK("http://www.ncbi.nlm.nih.gov/protein/XP_056914899.1","ryanodine receptor 3-like isoform X9")</f>
        <v>ryanodine receptor 3-like isoform X9</v>
      </c>
      <c r="J3239">
        <v>8720.9</v>
      </c>
      <c r="K3239" t="s">
        <v>19</v>
      </c>
      <c r="L3239">
        <v>76</v>
      </c>
      <c r="M3239">
        <v>12.58</v>
      </c>
      <c r="N3239">
        <v>85.83</v>
      </c>
      <c r="O3239" t="s">
        <v>19</v>
      </c>
      <c r="P3239" t="s">
        <v>1320</v>
      </c>
      <c r="Q3239" t="s">
        <v>19</v>
      </c>
      <c r="R3239" t="str">
        <f>HYPERLINK("https://cfpub.epa.gov/ecotox/explore.cfm?ncbi=433684","Explore in ECOTOX")</f>
        <v>Explore in ECOTOX</v>
      </c>
    </row>
    <row r="3240" spans="1:18" x14ac:dyDescent="0.45">
      <c r="A3240" t="s">
        <v>1265</v>
      </c>
      <c r="B3240">
        <v>8</v>
      </c>
      <c r="C3240" t="str">
        <f>HYPERLINK("http://www.ncbi.nlm.nih.gov/protein/XP_023807277.1","XP_023807277.1")</f>
        <v>XP_023807277.1</v>
      </c>
      <c r="D3240">
        <v>47355</v>
      </c>
      <c r="E3240" t="str">
        <f>HYPERLINK("http://www.ncbi.nlm.nih.gov/Taxonomy/Browser/wwwtax.cgi?mode=Info&amp;id=8090&amp;lvl=3&amp;lin=f&amp;keep=1&amp;srchmode=1&amp;unlock","8090")</f>
        <v>8090</v>
      </c>
      <c r="F3240" t="s">
        <v>17</v>
      </c>
      <c r="G3240" t="str">
        <f>HYPERLINK("http://www.ncbi.nlm.nih.gov/Taxonomy/Browser/wwwtax.cgi?mode=Info&amp;id=8090&amp;lvl=3&amp;lin=f&amp;keep=1&amp;srchmode=1&amp;unlock","Oryzias latipes")</f>
        <v>Oryzias latipes</v>
      </c>
      <c r="H3240" t="s">
        <v>106</v>
      </c>
      <c r="I3240" t="str">
        <f>HYPERLINK("http://www.ncbi.nlm.nih.gov/protein/XP_023807277.1","ryanodine receptor 3-like isoform X15")</f>
        <v>ryanodine receptor 3-like isoform X15</v>
      </c>
      <c r="J3240">
        <v>8719.75</v>
      </c>
      <c r="K3240" t="s">
        <v>19</v>
      </c>
      <c r="L3240">
        <v>76</v>
      </c>
      <c r="M3240">
        <v>12.58</v>
      </c>
      <c r="N3240">
        <v>85.82</v>
      </c>
      <c r="O3240" t="s">
        <v>19</v>
      </c>
      <c r="P3240" t="s">
        <v>1320</v>
      </c>
      <c r="Q3240" t="s">
        <v>19</v>
      </c>
      <c r="R3240" t="str">
        <f>HYPERLINK("https://cfpub.epa.gov/ecotox/explore.cfm?ncbi=8090","Explore in ECOTOX")</f>
        <v>Explore in ECOTOX</v>
      </c>
    </row>
    <row r="3241" spans="1:18" x14ac:dyDescent="0.45">
      <c r="A3241" t="s">
        <v>1265</v>
      </c>
      <c r="B3241">
        <v>8</v>
      </c>
      <c r="C3241" t="str">
        <f>HYPERLINK("http://www.ncbi.nlm.nih.gov/protein/XP_029682566.1","XP_029682566.1")</f>
        <v>XP_029682566.1</v>
      </c>
      <c r="D3241">
        <v>49116</v>
      </c>
      <c r="E3241" t="str">
        <f>HYPERLINK("http://www.ncbi.nlm.nih.gov/Taxonomy/Browser/wwwtax.cgi?mode=Info&amp;id=31033&amp;lvl=3&amp;lin=f&amp;keep=1&amp;srchmode=1&amp;unlock","31033")</f>
        <v>31033</v>
      </c>
      <c r="F3241" t="s">
        <v>17</v>
      </c>
      <c r="G3241" t="str">
        <f>HYPERLINK("http://www.ncbi.nlm.nih.gov/Taxonomy/Browser/wwwtax.cgi?mode=Info&amp;id=31033&amp;lvl=3&amp;lin=f&amp;keep=1&amp;srchmode=1&amp;unlock","Takifugu rubripes")</f>
        <v>Takifugu rubripes</v>
      </c>
      <c r="H3241" t="s">
        <v>109</v>
      </c>
      <c r="I3241" t="str">
        <f>HYPERLINK("http://www.ncbi.nlm.nih.gov/protein/XP_029682566.1","ryanodine receptor 3-like isoform X10")</f>
        <v>ryanodine receptor 3-like isoform X10</v>
      </c>
      <c r="J3241">
        <v>8717.0499999999993</v>
      </c>
      <c r="K3241" t="s">
        <v>22</v>
      </c>
      <c r="L3241">
        <v>76</v>
      </c>
      <c r="M3241">
        <v>12.58</v>
      </c>
      <c r="N3241">
        <v>85.79</v>
      </c>
      <c r="O3241" t="s">
        <v>19</v>
      </c>
      <c r="P3241" t="s">
        <v>1320</v>
      </c>
      <c r="Q3241" t="s">
        <v>19</v>
      </c>
      <c r="R3241" t="str">
        <f>HYPERLINK("https://cfpub.epa.gov/ecotox/explore.cfm?ncbi=31033","Explore in ECOTOX")</f>
        <v>Explore in ECOTOX</v>
      </c>
    </row>
    <row r="3242" spans="1:18" x14ac:dyDescent="0.45">
      <c r="A3242" t="s">
        <v>1265</v>
      </c>
      <c r="B3242">
        <v>8</v>
      </c>
      <c r="C3242" t="str">
        <f>HYPERLINK("http://www.ncbi.nlm.nih.gov/protein/XP_059208546.1","XP_059208546.1")</f>
        <v>XP_059208546.1</v>
      </c>
      <c r="D3242">
        <v>36369</v>
      </c>
      <c r="E3242" t="str">
        <f>HYPERLINK("http://www.ncbi.nlm.nih.gov/Taxonomy/Browser/wwwtax.cgi?mode=Info&amp;id=184440&amp;lvl=3&amp;lin=f&amp;keep=1&amp;srchmode=1&amp;unlock","184440")</f>
        <v>184440</v>
      </c>
      <c r="F3242" t="s">
        <v>17</v>
      </c>
      <c r="G3242" t="str">
        <f>HYPERLINK("http://www.ncbi.nlm.nih.gov/Taxonomy/Browser/wwwtax.cgi?mode=Info&amp;id=184440&amp;lvl=3&amp;lin=f&amp;keep=1&amp;srchmode=1&amp;unlock","Centropristis striata")</f>
        <v>Centropristis striata</v>
      </c>
      <c r="H3242" t="s">
        <v>397</v>
      </c>
      <c r="I3242" t="str">
        <f>HYPERLINK("http://www.ncbi.nlm.nih.gov/protein/XP_059208546.1","ryanodine receptor 3-like")</f>
        <v>ryanodine receptor 3-like</v>
      </c>
      <c r="J3242">
        <v>8713.9699999999993</v>
      </c>
      <c r="K3242" t="s">
        <v>22</v>
      </c>
      <c r="L3242">
        <v>76</v>
      </c>
      <c r="M3242">
        <v>12.58</v>
      </c>
      <c r="N3242">
        <v>85.76</v>
      </c>
      <c r="O3242" t="s">
        <v>19</v>
      </c>
      <c r="P3242" t="s">
        <v>1320</v>
      </c>
      <c r="Q3242" t="s">
        <v>19</v>
      </c>
      <c r="R3242" t="str">
        <f>HYPERLINK("https://cfpub.epa.gov/ecotox/explore.cfm?ncbi=184440","Explore in ECOTOX")</f>
        <v>Explore in ECOTOX</v>
      </c>
    </row>
    <row r="3243" spans="1:18" x14ac:dyDescent="0.45">
      <c r="A3243" t="s">
        <v>1265</v>
      </c>
      <c r="B3243">
        <v>8</v>
      </c>
      <c r="C3243" t="str">
        <f>HYPERLINK("http://www.ncbi.nlm.nih.gov/protein/XP_032403176.1","XP_032403176.1")</f>
        <v>XP_032403176.1</v>
      </c>
      <c r="D3243">
        <v>46466</v>
      </c>
      <c r="E3243" t="str">
        <f>HYPERLINK("http://www.ncbi.nlm.nih.gov/Taxonomy/Browser/wwwtax.cgi?mode=Info&amp;id=8084&amp;lvl=3&amp;lin=f&amp;keep=1&amp;srchmode=1&amp;unlock","8084")</f>
        <v>8084</v>
      </c>
      <c r="F3243" t="s">
        <v>17</v>
      </c>
      <c r="G3243" t="str">
        <f>HYPERLINK("http://www.ncbi.nlm.nih.gov/Taxonomy/Browser/wwwtax.cgi?mode=Info&amp;id=8084&amp;lvl=3&amp;lin=f&amp;keep=1&amp;srchmode=1&amp;unlock","Xiphophorus hellerii")</f>
        <v>Xiphophorus hellerii</v>
      </c>
      <c r="H3243" t="s">
        <v>129</v>
      </c>
      <c r="I3243" t="str">
        <f>HYPERLINK("http://www.ncbi.nlm.nih.gov/protein/XP_032403176.1","ryanodine receptor 3-like isoform X6")</f>
        <v>ryanodine receptor 3-like isoform X6</v>
      </c>
      <c r="J3243">
        <v>8713.2000000000007</v>
      </c>
      <c r="K3243" t="s">
        <v>22</v>
      </c>
      <c r="L3243">
        <v>76</v>
      </c>
      <c r="M3243">
        <v>12.58</v>
      </c>
      <c r="N3243">
        <v>85.75</v>
      </c>
      <c r="O3243" t="s">
        <v>19</v>
      </c>
      <c r="P3243" t="s">
        <v>1320</v>
      </c>
      <c r="Q3243" t="s">
        <v>19</v>
      </c>
      <c r="R3243" t="str">
        <f>HYPERLINK("https://cfpub.epa.gov/ecotox/explore.cfm?ncbi=8084","Explore in ECOTOX")</f>
        <v>Explore in ECOTOX</v>
      </c>
    </row>
    <row r="3244" spans="1:18" x14ac:dyDescent="0.45">
      <c r="A3244" t="s">
        <v>1265</v>
      </c>
      <c r="B3244">
        <v>8</v>
      </c>
      <c r="C3244" t="str">
        <f>HYPERLINK("http://www.ncbi.nlm.nih.gov/protein/XP_047197598.1","XP_047197598.1")</f>
        <v>XP_047197598.1</v>
      </c>
      <c r="D3244">
        <v>42151</v>
      </c>
      <c r="E3244" t="str">
        <f>HYPERLINK("http://www.ncbi.nlm.nih.gov/Taxonomy/Browser/wwwtax.cgi?mode=Info&amp;id=195615&amp;lvl=3&amp;lin=f&amp;keep=1&amp;srchmode=1&amp;unlock","195615")</f>
        <v>195615</v>
      </c>
      <c r="F3244" t="s">
        <v>17</v>
      </c>
      <c r="G3244" t="str">
        <f>HYPERLINK("http://www.ncbi.nlm.nih.gov/Taxonomy/Browser/wwwtax.cgi?mode=Info&amp;id=195615&amp;lvl=3&amp;lin=f&amp;keep=1&amp;srchmode=1&amp;unlock","Hippoglossus stenolepis")</f>
        <v>Hippoglossus stenolepis</v>
      </c>
      <c r="H3244" t="s">
        <v>104</v>
      </c>
      <c r="I3244" t="str">
        <f>HYPERLINK("http://www.ncbi.nlm.nih.gov/protein/XP_047197598.1","ryanodine receptor 3 isoform X2")</f>
        <v>ryanodine receptor 3 isoform X2</v>
      </c>
      <c r="J3244">
        <v>8713.2000000000007</v>
      </c>
      <c r="K3244" t="s">
        <v>22</v>
      </c>
      <c r="L3244">
        <v>76</v>
      </c>
      <c r="M3244">
        <v>12.58</v>
      </c>
      <c r="N3244">
        <v>85.75</v>
      </c>
      <c r="O3244" t="s">
        <v>19</v>
      </c>
      <c r="P3244" t="s">
        <v>1320</v>
      </c>
      <c r="Q3244" t="s">
        <v>19</v>
      </c>
      <c r="R3244" t="str">
        <f>HYPERLINK("https://cfpub.epa.gov/ecotox/explore.cfm?ncbi=195615","Explore in ECOTOX")</f>
        <v>Explore in ECOTOX</v>
      </c>
    </row>
    <row r="3245" spans="1:18" x14ac:dyDescent="0.45">
      <c r="A3245" t="s">
        <v>1265</v>
      </c>
      <c r="B3245">
        <v>8</v>
      </c>
      <c r="C3245" t="str">
        <f>HYPERLINK("http://www.ncbi.nlm.nih.gov/protein/XP_045065072.1","XP_045065072.1")</f>
        <v>XP_045065072.1</v>
      </c>
      <c r="D3245">
        <v>77029</v>
      </c>
      <c r="E3245" t="str">
        <f>HYPERLINK("http://www.ncbi.nlm.nih.gov/Taxonomy/Browser/wwwtax.cgi?mode=Info&amp;id=59861&amp;lvl=3&amp;lin=f&amp;keep=1&amp;srchmode=1&amp;unlock","59861")</f>
        <v>59861</v>
      </c>
      <c r="F3245" t="s">
        <v>17</v>
      </c>
      <c r="G3245" t="str">
        <f>HYPERLINK("http://www.ncbi.nlm.nih.gov/Taxonomy/Browser/wwwtax.cgi?mode=Info&amp;id=59861&amp;lvl=3&amp;lin=f&amp;keep=1&amp;srchmode=1&amp;unlock","Coregonus clupeaformis")</f>
        <v>Coregonus clupeaformis</v>
      </c>
      <c r="H3245" t="s">
        <v>130</v>
      </c>
      <c r="I3245" t="str">
        <f>HYPERLINK("http://www.ncbi.nlm.nih.gov/protein/XP_045065072.1","ryanodine receptor 3")</f>
        <v>ryanodine receptor 3</v>
      </c>
      <c r="J3245">
        <v>8712.0400000000009</v>
      </c>
      <c r="K3245" t="s">
        <v>22</v>
      </c>
      <c r="L3245">
        <v>76</v>
      </c>
      <c r="M3245">
        <v>12.58</v>
      </c>
      <c r="N3245">
        <v>85.74</v>
      </c>
      <c r="O3245" t="s">
        <v>19</v>
      </c>
      <c r="P3245" t="s">
        <v>1320</v>
      </c>
      <c r="Q3245" t="s">
        <v>19</v>
      </c>
      <c r="R3245" t="str">
        <f>HYPERLINK("https://cfpub.epa.gov/ecotox/explore.cfm?ncbi=59861","Explore in ECOTOX")</f>
        <v>Explore in ECOTOX</v>
      </c>
    </row>
    <row r="3246" spans="1:18" x14ac:dyDescent="0.45">
      <c r="A3246" t="s">
        <v>1265</v>
      </c>
      <c r="B3246">
        <v>8</v>
      </c>
      <c r="C3246" t="str">
        <f>HYPERLINK("http://www.ncbi.nlm.nih.gov/protein/XP_034078392.1","XP_034078392.1")</f>
        <v>XP_034078392.1</v>
      </c>
      <c r="D3246">
        <v>45873</v>
      </c>
      <c r="E3246" t="str">
        <f>HYPERLINK("http://www.ncbi.nlm.nih.gov/Taxonomy/Browser/wwwtax.cgi?mode=Info&amp;id=8218&amp;lvl=3&amp;lin=f&amp;keep=1&amp;srchmode=1&amp;unlock","8218")</f>
        <v>8218</v>
      </c>
      <c r="F3246" t="s">
        <v>17</v>
      </c>
      <c r="G3246" t="str">
        <f>HYPERLINK("http://www.ncbi.nlm.nih.gov/Taxonomy/Browser/wwwtax.cgi?mode=Info&amp;id=8218&amp;lvl=3&amp;lin=f&amp;keep=1&amp;srchmode=1&amp;unlock","Gymnodraco acuticeps")</f>
        <v>Gymnodraco acuticeps</v>
      </c>
      <c r="H3246" t="s">
        <v>161</v>
      </c>
      <c r="I3246" t="str">
        <f>HYPERLINK("http://www.ncbi.nlm.nih.gov/protein/XP_034078392.1","ryanodine receptor 3-like isoform X5")</f>
        <v>ryanodine receptor 3-like isoform X5</v>
      </c>
      <c r="J3246">
        <v>8708.19</v>
      </c>
      <c r="K3246" t="s">
        <v>19</v>
      </c>
      <c r="L3246">
        <v>76</v>
      </c>
      <c r="M3246">
        <v>12.58</v>
      </c>
      <c r="N3246">
        <v>85.7</v>
      </c>
      <c r="O3246" t="s">
        <v>19</v>
      </c>
      <c r="P3246" t="s">
        <v>1320</v>
      </c>
      <c r="Q3246" t="s">
        <v>19</v>
      </c>
      <c r="R3246" t="str">
        <f>HYPERLINK("https://cfpub.epa.gov/ecotox/explore.cfm?ncbi=8218","Explore in ECOTOX")</f>
        <v>Explore in ECOTOX</v>
      </c>
    </row>
    <row r="3247" spans="1:18" x14ac:dyDescent="0.45">
      <c r="A3247" t="s">
        <v>1265</v>
      </c>
      <c r="B3247">
        <v>8</v>
      </c>
      <c r="C3247" t="str">
        <f>HYPERLINK("http://www.ncbi.nlm.nih.gov/protein/XP_054894100.1","XP_054894100.1")</f>
        <v>XP_054894100.1</v>
      </c>
      <c r="D3247">
        <v>41286</v>
      </c>
      <c r="E3247" t="str">
        <f>HYPERLINK("http://www.ncbi.nlm.nih.gov/Taxonomy/Browser/wwwtax.cgi?mode=Info&amp;id=188132&amp;lvl=3&amp;lin=f&amp;keep=1&amp;srchmode=1&amp;unlock","188132")</f>
        <v>188132</v>
      </c>
      <c r="F3247" t="s">
        <v>17</v>
      </c>
      <c r="G3247" t="str">
        <f>HYPERLINK("http://www.ncbi.nlm.nih.gov/Taxonomy/Browser/wwwtax.cgi?mode=Info&amp;id=188132&amp;lvl=3&amp;lin=f&amp;keep=1&amp;srchmode=1&amp;unlock","Poeciliopsis prolifica")</f>
        <v>Poeciliopsis prolifica</v>
      </c>
      <c r="H3247" t="s">
        <v>145</v>
      </c>
      <c r="I3247" t="str">
        <f>HYPERLINK("http://www.ncbi.nlm.nih.gov/protein/XP_054894100.1","ryanodine receptor 3-like")</f>
        <v>ryanodine receptor 3-like</v>
      </c>
      <c r="J3247">
        <v>8708.19</v>
      </c>
      <c r="K3247" t="s">
        <v>22</v>
      </c>
      <c r="L3247">
        <v>76</v>
      </c>
      <c r="M3247">
        <v>12.58</v>
      </c>
      <c r="N3247">
        <v>85.7</v>
      </c>
      <c r="O3247" t="s">
        <v>19</v>
      </c>
      <c r="P3247" t="s">
        <v>1320</v>
      </c>
      <c r="Q3247" t="s">
        <v>19</v>
      </c>
      <c r="R3247" t="str">
        <f>HYPERLINK("https://cfpub.epa.gov/ecotox/explore.cfm?ncbi=188132","Explore in ECOTOX")</f>
        <v>Explore in ECOTOX</v>
      </c>
    </row>
    <row r="3248" spans="1:18" x14ac:dyDescent="0.45">
      <c r="A3248" t="s">
        <v>1265</v>
      </c>
      <c r="B3248">
        <v>8</v>
      </c>
      <c r="C3248" t="str">
        <f>HYPERLINK("http://www.ncbi.nlm.nih.gov/protein/XP_008397627.1","XP_008397627.1")</f>
        <v>XP_008397627.1</v>
      </c>
      <c r="D3248">
        <v>45432</v>
      </c>
      <c r="E3248" t="str">
        <f>HYPERLINK("http://www.ncbi.nlm.nih.gov/Taxonomy/Browser/wwwtax.cgi?mode=Info&amp;id=8081&amp;lvl=3&amp;lin=f&amp;keep=1&amp;srchmode=1&amp;unlock","8081")</f>
        <v>8081</v>
      </c>
      <c r="F3248" t="s">
        <v>17</v>
      </c>
      <c r="G3248" t="str">
        <f>HYPERLINK("http://www.ncbi.nlm.nih.gov/Taxonomy/Browser/wwwtax.cgi?mode=Info&amp;id=8081&amp;lvl=3&amp;lin=f&amp;keep=1&amp;srchmode=1&amp;unlock","Poecilia reticulata")</f>
        <v>Poecilia reticulata</v>
      </c>
      <c r="H3248" t="s">
        <v>504</v>
      </c>
      <c r="I3248" t="str">
        <f>HYPERLINK("http://www.ncbi.nlm.nih.gov/protein/XP_008397627.1","PREDICTED: ryanodine receptor 3-like isoform X4")</f>
        <v>PREDICTED: ryanodine receptor 3-like isoform X4</v>
      </c>
      <c r="J3248">
        <v>8707.81</v>
      </c>
      <c r="K3248" t="s">
        <v>22</v>
      </c>
      <c r="L3248">
        <v>76</v>
      </c>
      <c r="M3248">
        <v>12.58</v>
      </c>
      <c r="N3248">
        <v>85.7</v>
      </c>
      <c r="O3248" t="s">
        <v>19</v>
      </c>
      <c r="P3248" t="s">
        <v>1320</v>
      </c>
      <c r="Q3248" t="s">
        <v>19</v>
      </c>
      <c r="R3248" t="str">
        <f>HYPERLINK("https://cfpub.epa.gov/ecotox/explore.cfm?ncbi=8081","Explore in ECOTOX")</f>
        <v>Explore in ECOTOX</v>
      </c>
    </row>
    <row r="3249" spans="1:18" x14ac:dyDescent="0.45">
      <c r="A3249" t="s">
        <v>1265</v>
      </c>
      <c r="B3249">
        <v>8</v>
      </c>
      <c r="C3249" t="str">
        <f>HYPERLINK("http://www.ncbi.nlm.nih.gov/protein/XP_023208269.1","XP_023208269.1")</f>
        <v>XP_023208269.1</v>
      </c>
      <c r="D3249">
        <v>43739</v>
      </c>
      <c r="E3249" t="str">
        <f>HYPERLINK("http://www.ncbi.nlm.nih.gov/Taxonomy/Browser/wwwtax.cgi?mode=Info&amp;id=8083&amp;lvl=3&amp;lin=f&amp;keep=1&amp;srchmode=1&amp;unlock","8083")</f>
        <v>8083</v>
      </c>
      <c r="F3249" t="s">
        <v>17</v>
      </c>
      <c r="G3249" t="str">
        <f>HYPERLINK("http://www.ncbi.nlm.nih.gov/Taxonomy/Browser/wwwtax.cgi?mode=Info&amp;id=8083&amp;lvl=3&amp;lin=f&amp;keep=1&amp;srchmode=1&amp;unlock","Xiphophorus maculatus")</f>
        <v>Xiphophorus maculatus</v>
      </c>
      <c r="H3249" t="s">
        <v>126</v>
      </c>
      <c r="I3249" t="str">
        <f>HYPERLINK("http://www.ncbi.nlm.nih.gov/protein/XP_023208269.1","ryanodine receptor 3-like isoform X4")</f>
        <v>ryanodine receptor 3-like isoform X4</v>
      </c>
      <c r="J3249">
        <v>8707.42</v>
      </c>
      <c r="K3249" t="s">
        <v>22</v>
      </c>
      <c r="L3249">
        <v>76</v>
      </c>
      <c r="M3249">
        <v>12.58</v>
      </c>
      <c r="N3249">
        <v>85.7</v>
      </c>
      <c r="O3249" t="s">
        <v>19</v>
      </c>
      <c r="P3249" t="s">
        <v>1320</v>
      </c>
      <c r="Q3249" t="s">
        <v>19</v>
      </c>
      <c r="R3249" t="str">
        <f>HYPERLINK("https://cfpub.epa.gov/ecotox/explore.cfm?ncbi=8083","Explore in ECOTOX")</f>
        <v>Explore in ECOTOX</v>
      </c>
    </row>
    <row r="3250" spans="1:18" x14ac:dyDescent="0.45">
      <c r="A3250" t="s">
        <v>1265</v>
      </c>
      <c r="B3250">
        <v>8</v>
      </c>
      <c r="C3250" t="str">
        <f>HYPERLINK("http://www.ncbi.nlm.nih.gov/protein/XP_036818165.1","XP_036818165.1")</f>
        <v>XP_036818165.1</v>
      </c>
      <c r="D3250">
        <v>150927</v>
      </c>
      <c r="E3250" t="str">
        <f>HYPERLINK("http://www.ncbi.nlm.nih.gov/Taxonomy/Browser/wwwtax.cgi?mode=Info&amp;id=8022&amp;lvl=3&amp;lin=f&amp;keep=1&amp;srchmode=1&amp;unlock","8022")</f>
        <v>8022</v>
      </c>
      <c r="F3250" t="s">
        <v>17</v>
      </c>
      <c r="G3250" t="str">
        <f>HYPERLINK("http://www.ncbi.nlm.nih.gov/Taxonomy/Browser/wwwtax.cgi?mode=Info&amp;id=8022&amp;lvl=3&amp;lin=f&amp;keep=1&amp;srchmode=1&amp;unlock","Oncorhynchus mykiss")</f>
        <v>Oncorhynchus mykiss</v>
      </c>
      <c r="H3250" t="s">
        <v>158</v>
      </c>
      <c r="I3250" t="str">
        <f>HYPERLINK("http://www.ncbi.nlm.nih.gov/protein/XP_036818165.1","ryanodine receptor 3")</f>
        <v>ryanodine receptor 3</v>
      </c>
      <c r="J3250">
        <v>8703.19</v>
      </c>
      <c r="K3250" t="s">
        <v>22</v>
      </c>
      <c r="L3250">
        <v>76</v>
      </c>
      <c r="M3250">
        <v>12.58</v>
      </c>
      <c r="N3250">
        <v>85.65</v>
      </c>
      <c r="O3250" t="s">
        <v>19</v>
      </c>
      <c r="P3250" t="s">
        <v>1320</v>
      </c>
      <c r="Q3250" t="s">
        <v>19</v>
      </c>
      <c r="R3250" t="str">
        <f>HYPERLINK("https://cfpub.epa.gov/ecotox/explore.cfm?ncbi=8022","Explore in ECOTOX")</f>
        <v>Explore in ECOTOX</v>
      </c>
    </row>
    <row r="3251" spans="1:18" x14ac:dyDescent="0.45">
      <c r="A3251" t="s">
        <v>1265</v>
      </c>
      <c r="B3251">
        <v>8</v>
      </c>
      <c r="C3251" t="str">
        <f>HYPERLINK("http://www.ncbi.nlm.nih.gov/protein/XP_045579421.1","XP_045579421.1")</f>
        <v>XP_045579421.1</v>
      </c>
      <c r="D3251">
        <v>111662</v>
      </c>
      <c r="E3251" t="str">
        <f>HYPERLINK("http://www.ncbi.nlm.nih.gov/Taxonomy/Browser/wwwtax.cgi?mode=Info&amp;id=8030&amp;lvl=3&amp;lin=f&amp;keep=1&amp;srchmode=1&amp;unlock","8030")</f>
        <v>8030</v>
      </c>
      <c r="F3251" t="s">
        <v>17</v>
      </c>
      <c r="G3251" t="str">
        <f>HYPERLINK("http://www.ncbi.nlm.nih.gov/Taxonomy/Browser/wwwtax.cgi?mode=Info&amp;id=8030&amp;lvl=3&amp;lin=f&amp;keep=1&amp;srchmode=1&amp;unlock","Salmo salar")</f>
        <v>Salmo salar</v>
      </c>
      <c r="H3251" t="s">
        <v>155</v>
      </c>
      <c r="I3251" t="str">
        <f>HYPERLINK("http://www.ncbi.nlm.nih.gov/protein/XP_045579421.1","ryanodine receptor 3 isoform X4")</f>
        <v>ryanodine receptor 3 isoform X4</v>
      </c>
      <c r="J3251">
        <v>8702.7999999999993</v>
      </c>
      <c r="K3251" t="s">
        <v>22</v>
      </c>
      <c r="L3251">
        <v>76</v>
      </c>
      <c r="M3251">
        <v>12.58</v>
      </c>
      <c r="N3251">
        <v>85.65</v>
      </c>
      <c r="O3251" t="s">
        <v>19</v>
      </c>
      <c r="P3251" t="s">
        <v>1320</v>
      </c>
      <c r="Q3251" t="s">
        <v>19</v>
      </c>
      <c r="R3251" t="str">
        <f>HYPERLINK("https://cfpub.epa.gov/ecotox/explore.cfm?ncbi=8030","Explore in ECOTOX")</f>
        <v>Explore in ECOTOX</v>
      </c>
    </row>
    <row r="3252" spans="1:18" x14ac:dyDescent="0.45">
      <c r="A3252" t="s">
        <v>1265</v>
      </c>
      <c r="B3252">
        <v>8</v>
      </c>
      <c r="C3252" t="str">
        <f>HYPERLINK("http://www.ncbi.nlm.nih.gov/protein/KAG7509713.1","KAG7509713.1")</f>
        <v>KAG7509713.1</v>
      </c>
      <c r="D3252">
        <v>91952</v>
      </c>
      <c r="E3252" t="str">
        <f>HYPERLINK("http://www.ncbi.nlm.nih.gov/Taxonomy/Browser/wwwtax.cgi?mode=Info&amp;id=28829&amp;lvl=3&amp;lin=f&amp;keep=1&amp;srchmode=1&amp;unlock","28829")</f>
        <v>28829</v>
      </c>
      <c r="F3252" t="s">
        <v>17</v>
      </c>
      <c r="G3252" t="str">
        <f>HYPERLINK("http://www.ncbi.nlm.nih.gov/Taxonomy/Browser/wwwtax.cgi?mode=Info&amp;id=28829&amp;lvl=3&amp;lin=f&amp;keep=1&amp;srchmode=1&amp;unlock","Solea senegalensis")</f>
        <v>Solea senegalensis</v>
      </c>
      <c r="H3252" t="s">
        <v>60</v>
      </c>
      <c r="I3252" t="str">
        <f>HYPERLINK("http://www.ncbi.nlm.nih.gov/protein/KAG7509713.1","ryanodine receptor 3-like")</f>
        <v>ryanodine receptor 3-like</v>
      </c>
      <c r="J3252">
        <v>8700.8700000000008</v>
      </c>
      <c r="K3252" t="s">
        <v>22</v>
      </c>
      <c r="L3252">
        <v>76</v>
      </c>
      <c r="M3252">
        <v>12.58</v>
      </c>
      <c r="N3252">
        <v>85.63</v>
      </c>
      <c r="O3252" t="s">
        <v>19</v>
      </c>
      <c r="P3252" t="s">
        <v>1320</v>
      </c>
      <c r="Q3252" t="s">
        <v>19</v>
      </c>
      <c r="R3252" t="str">
        <f>HYPERLINK("https://cfpub.epa.gov/ecotox/explore.cfm?ncbi=28829","Explore in ECOTOX")</f>
        <v>Explore in ECOTOX</v>
      </c>
    </row>
    <row r="3253" spans="1:18" x14ac:dyDescent="0.45">
      <c r="A3253" t="s">
        <v>1265</v>
      </c>
      <c r="B3253">
        <v>8</v>
      </c>
      <c r="C3253" t="str">
        <f>HYPERLINK("http://www.ncbi.nlm.nih.gov/protein/XP_027856605.1","XP_027856605.1")</f>
        <v>XP_027856605.1</v>
      </c>
      <c r="D3253">
        <v>47115</v>
      </c>
      <c r="E3253" t="str">
        <f>HYPERLINK("http://www.ncbi.nlm.nih.gov/Taxonomy/Browser/wwwtax.cgi?mode=Info&amp;id=32473&amp;lvl=3&amp;lin=f&amp;keep=1&amp;srchmode=1&amp;unlock","32473")</f>
        <v>32473</v>
      </c>
      <c r="F3253" t="s">
        <v>17</v>
      </c>
      <c r="G3253" t="str">
        <f>HYPERLINK("http://www.ncbi.nlm.nih.gov/Taxonomy/Browser/wwwtax.cgi?mode=Info&amp;id=32473&amp;lvl=3&amp;lin=f&amp;keep=1&amp;srchmode=1&amp;unlock","Xiphophorus couchianus")</f>
        <v>Xiphophorus couchianus</v>
      </c>
      <c r="H3253" t="s">
        <v>132</v>
      </c>
      <c r="I3253" t="str">
        <f>HYPERLINK("http://www.ncbi.nlm.nih.gov/protein/XP_027856605.1","ryanodine receptor 3-like isoform X6")</f>
        <v>ryanodine receptor 3-like isoform X6</v>
      </c>
      <c r="J3253">
        <v>8700.49</v>
      </c>
      <c r="K3253" t="s">
        <v>22</v>
      </c>
      <c r="L3253">
        <v>76</v>
      </c>
      <c r="M3253">
        <v>12.58</v>
      </c>
      <c r="N3253">
        <v>85.63</v>
      </c>
      <c r="O3253" t="s">
        <v>19</v>
      </c>
      <c r="P3253" t="s">
        <v>1320</v>
      </c>
      <c r="Q3253" t="s">
        <v>19</v>
      </c>
      <c r="R3253" t="str">
        <f>HYPERLINK("https://cfpub.epa.gov/ecotox/explore.cfm?ncbi=32473","Explore in ECOTOX")</f>
        <v>Explore in ECOTOX</v>
      </c>
    </row>
    <row r="3254" spans="1:18" x14ac:dyDescent="0.45">
      <c r="A3254" t="s">
        <v>1265</v>
      </c>
      <c r="B3254">
        <v>8</v>
      </c>
      <c r="C3254" t="str">
        <f>HYPERLINK("http://www.ncbi.nlm.nih.gov/protein/XP_054652179.1","XP_054652179.1")</f>
        <v>XP_054652179.1</v>
      </c>
      <c r="D3254">
        <v>48595</v>
      </c>
      <c r="E3254" t="str">
        <f>HYPERLINK("http://www.ncbi.nlm.nih.gov/Taxonomy/Browser/wwwtax.cgi?mode=Info&amp;id=161453&amp;lvl=3&amp;lin=f&amp;keep=1&amp;srchmode=1&amp;unlock","161453")</f>
        <v>161453</v>
      </c>
      <c r="F3254" t="s">
        <v>17</v>
      </c>
      <c r="G3254" t="str">
        <f>HYPERLINK("http://www.ncbi.nlm.nih.gov/Taxonomy/Browser/wwwtax.cgi?mode=Info&amp;id=161453&amp;lvl=3&amp;lin=f&amp;keep=1&amp;srchmode=1&amp;unlock","Dunckerocampus dactyliophorus")</f>
        <v>Dunckerocampus dactyliophorus</v>
      </c>
      <c r="H3254" t="s">
        <v>107</v>
      </c>
      <c r="I3254" t="str">
        <f>HYPERLINK("http://www.ncbi.nlm.nih.gov/protein/XP_054652179.1","ryanodine receptor 3-like isoform X3")</f>
        <v>ryanodine receptor 3-like isoform X3</v>
      </c>
      <c r="J3254">
        <v>8695.1</v>
      </c>
      <c r="K3254" t="s">
        <v>19</v>
      </c>
      <c r="L3254">
        <v>76</v>
      </c>
      <c r="M3254">
        <v>12.58</v>
      </c>
      <c r="N3254">
        <v>85.57</v>
      </c>
      <c r="O3254" t="s">
        <v>19</v>
      </c>
      <c r="P3254" t="s">
        <v>1320</v>
      </c>
      <c r="Q3254" t="s">
        <v>19</v>
      </c>
      <c r="R3254" t="str">
        <f>HYPERLINK("https://cfpub.epa.gov/ecotox/explore.cfm?ncbi=161453","Explore in ECOTOX")</f>
        <v>Explore in ECOTOX</v>
      </c>
    </row>
    <row r="3255" spans="1:18" x14ac:dyDescent="0.45">
      <c r="A3255" t="s">
        <v>1265</v>
      </c>
      <c r="B3255">
        <v>8</v>
      </c>
      <c r="C3255" t="str">
        <f>HYPERLINK("http://www.ncbi.nlm.nih.gov/protein/XP_033979617.1","XP_033979617.1")</f>
        <v>XP_033979617.1</v>
      </c>
      <c r="D3255">
        <v>41311</v>
      </c>
      <c r="E3255" t="str">
        <f>HYPERLINK("http://www.ncbi.nlm.nih.gov/Taxonomy/Browser/wwwtax.cgi?mode=Info&amp;id=40690&amp;lvl=3&amp;lin=f&amp;keep=1&amp;srchmode=1&amp;unlock","40690")</f>
        <v>40690</v>
      </c>
      <c r="F3255" t="s">
        <v>17</v>
      </c>
      <c r="G3255" t="str">
        <f>HYPERLINK("http://www.ncbi.nlm.nih.gov/Taxonomy/Browser/wwwtax.cgi?mode=Info&amp;id=40690&amp;lvl=3&amp;lin=f&amp;keep=1&amp;srchmode=1&amp;unlock","Trematomus bernacchii")</f>
        <v>Trematomus bernacchii</v>
      </c>
      <c r="H3255" t="s">
        <v>167</v>
      </c>
      <c r="I3255" t="str">
        <f>HYPERLINK("http://www.ncbi.nlm.nih.gov/protein/XP_033979617.1","ryanodine receptor 3-like")</f>
        <v>ryanodine receptor 3-like</v>
      </c>
      <c r="J3255">
        <v>8693.17</v>
      </c>
      <c r="K3255" t="s">
        <v>19</v>
      </c>
      <c r="L3255">
        <v>76</v>
      </c>
      <c r="M3255">
        <v>12.58</v>
      </c>
      <c r="N3255">
        <v>85.56</v>
      </c>
      <c r="O3255" t="s">
        <v>19</v>
      </c>
      <c r="P3255" t="s">
        <v>1320</v>
      </c>
      <c r="Q3255" t="s">
        <v>19</v>
      </c>
      <c r="R3255" t="str">
        <f>HYPERLINK("https://cfpub.epa.gov/ecotox/explore.cfm?ncbi=40690","Explore in ECOTOX")</f>
        <v>Explore in ECOTOX</v>
      </c>
    </row>
    <row r="3256" spans="1:18" x14ac:dyDescent="0.45">
      <c r="A3256" t="s">
        <v>1265</v>
      </c>
      <c r="B3256">
        <v>8</v>
      </c>
      <c r="C3256" t="str">
        <f>HYPERLINK("http://www.ncbi.nlm.nih.gov/protein/XP_034051524.1","XP_034051524.1")</f>
        <v>XP_034051524.1</v>
      </c>
      <c r="D3256">
        <v>36365</v>
      </c>
      <c r="E3256" t="str">
        <f>HYPERLINK("http://www.ncbi.nlm.nih.gov/Taxonomy/Browser/wwwtax.cgi?mode=Info&amp;id=390379&amp;lvl=3&amp;lin=f&amp;keep=1&amp;srchmode=1&amp;unlock","390379")</f>
        <v>390379</v>
      </c>
      <c r="F3256" t="s">
        <v>17</v>
      </c>
      <c r="G3256" t="str">
        <f>HYPERLINK("http://www.ncbi.nlm.nih.gov/Taxonomy/Browser/wwwtax.cgi?mode=Info&amp;id=390379&amp;lvl=3&amp;lin=f&amp;keep=1&amp;srchmode=1&amp;unlock","Thalassophryne amazonica")</f>
        <v>Thalassophryne amazonica</v>
      </c>
      <c r="H3256" t="s">
        <v>147</v>
      </c>
      <c r="I3256" t="str">
        <f>HYPERLINK("http://www.ncbi.nlm.nih.gov/protein/XP_034051524.1","LOW QUALITY PROTEIN: ryanodine receptor 3-like")</f>
        <v>LOW QUALITY PROTEIN: ryanodine receptor 3-like</v>
      </c>
      <c r="J3256">
        <v>8688.5499999999993</v>
      </c>
      <c r="K3256" t="s">
        <v>22</v>
      </c>
      <c r="L3256">
        <v>76</v>
      </c>
      <c r="M3256">
        <v>12.58</v>
      </c>
      <c r="N3256">
        <v>85.51</v>
      </c>
      <c r="O3256" t="s">
        <v>19</v>
      </c>
      <c r="P3256" t="s">
        <v>1320</v>
      </c>
      <c r="Q3256" t="s">
        <v>19</v>
      </c>
      <c r="R3256" t="str">
        <f>HYPERLINK("https://cfpub.epa.gov/ecotox/explore.cfm?ncbi=390379","Explore in ECOTOX")</f>
        <v>Explore in ECOTOX</v>
      </c>
    </row>
    <row r="3257" spans="1:18" x14ac:dyDescent="0.45">
      <c r="A3257" t="s">
        <v>1265</v>
      </c>
      <c r="B3257">
        <v>8</v>
      </c>
      <c r="C3257" t="str">
        <f>HYPERLINK("http://www.ncbi.nlm.nih.gov/protein/XP_057946113.1","XP_057946113.1")</f>
        <v>XP_057946113.1</v>
      </c>
      <c r="D3257">
        <v>45989</v>
      </c>
      <c r="E3257" t="str">
        <f>HYPERLINK("http://www.ncbi.nlm.nih.gov/Taxonomy/Browser/wwwtax.cgi?mode=Info&amp;id=161450&amp;lvl=3&amp;lin=f&amp;keep=1&amp;srchmode=1&amp;unlock","161450")</f>
        <v>161450</v>
      </c>
      <c r="F3257" t="s">
        <v>17</v>
      </c>
      <c r="G3257" t="str">
        <f>HYPERLINK("http://www.ncbi.nlm.nih.gov/Taxonomy/Browser/wwwtax.cgi?mode=Info&amp;id=161450&amp;lvl=3&amp;lin=f&amp;keep=1&amp;srchmode=1&amp;unlock","Doryrhamphus excisus")</f>
        <v>Doryrhamphus excisus</v>
      </c>
      <c r="H3257" t="s">
        <v>81</v>
      </c>
      <c r="I3257" t="str">
        <f>HYPERLINK("http://www.ncbi.nlm.nih.gov/protein/XP_057946113.1","ryanodine receptor 3-like isoform X1")</f>
        <v>ryanodine receptor 3-like isoform X1</v>
      </c>
      <c r="J3257">
        <v>8685.85</v>
      </c>
      <c r="K3257" t="s">
        <v>22</v>
      </c>
      <c r="L3257">
        <v>76</v>
      </c>
      <c r="M3257">
        <v>12.58</v>
      </c>
      <c r="N3257">
        <v>85.48</v>
      </c>
      <c r="O3257" t="s">
        <v>19</v>
      </c>
      <c r="P3257" t="s">
        <v>1320</v>
      </c>
      <c r="Q3257" t="s">
        <v>19</v>
      </c>
      <c r="R3257" t="str">
        <f>HYPERLINK("https://cfpub.epa.gov/ecotox/explore.cfm?ncbi=161450","Explore in ECOTOX")</f>
        <v>Explore in ECOTOX</v>
      </c>
    </row>
    <row r="3258" spans="1:18" x14ac:dyDescent="0.45">
      <c r="A3258" t="s">
        <v>1265</v>
      </c>
      <c r="B3258">
        <v>8</v>
      </c>
      <c r="C3258" t="str">
        <f>HYPERLINK("http://www.ncbi.nlm.nih.gov/protein/XP_036006631.1","XP_036006631.1")</f>
        <v>XP_036006631.1</v>
      </c>
      <c r="D3258">
        <v>50139</v>
      </c>
      <c r="E3258" t="str">
        <f>HYPERLINK("http://www.ncbi.nlm.nih.gov/Taxonomy/Browser/wwwtax.cgi?mode=Info&amp;id=8078&amp;lvl=3&amp;lin=f&amp;keep=1&amp;srchmode=1&amp;unlock","8078")</f>
        <v>8078</v>
      </c>
      <c r="F3258" t="s">
        <v>17</v>
      </c>
      <c r="G3258" t="str">
        <f>HYPERLINK("http://www.ncbi.nlm.nih.gov/Taxonomy/Browser/wwwtax.cgi?mode=Info&amp;id=8078&amp;lvl=3&amp;lin=f&amp;keep=1&amp;srchmode=1&amp;unlock","Fundulus heteroclitus")</f>
        <v>Fundulus heteroclitus</v>
      </c>
      <c r="H3258" t="s">
        <v>114</v>
      </c>
      <c r="I3258" t="str">
        <f>HYPERLINK("http://www.ncbi.nlm.nih.gov/protein/XP_036006631.1","ryanodine receptor 3 isoform X9")</f>
        <v>ryanodine receptor 3 isoform X9</v>
      </c>
      <c r="J3258">
        <v>8685.85</v>
      </c>
      <c r="K3258" t="s">
        <v>22</v>
      </c>
      <c r="L3258">
        <v>76</v>
      </c>
      <c r="M3258">
        <v>12.58</v>
      </c>
      <c r="N3258">
        <v>85.48</v>
      </c>
      <c r="O3258" t="s">
        <v>19</v>
      </c>
      <c r="P3258" t="s">
        <v>1320</v>
      </c>
      <c r="Q3258" t="s">
        <v>19</v>
      </c>
      <c r="R3258" t="str">
        <f>HYPERLINK("https://cfpub.epa.gov/ecotox/explore.cfm?ncbi=8078","Explore in ECOTOX")</f>
        <v>Explore in ECOTOX</v>
      </c>
    </row>
    <row r="3259" spans="1:18" x14ac:dyDescent="0.45">
      <c r="A3259" t="s">
        <v>1265</v>
      </c>
      <c r="B3259">
        <v>8</v>
      </c>
      <c r="C3259" t="str">
        <f>HYPERLINK("http://www.ncbi.nlm.nih.gov/protein/RVE57110.1","RVE57110.1")</f>
        <v>RVE57110.1</v>
      </c>
      <c r="D3259">
        <v>21547</v>
      </c>
      <c r="E3259" t="str">
        <f>HYPERLINK("http://www.ncbi.nlm.nih.gov/Taxonomy/Browser/wwwtax.cgi?mode=Info&amp;id=123683&amp;lvl=3&amp;lin=f&amp;keep=1&amp;srchmode=1&amp;unlock","123683")</f>
        <v>123683</v>
      </c>
      <c r="F3259" t="s">
        <v>17</v>
      </c>
      <c r="G3259" t="str">
        <f>HYPERLINK("http://www.ncbi.nlm.nih.gov/Taxonomy/Browser/wwwtax.cgi?mode=Info&amp;id=123683&amp;lvl=3&amp;lin=f&amp;keep=1&amp;srchmode=1&amp;unlock","Oryzias javanicus")</f>
        <v>Oryzias javanicus</v>
      </c>
      <c r="H3259" t="s">
        <v>610</v>
      </c>
      <c r="I3259" t="str">
        <f>HYPERLINK("http://www.ncbi.nlm.nih.gov/protein/RVE57110.1","hypothetical protein OJAV_G00212980")</f>
        <v>hypothetical protein OJAV_G00212980</v>
      </c>
      <c r="J3259">
        <v>8682.77</v>
      </c>
      <c r="K3259" t="s">
        <v>22</v>
      </c>
      <c r="L3259">
        <v>76</v>
      </c>
      <c r="M3259">
        <v>12.58</v>
      </c>
      <c r="N3259">
        <v>85.45</v>
      </c>
      <c r="O3259" t="s">
        <v>19</v>
      </c>
      <c r="P3259" t="s">
        <v>1320</v>
      </c>
      <c r="Q3259" t="s">
        <v>19</v>
      </c>
      <c r="R3259" t="str">
        <f>HYPERLINK("https://cfpub.epa.gov/ecotox/explore.cfm?ncbi=123683","Explore in ECOTOX")</f>
        <v>Explore in ECOTOX</v>
      </c>
    </row>
    <row r="3260" spans="1:18" x14ac:dyDescent="0.45">
      <c r="A3260" t="s">
        <v>1265</v>
      </c>
      <c r="B3260">
        <v>8</v>
      </c>
      <c r="C3260" t="str">
        <f>HYPERLINK("http://www.ncbi.nlm.nih.gov/protein/KAK2826186.1","KAK2826186.1")</f>
        <v>KAK2826186.1</v>
      </c>
      <c r="D3260">
        <v>27151</v>
      </c>
      <c r="E3260" t="str">
        <f>HYPERLINK("http://www.ncbi.nlm.nih.gov/Taxonomy/Browser/wwwtax.cgi?mode=Info&amp;id=64152&amp;lvl=3&amp;lin=f&amp;keep=1&amp;srchmode=1&amp;unlock","64152")</f>
        <v>64152</v>
      </c>
      <c r="F3260" t="s">
        <v>17</v>
      </c>
      <c r="G3260" t="str">
        <f>HYPERLINK("http://www.ncbi.nlm.nih.gov/Taxonomy/Browser/wwwtax.cgi?mode=Info&amp;id=64152&amp;lvl=3&amp;lin=f&amp;keep=1&amp;srchmode=1&amp;unlock","Channa striata")</f>
        <v>Channa striata</v>
      </c>
      <c r="H3260" t="s">
        <v>95</v>
      </c>
      <c r="I3260" t="str">
        <f>HYPERLINK("http://www.ncbi.nlm.nih.gov/protein/KAK2826186.1","hypothetical protein Q5P01_020400")</f>
        <v>hypothetical protein Q5P01_020400</v>
      </c>
      <c r="J3260">
        <v>8680.4599999999991</v>
      </c>
      <c r="K3260" t="s">
        <v>22</v>
      </c>
      <c r="L3260">
        <v>76</v>
      </c>
      <c r="M3260">
        <v>12.58</v>
      </c>
      <c r="N3260">
        <v>85.43</v>
      </c>
      <c r="O3260" t="s">
        <v>19</v>
      </c>
      <c r="P3260" t="s">
        <v>1320</v>
      </c>
      <c r="Q3260" t="s">
        <v>19</v>
      </c>
      <c r="R3260" t="str">
        <f>HYPERLINK("https://cfpub.epa.gov/ecotox/explore.cfm?ncbi=64152","Explore in ECOTOX")</f>
        <v>Explore in ECOTOX</v>
      </c>
    </row>
    <row r="3261" spans="1:18" x14ac:dyDescent="0.45">
      <c r="A3261" t="s">
        <v>1265</v>
      </c>
      <c r="B3261">
        <v>8</v>
      </c>
      <c r="C3261" t="str">
        <f>HYPERLINK("http://www.ncbi.nlm.nih.gov/protein/XP_043998308.1","XP_043998308.1")</f>
        <v>XP_043998308.1</v>
      </c>
      <c r="D3261">
        <v>68845</v>
      </c>
      <c r="E3261" t="str">
        <f>HYPERLINK("http://www.ncbi.nlm.nih.gov/Taxonomy/Browser/wwwtax.cgi?mode=Info&amp;id=33528&amp;lvl=3&amp;lin=f&amp;keep=1&amp;srchmode=1&amp;unlock","33528")</f>
        <v>33528</v>
      </c>
      <c r="F3261" t="s">
        <v>17</v>
      </c>
      <c r="G3261" t="str">
        <f>HYPERLINK("http://www.ncbi.nlm.nih.gov/Taxonomy/Browser/wwwtax.cgi?mode=Info&amp;id=33528&amp;lvl=3&amp;lin=f&amp;keep=1&amp;srchmode=1&amp;unlock","Gambusia affinis")</f>
        <v>Gambusia affinis</v>
      </c>
      <c r="H3261" t="s">
        <v>148</v>
      </c>
      <c r="I3261" t="str">
        <f>HYPERLINK("http://www.ncbi.nlm.nih.gov/protein/XP_043998308.1","ryanodine receptor 3-like")</f>
        <v>ryanodine receptor 3-like</v>
      </c>
      <c r="J3261">
        <v>8676.2199999999993</v>
      </c>
      <c r="K3261" t="s">
        <v>22</v>
      </c>
      <c r="L3261">
        <v>76</v>
      </c>
      <c r="M3261">
        <v>12.58</v>
      </c>
      <c r="N3261">
        <v>85.39</v>
      </c>
      <c r="O3261" t="s">
        <v>19</v>
      </c>
      <c r="P3261" t="s">
        <v>1320</v>
      </c>
      <c r="Q3261" t="s">
        <v>19</v>
      </c>
      <c r="R3261" t="str">
        <f>HYPERLINK("https://cfpub.epa.gov/ecotox/explore.cfm?ncbi=33528","Explore in ECOTOX")</f>
        <v>Explore in ECOTOX</v>
      </c>
    </row>
    <row r="3262" spans="1:18" x14ac:dyDescent="0.45">
      <c r="A3262" t="s">
        <v>1265</v>
      </c>
      <c r="B3262">
        <v>8</v>
      </c>
      <c r="C3262" t="str">
        <f>HYPERLINK("http://www.ncbi.nlm.nih.gov/protein/XP_015229214.1","XP_015229214.1")</f>
        <v>XP_015229214.1</v>
      </c>
      <c r="D3262">
        <v>36660</v>
      </c>
      <c r="E3262" t="str">
        <f>HYPERLINK("http://www.ncbi.nlm.nih.gov/Taxonomy/Browser/wwwtax.cgi?mode=Info&amp;id=28743&amp;lvl=3&amp;lin=f&amp;keep=1&amp;srchmode=1&amp;unlock","28743")</f>
        <v>28743</v>
      </c>
      <c r="F3262" t="s">
        <v>17</v>
      </c>
      <c r="G3262" t="str">
        <f>HYPERLINK("http://www.ncbi.nlm.nih.gov/Taxonomy/Browser/wwwtax.cgi?mode=Info&amp;id=28743&amp;lvl=3&amp;lin=f&amp;keep=1&amp;srchmode=1&amp;unlock","Cyprinodon variegatus")</f>
        <v>Cyprinodon variegatus</v>
      </c>
      <c r="H3262" t="s">
        <v>123</v>
      </c>
      <c r="I3262" t="str">
        <f>HYPERLINK("http://www.ncbi.nlm.nih.gov/protein/XP_015229214.1","PREDICTED: ryanodine receptor 3 isoform X13")</f>
        <v>PREDICTED: ryanodine receptor 3 isoform X13</v>
      </c>
      <c r="J3262">
        <v>8670.83</v>
      </c>
      <c r="K3262" t="s">
        <v>19</v>
      </c>
      <c r="L3262">
        <v>76</v>
      </c>
      <c r="M3262">
        <v>12.58</v>
      </c>
      <c r="N3262">
        <v>85.34</v>
      </c>
      <c r="O3262" t="s">
        <v>19</v>
      </c>
      <c r="P3262" t="s">
        <v>1320</v>
      </c>
      <c r="Q3262" t="s">
        <v>19</v>
      </c>
      <c r="R3262" t="str">
        <f>HYPERLINK("https://cfpub.epa.gov/ecotox/explore.cfm?ncbi=28743","Explore in ECOTOX")</f>
        <v>Explore in ECOTOX</v>
      </c>
    </row>
    <row r="3263" spans="1:18" x14ac:dyDescent="0.45">
      <c r="A3263" t="s">
        <v>1265</v>
      </c>
      <c r="B3263">
        <v>8</v>
      </c>
      <c r="C3263" t="str">
        <f>HYPERLINK("http://www.ncbi.nlm.nih.gov/protein/XP_046222743.1","XP_046222743.1")</f>
        <v>XP_046222743.1</v>
      </c>
      <c r="D3263">
        <v>81040</v>
      </c>
      <c r="E3263" t="str">
        <f>HYPERLINK("http://www.ncbi.nlm.nih.gov/Taxonomy/Browser/wwwtax.cgi?mode=Info&amp;id=8017&amp;lvl=3&amp;lin=f&amp;keep=1&amp;srchmode=1&amp;unlock","8017")</f>
        <v>8017</v>
      </c>
      <c r="F3263" t="s">
        <v>17</v>
      </c>
      <c r="G3263" t="str">
        <f>HYPERLINK("http://www.ncbi.nlm.nih.gov/Taxonomy/Browser/wwwtax.cgi?mode=Info&amp;id=8017&amp;lvl=3&amp;lin=f&amp;keep=1&amp;srchmode=1&amp;unlock","Oncorhynchus gorbuscha")</f>
        <v>Oncorhynchus gorbuscha</v>
      </c>
      <c r="H3263" t="s">
        <v>159</v>
      </c>
      <c r="I3263" t="str">
        <f>HYPERLINK("http://www.ncbi.nlm.nih.gov/protein/XP_046222743.1","ryanodine receptor 3-like isoform X3")</f>
        <v>ryanodine receptor 3-like isoform X3</v>
      </c>
      <c r="J3263">
        <v>8670.83</v>
      </c>
      <c r="K3263" t="s">
        <v>22</v>
      </c>
      <c r="L3263">
        <v>76</v>
      </c>
      <c r="M3263">
        <v>12.58</v>
      </c>
      <c r="N3263">
        <v>85.34</v>
      </c>
      <c r="O3263" t="s">
        <v>19</v>
      </c>
      <c r="P3263" t="s">
        <v>1320</v>
      </c>
      <c r="Q3263" t="s">
        <v>19</v>
      </c>
      <c r="R3263" t="str">
        <f>HYPERLINK("https://cfpub.epa.gov/ecotox/explore.cfm?ncbi=8017","Explore in ECOTOX")</f>
        <v>Explore in ECOTOX</v>
      </c>
    </row>
    <row r="3264" spans="1:18" x14ac:dyDescent="0.45">
      <c r="A3264" t="s">
        <v>1265</v>
      </c>
      <c r="B3264">
        <v>8</v>
      </c>
      <c r="C3264" t="str">
        <f>HYPERLINK("http://www.ncbi.nlm.nih.gov/protein/XP_060938976.1","XP_060938976.1")</f>
        <v>XP_060938976.1</v>
      </c>
      <c r="D3264">
        <v>30038</v>
      </c>
      <c r="E3264" t="str">
        <f>HYPERLINK("http://www.ncbi.nlm.nih.gov/Taxonomy/Browser/wwwtax.cgi?mode=Info&amp;id=27771&amp;lvl=3&amp;lin=f&amp;keep=1&amp;srchmode=1&amp;unlock","27771")</f>
        <v>27771</v>
      </c>
      <c r="F3264" t="s">
        <v>17</v>
      </c>
      <c r="G3264" t="str">
        <f>HYPERLINK("http://www.ncbi.nlm.nih.gov/Taxonomy/Browser/wwwtax.cgi?mode=Info&amp;id=27771&amp;lvl=3&amp;lin=f&amp;keep=1&amp;srchmode=1&amp;unlock","Limanda limanda")</f>
        <v>Limanda limanda</v>
      </c>
      <c r="H3264" t="s">
        <v>131</v>
      </c>
      <c r="I3264" t="str">
        <f>HYPERLINK("http://www.ncbi.nlm.nih.gov/protein/XP_060938976.1","ryanodine receptor 3-like")</f>
        <v>ryanodine receptor 3-like</v>
      </c>
      <c r="J3264">
        <v>8667.75</v>
      </c>
      <c r="K3264" t="s">
        <v>22</v>
      </c>
      <c r="L3264">
        <v>76</v>
      </c>
      <c r="M3264">
        <v>12.58</v>
      </c>
      <c r="N3264">
        <v>85.31</v>
      </c>
      <c r="O3264" t="s">
        <v>19</v>
      </c>
      <c r="P3264" t="s">
        <v>1320</v>
      </c>
      <c r="Q3264" t="s">
        <v>19</v>
      </c>
      <c r="R3264" t="str">
        <f>HYPERLINK("https://cfpub.epa.gov/ecotox/explore.cfm?ncbi=27771","Explore in ECOTOX")</f>
        <v>Explore in ECOTOX</v>
      </c>
    </row>
    <row r="3265" spans="1:18" x14ac:dyDescent="0.45">
      <c r="A3265" t="s">
        <v>1265</v>
      </c>
      <c r="B3265">
        <v>8</v>
      </c>
      <c r="C3265" t="str">
        <f>HYPERLINK("http://www.ncbi.nlm.nih.gov/protein/XP_058472319.1","XP_058472319.1")</f>
        <v>XP_058472319.1</v>
      </c>
      <c r="D3265">
        <v>43057</v>
      </c>
      <c r="E3265" t="str">
        <f>HYPERLINK("http://www.ncbi.nlm.nih.gov/Taxonomy/Browser/wwwtax.cgi?mode=Info&amp;id=90069&amp;lvl=3&amp;lin=f&amp;keep=1&amp;srchmode=1&amp;unlock","90069")</f>
        <v>90069</v>
      </c>
      <c r="F3265" t="s">
        <v>17</v>
      </c>
      <c r="G3265" t="str">
        <f>HYPERLINK("http://www.ncbi.nlm.nih.gov/Taxonomy/Browser/wwwtax.cgi?mode=Info&amp;id=90069&amp;lvl=3&amp;lin=f&amp;keep=1&amp;srchmode=1&amp;unlock","Solea solea")</f>
        <v>Solea solea</v>
      </c>
      <c r="H3265" t="s">
        <v>90</v>
      </c>
      <c r="I3265" t="str">
        <f>HYPERLINK("http://www.ncbi.nlm.nih.gov/protein/XP_058472319.1","ryanodine receptor 3-like isoform X16")</f>
        <v>ryanodine receptor 3-like isoform X16</v>
      </c>
      <c r="J3265">
        <v>8666.2099999999991</v>
      </c>
      <c r="K3265" t="s">
        <v>22</v>
      </c>
      <c r="L3265">
        <v>76</v>
      </c>
      <c r="M3265">
        <v>12.58</v>
      </c>
      <c r="N3265">
        <v>85.29</v>
      </c>
      <c r="O3265" t="s">
        <v>19</v>
      </c>
      <c r="P3265" t="s">
        <v>1320</v>
      </c>
      <c r="Q3265" t="s">
        <v>19</v>
      </c>
      <c r="R3265" t="str">
        <f>HYPERLINK("https://cfpub.epa.gov/ecotox/explore.cfm?ncbi=90069","Explore in ECOTOX")</f>
        <v>Explore in ECOTOX</v>
      </c>
    </row>
    <row r="3266" spans="1:18" x14ac:dyDescent="0.45">
      <c r="A3266" t="s">
        <v>1265</v>
      </c>
      <c r="B3266">
        <v>8</v>
      </c>
      <c r="C3266" t="str">
        <f>HYPERLINK("http://www.ncbi.nlm.nih.gov/protein/XP_040054767.1","XP_040054767.1")</f>
        <v>XP_040054767.1</v>
      </c>
      <c r="D3266">
        <v>45332</v>
      </c>
      <c r="E3266" t="str">
        <f>HYPERLINK("http://www.ncbi.nlm.nih.gov/Taxonomy/Browser/wwwtax.cgi?mode=Info&amp;id=481459&amp;lvl=3&amp;lin=f&amp;keep=1&amp;srchmode=1&amp;unlock","481459")</f>
        <v>481459</v>
      </c>
      <c r="F3266" t="s">
        <v>17</v>
      </c>
      <c r="G3266" t="str">
        <f>HYPERLINK("http://www.ncbi.nlm.nih.gov/Taxonomy/Browser/wwwtax.cgi?mode=Info&amp;id=481459&amp;lvl=3&amp;lin=f&amp;keep=1&amp;srchmode=1&amp;unlock","Gasterosteus aculeatus aculeatus")</f>
        <v>Gasterosteus aculeatus aculeatus</v>
      </c>
      <c r="H3266" t="s">
        <v>138</v>
      </c>
      <c r="I3266" t="str">
        <f>HYPERLINK("http://www.ncbi.nlm.nih.gov/protein/XP_040054767.1","ryanodine receptor 3-like isoform X19")</f>
        <v>ryanodine receptor 3-like isoform X19</v>
      </c>
      <c r="J3266">
        <v>8665.44</v>
      </c>
      <c r="K3266" t="s">
        <v>19</v>
      </c>
      <c r="L3266">
        <v>76</v>
      </c>
      <c r="M3266">
        <v>12.58</v>
      </c>
      <c r="N3266">
        <v>85.28</v>
      </c>
      <c r="O3266" t="s">
        <v>19</v>
      </c>
      <c r="P3266" t="s">
        <v>1320</v>
      </c>
      <c r="Q3266" t="s">
        <v>19</v>
      </c>
      <c r="R3266" t="str">
        <f>HYPERLINK("https://cfpub.epa.gov/ecotox/explore.cfm?ncbi=481459","Explore in ECOTOX")</f>
        <v>Explore in ECOTOX</v>
      </c>
    </row>
    <row r="3267" spans="1:18" x14ac:dyDescent="0.45">
      <c r="A3267" t="s">
        <v>1265</v>
      </c>
      <c r="B3267">
        <v>8</v>
      </c>
      <c r="C3267" t="str">
        <f>HYPERLINK("http://www.ncbi.nlm.nih.gov/protein/XP_034419205.1","XP_034419205.1")</f>
        <v>XP_034419205.1</v>
      </c>
      <c r="D3267">
        <v>38740</v>
      </c>
      <c r="E3267" t="str">
        <f>HYPERLINK("http://www.ncbi.nlm.nih.gov/Taxonomy/Browser/wwwtax.cgi?mode=Info&amp;id=8103&amp;lvl=3&amp;lin=f&amp;keep=1&amp;srchmode=1&amp;unlock","8103")</f>
        <v>8103</v>
      </c>
      <c r="F3267" t="s">
        <v>17</v>
      </c>
      <c r="G3267" t="str">
        <f>HYPERLINK("http://www.ncbi.nlm.nih.gov/Taxonomy/Browser/wwwtax.cgi?mode=Info&amp;id=8103&amp;lvl=3&amp;lin=f&amp;keep=1&amp;srchmode=1&amp;unlock","Cyclopterus lumpus")</f>
        <v>Cyclopterus lumpus</v>
      </c>
      <c r="H3267" t="s">
        <v>115</v>
      </c>
      <c r="I3267" t="str">
        <f>HYPERLINK("http://www.ncbi.nlm.nih.gov/protein/XP_034419205.1","LOW QUALITY PROTEIN: ryanodine receptor 3-like")</f>
        <v>LOW QUALITY PROTEIN: ryanodine receptor 3-like</v>
      </c>
      <c r="J3267">
        <v>8663.51</v>
      </c>
      <c r="K3267" t="s">
        <v>22</v>
      </c>
      <c r="L3267">
        <v>76</v>
      </c>
      <c r="M3267">
        <v>12.58</v>
      </c>
      <c r="N3267">
        <v>85.26</v>
      </c>
      <c r="O3267" t="s">
        <v>19</v>
      </c>
      <c r="P3267" t="s">
        <v>1320</v>
      </c>
      <c r="Q3267" t="s">
        <v>19</v>
      </c>
      <c r="R3267" t="str">
        <f>HYPERLINK("https://cfpub.epa.gov/ecotox/explore.cfm?ncbi=8103","Explore in ECOTOX")</f>
        <v>Explore in ECOTOX</v>
      </c>
    </row>
    <row r="3268" spans="1:18" x14ac:dyDescent="0.45">
      <c r="A3268" t="s">
        <v>1265</v>
      </c>
      <c r="B3268">
        <v>8</v>
      </c>
      <c r="C3268" t="str">
        <f>HYPERLINK("http://www.ncbi.nlm.nih.gov/protein/MCI4382853.1","MCI4382853.1")</f>
        <v>MCI4382853.1</v>
      </c>
      <c r="D3268">
        <v>22058</v>
      </c>
      <c r="E3268" t="str">
        <f>HYPERLINK("http://www.ncbi.nlm.nih.gov/Taxonomy/Browser/wwwtax.cgi?mode=Info&amp;id=30993&amp;lvl=3&amp;lin=f&amp;keep=1&amp;srchmode=1&amp;unlock","30993")</f>
        <v>30993</v>
      </c>
      <c r="F3268" t="s">
        <v>17</v>
      </c>
      <c r="G3268" t="str">
        <f>HYPERLINK("http://www.ncbi.nlm.nih.gov/Taxonomy/Browser/wwwtax.cgi?mode=Info&amp;id=30993&amp;lvl=3&amp;lin=f&amp;keep=1&amp;srchmode=1&amp;unlock","Pangasianodon gigas")</f>
        <v>Pangasianodon gigas</v>
      </c>
      <c r="H3268" t="s">
        <v>176</v>
      </c>
      <c r="I3268" t="str">
        <f>HYPERLINK("http://www.ncbi.nlm.nih.gov/protein/MCI4382853.1","hypothetical protein")</f>
        <v>hypothetical protein</v>
      </c>
      <c r="J3268">
        <v>8663.1200000000008</v>
      </c>
      <c r="K3268" t="s">
        <v>22</v>
      </c>
      <c r="L3268">
        <v>76</v>
      </c>
      <c r="M3268">
        <v>12.58</v>
      </c>
      <c r="N3268">
        <v>85.26</v>
      </c>
      <c r="O3268" t="s">
        <v>19</v>
      </c>
      <c r="P3268" t="s">
        <v>1320</v>
      </c>
      <c r="Q3268" t="s">
        <v>19</v>
      </c>
      <c r="R3268" t="str">
        <f>HYPERLINK("https://cfpub.epa.gov/ecotox/explore.cfm?ncbi=30993","Explore in ECOTOX")</f>
        <v>Explore in ECOTOX</v>
      </c>
    </row>
    <row r="3269" spans="1:18" x14ac:dyDescent="0.45">
      <c r="A3269" t="s">
        <v>1265</v>
      </c>
      <c r="B3269">
        <v>8</v>
      </c>
      <c r="C3269" t="str">
        <f>HYPERLINK("http://www.ncbi.nlm.nih.gov/protein/XP_051941899.1","XP_051941899.1")</f>
        <v>XP_051941899.1</v>
      </c>
      <c r="D3269">
        <v>42976</v>
      </c>
      <c r="E3269" t="str">
        <f>HYPERLINK("http://www.ncbi.nlm.nih.gov/Taxonomy/Browser/wwwtax.cgi?mode=Info&amp;id=109293&amp;lvl=3&amp;lin=f&amp;keep=1&amp;srchmode=1&amp;unlock","109293")</f>
        <v>109293</v>
      </c>
      <c r="F3269" t="s">
        <v>17</v>
      </c>
      <c r="G3269" t="str">
        <f>HYPERLINK("http://www.ncbi.nlm.nih.gov/Taxonomy/Browser/wwwtax.cgi?mode=Info&amp;id=109293&amp;lvl=3&amp;lin=f&amp;keep=1&amp;srchmode=1&amp;unlock","Hippocampus zosterae")</f>
        <v>Hippocampus zosterae</v>
      </c>
      <c r="H3269" t="s">
        <v>91</v>
      </c>
      <c r="I3269" t="str">
        <f>HYPERLINK("http://www.ncbi.nlm.nih.gov/protein/XP_051941899.1","ryanodine receptor 3 isoform X3")</f>
        <v>ryanodine receptor 3 isoform X3</v>
      </c>
      <c r="J3269">
        <v>8662.35</v>
      </c>
      <c r="K3269" t="s">
        <v>19</v>
      </c>
      <c r="L3269">
        <v>76</v>
      </c>
      <c r="M3269">
        <v>12.58</v>
      </c>
      <c r="N3269">
        <v>85.25</v>
      </c>
      <c r="O3269" t="s">
        <v>19</v>
      </c>
      <c r="P3269" t="s">
        <v>1320</v>
      </c>
      <c r="Q3269" t="s">
        <v>19</v>
      </c>
      <c r="R3269" t="str">
        <f>HYPERLINK("https://cfpub.epa.gov/ecotox/explore.cfm?ncbi=109293","Explore in ECOTOX")</f>
        <v>Explore in ECOTOX</v>
      </c>
    </row>
    <row r="3270" spans="1:18" x14ac:dyDescent="0.45">
      <c r="A3270" t="s">
        <v>1265</v>
      </c>
      <c r="B3270">
        <v>8</v>
      </c>
      <c r="C3270" t="str">
        <f>HYPERLINK("http://www.ncbi.nlm.nih.gov/protein/XP_029317126.1","XP_029317126.1")</f>
        <v>XP_029317126.1</v>
      </c>
      <c r="D3270">
        <v>37869</v>
      </c>
      <c r="E3270" t="str">
        <f>HYPERLINK("http://www.ncbi.nlm.nih.gov/Taxonomy/Browser/wwwtax.cgi?mode=Info&amp;id=56716&amp;lvl=3&amp;lin=f&amp;keep=1&amp;srchmode=1&amp;unlock","56716")</f>
        <v>56716</v>
      </c>
      <c r="F3270" t="s">
        <v>17</v>
      </c>
      <c r="G3270" t="str">
        <f>HYPERLINK("http://www.ncbi.nlm.nih.gov/Taxonomy/Browser/wwwtax.cgi?mode=Info&amp;id=56716&amp;lvl=3&amp;lin=f&amp;keep=1&amp;srchmode=1&amp;unlock","Cottoperca gobio")</f>
        <v>Cottoperca gobio</v>
      </c>
      <c r="H3270" t="s">
        <v>162</v>
      </c>
      <c r="I3270" t="str">
        <f>HYPERLINK("http://www.ncbi.nlm.nih.gov/protein/XP_029317126.1","ryanodine receptor 3-like")</f>
        <v>ryanodine receptor 3-like</v>
      </c>
      <c r="J3270">
        <v>8661.9699999999993</v>
      </c>
      <c r="K3270" t="s">
        <v>22</v>
      </c>
      <c r="L3270">
        <v>76</v>
      </c>
      <c r="M3270">
        <v>12.58</v>
      </c>
      <c r="N3270">
        <v>85.25</v>
      </c>
      <c r="O3270" t="s">
        <v>19</v>
      </c>
      <c r="P3270" t="s">
        <v>1320</v>
      </c>
      <c r="Q3270" t="s">
        <v>19</v>
      </c>
      <c r="R3270" t="str">
        <f>HYPERLINK("https://cfpub.epa.gov/ecotox/explore.cfm?ncbi=56716","Explore in ECOTOX")</f>
        <v>Explore in ECOTOX</v>
      </c>
    </row>
    <row r="3271" spans="1:18" x14ac:dyDescent="0.45">
      <c r="A3271" t="s">
        <v>1265</v>
      </c>
      <c r="B3271">
        <v>8</v>
      </c>
      <c r="C3271" t="str">
        <f>HYPERLINK("http://www.ncbi.nlm.nih.gov/protein/XP_037341695.1","XP_037341695.1")</f>
        <v>XP_037341695.1</v>
      </c>
      <c r="D3271">
        <v>43860</v>
      </c>
      <c r="E3271" t="str">
        <f>HYPERLINK("http://www.ncbi.nlm.nih.gov/Taxonomy/Browser/wwwtax.cgi?mode=Info&amp;id=134920&amp;lvl=3&amp;lin=f&amp;keep=1&amp;srchmode=1&amp;unlock","134920")</f>
        <v>134920</v>
      </c>
      <c r="F3271" t="s">
        <v>17</v>
      </c>
      <c r="G3271" t="str">
        <f>HYPERLINK("http://www.ncbi.nlm.nih.gov/Taxonomy/Browser/wwwtax.cgi?mode=Info&amp;id=134920&amp;lvl=3&amp;lin=f&amp;keep=1&amp;srchmode=1&amp;unlock","Pungitius pungitius")</f>
        <v>Pungitius pungitius</v>
      </c>
      <c r="H3271" t="s">
        <v>128</v>
      </c>
      <c r="I3271" t="str">
        <f>HYPERLINK("http://www.ncbi.nlm.nih.gov/protein/XP_037341695.1","ryanodine receptor 3-like")</f>
        <v>ryanodine receptor 3-like</v>
      </c>
      <c r="J3271">
        <v>8656.58</v>
      </c>
      <c r="K3271" t="s">
        <v>22</v>
      </c>
      <c r="L3271">
        <v>76</v>
      </c>
      <c r="M3271">
        <v>12.58</v>
      </c>
      <c r="N3271">
        <v>85.2</v>
      </c>
      <c r="O3271" t="s">
        <v>19</v>
      </c>
      <c r="P3271" t="s">
        <v>1320</v>
      </c>
      <c r="Q3271" t="s">
        <v>19</v>
      </c>
      <c r="R3271" t="str">
        <f>HYPERLINK("https://cfpub.epa.gov/ecotox/explore.cfm?ncbi=134920","Explore in ECOTOX")</f>
        <v>Explore in ECOTOX</v>
      </c>
    </row>
    <row r="3272" spans="1:18" x14ac:dyDescent="0.45">
      <c r="A3272" t="s">
        <v>1265</v>
      </c>
      <c r="B3272">
        <v>8</v>
      </c>
      <c r="C3272" t="str">
        <f>HYPERLINK("http://www.ncbi.nlm.nih.gov/protein/XP_034530399.1","XP_034530399.1")</f>
        <v>XP_034530399.1</v>
      </c>
      <c r="D3272">
        <v>39441</v>
      </c>
      <c r="E3272" t="str">
        <f>HYPERLINK("http://www.ncbi.nlm.nih.gov/Taxonomy/Browser/wwwtax.cgi?mode=Info&amp;id=1203425&amp;lvl=3&amp;lin=f&amp;keep=1&amp;srchmode=1&amp;unlock","1203425")</f>
        <v>1203425</v>
      </c>
      <c r="F3272" t="s">
        <v>17</v>
      </c>
      <c r="G3272" t="str">
        <f>HYPERLINK("http://www.ncbi.nlm.nih.gov/Taxonomy/Browser/wwwtax.cgi?mode=Info&amp;id=1203425&amp;lvl=3&amp;lin=f&amp;keep=1&amp;srchmode=1&amp;unlock","Notolabrus celidotus")</f>
        <v>Notolabrus celidotus</v>
      </c>
      <c r="H3272" t="s">
        <v>703</v>
      </c>
      <c r="I3272" t="str">
        <f>HYPERLINK("http://www.ncbi.nlm.nih.gov/protein/XP_034530399.1","ryanodine receptor 3-like")</f>
        <v>ryanodine receptor 3-like</v>
      </c>
      <c r="J3272">
        <v>8656.19</v>
      </c>
      <c r="K3272" t="s">
        <v>22</v>
      </c>
      <c r="L3272">
        <v>76</v>
      </c>
      <c r="M3272">
        <v>12.58</v>
      </c>
      <c r="N3272">
        <v>85.19</v>
      </c>
      <c r="O3272" t="s">
        <v>19</v>
      </c>
      <c r="P3272" t="s">
        <v>1320</v>
      </c>
      <c r="Q3272" t="s">
        <v>19</v>
      </c>
      <c r="R3272" t="str">
        <f>HYPERLINK("https://cfpub.epa.gov/ecotox/explore.cfm?ncbi=1203425","Explore in ECOTOX")</f>
        <v>Explore in ECOTOX</v>
      </c>
    </row>
    <row r="3273" spans="1:18" x14ac:dyDescent="0.45">
      <c r="A3273" t="s">
        <v>1265</v>
      </c>
      <c r="B3273">
        <v>8</v>
      </c>
      <c r="C3273" t="str">
        <f>HYPERLINK("http://www.ncbi.nlm.nih.gov/protein/XP_029531210.1","XP_029531210.1")</f>
        <v>XP_029531210.1</v>
      </c>
      <c r="D3273">
        <v>68886</v>
      </c>
      <c r="E3273" t="str">
        <f>HYPERLINK("http://www.ncbi.nlm.nih.gov/Taxonomy/Browser/wwwtax.cgi?mode=Info&amp;id=8023&amp;lvl=3&amp;lin=f&amp;keep=1&amp;srchmode=1&amp;unlock","8023")</f>
        <v>8023</v>
      </c>
      <c r="F3273" t="s">
        <v>17</v>
      </c>
      <c r="G3273" t="str">
        <f>HYPERLINK("http://www.ncbi.nlm.nih.gov/Taxonomy/Browser/wwwtax.cgi?mode=Info&amp;id=8023&amp;lvl=3&amp;lin=f&amp;keep=1&amp;srchmode=1&amp;unlock","Oncorhynchus nerka")</f>
        <v>Oncorhynchus nerka</v>
      </c>
      <c r="H3273" t="s">
        <v>163</v>
      </c>
      <c r="I3273" t="str">
        <f>HYPERLINK("http://www.ncbi.nlm.nih.gov/protein/XP_029531210.1","LOW QUALITY PROTEIN: ryanodine receptor 3-like")</f>
        <v>LOW QUALITY PROTEIN: ryanodine receptor 3-like</v>
      </c>
      <c r="J3273">
        <v>8654.65</v>
      </c>
      <c r="K3273" t="s">
        <v>22</v>
      </c>
      <c r="L3273">
        <v>76</v>
      </c>
      <c r="M3273">
        <v>12.58</v>
      </c>
      <c r="N3273">
        <v>85.18</v>
      </c>
      <c r="O3273" t="s">
        <v>19</v>
      </c>
      <c r="P3273" t="s">
        <v>1320</v>
      </c>
      <c r="Q3273" t="s">
        <v>19</v>
      </c>
      <c r="R3273" t="str">
        <f>HYPERLINK("https://cfpub.epa.gov/ecotox/explore.cfm?ncbi=8023","Explore in ECOTOX")</f>
        <v>Explore in ECOTOX</v>
      </c>
    </row>
    <row r="3274" spans="1:18" x14ac:dyDescent="0.45">
      <c r="A3274" t="s">
        <v>1265</v>
      </c>
      <c r="B3274">
        <v>8</v>
      </c>
      <c r="C3274" t="str">
        <f>HYPERLINK("http://www.ncbi.nlm.nih.gov/protein/XP_034431256.1","XP_034431256.1")</f>
        <v>XP_034431256.1</v>
      </c>
      <c r="D3274">
        <v>47303</v>
      </c>
      <c r="E3274" t="str">
        <f>HYPERLINK("http://www.ncbi.nlm.nih.gov/Taxonomy/Browser/wwwtax.cgi?mode=Info&amp;id=8267&amp;lvl=3&amp;lin=f&amp;keep=1&amp;srchmode=1&amp;unlock","8267")</f>
        <v>8267</v>
      </c>
      <c r="F3274" t="s">
        <v>17</v>
      </c>
      <c r="G3274" t="str">
        <f>HYPERLINK("http://www.ncbi.nlm.nih.gov/Taxonomy/Browser/wwwtax.cgi?mode=Info&amp;id=8267&amp;lvl=3&amp;lin=f&amp;keep=1&amp;srchmode=1&amp;unlock","Hippoglossus hippoglossus")</f>
        <v>Hippoglossus hippoglossus</v>
      </c>
      <c r="H3274" t="s">
        <v>108</v>
      </c>
      <c r="I3274" t="str">
        <f>HYPERLINK("http://www.ncbi.nlm.nih.gov/protein/XP_034431256.1","LOW QUALITY PROTEIN: ryanodine receptor 3-like")</f>
        <v>LOW QUALITY PROTEIN: ryanodine receptor 3-like</v>
      </c>
      <c r="J3274">
        <v>8653.49</v>
      </c>
      <c r="K3274" t="s">
        <v>22</v>
      </c>
      <c r="L3274">
        <v>76</v>
      </c>
      <c r="M3274">
        <v>12.58</v>
      </c>
      <c r="N3274">
        <v>85.17</v>
      </c>
      <c r="O3274" t="s">
        <v>19</v>
      </c>
      <c r="P3274" t="s">
        <v>1320</v>
      </c>
      <c r="Q3274" t="s">
        <v>19</v>
      </c>
      <c r="R3274" t="str">
        <f>HYPERLINK("https://cfpub.epa.gov/ecotox/explore.cfm?ncbi=8267","Explore in ECOTOX")</f>
        <v>Explore in ECOTOX</v>
      </c>
    </row>
    <row r="3275" spans="1:18" x14ac:dyDescent="0.45">
      <c r="A3275" t="s">
        <v>1265</v>
      </c>
      <c r="B3275">
        <v>8</v>
      </c>
      <c r="C3275" t="str">
        <f>HYPERLINK("http://www.ncbi.nlm.nih.gov/protein/XP_038864977.1","XP_038864977.1")</f>
        <v>XP_038864977.1</v>
      </c>
      <c r="D3275">
        <v>58431</v>
      </c>
      <c r="E3275" t="str">
        <f>HYPERLINK("http://www.ncbi.nlm.nih.gov/Taxonomy/Browser/wwwtax.cgi?mode=Info&amp;id=8040&amp;lvl=3&amp;lin=f&amp;keep=1&amp;srchmode=1&amp;unlock","8040")</f>
        <v>8040</v>
      </c>
      <c r="F3275" t="s">
        <v>17</v>
      </c>
      <c r="G3275" t="str">
        <f>HYPERLINK("http://www.ncbi.nlm.nih.gov/Taxonomy/Browser/wwwtax.cgi?mode=Info&amp;id=8040&amp;lvl=3&amp;lin=f&amp;keep=1&amp;srchmode=1&amp;unlock","Salvelinus namaycush")</f>
        <v>Salvelinus namaycush</v>
      </c>
      <c r="H3275" t="s">
        <v>133</v>
      </c>
      <c r="I3275" t="str">
        <f>HYPERLINK("http://www.ncbi.nlm.nih.gov/protein/XP_038864977.1","ryanodine receptor 3-like")</f>
        <v>ryanodine receptor 3-like</v>
      </c>
      <c r="J3275">
        <v>8650.41</v>
      </c>
      <c r="K3275" t="s">
        <v>22</v>
      </c>
      <c r="L3275">
        <v>76</v>
      </c>
      <c r="M3275">
        <v>12.58</v>
      </c>
      <c r="N3275">
        <v>85.14</v>
      </c>
      <c r="O3275" t="s">
        <v>19</v>
      </c>
      <c r="P3275" t="s">
        <v>1320</v>
      </c>
      <c r="Q3275" t="s">
        <v>19</v>
      </c>
      <c r="R3275" t="str">
        <f>HYPERLINK("https://cfpub.epa.gov/ecotox/explore.cfm?ncbi=8040","Explore in ECOTOX")</f>
        <v>Explore in ECOTOX</v>
      </c>
    </row>
    <row r="3276" spans="1:18" x14ac:dyDescent="0.45">
      <c r="A3276" t="s">
        <v>1265</v>
      </c>
      <c r="B3276">
        <v>8</v>
      </c>
      <c r="C3276" t="str">
        <f>HYPERLINK("http://www.ncbi.nlm.nih.gov/protein/KAK1793405.1","KAK1793405.1")</f>
        <v>KAK1793405.1</v>
      </c>
      <c r="D3276">
        <v>23160</v>
      </c>
      <c r="E3276" t="str">
        <f>HYPERLINK("http://www.ncbi.nlm.nih.gov/Taxonomy/Browser/wwwtax.cgi?mode=Info&amp;id=2609070&amp;lvl=3&amp;lin=f&amp;keep=1&amp;srchmode=1&amp;unlock","2609070")</f>
        <v>2609070</v>
      </c>
      <c r="F3276" t="s">
        <v>17</v>
      </c>
      <c r="G3276" t="str">
        <f>HYPERLINK("http://www.ncbi.nlm.nih.gov/Taxonomy/Browser/wwwtax.cgi?mode=Info&amp;id=2609070&amp;lvl=3&amp;lin=f&amp;keep=1&amp;srchmode=1&amp;unlock","Electrophorus voltai")</f>
        <v>Electrophorus voltai</v>
      </c>
      <c r="H3276" t="s">
        <v>169</v>
      </c>
      <c r="I3276" t="str">
        <f>HYPERLINK("http://www.ncbi.nlm.nih.gov/protein/KAK1793405.1","hypothetical protein P4O66_011783")</f>
        <v>hypothetical protein P4O66_011783</v>
      </c>
      <c r="J3276">
        <v>8650.41</v>
      </c>
      <c r="K3276" t="s">
        <v>19</v>
      </c>
      <c r="L3276">
        <v>76</v>
      </c>
      <c r="M3276">
        <v>12.58</v>
      </c>
      <c r="N3276">
        <v>85.14</v>
      </c>
      <c r="O3276" t="s">
        <v>19</v>
      </c>
      <c r="P3276" t="s">
        <v>1320</v>
      </c>
      <c r="Q3276" t="s">
        <v>19</v>
      </c>
      <c r="R3276" t="str">
        <f>HYPERLINK("https://cfpub.epa.gov/ecotox/explore.cfm?ncbi=2609070","Explore in ECOTOX")</f>
        <v>Explore in ECOTOX</v>
      </c>
    </row>
    <row r="3277" spans="1:18" x14ac:dyDescent="0.45">
      <c r="A3277" t="s">
        <v>1265</v>
      </c>
      <c r="B3277">
        <v>8</v>
      </c>
      <c r="C3277" t="str">
        <f>HYPERLINK("http://www.ncbi.nlm.nih.gov/protein/XP_053290862.1","XP_053290862.1")</f>
        <v>XP_053290862.1</v>
      </c>
      <c r="D3277">
        <v>85261</v>
      </c>
      <c r="E3277" t="str">
        <f>HYPERLINK("http://www.ncbi.nlm.nih.gov/Taxonomy/Browser/wwwtax.cgi?mode=Info&amp;id=8262&amp;lvl=3&amp;lin=f&amp;keep=1&amp;srchmode=1&amp;unlock","8262")</f>
        <v>8262</v>
      </c>
      <c r="F3277" t="s">
        <v>17</v>
      </c>
      <c r="G3277" t="str">
        <f>HYPERLINK("http://www.ncbi.nlm.nih.gov/Taxonomy/Browser/wwwtax.cgi?mode=Info&amp;id=8262&amp;lvl=3&amp;lin=f&amp;keep=1&amp;srchmode=1&amp;unlock","Pleuronectes platessa")</f>
        <v>Pleuronectes platessa</v>
      </c>
      <c r="H3277" t="s">
        <v>121</v>
      </c>
      <c r="I3277" t="str">
        <f>HYPERLINK("http://www.ncbi.nlm.nih.gov/protein/XP_053290862.1","ryanodine receptor 3")</f>
        <v>ryanodine receptor 3</v>
      </c>
      <c r="J3277">
        <v>8649.26</v>
      </c>
      <c r="K3277" t="s">
        <v>22</v>
      </c>
      <c r="L3277">
        <v>76</v>
      </c>
      <c r="M3277">
        <v>12.58</v>
      </c>
      <c r="N3277">
        <v>85.12</v>
      </c>
      <c r="O3277" t="s">
        <v>19</v>
      </c>
      <c r="P3277" t="s">
        <v>1320</v>
      </c>
      <c r="Q3277" t="s">
        <v>19</v>
      </c>
      <c r="R3277" t="str">
        <f>HYPERLINK("https://cfpub.epa.gov/ecotox/explore.cfm?ncbi=8262","Explore in ECOTOX")</f>
        <v>Explore in ECOTOX</v>
      </c>
    </row>
    <row r="3278" spans="1:18" x14ac:dyDescent="0.45">
      <c r="A3278" t="s">
        <v>1265</v>
      </c>
      <c r="B3278">
        <v>8</v>
      </c>
      <c r="C3278" t="str">
        <f>HYPERLINK("http://www.ncbi.nlm.nih.gov/protein/XP_051811585.1","XP_051811585.1")</f>
        <v>XP_051811585.1</v>
      </c>
      <c r="D3278">
        <v>46396</v>
      </c>
      <c r="E3278" t="str">
        <f>HYPERLINK("http://www.ncbi.nlm.nih.gov/Taxonomy/Browser/wwwtax.cgi?mode=Info&amp;id=80966&amp;lvl=3&amp;lin=f&amp;keep=1&amp;srchmode=1&amp;unlock","80966")</f>
        <v>80966</v>
      </c>
      <c r="F3278" t="s">
        <v>17</v>
      </c>
      <c r="G3278" t="str">
        <f>HYPERLINK("http://www.ncbi.nlm.nih.gov/Taxonomy/Browser/wwwtax.cgi?mode=Info&amp;id=80966&amp;lvl=3&amp;lin=f&amp;keep=1&amp;srchmode=1&amp;unlock","Acanthochromis polyacanthus")</f>
        <v>Acanthochromis polyacanthus</v>
      </c>
      <c r="H3278" t="s">
        <v>88</v>
      </c>
      <c r="I3278" t="str">
        <f>HYPERLINK("http://www.ncbi.nlm.nih.gov/protein/XP_051811585.1","ryanodine receptor 3 isoform X3")</f>
        <v>ryanodine receptor 3 isoform X3</v>
      </c>
      <c r="J3278">
        <v>8648.1</v>
      </c>
      <c r="K3278" t="s">
        <v>22</v>
      </c>
      <c r="L3278">
        <v>76</v>
      </c>
      <c r="M3278">
        <v>12.58</v>
      </c>
      <c r="N3278">
        <v>85.11</v>
      </c>
      <c r="O3278" t="s">
        <v>19</v>
      </c>
      <c r="P3278" t="s">
        <v>1320</v>
      </c>
      <c r="Q3278" t="s">
        <v>19</v>
      </c>
      <c r="R3278" t="str">
        <f>HYPERLINK("https://cfpub.epa.gov/ecotox/explore.cfm?ncbi=80966","Explore in ECOTOX")</f>
        <v>Explore in ECOTOX</v>
      </c>
    </row>
    <row r="3279" spans="1:18" x14ac:dyDescent="0.45">
      <c r="A3279" t="s">
        <v>1265</v>
      </c>
      <c r="B3279">
        <v>8</v>
      </c>
      <c r="C3279" t="str">
        <f>HYPERLINK("http://www.ncbi.nlm.nih.gov/protein/XP_046711318.1","XP_046711318.1")</f>
        <v>XP_046711318.1</v>
      </c>
      <c r="D3279">
        <v>91563</v>
      </c>
      <c r="E3279" t="str">
        <f>HYPERLINK("http://www.ncbi.nlm.nih.gov/Taxonomy/Browser/wwwtax.cgi?mode=Info&amp;id=175797&amp;lvl=3&amp;lin=f&amp;keep=1&amp;srchmode=1&amp;unlock","175797")</f>
        <v>175797</v>
      </c>
      <c r="F3279" t="s">
        <v>17</v>
      </c>
      <c r="G3279" t="str">
        <f>HYPERLINK("http://www.ncbi.nlm.nih.gov/Taxonomy/Browser/wwwtax.cgi?mode=Info&amp;id=175797&amp;lvl=3&amp;lin=f&amp;keep=1&amp;srchmode=1&amp;unlock","Silurus meridionalis")</f>
        <v>Silurus meridionalis</v>
      </c>
      <c r="H3279" t="s">
        <v>172</v>
      </c>
      <c r="I3279" t="str">
        <f>HYPERLINK("http://www.ncbi.nlm.nih.gov/protein/XP_046711318.1","ryanodine receptor 3-like")</f>
        <v>ryanodine receptor 3-like</v>
      </c>
      <c r="J3279">
        <v>8645.02</v>
      </c>
      <c r="K3279" t="s">
        <v>22</v>
      </c>
      <c r="L3279">
        <v>76</v>
      </c>
      <c r="M3279">
        <v>12.58</v>
      </c>
      <c r="N3279">
        <v>85.08</v>
      </c>
      <c r="O3279" t="s">
        <v>19</v>
      </c>
      <c r="P3279" t="s">
        <v>1320</v>
      </c>
      <c r="Q3279" t="s">
        <v>19</v>
      </c>
      <c r="R3279" t="str">
        <f>HYPERLINK("https://cfpub.epa.gov/ecotox/explore.cfm?ncbi=175797","Explore in ECOTOX")</f>
        <v>Explore in ECOTOX</v>
      </c>
    </row>
    <row r="3280" spans="1:18" x14ac:dyDescent="0.45">
      <c r="A3280" t="s">
        <v>1265</v>
      </c>
      <c r="B3280">
        <v>8</v>
      </c>
      <c r="C3280" t="str">
        <f>HYPERLINK("http://www.ncbi.nlm.nih.gov/protein/XP_047201526.1","XP_047201526.1")</f>
        <v>XP_047201526.1</v>
      </c>
      <c r="D3280">
        <v>48650</v>
      </c>
      <c r="E3280" t="str">
        <f>HYPERLINK("http://www.ncbi.nlm.nih.gov/Taxonomy/Browser/wwwtax.cgi?mode=Info&amp;id=208333&amp;lvl=3&amp;lin=f&amp;keep=1&amp;srchmode=1&amp;unlock","208333")</f>
        <v>208333</v>
      </c>
      <c r="F3280" t="s">
        <v>17</v>
      </c>
      <c r="G3280" t="str">
        <f>HYPERLINK("http://www.ncbi.nlm.nih.gov/Taxonomy/Browser/wwwtax.cgi?mode=Info&amp;id=208333&amp;lvl=3&amp;lin=f&amp;keep=1&amp;srchmode=1&amp;unlock","Girardinichthys multiradiatus")</f>
        <v>Girardinichthys multiradiatus</v>
      </c>
      <c r="H3280" t="s">
        <v>122</v>
      </c>
      <c r="I3280" t="str">
        <f>HYPERLINK("http://www.ncbi.nlm.nih.gov/protein/XP_047201526.1","ryanodine receptor 3-like")</f>
        <v>ryanodine receptor 3-like</v>
      </c>
      <c r="J3280">
        <v>8645.02</v>
      </c>
      <c r="K3280" t="s">
        <v>22</v>
      </c>
      <c r="L3280">
        <v>76</v>
      </c>
      <c r="M3280">
        <v>12.58</v>
      </c>
      <c r="N3280">
        <v>85.08</v>
      </c>
      <c r="O3280" t="s">
        <v>19</v>
      </c>
      <c r="P3280" t="s">
        <v>1320</v>
      </c>
      <c r="Q3280" t="s">
        <v>19</v>
      </c>
      <c r="R3280" t="str">
        <f>HYPERLINK("https://cfpub.epa.gov/ecotox/explore.cfm?ncbi=208333","Explore in ECOTOX")</f>
        <v>Explore in ECOTOX</v>
      </c>
    </row>
    <row r="3281" spans="1:18" x14ac:dyDescent="0.45">
      <c r="A3281" t="s">
        <v>1265</v>
      </c>
      <c r="B3281">
        <v>8</v>
      </c>
      <c r="C3281" t="str">
        <f>HYPERLINK("http://www.ncbi.nlm.nih.gov/protein/XP_054469239.1","XP_054469239.1")</f>
        <v>XP_054469239.1</v>
      </c>
      <c r="D3281">
        <v>33066</v>
      </c>
      <c r="E3281" t="str">
        <f>HYPERLINK("http://www.ncbi.nlm.nih.gov/Taxonomy/Browser/wwwtax.cgi?mode=Info&amp;id=229290&amp;lvl=3&amp;lin=f&amp;keep=1&amp;srchmode=1&amp;unlock","229290")</f>
        <v>229290</v>
      </c>
      <c r="F3281" t="s">
        <v>17</v>
      </c>
      <c r="G3281" t="str">
        <f>HYPERLINK("http://www.ncbi.nlm.nih.gov/Taxonomy/Browser/wwwtax.cgi?mode=Info&amp;id=229290&amp;lvl=3&amp;lin=f&amp;keep=1&amp;srchmode=1&amp;unlock","Anoplopoma fimbria")</f>
        <v>Anoplopoma fimbria</v>
      </c>
      <c r="H3281" t="s">
        <v>63</v>
      </c>
      <c r="I3281" t="str">
        <f>HYPERLINK("http://www.ncbi.nlm.nih.gov/protein/XP_054469239.1","LOW QUALITY PROTEIN: ryanodine receptor 3-like")</f>
        <v>LOW QUALITY PROTEIN: ryanodine receptor 3-like</v>
      </c>
      <c r="J3281">
        <v>8641.5499999999993</v>
      </c>
      <c r="K3281" t="s">
        <v>22</v>
      </c>
      <c r="L3281">
        <v>76</v>
      </c>
      <c r="M3281">
        <v>12.58</v>
      </c>
      <c r="N3281">
        <v>85.05</v>
      </c>
      <c r="O3281" t="s">
        <v>19</v>
      </c>
      <c r="P3281" t="s">
        <v>1320</v>
      </c>
      <c r="Q3281" t="s">
        <v>19</v>
      </c>
      <c r="R3281" t="str">
        <f>HYPERLINK("https://cfpub.epa.gov/ecotox/explore.cfm?ncbi=229290","Explore in ECOTOX")</f>
        <v>Explore in ECOTOX</v>
      </c>
    </row>
    <row r="3282" spans="1:18" x14ac:dyDescent="0.45">
      <c r="A3282" t="s">
        <v>1265</v>
      </c>
      <c r="B3282">
        <v>8</v>
      </c>
      <c r="C3282" t="str">
        <f>HYPERLINK("http://www.ncbi.nlm.nih.gov/protein/XP_055087260.1","XP_055087260.1")</f>
        <v>XP_055087260.1</v>
      </c>
      <c r="D3282">
        <v>50626</v>
      </c>
      <c r="E3282" t="str">
        <f>HYPERLINK("http://www.ncbi.nlm.nih.gov/Taxonomy/Browser/wwwtax.cgi?mode=Info&amp;id=409849&amp;lvl=3&amp;lin=f&amp;keep=1&amp;srchmode=1&amp;unlock","409849")</f>
        <v>409849</v>
      </c>
      <c r="F3282" t="s">
        <v>17</v>
      </c>
      <c r="G3282" t="str">
        <f>HYPERLINK("http://www.ncbi.nlm.nih.gov/Taxonomy/Browser/wwwtax.cgi?mode=Info&amp;id=409849&amp;lvl=3&amp;lin=f&amp;keep=1&amp;srchmode=1&amp;unlock","Periophthalmus magnuspinnatus")</f>
        <v>Periophthalmus magnuspinnatus</v>
      </c>
      <c r="H3282" t="s">
        <v>94</v>
      </c>
      <c r="I3282" t="str">
        <f>HYPERLINK("http://www.ncbi.nlm.nih.gov/protein/XP_055087260.1","ryanodine receptor 3-like")</f>
        <v>ryanodine receptor 3-like</v>
      </c>
      <c r="J3282">
        <v>8641.17</v>
      </c>
      <c r="K3282" t="s">
        <v>22</v>
      </c>
      <c r="L3282">
        <v>76</v>
      </c>
      <c r="M3282">
        <v>12.58</v>
      </c>
      <c r="N3282">
        <v>85.04</v>
      </c>
      <c r="O3282" t="s">
        <v>19</v>
      </c>
      <c r="P3282" t="s">
        <v>1320</v>
      </c>
      <c r="Q3282" t="s">
        <v>19</v>
      </c>
      <c r="R3282" t="str">
        <f>HYPERLINK("https://cfpub.epa.gov/ecotox/explore.cfm?ncbi=409849","Explore in ECOTOX")</f>
        <v>Explore in ECOTOX</v>
      </c>
    </row>
    <row r="3283" spans="1:18" x14ac:dyDescent="0.45">
      <c r="A3283" t="s">
        <v>1265</v>
      </c>
      <c r="B3283">
        <v>8</v>
      </c>
      <c r="C3283" t="str">
        <f>HYPERLINK("http://www.ncbi.nlm.nih.gov/protein/XP_013867545.1","XP_013867545.1")</f>
        <v>XP_013867545.1</v>
      </c>
      <c r="D3283">
        <v>35359</v>
      </c>
      <c r="E3283" t="str">
        <f>HYPERLINK("http://www.ncbi.nlm.nih.gov/Taxonomy/Browser/wwwtax.cgi?mode=Info&amp;id=52670&amp;lvl=3&amp;lin=f&amp;keep=1&amp;srchmode=1&amp;unlock","52670")</f>
        <v>52670</v>
      </c>
      <c r="F3283" t="s">
        <v>17</v>
      </c>
      <c r="G3283" t="str">
        <f>HYPERLINK("http://www.ncbi.nlm.nih.gov/Taxonomy/Browser/wwwtax.cgi?mode=Info&amp;id=52670&amp;lvl=3&amp;lin=f&amp;keep=1&amp;srchmode=1&amp;unlock","Austrofundulus limnaeus")</f>
        <v>Austrofundulus limnaeus</v>
      </c>
      <c r="H3283" t="s">
        <v>166</v>
      </c>
      <c r="I3283" t="str">
        <f>HYPERLINK("http://www.ncbi.nlm.nih.gov/protein/XP_013867545.1","PREDICTED: ryanodine receptor 3-like")</f>
        <v>PREDICTED: ryanodine receptor 3-like</v>
      </c>
      <c r="J3283">
        <v>8640.4</v>
      </c>
      <c r="K3283" t="s">
        <v>22</v>
      </c>
      <c r="L3283">
        <v>76</v>
      </c>
      <c r="M3283">
        <v>12.58</v>
      </c>
      <c r="N3283">
        <v>85.04</v>
      </c>
      <c r="O3283" t="s">
        <v>19</v>
      </c>
      <c r="P3283" t="s">
        <v>1320</v>
      </c>
      <c r="Q3283" t="s">
        <v>19</v>
      </c>
      <c r="R3283" t="str">
        <f>HYPERLINK("https://cfpub.epa.gov/ecotox/explore.cfm?ncbi=52670","Explore in ECOTOX")</f>
        <v>Explore in ECOTOX</v>
      </c>
    </row>
    <row r="3284" spans="1:18" x14ac:dyDescent="0.45">
      <c r="A3284" t="s">
        <v>1265</v>
      </c>
      <c r="B3284">
        <v>8</v>
      </c>
      <c r="C3284" t="str">
        <f>HYPERLINK("http://www.ncbi.nlm.nih.gov/protein/XP_049596076.1","XP_049596076.1")</f>
        <v>XP_049596076.1</v>
      </c>
      <c r="D3284">
        <v>47901</v>
      </c>
      <c r="E3284" t="str">
        <f>HYPERLINK("http://www.ncbi.nlm.nih.gov/Taxonomy/Browser/wwwtax.cgi?mode=Info&amp;id=161590&amp;lvl=3&amp;lin=f&amp;keep=1&amp;srchmode=1&amp;unlock","161590")</f>
        <v>161590</v>
      </c>
      <c r="F3284" t="s">
        <v>17</v>
      </c>
      <c r="G3284" t="str">
        <f>HYPERLINK("http://www.ncbi.nlm.nih.gov/Taxonomy/Browser/wwwtax.cgi?mode=Info&amp;id=161590&amp;lvl=3&amp;lin=f&amp;keep=1&amp;srchmode=1&amp;unlock","Syngnathus scovelli")</f>
        <v>Syngnathus scovelli</v>
      </c>
      <c r="H3284" t="s">
        <v>135</v>
      </c>
      <c r="I3284" t="str">
        <f>HYPERLINK("http://www.ncbi.nlm.nih.gov/protein/XP_049596076.1","ryanodine receptor 3 isoform X2")</f>
        <v>ryanodine receptor 3 isoform X2</v>
      </c>
      <c r="J3284">
        <v>8640.4</v>
      </c>
      <c r="K3284" t="s">
        <v>22</v>
      </c>
      <c r="L3284">
        <v>76</v>
      </c>
      <c r="M3284">
        <v>12.58</v>
      </c>
      <c r="N3284">
        <v>85.04</v>
      </c>
      <c r="O3284" t="s">
        <v>19</v>
      </c>
      <c r="P3284" t="s">
        <v>1320</v>
      </c>
      <c r="Q3284" t="s">
        <v>19</v>
      </c>
      <c r="R3284" t="str">
        <f>HYPERLINK("https://cfpub.epa.gov/ecotox/explore.cfm?ncbi=161590","Explore in ECOTOX")</f>
        <v>Explore in ECOTOX</v>
      </c>
    </row>
    <row r="3285" spans="1:18" x14ac:dyDescent="0.45">
      <c r="A3285" t="s">
        <v>1265</v>
      </c>
      <c r="B3285">
        <v>8</v>
      </c>
      <c r="C3285" t="str">
        <f>HYPERLINK("http://www.ncbi.nlm.nih.gov/protein/XP_037096865.1","XP_037096865.1")</f>
        <v>XP_037096865.1</v>
      </c>
      <c r="D3285">
        <v>41996</v>
      </c>
      <c r="E3285" t="str">
        <f>HYPERLINK("http://www.ncbi.nlm.nih.gov/Taxonomy/Browser/wwwtax.cgi?mode=Info&amp;id=161584&amp;lvl=3&amp;lin=f&amp;keep=1&amp;srchmode=1&amp;unlock","161584")</f>
        <v>161584</v>
      </c>
      <c r="F3285" t="s">
        <v>17</v>
      </c>
      <c r="G3285" t="str">
        <f>HYPERLINK("http://www.ncbi.nlm.nih.gov/Taxonomy/Browser/wwwtax.cgi?mode=Info&amp;id=161584&amp;lvl=3&amp;lin=f&amp;keep=1&amp;srchmode=1&amp;unlock","Syngnathus acus")</f>
        <v>Syngnathus acus</v>
      </c>
      <c r="H3285" t="s">
        <v>139</v>
      </c>
      <c r="I3285" t="str">
        <f>HYPERLINK("http://www.ncbi.nlm.nih.gov/protein/XP_037096865.1","ryanodine receptor 3-like isoform X5")</f>
        <v>ryanodine receptor 3-like isoform X5</v>
      </c>
      <c r="J3285">
        <v>8639.6299999999992</v>
      </c>
      <c r="K3285" t="s">
        <v>22</v>
      </c>
      <c r="L3285">
        <v>76</v>
      </c>
      <c r="M3285">
        <v>12.58</v>
      </c>
      <c r="N3285">
        <v>85.03</v>
      </c>
      <c r="O3285" t="s">
        <v>19</v>
      </c>
      <c r="P3285" t="s">
        <v>1320</v>
      </c>
      <c r="Q3285" t="s">
        <v>19</v>
      </c>
      <c r="R3285" t="str">
        <f>HYPERLINK("https://cfpub.epa.gov/ecotox/explore.cfm?ncbi=161584","Explore in ECOTOX")</f>
        <v>Explore in ECOTOX</v>
      </c>
    </row>
    <row r="3286" spans="1:18" x14ac:dyDescent="0.45">
      <c r="A3286" t="s">
        <v>1265</v>
      </c>
      <c r="B3286">
        <v>8</v>
      </c>
      <c r="C3286" t="str">
        <f>HYPERLINK("http://www.ncbi.nlm.nih.gov/protein/XP_035529605.1","XP_035529605.1")</f>
        <v>XP_035529605.1</v>
      </c>
      <c r="D3286">
        <v>31152</v>
      </c>
      <c r="E3286" t="str">
        <f>HYPERLINK("http://www.ncbi.nlm.nih.gov/Taxonomy/Browser/wwwtax.cgi?mode=Info&amp;id=34816&amp;lvl=3&amp;lin=f&amp;keep=1&amp;srchmode=1&amp;unlock","34816")</f>
        <v>34816</v>
      </c>
      <c r="F3286" t="s">
        <v>17</v>
      </c>
      <c r="G3286" t="str">
        <f>HYPERLINK("http://www.ncbi.nlm.nih.gov/Taxonomy/Browser/wwwtax.cgi?mode=Info&amp;id=34816&amp;lvl=3&amp;lin=f&amp;keep=1&amp;srchmode=1&amp;unlock","Morone saxatilis")</f>
        <v>Morone saxatilis</v>
      </c>
      <c r="H3286" t="s">
        <v>52</v>
      </c>
      <c r="I3286" t="str">
        <f>HYPERLINK("http://www.ncbi.nlm.nih.gov/protein/XP_035529605.1","ryanodine receptor 3-like")</f>
        <v>ryanodine receptor 3-like</v>
      </c>
      <c r="J3286">
        <v>8628.84</v>
      </c>
      <c r="K3286" t="s">
        <v>22</v>
      </c>
      <c r="L3286">
        <v>76</v>
      </c>
      <c r="M3286">
        <v>12.58</v>
      </c>
      <c r="N3286">
        <v>84.92</v>
      </c>
      <c r="O3286" t="s">
        <v>19</v>
      </c>
      <c r="P3286" t="s">
        <v>1320</v>
      </c>
      <c r="Q3286" t="s">
        <v>19</v>
      </c>
      <c r="R3286" t="str">
        <f>HYPERLINK("https://cfpub.epa.gov/ecotox/explore.cfm?ncbi=34816","Explore in ECOTOX")</f>
        <v>Explore in ECOTOX</v>
      </c>
    </row>
    <row r="3287" spans="1:18" x14ac:dyDescent="0.45">
      <c r="A3287" t="s">
        <v>1265</v>
      </c>
      <c r="B3287">
        <v>8</v>
      </c>
      <c r="C3287" t="str">
        <f>HYPERLINK("http://www.ncbi.nlm.nih.gov/protein/XP_056445697.1","XP_056445697.1")</f>
        <v>XP_056445697.1</v>
      </c>
      <c r="D3287">
        <v>37803</v>
      </c>
      <c r="E3287" t="str">
        <f>HYPERLINK("http://www.ncbi.nlm.nih.gov/Taxonomy/Browser/wwwtax.cgi?mode=Info&amp;id=1042646&amp;lvl=3&amp;lin=f&amp;keep=1&amp;srchmode=1&amp;unlock","1042646")</f>
        <v>1042646</v>
      </c>
      <c r="F3287" t="s">
        <v>17</v>
      </c>
      <c r="G3287" t="str">
        <f>HYPERLINK("http://www.ncbi.nlm.nih.gov/Taxonomy/Browser/wwwtax.cgi?mode=Info&amp;id=1042646&amp;lvl=3&amp;lin=f&amp;keep=1&amp;srchmode=1&amp;unlock","Gadus chalcogrammus")</f>
        <v>Gadus chalcogrammus</v>
      </c>
      <c r="H3287" t="s">
        <v>501</v>
      </c>
      <c r="I3287" t="str">
        <f>HYPERLINK("http://www.ncbi.nlm.nih.gov/protein/XP_056445697.1","ryanodine receptor 3-like")</f>
        <v>ryanodine receptor 3-like</v>
      </c>
      <c r="J3287">
        <v>8626.15</v>
      </c>
      <c r="K3287" t="s">
        <v>22</v>
      </c>
      <c r="L3287">
        <v>76</v>
      </c>
      <c r="M3287">
        <v>12.58</v>
      </c>
      <c r="N3287">
        <v>84.9</v>
      </c>
      <c r="O3287" t="s">
        <v>19</v>
      </c>
      <c r="P3287" t="s">
        <v>1320</v>
      </c>
      <c r="Q3287" t="s">
        <v>19</v>
      </c>
      <c r="R3287" t="str">
        <f>HYPERLINK("https://cfpub.epa.gov/ecotox/explore.cfm?ncbi=1042646","Explore in ECOTOX")</f>
        <v>Explore in ECOTOX</v>
      </c>
    </row>
    <row r="3288" spans="1:18" x14ac:dyDescent="0.45">
      <c r="A3288" t="s">
        <v>1265</v>
      </c>
      <c r="B3288">
        <v>8</v>
      </c>
      <c r="C3288" t="str">
        <f>HYPERLINK("http://www.ncbi.nlm.nih.gov/protein/XP_055010988.1","XP_055010988.1")</f>
        <v>XP_055010988.1</v>
      </c>
      <c r="D3288">
        <v>52854</v>
      </c>
      <c r="E3288" t="str">
        <f>HYPERLINK("http://www.ncbi.nlm.nih.gov/Taxonomy/Browser/wwwtax.cgi?mode=Info&amp;id=150288&amp;lvl=3&amp;lin=f&amp;keep=1&amp;srchmode=1&amp;unlock","150288")</f>
        <v>150288</v>
      </c>
      <c r="F3288" t="s">
        <v>17</v>
      </c>
      <c r="G3288" t="str">
        <f>HYPERLINK("http://www.ncbi.nlm.nih.gov/Taxonomy/Browser/wwwtax.cgi?mode=Info&amp;id=150288&amp;lvl=3&amp;lin=f&amp;keep=1&amp;srchmode=1&amp;unlock","Boleophthalmus pectinirostris")</f>
        <v>Boleophthalmus pectinirostris</v>
      </c>
      <c r="H3288" t="s">
        <v>127</v>
      </c>
      <c r="I3288" t="str">
        <f>HYPERLINK("http://www.ncbi.nlm.nih.gov/protein/XP_055010988.1","ryanodine receptor 3-like")</f>
        <v>ryanodine receptor 3-like</v>
      </c>
      <c r="J3288">
        <v>8621.52</v>
      </c>
      <c r="K3288" t="s">
        <v>22</v>
      </c>
      <c r="L3288">
        <v>76</v>
      </c>
      <c r="M3288">
        <v>12.58</v>
      </c>
      <c r="N3288">
        <v>84.85</v>
      </c>
      <c r="O3288" t="s">
        <v>19</v>
      </c>
      <c r="P3288" t="s">
        <v>1320</v>
      </c>
      <c r="Q3288" t="s">
        <v>19</v>
      </c>
      <c r="R3288" t="str">
        <f>HYPERLINK("https://cfpub.epa.gov/ecotox/explore.cfm?ncbi=150288","Explore in ECOTOX")</f>
        <v>Explore in ECOTOX</v>
      </c>
    </row>
    <row r="3289" spans="1:18" x14ac:dyDescent="0.45">
      <c r="A3289" t="s">
        <v>1265</v>
      </c>
      <c r="B3289">
        <v>8</v>
      </c>
      <c r="C3289" t="str">
        <f>HYPERLINK("http://www.ncbi.nlm.nih.gov/protein/KAK2891680.1","KAK2891680.1")</f>
        <v>KAK2891680.1</v>
      </c>
      <c r="D3289">
        <v>47003</v>
      </c>
      <c r="E3289" t="str">
        <f>HYPERLINK("http://www.ncbi.nlm.nih.gov/Taxonomy/Browser/wwwtax.cgi?mode=Info&amp;id=215402&amp;lvl=3&amp;lin=f&amp;keep=1&amp;srchmode=1&amp;unlock","215402")</f>
        <v>215402</v>
      </c>
      <c r="F3289" t="s">
        <v>17</v>
      </c>
      <c r="G3289" t="str">
        <f>HYPERLINK("http://www.ncbi.nlm.nih.gov/Taxonomy/Browser/wwwtax.cgi?mode=Info&amp;id=215402&amp;lvl=3&amp;lin=f&amp;keep=1&amp;srchmode=1&amp;unlock","Channa argus")</f>
        <v>Channa argus</v>
      </c>
      <c r="H3289" t="s">
        <v>112</v>
      </c>
      <c r="I3289" t="str">
        <f>HYPERLINK("http://www.ncbi.nlm.nih.gov/protein/KAK2891680.1","hypothetical protein Q8A73_017345")</f>
        <v>hypothetical protein Q8A73_017345</v>
      </c>
      <c r="J3289">
        <v>8618.83</v>
      </c>
      <c r="K3289" t="s">
        <v>22</v>
      </c>
      <c r="L3289">
        <v>76</v>
      </c>
      <c r="M3289">
        <v>12.58</v>
      </c>
      <c r="N3289">
        <v>84.82</v>
      </c>
      <c r="O3289" t="s">
        <v>19</v>
      </c>
      <c r="P3289" t="s">
        <v>1320</v>
      </c>
      <c r="Q3289" t="s">
        <v>19</v>
      </c>
      <c r="R3289" t="str">
        <f>HYPERLINK("https://cfpub.epa.gov/ecotox/explore.cfm?ncbi=215402","Explore in ECOTOX")</f>
        <v>Explore in ECOTOX</v>
      </c>
    </row>
    <row r="3290" spans="1:18" x14ac:dyDescent="0.45">
      <c r="A3290" t="s">
        <v>1265</v>
      </c>
      <c r="B3290">
        <v>8</v>
      </c>
      <c r="C3290" t="str">
        <f>HYPERLINK("http://www.ncbi.nlm.nih.gov/protein/XP_042356289.1","XP_042356289.1")</f>
        <v>XP_042356289.1</v>
      </c>
      <c r="D3290">
        <v>36414</v>
      </c>
      <c r="E3290" t="str">
        <f>HYPERLINK("http://www.ncbi.nlm.nih.gov/Taxonomy/Browser/wwwtax.cgi?mode=Info&amp;id=160734&amp;lvl=3&amp;lin=f&amp;keep=1&amp;srchmode=1&amp;unlock","160734")</f>
        <v>160734</v>
      </c>
      <c r="F3290" t="s">
        <v>17</v>
      </c>
      <c r="G3290" t="str">
        <f>HYPERLINK("http://www.ncbi.nlm.nih.gov/Taxonomy/Browser/wwwtax.cgi?mode=Info&amp;id=160734&amp;lvl=3&amp;lin=f&amp;keep=1&amp;srchmode=1&amp;unlock","Plectropomus leopardus")</f>
        <v>Plectropomus leopardus</v>
      </c>
      <c r="H3290" t="s">
        <v>391</v>
      </c>
      <c r="I3290" t="str">
        <f>HYPERLINK("http://www.ncbi.nlm.nih.gov/protein/XP_042356289.1","ryanodine receptor 3-like")</f>
        <v>ryanodine receptor 3-like</v>
      </c>
      <c r="J3290">
        <v>8616.52</v>
      </c>
      <c r="K3290" t="s">
        <v>22</v>
      </c>
      <c r="L3290">
        <v>76</v>
      </c>
      <c r="M3290">
        <v>12.58</v>
      </c>
      <c r="N3290">
        <v>84.8</v>
      </c>
      <c r="O3290" t="s">
        <v>19</v>
      </c>
      <c r="P3290" t="s">
        <v>1320</v>
      </c>
      <c r="Q3290" t="s">
        <v>19</v>
      </c>
      <c r="R3290" t="str">
        <f>HYPERLINK("https://cfpub.epa.gov/ecotox/explore.cfm?ncbi=160734","Explore in ECOTOX")</f>
        <v>Explore in ECOTOX</v>
      </c>
    </row>
    <row r="3291" spans="1:18" x14ac:dyDescent="0.45">
      <c r="A3291" t="s">
        <v>1265</v>
      </c>
      <c r="B3291">
        <v>8</v>
      </c>
      <c r="C3291" t="str">
        <f>HYPERLINK("http://www.ncbi.nlm.nih.gov/protein/XP_056282727.1","XP_056282727.1")</f>
        <v>XP_056282727.1</v>
      </c>
      <c r="D3291">
        <v>39439</v>
      </c>
      <c r="E3291" t="str">
        <f>HYPERLINK("http://www.ncbi.nlm.nih.gov/Taxonomy/Browser/wwwtax.cgi?mode=Info&amp;id=2059687&amp;lvl=3&amp;lin=f&amp;keep=1&amp;srchmode=1&amp;unlock","2059687")</f>
        <v>2059687</v>
      </c>
      <c r="F3291" t="s">
        <v>17</v>
      </c>
      <c r="G3291" t="str">
        <f>HYPERLINK("http://www.ncbi.nlm.nih.gov/Taxonomy/Browser/wwwtax.cgi?mode=Info&amp;id=2059687&amp;lvl=3&amp;lin=f&amp;keep=1&amp;srchmode=1&amp;unlock","Pseudoliparis swirei")</f>
        <v>Pseudoliparis swirei</v>
      </c>
      <c r="H3291" t="s">
        <v>152</v>
      </c>
      <c r="I3291" t="str">
        <f>HYPERLINK("http://www.ncbi.nlm.nih.gov/protein/XP_056282727.1","LOW QUALITY PROTEIN: ryanodine receptor 3-like")</f>
        <v>LOW QUALITY PROTEIN: ryanodine receptor 3-like</v>
      </c>
      <c r="J3291">
        <v>8605.73</v>
      </c>
      <c r="K3291" t="s">
        <v>22</v>
      </c>
      <c r="L3291">
        <v>76</v>
      </c>
      <c r="M3291">
        <v>12.58</v>
      </c>
      <c r="N3291">
        <v>84.7</v>
      </c>
      <c r="O3291" t="s">
        <v>19</v>
      </c>
      <c r="P3291" t="s">
        <v>1320</v>
      </c>
      <c r="Q3291" t="s">
        <v>19</v>
      </c>
      <c r="R3291" t="str">
        <f>HYPERLINK("https://cfpub.epa.gov/ecotox/explore.cfm?ncbi=2059687","Explore in ECOTOX")</f>
        <v>Explore in ECOTOX</v>
      </c>
    </row>
    <row r="3292" spans="1:18" x14ac:dyDescent="0.45">
      <c r="A3292" t="s">
        <v>1265</v>
      </c>
      <c r="B3292">
        <v>8</v>
      </c>
      <c r="C3292" t="str">
        <f>HYPERLINK("http://www.ncbi.nlm.nih.gov/protein/XP_029132484.1","XP_029132484.1")</f>
        <v>XP_029132484.1</v>
      </c>
      <c r="D3292">
        <v>36766</v>
      </c>
      <c r="E3292" t="str">
        <f>HYPERLINK("http://www.ncbi.nlm.nih.gov/Taxonomy/Browser/wwwtax.cgi?mode=Info&amp;id=56723&amp;lvl=3&amp;lin=f&amp;keep=1&amp;srchmode=1&amp;unlock","56723")</f>
        <v>56723</v>
      </c>
      <c r="F3292" t="s">
        <v>17</v>
      </c>
      <c r="G3292" t="str">
        <f>HYPERLINK("http://www.ncbi.nlm.nih.gov/Taxonomy/Browser/wwwtax.cgi?mode=Info&amp;id=56723&amp;lvl=3&amp;lin=f&amp;keep=1&amp;srchmode=1&amp;unlock","Labrus bergylta")</f>
        <v>Labrus bergylta</v>
      </c>
      <c r="H3292" t="s">
        <v>103</v>
      </c>
      <c r="I3292" t="str">
        <f>HYPERLINK("http://www.ncbi.nlm.nih.gov/protein/XP_029132484.1","LOW QUALITY PROTEIN: ryanodine receptor 3-like")</f>
        <v>LOW QUALITY PROTEIN: ryanodine receptor 3-like</v>
      </c>
      <c r="J3292">
        <v>8602.65</v>
      </c>
      <c r="K3292" t="s">
        <v>22</v>
      </c>
      <c r="L3292">
        <v>76</v>
      </c>
      <c r="M3292">
        <v>12.58</v>
      </c>
      <c r="N3292">
        <v>84.67</v>
      </c>
      <c r="O3292" t="s">
        <v>19</v>
      </c>
      <c r="P3292" t="s">
        <v>1320</v>
      </c>
      <c r="Q3292" t="s">
        <v>19</v>
      </c>
      <c r="R3292" t="str">
        <f>HYPERLINK("https://cfpub.epa.gov/ecotox/explore.cfm?ncbi=56723","Explore in ECOTOX")</f>
        <v>Explore in ECOTOX</v>
      </c>
    </row>
    <row r="3293" spans="1:18" x14ac:dyDescent="0.45">
      <c r="A3293" t="s">
        <v>1265</v>
      </c>
      <c r="B3293">
        <v>8</v>
      </c>
      <c r="C3293" t="str">
        <f>HYPERLINK("http://www.ncbi.nlm.nih.gov/protein/XP_030575089.1","XP_030575089.1")</f>
        <v>XP_030575089.1</v>
      </c>
      <c r="D3293">
        <v>41125</v>
      </c>
      <c r="E3293" t="str">
        <f>HYPERLINK("http://www.ncbi.nlm.nih.gov/Taxonomy/Browser/wwwtax.cgi?mode=Info&amp;id=63155&amp;lvl=3&amp;lin=f&amp;keep=1&amp;srchmode=1&amp;unlock","63155")</f>
        <v>63155</v>
      </c>
      <c r="F3293" t="s">
        <v>17</v>
      </c>
      <c r="G3293" t="str">
        <f>HYPERLINK("http://www.ncbi.nlm.nih.gov/Taxonomy/Browser/wwwtax.cgi?mode=Info&amp;id=63155&amp;lvl=3&amp;lin=f&amp;keep=1&amp;srchmode=1&amp;unlock","Archocentrus centrarchus")</f>
        <v>Archocentrus centrarchus</v>
      </c>
      <c r="H3293" t="s">
        <v>144</v>
      </c>
      <c r="I3293" t="str">
        <f>HYPERLINK("http://www.ncbi.nlm.nih.gov/protein/XP_030575089.1","ryanodine receptor 3-like")</f>
        <v>ryanodine receptor 3-like</v>
      </c>
      <c r="J3293">
        <v>8602.26</v>
      </c>
      <c r="K3293" t="s">
        <v>22</v>
      </c>
      <c r="L3293">
        <v>76</v>
      </c>
      <c r="M3293">
        <v>12.58</v>
      </c>
      <c r="N3293">
        <v>84.66</v>
      </c>
      <c r="O3293" t="s">
        <v>19</v>
      </c>
      <c r="P3293" t="s">
        <v>1320</v>
      </c>
      <c r="Q3293" t="s">
        <v>19</v>
      </c>
      <c r="R3293" t="str">
        <f>HYPERLINK("https://cfpub.epa.gov/ecotox/explore.cfm?ncbi=63155","Explore in ECOTOX")</f>
        <v>Explore in ECOTOX</v>
      </c>
    </row>
    <row r="3294" spans="1:18" x14ac:dyDescent="0.45">
      <c r="A3294" t="s">
        <v>1265</v>
      </c>
      <c r="B3294">
        <v>8</v>
      </c>
      <c r="C3294" t="str">
        <f>HYPERLINK("http://www.ncbi.nlm.nih.gov/protein/XP_030212394.1","XP_030212394.1")</f>
        <v>XP_030212394.1</v>
      </c>
      <c r="D3294">
        <v>47359</v>
      </c>
      <c r="E3294" t="str">
        <f>HYPERLINK("http://www.ncbi.nlm.nih.gov/Taxonomy/Browser/wwwtax.cgi?mode=Info&amp;id=8049&amp;lvl=3&amp;lin=f&amp;keep=1&amp;srchmode=1&amp;unlock","8049")</f>
        <v>8049</v>
      </c>
      <c r="F3294" t="s">
        <v>17</v>
      </c>
      <c r="G3294" t="str">
        <f>HYPERLINK("http://www.ncbi.nlm.nih.gov/Taxonomy/Browser/wwwtax.cgi?mode=Info&amp;id=8049&amp;lvl=3&amp;lin=f&amp;keep=1&amp;srchmode=1&amp;unlock","Gadus morhua")</f>
        <v>Gadus morhua</v>
      </c>
      <c r="H3294" t="s">
        <v>165</v>
      </c>
      <c r="I3294" t="str">
        <f>HYPERLINK("http://www.ncbi.nlm.nih.gov/protein/XP_030212394.1","LOW QUALITY PROTEIN: ryanodine receptor 3-like")</f>
        <v>LOW QUALITY PROTEIN: ryanodine receptor 3-like</v>
      </c>
      <c r="J3294">
        <v>8581.85</v>
      </c>
      <c r="K3294" t="s">
        <v>22</v>
      </c>
      <c r="L3294">
        <v>76</v>
      </c>
      <c r="M3294">
        <v>12.58</v>
      </c>
      <c r="N3294">
        <v>84.46</v>
      </c>
      <c r="O3294" t="s">
        <v>19</v>
      </c>
      <c r="P3294" t="s">
        <v>1320</v>
      </c>
      <c r="Q3294" t="s">
        <v>19</v>
      </c>
      <c r="R3294" t="str">
        <f>HYPERLINK("https://cfpub.epa.gov/ecotox/explore.cfm?ncbi=8049","Explore in ECOTOX")</f>
        <v>Explore in ECOTOX</v>
      </c>
    </row>
    <row r="3295" spans="1:18" x14ac:dyDescent="0.45">
      <c r="A3295" t="s">
        <v>1265</v>
      </c>
      <c r="B3295">
        <v>8</v>
      </c>
      <c r="C3295" t="str">
        <f>HYPERLINK("http://www.ncbi.nlm.nih.gov/protein/XP_040915884.1","XP_040915884.1")</f>
        <v>XP_040915884.1</v>
      </c>
      <c r="D3295">
        <v>38459</v>
      </c>
      <c r="E3295" t="str">
        <f>HYPERLINK("http://www.ncbi.nlm.nih.gov/Taxonomy/Browser/wwwtax.cgi?mode=Info&amp;id=941984&amp;lvl=3&amp;lin=f&amp;keep=1&amp;srchmode=1&amp;unlock","941984")</f>
        <v>941984</v>
      </c>
      <c r="F3295" t="s">
        <v>17</v>
      </c>
      <c r="G3295" t="str">
        <f>HYPERLINK("http://www.ncbi.nlm.nih.gov/Taxonomy/Browser/wwwtax.cgi?mode=Info&amp;id=941984&amp;lvl=3&amp;lin=f&amp;keep=1&amp;srchmode=1&amp;unlock","Toxotes jaculatrix")</f>
        <v>Toxotes jaculatrix</v>
      </c>
      <c r="H3295" t="s">
        <v>78</v>
      </c>
      <c r="I3295" t="str">
        <f>HYPERLINK("http://www.ncbi.nlm.nih.gov/protein/XP_040915884.1","LOW QUALITY PROTEIN: ryanodine receptor 3-like")</f>
        <v>LOW QUALITY PROTEIN: ryanodine receptor 3-like</v>
      </c>
      <c r="J3295">
        <v>8579.5400000000009</v>
      </c>
      <c r="K3295" t="s">
        <v>22</v>
      </c>
      <c r="L3295">
        <v>76</v>
      </c>
      <c r="M3295">
        <v>12.58</v>
      </c>
      <c r="N3295">
        <v>84.44</v>
      </c>
      <c r="O3295" t="s">
        <v>19</v>
      </c>
      <c r="P3295" t="s">
        <v>1320</v>
      </c>
      <c r="Q3295" t="s">
        <v>19</v>
      </c>
      <c r="R3295" t="str">
        <f>HYPERLINK("https://cfpub.epa.gov/ecotox/explore.cfm?ncbi=941984","Explore in ECOTOX")</f>
        <v>Explore in ECOTOX</v>
      </c>
    </row>
    <row r="3296" spans="1:18" x14ac:dyDescent="0.45">
      <c r="A3296" t="s">
        <v>1265</v>
      </c>
      <c r="B3296">
        <v>8</v>
      </c>
      <c r="C3296" t="str">
        <f>HYPERLINK("http://www.ncbi.nlm.nih.gov/protein/XP_038147310.1","XP_038147310.1")</f>
        <v>XP_038147310.1</v>
      </c>
      <c r="D3296">
        <v>42402</v>
      </c>
      <c r="E3296" t="str">
        <f>HYPERLINK("http://www.ncbi.nlm.nih.gov/Taxonomy/Browser/wwwtax.cgi?mode=Info&amp;id=77115&amp;lvl=3&amp;lin=f&amp;keep=1&amp;srchmode=1&amp;unlock","77115")</f>
        <v>77115</v>
      </c>
      <c r="F3296" t="s">
        <v>17</v>
      </c>
      <c r="G3296" t="str">
        <f>HYPERLINK("http://www.ncbi.nlm.nih.gov/Taxonomy/Browser/wwwtax.cgi?mode=Info&amp;id=77115&amp;lvl=3&amp;lin=f&amp;keep=1&amp;srchmode=1&amp;unlock","Cyprinodon tularosa")</f>
        <v>Cyprinodon tularosa</v>
      </c>
      <c r="H3296" t="s">
        <v>125</v>
      </c>
      <c r="I3296" t="str">
        <f>HYPERLINK("http://www.ncbi.nlm.nih.gov/protein/XP_038147310.1","ryanodine receptor 3-like")</f>
        <v>ryanodine receptor 3-like</v>
      </c>
      <c r="J3296">
        <v>8579.15</v>
      </c>
      <c r="K3296" t="s">
        <v>22</v>
      </c>
      <c r="L3296">
        <v>76</v>
      </c>
      <c r="M3296">
        <v>12.58</v>
      </c>
      <c r="N3296">
        <v>84.43</v>
      </c>
      <c r="O3296" t="s">
        <v>19</v>
      </c>
      <c r="P3296" t="s">
        <v>1320</v>
      </c>
      <c r="Q3296" t="s">
        <v>19</v>
      </c>
      <c r="R3296" t="str">
        <f>HYPERLINK("https://cfpub.epa.gov/ecotox/explore.cfm?ncbi=77115","Explore in ECOTOX")</f>
        <v>Explore in ECOTOX</v>
      </c>
    </row>
    <row r="3297" spans="1:18" x14ac:dyDescent="0.45">
      <c r="A3297" t="s">
        <v>1265</v>
      </c>
      <c r="B3297">
        <v>8</v>
      </c>
      <c r="C3297" t="str">
        <f>HYPERLINK("http://www.ncbi.nlm.nih.gov/protein/KAJ8290418.1","KAJ8290418.1")</f>
        <v>KAJ8290418.1</v>
      </c>
      <c r="D3297">
        <v>22572</v>
      </c>
      <c r="E3297" t="str">
        <f>HYPERLINK("http://www.ncbi.nlm.nih.gov/Taxonomy/Browser/wwwtax.cgi?mode=Info&amp;id=473457&amp;lvl=3&amp;lin=f&amp;keep=1&amp;srchmode=1&amp;unlock","473457")</f>
        <v>473457</v>
      </c>
      <c r="F3297" t="s">
        <v>17</v>
      </c>
      <c r="G3297" t="str">
        <f>HYPERLINK("http://www.ncbi.nlm.nih.gov/Taxonomy/Browser/wwwtax.cgi?mode=Info&amp;id=473457&amp;lvl=3&amp;lin=f&amp;keep=1&amp;srchmode=1&amp;unlock","Gymnothorax javanicus")</f>
        <v>Gymnothorax javanicus</v>
      </c>
      <c r="H3297" t="s">
        <v>736</v>
      </c>
      <c r="I3297" t="str">
        <f>HYPERLINK("http://www.ncbi.nlm.nih.gov/protein/KAJ8290418.1","hypothetical protein GJAV_G00012610")</f>
        <v>hypothetical protein GJAV_G00012610</v>
      </c>
      <c r="J3297">
        <v>8569.91</v>
      </c>
      <c r="K3297" t="s">
        <v>22</v>
      </c>
      <c r="L3297">
        <v>76</v>
      </c>
      <c r="M3297">
        <v>12.58</v>
      </c>
      <c r="N3297">
        <v>84.34</v>
      </c>
      <c r="O3297" t="s">
        <v>19</v>
      </c>
      <c r="P3297" t="s">
        <v>1320</v>
      </c>
      <c r="Q3297" t="s">
        <v>19</v>
      </c>
      <c r="R3297" t="str">
        <f>HYPERLINK("https://cfpub.epa.gov/ecotox/explore.cfm?ncbi=473457","Explore in ECOTOX")</f>
        <v>Explore in ECOTOX</v>
      </c>
    </row>
    <row r="3298" spans="1:18" x14ac:dyDescent="0.45">
      <c r="A3298" t="s">
        <v>1265</v>
      </c>
      <c r="B3298">
        <v>8</v>
      </c>
      <c r="C3298" t="str">
        <f>HYPERLINK("http://www.ncbi.nlm.nih.gov/protein/XP_041668354.1","XP_041668354.1")</f>
        <v>XP_041668354.1</v>
      </c>
      <c r="D3298">
        <v>40157</v>
      </c>
      <c r="E3298" t="str">
        <f>HYPERLINK("http://www.ncbi.nlm.nih.gov/Taxonomy/Browser/wwwtax.cgi?mode=Info&amp;id=241271&amp;lvl=3&amp;lin=f&amp;keep=1&amp;srchmode=1&amp;unlock","241271")</f>
        <v>241271</v>
      </c>
      <c r="F3298" t="s">
        <v>17</v>
      </c>
      <c r="G3298" t="str">
        <f>HYPERLINK("http://www.ncbi.nlm.nih.gov/Taxonomy/Browser/wwwtax.cgi?mode=Info&amp;id=241271&amp;lvl=3&amp;lin=f&amp;keep=1&amp;srchmode=1&amp;unlock","Cheilinus undulatus")</f>
        <v>Cheilinus undulatus</v>
      </c>
      <c r="H3298" t="s">
        <v>686</v>
      </c>
      <c r="I3298" t="str">
        <f>HYPERLINK("http://www.ncbi.nlm.nih.gov/protein/XP_041668354.1","LOW QUALITY PROTEIN: ryanodine receptor 3-like")</f>
        <v>LOW QUALITY PROTEIN: ryanodine receptor 3-like</v>
      </c>
      <c r="J3298">
        <v>8567.98</v>
      </c>
      <c r="K3298" t="s">
        <v>19</v>
      </c>
      <c r="L3298">
        <v>76</v>
      </c>
      <c r="M3298">
        <v>12.58</v>
      </c>
      <c r="N3298">
        <v>84.32</v>
      </c>
      <c r="O3298" t="s">
        <v>19</v>
      </c>
      <c r="P3298" t="s">
        <v>1320</v>
      </c>
      <c r="Q3298" t="s">
        <v>19</v>
      </c>
      <c r="R3298" t="str">
        <f>HYPERLINK("https://cfpub.epa.gov/ecotox/explore.cfm?ncbi=241271","Explore in ECOTOX")</f>
        <v>Explore in ECOTOX</v>
      </c>
    </row>
    <row r="3299" spans="1:18" x14ac:dyDescent="0.45">
      <c r="A3299" t="s">
        <v>1265</v>
      </c>
      <c r="B3299">
        <v>8</v>
      </c>
      <c r="C3299" t="str">
        <f>HYPERLINK("http://www.ncbi.nlm.nih.gov/protein/XP_057715469.1","XP_057715469.1")</f>
        <v>XP_057715469.1</v>
      </c>
      <c r="D3299">
        <v>44748</v>
      </c>
      <c r="E3299" t="str">
        <f>HYPERLINK("http://www.ncbi.nlm.nih.gov/Taxonomy/Browser/wwwtax.cgi?mode=Info&amp;id=161448&amp;lvl=3&amp;lin=f&amp;keep=1&amp;srchmode=1&amp;unlock","161448")</f>
        <v>161448</v>
      </c>
      <c r="F3299" t="s">
        <v>17</v>
      </c>
      <c r="G3299" t="str">
        <f>HYPERLINK("http://www.ncbi.nlm.nih.gov/Taxonomy/Browser/wwwtax.cgi?mode=Info&amp;id=161448&amp;lvl=3&amp;lin=f&amp;keep=1&amp;srchmode=1&amp;unlock","Corythoichthys intestinalis")</f>
        <v>Corythoichthys intestinalis</v>
      </c>
      <c r="H3299" t="s">
        <v>111</v>
      </c>
      <c r="I3299" t="str">
        <f>HYPERLINK("http://www.ncbi.nlm.nih.gov/protein/XP_057715469.1","ryanodine receptor 3-like isoform X4")</f>
        <v>ryanodine receptor 3-like isoform X4</v>
      </c>
      <c r="J3299">
        <v>8567.59</v>
      </c>
      <c r="K3299" t="s">
        <v>22</v>
      </c>
      <c r="L3299">
        <v>76</v>
      </c>
      <c r="M3299">
        <v>12.58</v>
      </c>
      <c r="N3299">
        <v>84.32</v>
      </c>
      <c r="O3299" t="s">
        <v>19</v>
      </c>
      <c r="P3299" t="s">
        <v>1320</v>
      </c>
      <c r="Q3299" t="s">
        <v>19</v>
      </c>
      <c r="R3299" t="str">
        <f>HYPERLINK("https://cfpub.epa.gov/ecotox/explore.cfm?ncbi=161448","Explore in ECOTOX")</f>
        <v>Explore in ECOTOX</v>
      </c>
    </row>
    <row r="3300" spans="1:18" x14ac:dyDescent="0.45">
      <c r="A3300" t="s">
        <v>1265</v>
      </c>
      <c r="B3300">
        <v>8</v>
      </c>
      <c r="C3300" t="str">
        <f>HYPERLINK("http://www.ncbi.nlm.nih.gov/protein/XP_041827859.1","XP_041827859.1")</f>
        <v>XP_041827859.1</v>
      </c>
      <c r="D3300">
        <v>45815</v>
      </c>
      <c r="E3300" t="str">
        <f>HYPERLINK("http://www.ncbi.nlm.nih.gov/Taxonomy/Browser/wwwtax.cgi?mode=Info&amp;id=1250792&amp;lvl=3&amp;lin=f&amp;keep=1&amp;srchmode=1&amp;unlock","1250792")</f>
        <v>1250792</v>
      </c>
      <c r="F3300" t="s">
        <v>17</v>
      </c>
      <c r="G3300" t="str">
        <f>HYPERLINK("http://www.ncbi.nlm.nih.gov/Taxonomy/Browser/wwwtax.cgi?mode=Info&amp;id=1250792&amp;lvl=3&amp;lin=f&amp;keep=1&amp;srchmode=1&amp;unlock","Melanotaenia boesemani")</f>
        <v>Melanotaenia boesemani</v>
      </c>
      <c r="H3300" t="s">
        <v>151</v>
      </c>
      <c r="I3300" t="str">
        <f>HYPERLINK("http://www.ncbi.nlm.nih.gov/protein/XP_041827859.1","LOW QUALITY PROTEIN: ryanodine receptor 3-like")</f>
        <v>LOW QUALITY PROTEIN: ryanodine receptor 3-like</v>
      </c>
      <c r="J3300">
        <v>8552.57</v>
      </c>
      <c r="K3300" t="s">
        <v>22</v>
      </c>
      <c r="L3300">
        <v>76</v>
      </c>
      <c r="M3300">
        <v>12.58</v>
      </c>
      <c r="N3300">
        <v>84.17</v>
      </c>
      <c r="O3300" t="s">
        <v>19</v>
      </c>
      <c r="P3300" t="s">
        <v>1320</v>
      </c>
      <c r="Q3300" t="s">
        <v>19</v>
      </c>
      <c r="R3300" t="str">
        <f>HYPERLINK("https://cfpub.epa.gov/ecotox/explore.cfm?ncbi=1250792","Explore in ECOTOX")</f>
        <v>Explore in ECOTOX</v>
      </c>
    </row>
    <row r="3301" spans="1:18" x14ac:dyDescent="0.45">
      <c r="A3301" t="s">
        <v>1265</v>
      </c>
      <c r="B3301">
        <v>8</v>
      </c>
      <c r="C3301" t="str">
        <f>HYPERLINK("http://www.ncbi.nlm.nih.gov/protein/KAJ7989095.1","KAJ7989095.1")</f>
        <v>KAJ7989095.1</v>
      </c>
      <c r="D3301">
        <v>33580</v>
      </c>
      <c r="E3301" t="str">
        <f>HYPERLINK("http://www.ncbi.nlm.nih.gov/Taxonomy/Browser/wwwtax.cgi?mode=Info&amp;id=75939&amp;lvl=3&amp;lin=f&amp;keep=1&amp;srchmode=1&amp;unlock","75939")</f>
        <v>75939</v>
      </c>
      <c r="F3301" t="s">
        <v>17</v>
      </c>
      <c r="G3301" t="str">
        <f>HYPERLINK("http://www.ncbi.nlm.nih.gov/Taxonomy/Browser/wwwtax.cgi?mode=Info&amp;id=75939&amp;lvl=3&amp;lin=f&amp;keep=1&amp;srchmode=1&amp;unlock","Dallia pectoralis")</f>
        <v>Dallia pectoralis</v>
      </c>
      <c r="H3301" t="s">
        <v>479</v>
      </c>
      <c r="I3301" t="str">
        <f>HYPERLINK("http://www.ncbi.nlm.nih.gov/protein/KAJ7989095.1","hypothetical protein DPEC_G00315980")</f>
        <v>hypothetical protein DPEC_G00315980</v>
      </c>
      <c r="J3301">
        <v>8530.6200000000008</v>
      </c>
      <c r="K3301" t="s">
        <v>19</v>
      </c>
      <c r="L3301">
        <v>76</v>
      </c>
      <c r="M3301">
        <v>12.58</v>
      </c>
      <c r="N3301">
        <v>83.96</v>
      </c>
      <c r="O3301" t="s">
        <v>19</v>
      </c>
      <c r="P3301" t="s">
        <v>1320</v>
      </c>
      <c r="Q3301" t="s">
        <v>19</v>
      </c>
      <c r="R3301" t="str">
        <f>HYPERLINK("https://cfpub.epa.gov/ecotox/explore.cfm?ncbi=75939","Explore in ECOTOX")</f>
        <v>Explore in ECOTOX</v>
      </c>
    </row>
    <row r="3302" spans="1:18" x14ac:dyDescent="0.45">
      <c r="A3302" t="s">
        <v>1265</v>
      </c>
      <c r="B3302">
        <v>8</v>
      </c>
      <c r="C3302" t="str">
        <f>HYPERLINK("http://www.ncbi.nlm.nih.gov/protein/XP_061157949.1","XP_061157949.1")</f>
        <v>XP_061157949.1</v>
      </c>
      <c r="D3302">
        <v>41143</v>
      </c>
      <c r="E3302" t="str">
        <f>HYPERLINK("http://www.ncbi.nlm.nih.gov/Taxonomy/Browser/wwwtax.cgi?mode=Info&amp;id=161592&amp;lvl=3&amp;lin=f&amp;keep=1&amp;srchmode=1&amp;unlock","161592")</f>
        <v>161592</v>
      </c>
      <c r="F3302" t="s">
        <v>17</v>
      </c>
      <c r="G3302" t="str">
        <f>HYPERLINK("http://www.ncbi.nlm.nih.gov/Taxonomy/Browser/wwwtax.cgi?mode=Info&amp;id=161592&amp;lvl=3&amp;lin=f&amp;keep=1&amp;srchmode=1&amp;unlock","Syngnathus typhle")</f>
        <v>Syngnathus typhle</v>
      </c>
      <c r="H3302" t="s">
        <v>143</v>
      </c>
      <c r="I3302" t="str">
        <f>HYPERLINK("http://www.ncbi.nlm.nih.gov/protein/XP_061157949.1","LOW QUALITY PROTEIN: ryanodine receptor 3-like")</f>
        <v>LOW QUALITY PROTEIN: ryanodine receptor 3-like</v>
      </c>
      <c r="J3302">
        <v>8514.0499999999993</v>
      </c>
      <c r="K3302" t="s">
        <v>22</v>
      </c>
      <c r="L3302">
        <v>76</v>
      </c>
      <c r="M3302">
        <v>12.58</v>
      </c>
      <c r="N3302">
        <v>83.79</v>
      </c>
      <c r="O3302" t="s">
        <v>19</v>
      </c>
      <c r="P3302" t="s">
        <v>1320</v>
      </c>
      <c r="Q3302" t="s">
        <v>19</v>
      </c>
      <c r="R3302" t="str">
        <f>HYPERLINK("https://cfpub.epa.gov/ecotox/explore.cfm?ncbi=161592","Explore in ECOTOX")</f>
        <v>Explore in ECOTOX</v>
      </c>
    </row>
    <row r="3303" spans="1:18" x14ac:dyDescent="0.45">
      <c r="A3303" t="s">
        <v>1265</v>
      </c>
      <c r="B3303">
        <v>8</v>
      </c>
      <c r="C3303" t="str">
        <f>HYPERLINK("http://www.ncbi.nlm.nih.gov/protein/XP_046872563.1","XP_046872563.1")</f>
        <v>XP_046872563.1</v>
      </c>
      <c r="D3303">
        <v>38520</v>
      </c>
      <c r="E3303" t="str">
        <f>HYPERLINK("http://www.ncbi.nlm.nih.gov/Taxonomy/Browser/wwwtax.cgi?mode=Info&amp;id=137520&amp;lvl=3&amp;lin=f&amp;keep=1&amp;srchmode=1&amp;unlock","137520")</f>
        <v>137520</v>
      </c>
      <c r="F3303" t="s">
        <v>17</v>
      </c>
      <c r="G3303" t="str">
        <f>HYPERLINK("http://www.ncbi.nlm.nih.gov/Taxonomy/Browser/wwwtax.cgi?mode=Info&amp;id=137520&amp;lvl=3&amp;lin=f&amp;keep=1&amp;srchmode=1&amp;unlock","Hypomesus transpacificus")</f>
        <v>Hypomesus transpacificus</v>
      </c>
      <c r="H3303" t="s">
        <v>70</v>
      </c>
      <c r="I3303" t="str">
        <f>HYPERLINK("http://www.ncbi.nlm.nih.gov/protein/XP_046872563.1","ryanodine receptor 3")</f>
        <v>ryanodine receptor 3</v>
      </c>
      <c r="J3303">
        <v>8485.16</v>
      </c>
      <c r="K3303" t="s">
        <v>22</v>
      </c>
      <c r="L3303">
        <v>76</v>
      </c>
      <c r="M3303">
        <v>12.58</v>
      </c>
      <c r="N3303">
        <v>83.51</v>
      </c>
      <c r="O3303" t="s">
        <v>19</v>
      </c>
      <c r="P3303" t="s">
        <v>1320</v>
      </c>
      <c r="Q3303" t="s">
        <v>19</v>
      </c>
      <c r="R3303" t="str">
        <f>HYPERLINK("https://cfpub.epa.gov/ecotox/explore.cfm?ncbi=137520","Explore in ECOTOX")</f>
        <v>Explore in ECOTOX</v>
      </c>
    </row>
    <row r="3304" spans="1:18" x14ac:dyDescent="0.45">
      <c r="A3304" t="s">
        <v>1265</v>
      </c>
      <c r="B3304">
        <v>8</v>
      </c>
      <c r="C3304" t="str">
        <f>HYPERLINK("http://www.ncbi.nlm.nih.gov/protein/KAI3367816.1","KAI3367816.1")</f>
        <v>KAI3367816.1</v>
      </c>
      <c r="D3304">
        <v>26944</v>
      </c>
      <c r="E3304" t="str">
        <f>HYPERLINK("http://www.ncbi.nlm.nih.gov/Taxonomy/Browser/wwwtax.cgi?mode=Info&amp;id=214431&amp;lvl=3&amp;lin=f&amp;keep=1&amp;srchmode=1&amp;unlock","214431")</f>
        <v>214431</v>
      </c>
      <c r="F3304" t="s">
        <v>17</v>
      </c>
      <c r="G3304" t="str">
        <f>HYPERLINK("http://www.ncbi.nlm.nih.gov/Taxonomy/Browser/wwwtax.cgi?mode=Info&amp;id=214431&amp;lvl=3&amp;lin=f&amp;keep=1&amp;srchmode=1&amp;unlock","Scortum barcoo")</f>
        <v>Scortum barcoo</v>
      </c>
      <c r="H3304" t="s">
        <v>173</v>
      </c>
      <c r="I3304" t="str">
        <f>HYPERLINK("http://www.ncbi.nlm.nih.gov/protein/KAI3367816.1","hypothetical protein L3Q82_026647")</f>
        <v>hypothetical protein L3Q82_026647</v>
      </c>
      <c r="J3304">
        <v>8466.67</v>
      </c>
      <c r="K3304" t="s">
        <v>22</v>
      </c>
      <c r="L3304">
        <v>76</v>
      </c>
      <c r="M3304">
        <v>12.58</v>
      </c>
      <c r="N3304">
        <v>83.33</v>
      </c>
      <c r="O3304" t="s">
        <v>19</v>
      </c>
      <c r="P3304" t="s">
        <v>1320</v>
      </c>
      <c r="Q3304" t="s">
        <v>19</v>
      </c>
      <c r="R3304" t="str">
        <f>HYPERLINK("https://cfpub.epa.gov/ecotox/explore.cfm?ncbi=214431","Explore in ECOTOX")</f>
        <v>Explore in ECOTOX</v>
      </c>
    </row>
    <row r="3305" spans="1:18" x14ac:dyDescent="0.45">
      <c r="A3305" t="s">
        <v>1265</v>
      </c>
      <c r="B3305">
        <v>8</v>
      </c>
      <c r="C3305" t="str">
        <f>HYPERLINK("http://www.ncbi.nlm.nih.gov/protein/XP_015206238.1","XP_015206238.1")</f>
        <v>XP_015206238.1</v>
      </c>
      <c r="D3305">
        <v>41888</v>
      </c>
      <c r="E3305" t="str">
        <f>HYPERLINK("http://www.ncbi.nlm.nih.gov/Taxonomy/Browser/wwwtax.cgi?mode=Info&amp;id=7918&amp;lvl=3&amp;lin=f&amp;keep=1&amp;srchmode=1&amp;unlock","7918")</f>
        <v>7918</v>
      </c>
      <c r="F3305" t="s">
        <v>17</v>
      </c>
      <c r="G3305" t="str">
        <f>HYPERLINK("http://www.ncbi.nlm.nih.gov/Taxonomy/Browser/wwwtax.cgi?mode=Info&amp;id=7918&amp;lvl=3&amp;lin=f&amp;keep=1&amp;srchmode=1&amp;unlock","Lepisosteus oculatus")</f>
        <v>Lepisosteus oculatus</v>
      </c>
      <c r="H3305" t="s">
        <v>240</v>
      </c>
      <c r="I3305" t="str">
        <f>HYPERLINK("http://www.ncbi.nlm.nih.gov/protein/XP_015206238.1","PREDICTED: LOW QUALITY PROTEIN: ryanodine receptor 3")</f>
        <v>PREDICTED: LOW QUALITY PROTEIN: ryanodine receptor 3</v>
      </c>
      <c r="J3305">
        <v>8430.4599999999991</v>
      </c>
      <c r="K3305" t="s">
        <v>22</v>
      </c>
      <c r="L3305">
        <v>76</v>
      </c>
      <c r="M3305">
        <v>12.58</v>
      </c>
      <c r="N3305">
        <v>82.97</v>
      </c>
      <c r="O3305" t="s">
        <v>19</v>
      </c>
      <c r="P3305" t="s">
        <v>1320</v>
      </c>
      <c r="Q3305" t="s">
        <v>19</v>
      </c>
      <c r="R3305" t="str">
        <f>HYPERLINK("https://cfpub.epa.gov/ecotox/explore.cfm?ncbi=7918","Explore in ECOTOX")</f>
        <v>Explore in ECOTOX</v>
      </c>
    </row>
    <row r="3306" spans="1:18" x14ac:dyDescent="0.45">
      <c r="A3306" t="s">
        <v>1265</v>
      </c>
      <c r="B3306">
        <v>8</v>
      </c>
      <c r="C3306" t="str">
        <f>HYPERLINK("http://www.ncbi.nlm.nih.gov/protein/KAJ8341461.1","KAJ8341461.1")</f>
        <v>KAJ8341461.1</v>
      </c>
      <c r="D3306">
        <v>42989</v>
      </c>
      <c r="E3306" t="str">
        <f>HYPERLINK("http://www.ncbi.nlm.nih.gov/Taxonomy/Browser/wwwtax.cgi?mode=Info&amp;id=118154&amp;lvl=3&amp;lin=f&amp;keep=1&amp;srchmode=1&amp;unlock","118154")</f>
        <v>118154</v>
      </c>
      <c r="F3306" t="s">
        <v>17</v>
      </c>
      <c r="G3306" t="str">
        <f>HYPERLINK("http://www.ncbi.nlm.nih.gov/Taxonomy/Browser/wwwtax.cgi?mode=Info&amp;id=118154&amp;lvl=3&amp;lin=f&amp;keep=1&amp;srchmode=1&amp;unlock","Synaphobranchus kaupii")</f>
        <v>Synaphobranchus kaupii</v>
      </c>
      <c r="H3306" t="s">
        <v>710</v>
      </c>
      <c r="I3306" t="str">
        <f>HYPERLINK("http://www.ncbi.nlm.nih.gov/protein/KAJ8341461.1","hypothetical protein SKAU_G00337520")</f>
        <v>hypothetical protein SKAU_G00337520</v>
      </c>
      <c r="J3306">
        <v>8397.34</v>
      </c>
      <c r="K3306" t="s">
        <v>22</v>
      </c>
      <c r="L3306">
        <v>76</v>
      </c>
      <c r="M3306">
        <v>12.58</v>
      </c>
      <c r="N3306">
        <v>82.64</v>
      </c>
      <c r="O3306" t="s">
        <v>19</v>
      </c>
      <c r="P3306" t="s">
        <v>1320</v>
      </c>
      <c r="Q3306" t="s">
        <v>19</v>
      </c>
      <c r="R3306" t="str">
        <f>HYPERLINK("https://cfpub.epa.gov/ecotox/explore.cfm?ncbi=118154","Explore in ECOTOX")</f>
        <v>Explore in ECOTOX</v>
      </c>
    </row>
    <row r="3307" spans="1:18" x14ac:dyDescent="0.45">
      <c r="A3307" t="s">
        <v>1265</v>
      </c>
      <c r="B3307">
        <v>8</v>
      </c>
      <c r="C3307" t="str">
        <f>HYPERLINK("http://www.ncbi.nlm.nih.gov/protein/XP_039597213.1","XP_039597213.1")</f>
        <v>XP_039597213.1</v>
      </c>
      <c r="D3307">
        <v>64397</v>
      </c>
      <c r="E3307" t="str">
        <f>HYPERLINK("http://www.ncbi.nlm.nih.gov/Taxonomy/Browser/wwwtax.cgi?mode=Info&amp;id=55291&amp;lvl=3&amp;lin=f&amp;keep=1&amp;srchmode=1&amp;unlock","55291")</f>
        <v>55291</v>
      </c>
      <c r="F3307" t="s">
        <v>293</v>
      </c>
      <c r="G3307" t="str">
        <f>HYPERLINK("http://www.ncbi.nlm.nih.gov/Taxonomy/Browser/wwwtax.cgi?mode=Info&amp;id=55291&amp;lvl=3&amp;lin=f&amp;keep=1&amp;srchmode=1&amp;unlock","Polypterus senegalus")</f>
        <v>Polypterus senegalus</v>
      </c>
      <c r="H3307" t="s">
        <v>294</v>
      </c>
      <c r="I3307" t="str">
        <f>HYPERLINK("http://www.ncbi.nlm.nih.gov/protein/XP_039597213.1","ryanodine receptor 3 isoform X15")</f>
        <v>ryanodine receptor 3 isoform X15</v>
      </c>
      <c r="J3307">
        <v>8342.64</v>
      </c>
      <c r="K3307" t="s">
        <v>22</v>
      </c>
      <c r="L3307">
        <v>76</v>
      </c>
      <c r="M3307">
        <v>12.58</v>
      </c>
      <c r="N3307">
        <v>82.11</v>
      </c>
      <c r="O3307" t="s">
        <v>19</v>
      </c>
      <c r="P3307" t="s">
        <v>1320</v>
      </c>
      <c r="Q3307" t="s">
        <v>19</v>
      </c>
      <c r="R3307" t="str">
        <f>HYPERLINK("https://cfpub.epa.gov/ecotox/explore.cfm?ncbi=55291","Explore in ECOTOX")</f>
        <v>Explore in ECOTOX</v>
      </c>
    </row>
    <row r="3308" spans="1:18" x14ac:dyDescent="0.45">
      <c r="A3308" t="s">
        <v>1265</v>
      </c>
      <c r="B3308">
        <v>8</v>
      </c>
      <c r="C3308" t="str">
        <f>HYPERLINK("http://www.ncbi.nlm.nih.gov/protein/XP_051776056.1","XP_051776056.1")</f>
        <v>XP_051776056.1</v>
      </c>
      <c r="D3308">
        <v>40308</v>
      </c>
      <c r="E3308" t="str">
        <f>HYPERLINK("http://www.ncbi.nlm.nih.gov/Taxonomy/Browser/wwwtax.cgi?mode=Info&amp;id=27687&amp;lvl=3&amp;lin=f&amp;keep=1&amp;srchmode=1&amp;unlock","27687")</f>
        <v>27687</v>
      </c>
      <c r="F3308" t="s">
        <v>293</v>
      </c>
      <c r="G3308" t="str">
        <f>HYPERLINK("http://www.ncbi.nlm.nih.gov/Taxonomy/Browser/wwwtax.cgi?mode=Info&amp;id=27687&amp;lvl=3&amp;lin=f&amp;keep=1&amp;srchmode=1&amp;unlock","Erpetoichthys calabaricus")</f>
        <v>Erpetoichthys calabaricus</v>
      </c>
      <c r="H3308" t="s">
        <v>304</v>
      </c>
      <c r="I3308" t="str">
        <f>HYPERLINK("http://www.ncbi.nlm.nih.gov/protein/XP_051776056.1","ryanodine receptor 3")</f>
        <v>ryanodine receptor 3</v>
      </c>
      <c r="J3308">
        <v>8328</v>
      </c>
      <c r="K3308" t="s">
        <v>22</v>
      </c>
      <c r="L3308">
        <v>76</v>
      </c>
      <c r="M3308">
        <v>12.58</v>
      </c>
      <c r="N3308">
        <v>81.96</v>
      </c>
      <c r="O3308" t="s">
        <v>19</v>
      </c>
      <c r="P3308" t="s">
        <v>1320</v>
      </c>
      <c r="Q3308" t="s">
        <v>19</v>
      </c>
      <c r="R3308" t="str">
        <f>HYPERLINK("https://cfpub.epa.gov/ecotox/explore.cfm?ncbi=27687","Explore in ECOTOX")</f>
        <v>Explore in ECOTOX</v>
      </c>
    </row>
    <row r="3309" spans="1:18" x14ac:dyDescent="0.45">
      <c r="A3309" t="s">
        <v>1265</v>
      </c>
      <c r="B3309">
        <v>8</v>
      </c>
      <c r="C3309" t="str">
        <f>HYPERLINK("http://www.ncbi.nlm.nih.gov/protein/MBN3304979.1","MBN3304979.1")</f>
        <v>MBN3304979.1</v>
      </c>
      <c r="D3309">
        <v>16716</v>
      </c>
      <c r="E3309" t="str">
        <f>HYPERLINK("http://www.ncbi.nlm.nih.gov/Taxonomy/Browser/wwwtax.cgi?mode=Info&amp;id=7924&amp;lvl=3&amp;lin=f&amp;keep=1&amp;srchmode=1&amp;unlock","7924")</f>
        <v>7924</v>
      </c>
      <c r="F3309" t="s">
        <v>17</v>
      </c>
      <c r="G3309" t="str">
        <f>HYPERLINK("http://www.ncbi.nlm.nih.gov/Taxonomy/Browser/wwwtax.cgi?mode=Info&amp;id=7924&amp;lvl=3&amp;lin=f&amp;keep=1&amp;srchmode=1&amp;unlock","Amia calva")</f>
        <v>Amia calva</v>
      </c>
      <c r="H3309" t="s">
        <v>487</v>
      </c>
      <c r="I3309" t="str">
        <f>HYPERLINK("http://www.ncbi.nlm.nih.gov/protein/MBN3304979.1","RYR3 protein")</f>
        <v>RYR3 protein</v>
      </c>
      <c r="J3309">
        <v>8249.42</v>
      </c>
      <c r="K3309" t="s">
        <v>22</v>
      </c>
      <c r="L3309">
        <v>76</v>
      </c>
      <c r="M3309">
        <v>12.58</v>
      </c>
      <c r="N3309">
        <v>81.19</v>
      </c>
      <c r="O3309" t="s">
        <v>19</v>
      </c>
      <c r="P3309" t="s">
        <v>1320</v>
      </c>
      <c r="Q3309" t="s">
        <v>19</v>
      </c>
      <c r="R3309" t="str">
        <f>HYPERLINK("https://cfpub.epa.gov/ecotox/explore.cfm?ncbi=7924","Explore in ECOTOX")</f>
        <v>Explore in ECOTOX</v>
      </c>
    </row>
    <row r="3310" spans="1:18" x14ac:dyDescent="0.45">
      <c r="A3310" t="s">
        <v>1265</v>
      </c>
      <c r="B3310">
        <v>8</v>
      </c>
      <c r="C3310" t="str">
        <f>HYPERLINK("http://www.ncbi.nlm.nih.gov/protein/XP_058847357.1","XP_058847357.1")</f>
        <v>XP_058847357.1</v>
      </c>
      <c r="D3310">
        <v>106531</v>
      </c>
      <c r="E3310" t="str">
        <f>HYPERLINK("http://www.ncbi.nlm.nih.gov/Taxonomy/Browser/wwwtax.cgi?mode=Info&amp;id=7906&amp;lvl=3&amp;lin=f&amp;keep=1&amp;srchmode=1&amp;unlock","7906")</f>
        <v>7906</v>
      </c>
      <c r="F3310" t="s">
        <v>17</v>
      </c>
      <c r="G3310" t="str">
        <f>HYPERLINK("http://www.ncbi.nlm.nih.gov/Taxonomy/Browser/wwwtax.cgi?mode=Info&amp;id=7906&amp;lvl=3&amp;lin=f&amp;keep=1&amp;srchmode=1&amp;unlock","Acipenser ruthenus")</f>
        <v>Acipenser ruthenus</v>
      </c>
      <c r="H3310" t="s">
        <v>697</v>
      </c>
      <c r="I3310" t="str">
        <f>HYPERLINK("http://www.ncbi.nlm.nih.gov/protein/XP_058847357.1","ryanodine receptor 3 isoform X21")</f>
        <v>ryanodine receptor 3 isoform X21</v>
      </c>
      <c r="J3310">
        <v>8222.4599999999991</v>
      </c>
      <c r="K3310" t="s">
        <v>22</v>
      </c>
      <c r="L3310">
        <v>76</v>
      </c>
      <c r="M3310">
        <v>12.58</v>
      </c>
      <c r="N3310">
        <v>80.92</v>
      </c>
      <c r="O3310" t="s">
        <v>19</v>
      </c>
      <c r="P3310" t="s">
        <v>1320</v>
      </c>
      <c r="Q3310" t="s">
        <v>19</v>
      </c>
      <c r="R3310" t="str">
        <f>HYPERLINK("https://cfpub.epa.gov/ecotox/explore.cfm?ncbi=7906","Explore in ECOTOX")</f>
        <v>Explore in ECOTOX</v>
      </c>
    </row>
    <row r="3311" spans="1:18" x14ac:dyDescent="0.45">
      <c r="A3311" t="s">
        <v>1265</v>
      </c>
      <c r="B3311">
        <v>8</v>
      </c>
      <c r="C3311" t="str">
        <f>HYPERLINK("http://www.ncbi.nlm.nih.gov/protein/XP_024003037.1","XP_024003037.1")</f>
        <v>XP_024003037.1</v>
      </c>
      <c r="D3311">
        <v>60852</v>
      </c>
      <c r="E3311" t="str">
        <f>HYPERLINK("http://www.ncbi.nlm.nih.gov/Taxonomy/Browser/wwwtax.cgi?mode=Info&amp;id=8036&amp;lvl=3&amp;lin=f&amp;keep=1&amp;srchmode=1&amp;unlock","8036")</f>
        <v>8036</v>
      </c>
      <c r="F3311" t="s">
        <v>17</v>
      </c>
      <c r="G3311" t="str">
        <f>HYPERLINK("http://www.ncbi.nlm.nih.gov/Taxonomy/Browser/wwwtax.cgi?mode=Info&amp;id=8036&amp;lvl=3&amp;lin=f&amp;keep=1&amp;srchmode=1&amp;unlock","Salvelinus alpinus")</f>
        <v>Salvelinus alpinus</v>
      </c>
      <c r="H3311" t="s">
        <v>514</v>
      </c>
      <c r="I3311" t="str">
        <f>HYPERLINK("http://www.ncbi.nlm.nih.gov/protein/XP_024003037.1","LOW QUALITY PROTEIN: ryanodine receptor 3-like")</f>
        <v>LOW QUALITY PROTEIN: ryanodine receptor 3-like</v>
      </c>
      <c r="J3311">
        <v>8204.35</v>
      </c>
      <c r="K3311" t="s">
        <v>22</v>
      </c>
      <c r="L3311">
        <v>76</v>
      </c>
      <c r="M3311">
        <v>12.58</v>
      </c>
      <c r="N3311">
        <v>80.75</v>
      </c>
      <c r="O3311" t="s">
        <v>19</v>
      </c>
      <c r="P3311" t="s">
        <v>1320</v>
      </c>
      <c r="Q3311" t="s">
        <v>19</v>
      </c>
      <c r="R3311" t="str">
        <f>HYPERLINK("https://cfpub.epa.gov/ecotox/explore.cfm?ncbi=8036","Explore in ECOTOX")</f>
        <v>Explore in ECOTOX</v>
      </c>
    </row>
    <row r="3312" spans="1:18" x14ac:dyDescent="0.45">
      <c r="A3312" t="s">
        <v>1265</v>
      </c>
      <c r="B3312">
        <v>8</v>
      </c>
      <c r="C3312" t="str">
        <f>HYPERLINK("http://www.ncbi.nlm.nih.gov/protein/XP_041123125.1","XP_041123125.1")</f>
        <v>XP_041123125.1</v>
      </c>
      <c r="D3312">
        <v>79674</v>
      </c>
      <c r="E3312" t="str">
        <f>HYPERLINK("http://www.ncbi.nlm.nih.gov/Taxonomy/Browser/wwwtax.cgi?mode=Info&amp;id=7913&amp;lvl=3&amp;lin=f&amp;keep=1&amp;srchmode=1&amp;unlock","7913")</f>
        <v>7913</v>
      </c>
      <c r="F3312" t="s">
        <v>17</v>
      </c>
      <c r="G3312" t="str">
        <f>HYPERLINK("http://www.ncbi.nlm.nih.gov/Taxonomy/Browser/wwwtax.cgi?mode=Info&amp;id=7913&amp;lvl=3&amp;lin=f&amp;keep=1&amp;srchmode=1&amp;unlock","Polyodon spathula")</f>
        <v>Polyodon spathula</v>
      </c>
      <c r="H3312" t="s">
        <v>363</v>
      </c>
      <c r="I3312" t="str">
        <f>HYPERLINK("http://www.ncbi.nlm.nih.gov/protein/XP_041123125.1","ryanodine receptor 3 isoform X16")</f>
        <v>ryanodine receptor 3 isoform X16</v>
      </c>
      <c r="J3312">
        <v>8190.48</v>
      </c>
      <c r="K3312" t="s">
        <v>22</v>
      </c>
      <c r="L3312">
        <v>76</v>
      </c>
      <c r="M3312">
        <v>12.58</v>
      </c>
      <c r="N3312">
        <v>80.61</v>
      </c>
      <c r="O3312" t="s">
        <v>19</v>
      </c>
      <c r="P3312" t="s">
        <v>1320</v>
      </c>
      <c r="Q3312" t="s">
        <v>19</v>
      </c>
      <c r="R3312" t="str">
        <f>HYPERLINK("https://cfpub.epa.gov/ecotox/explore.cfm?ncbi=7913","Explore in ECOTOX")</f>
        <v>Explore in ECOTOX</v>
      </c>
    </row>
    <row r="3313" spans="1:18" x14ac:dyDescent="0.45">
      <c r="A3313" t="s">
        <v>1265</v>
      </c>
      <c r="B3313">
        <v>8</v>
      </c>
      <c r="C3313" t="str">
        <f>HYPERLINK("http://www.ncbi.nlm.nih.gov/protein/KAJ8399093.1","KAJ8399093.1")</f>
        <v>KAJ8399093.1</v>
      </c>
      <c r="D3313">
        <v>44185</v>
      </c>
      <c r="E3313" t="str">
        <f>HYPERLINK("http://www.ncbi.nlm.nih.gov/Taxonomy/Browser/wwwtax.cgi?mode=Info&amp;id=143900&amp;lvl=3&amp;lin=f&amp;keep=1&amp;srchmode=1&amp;unlock","143900")</f>
        <v>143900</v>
      </c>
      <c r="F3313" t="s">
        <v>17</v>
      </c>
      <c r="G3313" t="str">
        <f>HYPERLINK("http://www.ncbi.nlm.nih.gov/Taxonomy/Browser/wwwtax.cgi?mode=Info&amp;id=143900&amp;lvl=3&amp;lin=f&amp;keep=1&amp;srchmode=1&amp;unlock","Aldrovandia affinis")</f>
        <v>Aldrovandia affinis</v>
      </c>
      <c r="H3313" t="s">
        <v>170</v>
      </c>
      <c r="I3313" t="str">
        <f>HYPERLINK("http://www.ncbi.nlm.nih.gov/protein/KAJ8399093.1","hypothetical protein AAFF_G00414720")</f>
        <v>hypothetical protein AAFF_G00414720</v>
      </c>
      <c r="J3313">
        <v>8128.08</v>
      </c>
      <c r="K3313" t="s">
        <v>22</v>
      </c>
      <c r="L3313">
        <v>76</v>
      </c>
      <c r="M3313">
        <v>12.58</v>
      </c>
      <c r="N3313">
        <v>79.989999999999995</v>
      </c>
      <c r="O3313" t="s">
        <v>19</v>
      </c>
      <c r="P3313" t="s">
        <v>1320</v>
      </c>
      <c r="Q3313" t="s">
        <v>19</v>
      </c>
      <c r="R3313" t="str">
        <f>HYPERLINK("https://cfpub.epa.gov/ecotox/explore.cfm?ncbi=143900","Explore in ECOTOX")</f>
        <v>Explore in ECOTOX</v>
      </c>
    </row>
    <row r="3314" spans="1:18" x14ac:dyDescent="0.45">
      <c r="A3314" t="s">
        <v>1265</v>
      </c>
      <c r="B3314">
        <v>8</v>
      </c>
      <c r="C3314" t="str">
        <f>HYPERLINK("http://www.ncbi.nlm.nih.gov/protein/XP_039454626.1","XP_039454626.1")</f>
        <v>XP_039454626.1</v>
      </c>
      <c r="D3314">
        <v>49867</v>
      </c>
      <c r="E3314" t="str">
        <f>HYPERLINK("http://www.ncbi.nlm.nih.gov/Taxonomy/Browser/wwwtax.cgi?mode=Info&amp;id=47969&amp;lvl=3&amp;lin=f&amp;keep=1&amp;srchmode=1&amp;unlock","47969")</f>
        <v>47969</v>
      </c>
      <c r="F3314" t="s">
        <v>17</v>
      </c>
      <c r="G3314" t="str">
        <f>HYPERLINK("http://www.ncbi.nlm.nih.gov/Taxonomy/Browser/wwwtax.cgi?mode=Info&amp;id=47969&amp;lvl=3&amp;lin=f&amp;keep=1&amp;srchmode=1&amp;unlock","Oreochromis aureus")</f>
        <v>Oreochromis aureus</v>
      </c>
      <c r="H3314" t="s">
        <v>93</v>
      </c>
      <c r="I3314" t="str">
        <f>HYPERLINK("http://www.ncbi.nlm.nih.gov/protein/XP_039454626.1","ryanodine receptor 3")</f>
        <v>ryanodine receptor 3</v>
      </c>
      <c r="J3314">
        <v>8093.41</v>
      </c>
      <c r="K3314" t="s">
        <v>22</v>
      </c>
      <c r="L3314">
        <v>76</v>
      </c>
      <c r="M3314">
        <v>12.58</v>
      </c>
      <c r="N3314">
        <v>79.650000000000006</v>
      </c>
      <c r="O3314" t="s">
        <v>19</v>
      </c>
      <c r="P3314" t="s">
        <v>1320</v>
      </c>
      <c r="Q3314" t="s">
        <v>19</v>
      </c>
      <c r="R3314" t="str">
        <f>HYPERLINK("https://cfpub.epa.gov/ecotox/explore.cfm?ncbi=47969","Explore in ECOTOX")</f>
        <v>Explore in ECOTOX</v>
      </c>
    </row>
    <row r="3315" spans="1:18" x14ac:dyDescent="0.45">
      <c r="A3315" t="s">
        <v>1265</v>
      </c>
      <c r="B3315">
        <v>8</v>
      </c>
      <c r="C3315" t="str">
        <f>HYPERLINK("http://www.ncbi.nlm.nih.gov/protein/XP_008283101.1","XP_008283101.1")</f>
        <v>XP_008283101.1</v>
      </c>
      <c r="D3315">
        <v>31764</v>
      </c>
      <c r="E3315" t="str">
        <f>HYPERLINK("http://www.ncbi.nlm.nih.gov/Taxonomy/Browser/wwwtax.cgi?mode=Info&amp;id=144197&amp;lvl=3&amp;lin=f&amp;keep=1&amp;srchmode=1&amp;unlock","144197")</f>
        <v>144197</v>
      </c>
      <c r="F3315" t="s">
        <v>17</v>
      </c>
      <c r="G3315" t="str">
        <f>HYPERLINK("http://www.ncbi.nlm.nih.gov/Taxonomy/Browser/wwwtax.cgi?mode=Info&amp;id=144197&amp;lvl=3&amp;lin=f&amp;keep=1&amp;srchmode=1&amp;unlock","Stegastes partitus")</f>
        <v>Stegastes partitus</v>
      </c>
      <c r="H3315" t="s">
        <v>85</v>
      </c>
      <c r="I3315" t="str">
        <f>HYPERLINK("http://www.ncbi.nlm.nih.gov/protein/XP_008283101.1","PREDICTED: ryanodine receptor 3 isoform X4")</f>
        <v>PREDICTED: ryanodine receptor 3 isoform X4</v>
      </c>
      <c r="J3315">
        <v>8088.02</v>
      </c>
      <c r="K3315" t="s">
        <v>19</v>
      </c>
      <c r="L3315">
        <v>76</v>
      </c>
      <c r="M3315">
        <v>12.58</v>
      </c>
      <c r="N3315">
        <v>79.599999999999994</v>
      </c>
      <c r="O3315" t="s">
        <v>19</v>
      </c>
      <c r="P3315" t="s">
        <v>1320</v>
      </c>
      <c r="Q3315" t="s">
        <v>19</v>
      </c>
      <c r="R3315" t="str">
        <f>HYPERLINK("https://cfpub.epa.gov/ecotox/explore.cfm?ncbi=144197","Explore in ECOTOX")</f>
        <v>Explore in ECOTOX</v>
      </c>
    </row>
    <row r="3316" spans="1:18" x14ac:dyDescent="0.45">
      <c r="A3316" t="s">
        <v>1265</v>
      </c>
      <c r="B3316">
        <v>8</v>
      </c>
      <c r="C3316" t="str">
        <f>HYPERLINK("http://www.ncbi.nlm.nih.gov/protein/KAI4872394.1","KAI4872394.1")</f>
        <v>KAI4872394.1</v>
      </c>
      <c r="D3316">
        <v>34759</v>
      </c>
      <c r="E3316" t="str">
        <f>HYPERLINK("http://www.ncbi.nlm.nih.gov/Taxonomy/Browser/wwwtax.cgi?mode=Info&amp;id=148989&amp;lvl=3&amp;lin=f&amp;keep=1&amp;srchmode=1&amp;unlock","148989")</f>
        <v>148989</v>
      </c>
      <c r="F3316" t="s">
        <v>17</v>
      </c>
      <c r="G3316" t="str">
        <f>HYPERLINK("http://www.ncbi.nlm.nih.gov/Taxonomy/Browser/wwwtax.cgi?mode=Info&amp;id=148989&amp;lvl=3&amp;lin=f&amp;keep=1&amp;srchmode=1&amp;unlock","Prochilodus magdalenae")</f>
        <v>Prochilodus magdalenae</v>
      </c>
      <c r="H3316" t="s">
        <v>721</v>
      </c>
      <c r="I3316" t="str">
        <f>HYPERLINK("http://www.ncbi.nlm.nih.gov/protein/KAI4872394.1","hypothetical protein NFI96_029864, partial")</f>
        <v>hypothetical protein NFI96_029864, partial</v>
      </c>
      <c r="J3316">
        <v>8070.3</v>
      </c>
      <c r="K3316" t="s">
        <v>22</v>
      </c>
      <c r="L3316">
        <v>76</v>
      </c>
      <c r="M3316">
        <v>12.58</v>
      </c>
      <c r="N3316">
        <v>79.430000000000007</v>
      </c>
      <c r="O3316" t="s">
        <v>19</v>
      </c>
      <c r="P3316" t="s">
        <v>1320</v>
      </c>
      <c r="Q3316" t="s">
        <v>19</v>
      </c>
      <c r="R3316" t="str">
        <f>HYPERLINK("https://cfpub.epa.gov/ecotox/explore.cfm?ncbi=148989","Explore in ECOTOX")</f>
        <v>Explore in ECOTOX</v>
      </c>
    </row>
    <row r="3317" spans="1:18" x14ac:dyDescent="0.45">
      <c r="A3317" t="s">
        <v>1265</v>
      </c>
      <c r="B3317">
        <v>8</v>
      </c>
      <c r="C3317" t="str">
        <f>HYPERLINK("http://www.ncbi.nlm.nih.gov/protein/XP_042602903.1","XP_042602903.1")</f>
        <v>XP_042602903.1</v>
      </c>
      <c r="D3317">
        <v>134023</v>
      </c>
      <c r="E3317" t="str">
        <f>HYPERLINK("http://www.ncbi.nlm.nih.gov/Taxonomy/Browser/wwwtax.cgi?mode=Info&amp;id=7962&amp;lvl=3&amp;lin=f&amp;keep=1&amp;srchmode=1&amp;unlock","7962")</f>
        <v>7962</v>
      </c>
      <c r="F3317" t="s">
        <v>17</v>
      </c>
      <c r="G3317" t="str">
        <f>HYPERLINK("http://www.ncbi.nlm.nih.gov/Taxonomy/Browser/wwwtax.cgi?mode=Info&amp;id=7962&amp;lvl=3&amp;lin=f&amp;keep=1&amp;srchmode=1&amp;unlock","Cyprinus carpio")</f>
        <v>Cyprinus carpio</v>
      </c>
      <c r="H3317" t="s">
        <v>35</v>
      </c>
      <c r="I3317" t="str">
        <f>HYPERLINK("http://www.ncbi.nlm.nih.gov/protein/XP_042602903.1","ryanodine receptor 3 isoform X5")</f>
        <v>ryanodine receptor 3 isoform X5</v>
      </c>
      <c r="J3317">
        <v>8065.29</v>
      </c>
      <c r="K3317" t="s">
        <v>22</v>
      </c>
      <c r="L3317">
        <v>76</v>
      </c>
      <c r="M3317">
        <v>12.58</v>
      </c>
      <c r="N3317">
        <v>79.38</v>
      </c>
      <c r="O3317" t="s">
        <v>19</v>
      </c>
      <c r="P3317" t="s">
        <v>1320</v>
      </c>
      <c r="Q3317" t="s">
        <v>19</v>
      </c>
      <c r="R3317" t="str">
        <f>HYPERLINK("https://cfpub.epa.gov/ecotox/explore.cfm?ncbi=7962","Explore in ECOTOX")</f>
        <v>Explore in ECOTOX</v>
      </c>
    </row>
    <row r="3318" spans="1:18" x14ac:dyDescent="0.45">
      <c r="A3318" t="s">
        <v>1265</v>
      </c>
      <c r="B3318">
        <v>8</v>
      </c>
      <c r="C3318" t="str">
        <f>HYPERLINK("http://www.ncbi.nlm.nih.gov/protein/XP_026175328.1","XP_026175328.1")</f>
        <v>XP_026175328.1</v>
      </c>
      <c r="D3318">
        <v>42546</v>
      </c>
      <c r="E3318" t="str">
        <f>HYPERLINK("http://www.ncbi.nlm.nih.gov/Taxonomy/Browser/wwwtax.cgi?mode=Info&amp;id=205130&amp;lvl=3&amp;lin=f&amp;keep=1&amp;srchmode=1&amp;unlock","205130")</f>
        <v>205130</v>
      </c>
      <c r="F3318" t="s">
        <v>17</v>
      </c>
      <c r="G3318" t="str">
        <f>HYPERLINK("http://www.ncbi.nlm.nih.gov/Taxonomy/Browser/wwwtax.cgi?mode=Info&amp;id=205130&amp;lvl=3&amp;lin=f&amp;keep=1&amp;srchmode=1&amp;unlock","Mastacembelus armatus")</f>
        <v>Mastacembelus armatus</v>
      </c>
      <c r="H3318" t="s">
        <v>513</v>
      </c>
      <c r="I3318" t="str">
        <f>HYPERLINK("http://www.ncbi.nlm.nih.gov/protein/XP_026175328.1","ryanodine receptor 3 isoform X4")</f>
        <v>ryanodine receptor 3 isoform X4</v>
      </c>
      <c r="J3318">
        <v>8063.75</v>
      </c>
      <c r="K3318" t="s">
        <v>22</v>
      </c>
      <c r="L3318">
        <v>76</v>
      </c>
      <c r="M3318">
        <v>12.58</v>
      </c>
      <c r="N3318">
        <v>79.36</v>
      </c>
      <c r="O3318" t="s">
        <v>19</v>
      </c>
      <c r="P3318" t="s">
        <v>1320</v>
      </c>
      <c r="Q3318" t="s">
        <v>19</v>
      </c>
      <c r="R3318" t="str">
        <f>HYPERLINK("https://cfpub.epa.gov/ecotox/explore.cfm?ncbi=205130","Explore in ECOTOX")</f>
        <v>Explore in ECOTOX</v>
      </c>
    </row>
    <row r="3319" spans="1:18" x14ac:dyDescent="0.45">
      <c r="A3319" t="s">
        <v>1265</v>
      </c>
      <c r="B3319">
        <v>8</v>
      </c>
      <c r="C3319" t="str">
        <f>HYPERLINK("http://www.ncbi.nlm.nih.gov/protein/XP_016429253.1","XP_016429253.1")</f>
        <v>XP_016429253.1</v>
      </c>
      <c r="D3319">
        <v>68583</v>
      </c>
      <c r="E3319" t="str">
        <f>HYPERLINK("http://www.ncbi.nlm.nih.gov/Taxonomy/Browser/wwwtax.cgi?mode=Info&amp;id=307959&amp;lvl=3&amp;lin=f&amp;keep=1&amp;srchmode=1&amp;unlock","307959")</f>
        <v>307959</v>
      </c>
      <c r="F3319" t="s">
        <v>17</v>
      </c>
      <c r="G3319" t="str">
        <f>HYPERLINK("http://www.ncbi.nlm.nih.gov/Taxonomy/Browser/wwwtax.cgi?mode=Info&amp;id=307959&amp;lvl=3&amp;lin=f&amp;keep=1&amp;srchmode=1&amp;unlock","Sinocyclocheilus rhinocerous")</f>
        <v>Sinocyclocheilus rhinocerous</v>
      </c>
      <c r="H3319" t="s">
        <v>21</v>
      </c>
      <c r="I3319" t="str">
        <f>HYPERLINK("http://www.ncbi.nlm.nih.gov/protein/XP_016429253.1","PREDICTED: ryanodine receptor 3-like")</f>
        <v>PREDICTED: ryanodine receptor 3-like</v>
      </c>
      <c r="J3319">
        <v>8042.95</v>
      </c>
      <c r="K3319" t="s">
        <v>22</v>
      </c>
      <c r="L3319">
        <v>76</v>
      </c>
      <c r="M3319">
        <v>12.58</v>
      </c>
      <c r="N3319">
        <v>79.16</v>
      </c>
      <c r="O3319" t="s">
        <v>19</v>
      </c>
      <c r="P3319" t="s">
        <v>1320</v>
      </c>
      <c r="Q3319" t="s">
        <v>19</v>
      </c>
      <c r="R3319" t="str">
        <f>HYPERLINK("https://cfpub.epa.gov/ecotox/explore.cfm?ncbi=307959","Explore in ECOTOX")</f>
        <v>Explore in ECOTOX</v>
      </c>
    </row>
    <row r="3320" spans="1:18" x14ac:dyDescent="0.45">
      <c r="A3320" t="s">
        <v>1265</v>
      </c>
      <c r="B3320">
        <v>8</v>
      </c>
      <c r="C3320" t="str">
        <f>HYPERLINK("http://www.ncbi.nlm.nih.gov/protein/XP_056301320.1","XP_056301320.1")</f>
        <v>XP_056301320.1</v>
      </c>
      <c r="D3320">
        <v>36531</v>
      </c>
      <c r="E3320" t="str">
        <f>HYPERLINK("http://www.ncbi.nlm.nih.gov/Taxonomy/Browser/wwwtax.cgi?mode=Info&amp;id=1142201&amp;lvl=3&amp;lin=f&amp;keep=1&amp;srchmode=1&amp;unlock","1142201")</f>
        <v>1142201</v>
      </c>
      <c r="F3320" t="s">
        <v>17</v>
      </c>
      <c r="G3320" t="str">
        <f>HYPERLINK("http://www.ncbi.nlm.nih.gov/Taxonomy/Browser/wwwtax.cgi?mode=Info&amp;id=1142201&amp;lvl=3&amp;lin=f&amp;keep=1&amp;srchmode=1&amp;unlock","Danio aesculapii")</f>
        <v>Danio aesculapii</v>
      </c>
      <c r="H3320" t="s">
        <v>21</v>
      </c>
      <c r="I3320" t="str">
        <f>HYPERLINK("http://www.ncbi.nlm.nih.gov/protein/XP_056301320.1","ryanodine receptor 3 isoform X2")</f>
        <v>ryanodine receptor 3 isoform X2</v>
      </c>
      <c r="J3320">
        <v>8041.03</v>
      </c>
      <c r="K3320" t="s">
        <v>22</v>
      </c>
      <c r="L3320">
        <v>76</v>
      </c>
      <c r="M3320">
        <v>12.58</v>
      </c>
      <c r="N3320">
        <v>79.14</v>
      </c>
      <c r="O3320" t="s">
        <v>19</v>
      </c>
      <c r="P3320" t="s">
        <v>1320</v>
      </c>
      <c r="Q3320" t="s">
        <v>19</v>
      </c>
      <c r="R3320" t="str">
        <f>HYPERLINK("https://cfpub.epa.gov/ecotox/explore.cfm?ncbi=1142201","Explore in ECOTOX")</f>
        <v>Explore in ECOTOX</v>
      </c>
    </row>
    <row r="3321" spans="1:18" x14ac:dyDescent="0.45">
      <c r="A3321" t="s">
        <v>1265</v>
      </c>
      <c r="B3321">
        <v>8</v>
      </c>
      <c r="C3321" t="str">
        <f>HYPERLINK("http://www.ncbi.nlm.nih.gov/protein/XP_014909453.1","XP_014909453.1")</f>
        <v>XP_014909453.1</v>
      </c>
      <c r="D3321">
        <v>47235</v>
      </c>
      <c r="E3321" t="str">
        <f>HYPERLINK("http://www.ncbi.nlm.nih.gov/Taxonomy/Browser/wwwtax.cgi?mode=Info&amp;id=48699&amp;lvl=3&amp;lin=f&amp;keep=1&amp;srchmode=1&amp;unlock","48699")</f>
        <v>48699</v>
      </c>
      <c r="F3321" t="s">
        <v>17</v>
      </c>
      <c r="G3321" t="str">
        <f>HYPERLINK("http://www.ncbi.nlm.nih.gov/Taxonomy/Browser/wwwtax.cgi?mode=Info&amp;id=48699&amp;lvl=3&amp;lin=f&amp;keep=1&amp;srchmode=1&amp;unlock","Poecilia latipinna")</f>
        <v>Poecilia latipinna</v>
      </c>
      <c r="H3321" t="s">
        <v>117</v>
      </c>
      <c r="I3321" t="str">
        <f>HYPERLINK("http://www.ncbi.nlm.nih.gov/protein/XP_014909453.1","PREDICTED: ryanodine receptor 3 isoform X10")</f>
        <v>PREDICTED: ryanodine receptor 3 isoform X10</v>
      </c>
      <c r="J3321">
        <v>8035.25</v>
      </c>
      <c r="K3321" t="s">
        <v>19</v>
      </c>
      <c r="L3321">
        <v>76</v>
      </c>
      <c r="M3321">
        <v>12.58</v>
      </c>
      <c r="N3321">
        <v>79.08</v>
      </c>
      <c r="O3321" t="s">
        <v>19</v>
      </c>
      <c r="P3321" t="s">
        <v>1320</v>
      </c>
      <c r="Q3321" t="s">
        <v>19</v>
      </c>
      <c r="R3321" t="str">
        <f>HYPERLINK("https://cfpub.epa.gov/ecotox/explore.cfm?ncbi=48699","Explore in ECOTOX")</f>
        <v>Explore in ECOTOX</v>
      </c>
    </row>
    <row r="3322" spans="1:18" x14ac:dyDescent="0.45">
      <c r="A3322" t="s">
        <v>1265</v>
      </c>
      <c r="B3322">
        <v>8</v>
      </c>
      <c r="C3322" t="str">
        <f>HYPERLINK("http://www.ncbi.nlm.nih.gov/protein/XP_014863966.1","XP_014863966.1")</f>
        <v>XP_014863966.1</v>
      </c>
      <c r="D3322">
        <v>47808</v>
      </c>
      <c r="E3322" t="str">
        <f>HYPERLINK("http://www.ncbi.nlm.nih.gov/Taxonomy/Browser/wwwtax.cgi?mode=Info&amp;id=48701&amp;lvl=3&amp;lin=f&amp;keep=1&amp;srchmode=1&amp;unlock","48701")</f>
        <v>48701</v>
      </c>
      <c r="F3322" t="s">
        <v>17</v>
      </c>
      <c r="G3322" t="str">
        <f>HYPERLINK("http://www.ncbi.nlm.nih.gov/Taxonomy/Browser/wwwtax.cgi?mode=Info&amp;id=48701&amp;lvl=3&amp;lin=f&amp;keep=1&amp;srchmode=1&amp;unlock","Poecilia mexicana")</f>
        <v>Poecilia mexicana</v>
      </c>
      <c r="H3322" t="s">
        <v>120</v>
      </c>
      <c r="I3322" t="str">
        <f>HYPERLINK("http://www.ncbi.nlm.nih.gov/protein/XP_014863966.1","PREDICTED: ryanodine receptor 3 isoform X10")</f>
        <v>PREDICTED: ryanodine receptor 3 isoform X10</v>
      </c>
      <c r="J3322">
        <v>8025.23</v>
      </c>
      <c r="K3322" t="s">
        <v>19</v>
      </c>
      <c r="L3322">
        <v>76</v>
      </c>
      <c r="M3322">
        <v>12.58</v>
      </c>
      <c r="N3322">
        <v>78.98</v>
      </c>
      <c r="O3322" t="s">
        <v>19</v>
      </c>
      <c r="P3322" t="s">
        <v>1320</v>
      </c>
      <c r="Q3322" t="s">
        <v>19</v>
      </c>
      <c r="R3322" t="str">
        <f>HYPERLINK("https://cfpub.epa.gov/ecotox/explore.cfm?ncbi=48701","Explore in ECOTOX")</f>
        <v>Explore in ECOTOX</v>
      </c>
    </row>
    <row r="3323" spans="1:18" x14ac:dyDescent="0.45">
      <c r="A3323" t="s">
        <v>1265</v>
      </c>
      <c r="B3323">
        <v>8</v>
      </c>
      <c r="C3323" t="str">
        <f>HYPERLINK("http://www.ncbi.nlm.nih.gov/protein/XP_009293049.1","XP_009293049.1")</f>
        <v>XP_009293049.1</v>
      </c>
      <c r="D3323">
        <v>88318</v>
      </c>
      <c r="E3323" t="str">
        <f>HYPERLINK("http://www.ncbi.nlm.nih.gov/Taxonomy/Browser/wwwtax.cgi?mode=Info&amp;id=7955&amp;lvl=3&amp;lin=f&amp;keep=1&amp;srchmode=1&amp;unlock","7955")</f>
        <v>7955</v>
      </c>
      <c r="F3323" t="s">
        <v>17</v>
      </c>
      <c r="G3323" t="str">
        <f>HYPERLINK("http://www.ncbi.nlm.nih.gov/Taxonomy/Browser/wwwtax.cgi?mode=Info&amp;id=7955&amp;lvl=3&amp;lin=f&amp;keep=1&amp;srchmode=1&amp;unlock","Danio rerio")</f>
        <v>Danio rerio</v>
      </c>
      <c r="H3323" t="s">
        <v>26</v>
      </c>
      <c r="I3323" t="str">
        <f>HYPERLINK("http://www.ncbi.nlm.nih.gov/protein/XP_009293049.1","ryanodine receptor 3 isoform X2")</f>
        <v>ryanodine receptor 3 isoform X2</v>
      </c>
      <c r="J3323">
        <v>8018.69</v>
      </c>
      <c r="K3323" t="s">
        <v>22</v>
      </c>
      <c r="L3323">
        <v>76</v>
      </c>
      <c r="M3323">
        <v>12.58</v>
      </c>
      <c r="N3323">
        <v>78.92</v>
      </c>
      <c r="O3323" t="s">
        <v>19</v>
      </c>
      <c r="P3323" t="s">
        <v>1320</v>
      </c>
      <c r="Q3323" t="s">
        <v>19</v>
      </c>
      <c r="R3323" t="str">
        <f>HYPERLINK("https://cfpub.epa.gov/ecotox/explore.cfm?ncbi=7955","Explore in ECOTOX")</f>
        <v>Explore in ECOTOX</v>
      </c>
    </row>
    <row r="3324" spans="1:18" x14ac:dyDescent="0.45">
      <c r="A3324" t="s">
        <v>1265</v>
      </c>
      <c r="B3324">
        <v>8</v>
      </c>
      <c r="C3324" t="str">
        <f>HYPERLINK("http://www.ncbi.nlm.nih.gov/protein/XP_043930092.1","XP_043930092.1")</f>
        <v>XP_043930092.1</v>
      </c>
      <c r="D3324">
        <v>37426</v>
      </c>
      <c r="E3324" t="str">
        <f>HYPERLINK("http://www.ncbi.nlm.nih.gov/Taxonomy/Browser/wwwtax.cgi?mode=Info&amp;id=7888&amp;lvl=3&amp;lin=f&amp;keep=1&amp;srchmode=1&amp;unlock","7888")</f>
        <v>7888</v>
      </c>
      <c r="F3324" t="s">
        <v>236</v>
      </c>
      <c r="G3324" t="str">
        <f>HYPERLINK("http://www.ncbi.nlm.nih.gov/Taxonomy/Browser/wwwtax.cgi?mode=Info&amp;id=7888&amp;lvl=3&amp;lin=f&amp;keep=1&amp;srchmode=1&amp;unlock","Protopterus annectens")</f>
        <v>Protopterus annectens</v>
      </c>
      <c r="H3324" t="s">
        <v>237</v>
      </c>
      <c r="I3324" t="str">
        <f>HYPERLINK("http://www.ncbi.nlm.nih.gov/protein/XP_043930092.1","ryanodine receptor 3")</f>
        <v>ryanodine receptor 3</v>
      </c>
      <c r="J3324">
        <v>8012.14</v>
      </c>
      <c r="K3324" t="s">
        <v>22</v>
      </c>
      <c r="L3324">
        <v>76</v>
      </c>
      <c r="M3324">
        <v>12.58</v>
      </c>
      <c r="N3324">
        <v>78.849999999999994</v>
      </c>
      <c r="O3324" t="s">
        <v>19</v>
      </c>
      <c r="P3324" t="s">
        <v>1320</v>
      </c>
      <c r="Q3324" t="s">
        <v>19</v>
      </c>
      <c r="R3324" t="str">
        <f>HYPERLINK("https://cfpub.epa.gov/ecotox/explore.cfm?ncbi=7888","Explore in ECOTOX")</f>
        <v>Explore in ECOTOX</v>
      </c>
    </row>
    <row r="3325" spans="1:18" x14ac:dyDescent="0.45">
      <c r="A3325" t="s">
        <v>1265</v>
      </c>
      <c r="B3325">
        <v>8</v>
      </c>
      <c r="C3325" t="str">
        <f>HYPERLINK("http://www.ncbi.nlm.nih.gov/protein/XP_033966970.1","XP_033966970.1")</f>
        <v>XP_033966970.1</v>
      </c>
      <c r="D3325">
        <v>38014</v>
      </c>
      <c r="E3325" t="str">
        <f>HYPERLINK("http://www.ncbi.nlm.nih.gov/Taxonomy/Browser/wwwtax.cgi?mode=Info&amp;id=52239&amp;lvl=3&amp;lin=f&amp;keep=1&amp;srchmode=1&amp;unlock","52239")</f>
        <v>52239</v>
      </c>
      <c r="F3325" t="s">
        <v>17</v>
      </c>
      <c r="G3325" t="str">
        <f>HYPERLINK("http://www.ncbi.nlm.nih.gov/Taxonomy/Browser/wwwtax.cgi?mode=Info&amp;id=52239&amp;lvl=3&amp;lin=f&amp;keep=1&amp;srchmode=1&amp;unlock","Pseudochaenichthys georgianus")</f>
        <v>Pseudochaenichthys georgianus</v>
      </c>
      <c r="H3325" t="s">
        <v>160</v>
      </c>
      <c r="I3325" t="str">
        <f>HYPERLINK("http://www.ncbi.nlm.nih.gov/protein/XP_033966970.1","LOW QUALITY PROTEIN: ryanodine receptor 3-like")</f>
        <v>LOW QUALITY PROTEIN: ryanodine receptor 3-like</v>
      </c>
      <c r="J3325">
        <v>8011.75</v>
      </c>
      <c r="K3325" t="s">
        <v>22</v>
      </c>
      <c r="L3325">
        <v>76</v>
      </c>
      <c r="M3325">
        <v>12.58</v>
      </c>
      <c r="N3325">
        <v>78.849999999999994</v>
      </c>
      <c r="O3325" t="s">
        <v>19</v>
      </c>
      <c r="P3325" t="s">
        <v>1320</v>
      </c>
      <c r="Q3325" t="s">
        <v>19</v>
      </c>
      <c r="R3325" t="str">
        <f>HYPERLINK("https://cfpub.epa.gov/ecotox/explore.cfm?ncbi=52239","Explore in ECOTOX")</f>
        <v>Explore in ECOTOX</v>
      </c>
    </row>
    <row r="3326" spans="1:18" x14ac:dyDescent="0.45">
      <c r="A3326" t="s">
        <v>1265</v>
      </c>
      <c r="B3326">
        <v>8</v>
      </c>
      <c r="C3326" t="str">
        <f>HYPERLINK("http://www.ncbi.nlm.nih.gov/protein/XP_054604868.1","XP_054604868.1")</f>
        <v>XP_054604868.1</v>
      </c>
      <c r="D3326">
        <v>79907</v>
      </c>
      <c r="E3326" t="str">
        <f>HYPERLINK("http://www.ncbi.nlm.nih.gov/Taxonomy/Browser/wwwtax.cgi?mode=Info&amp;id=105023&amp;lvl=3&amp;lin=f&amp;keep=1&amp;srchmode=1&amp;unlock","105023")</f>
        <v>105023</v>
      </c>
      <c r="F3326" t="s">
        <v>17</v>
      </c>
      <c r="G3326" t="str">
        <f>HYPERLINK("http://www.ncbi.nlm.nih.gov/Taxonomy/Browser/wwwtax.cgi?mode=Info&amp;id=105023&amp;lvl=3&amp;lin=f&amp;keep=1&amp;srchmode=1&amp;unlock","Nothobranchius furzeri")</f>
        <v>Nothobranchius furzeri</v>
      </c>
      <c r="H3326" t="s">
        <v>65</v>
      </c>
      <c r="I3326" t="str">
        <f>HYPERLINK("http://www.ncbi.nlm.nih.gov/protein/XP_054604868.1","LOW QUALITY PROTEIN: ryanodine receptor 3")</f>
        <v>LOW QUALITY PROTEIN: ryanodine receptor 3</v>
      </c>
      <c r="J3326">
        <v>8011.75</v>
      </c>
      <c r="K3326" t="s">
        <v>22</v>
      </c>
      <c r="L3326">
        <v>76</v>
      </c>
      <c r="M3326">
        <v>12.58</v>
      </c>
      <c r="N3326">
        <v>78.849999999999994</v>
      </c>
      <c r="O3326" t="s">
        <v>19</v>
      </c>
      <c r="P3326" t="s">
        <v>1320</v>
      </c>
      <c r="Q3326" t="s">
        <v>19</v>
      </c>
      <c r="R3326" t="str">
        <f>HYPERLINK("https://cfpub.epa.gov/ecotox/explore.cfm?ncbi=105023","Explore in ECOTOX")</f>
        <v>Explore in ECOTOX</v>
      </c>
    </row>
    <row r="3327" spans="1:18" x14ac:dyDescent="0.45">
      <c r="A3327" t="s">
        <v>1265</v>
      </c>
      <c r="B3327">
        <v>8</v>
      </c>
      <c r="C3327" t="str">
        <f>HYPERLINK("http://www.ncbi.nlm.nih.gov/protein/XP_016523469.1","XP_016523469.1")</f>
        <v>XP_016523469.1</v>
      </c>
      <c r="D3327">
        <v>49657</v>
      </c>
      <c r="E3327" t="str">
        <f>HYPERLINK("http://www.ncbi.nlm.nih.gov/Taxonomy/Browser/wwwtax.cgi?mode=Info&amp;id=48698&amp;lvl=3&amp;lin=f&amp;keep=1&amp;srchmode=1&amp;unlock","48698")</f>
        <v>48698</v>
      </c>
      <c r="F3327" t="s">
        <v>17</v>
      </c>
      <c r="G3327" t="str">
        <f>HYPERLINK("http://www.ncbi.nlm.nih.gov/Taxonomy/Browser/wwwtax.cgi?mode=Info&amp;id=48698&amp;lvl=3&amp;lin=f&amp;keep=1&amp;srchmode=1&amp;unlock","Poecilia formosa")</f>
        <v>Poecilia formosa</v>
      </c>
      <c r="H3327" t="s">
        <v>119</v>
      </c>
      <c r="I3327" t="str">
        <f>HYPERLINK("http://www.ncbi.nlm.nih.gov/protein/XP_016523469.1","PREDICTED: ryanodine receptor 3 isoform X2")</f>
        <v>PREDICTED: ryanodine receptor 3 isoform X2</v>
      </c>
      <c r="J3327">
        <v>8011.75</v>
      </c>
      <c r="K3327" t="s">
        <v>22</v>
      </c>
      <c r="L3327">
        <v>76</v>
      </c>
      <c r="M3327">
        <v>12.58</v>
      </c>
      <c r="N3327">
        <v>78.849999999999994</v>
      </c>
      <c r="O3327" t="s">
        <v>19</v>
      </c>
      <c r="P3327" t="s">
        <v>1320</v>
      </c>
      <c r="Q3327" t="s">
        <v>19</v>
      </c>
      <c r="R3327" t="str">
        <f>HYPERLINK("https://cfpub.epa.gov/ecotox/explore.cfm?ncbi=48698","Explore in ECOTOX")</f>
        <v>Explore in ECOTOX</v>
      </c>
    </row>
    <row r="3328" spans="1:18" x14ac:dyDescent="0.45">
      <c r="A3328" t="s">
        <v>1265</v>
      </c>
      <c r="B3328">
        <v>8</v>
      </c>
      <c r="C3328" t="str">
        <f>HYPERLINK("http://www.ncbi.nlm.nih.gov/protein/XP_016149764.1","XP_016149764.1")</f>
        <v>XP_016149764.1</v>
      </c>
      <c r="D3328">
        <v>67442</v>
      </c>
      <c r="E3328" t="str">
        <f>HYPERLINK("http://www.ncbi.nlm.nih.gov/Taxonomy/Browser/wwwtax.cgi?mode=Info&amp;id=75366&amp;lvl=3&amp;lin=f&amp;keep=1&amp;srchmode=1&amp;unlock","75366")</f>
        <v>75366</v>
      </c>
      <c r="F3328" t="s">
        <v>17</v>
      </c>
      <c r="G3328" t="str">
        <f>HYPERLINK("http://www.ncbi.nlm.nih.gov/Taxonomy/Browser/wwwtax.cgi?mode=Info&amp;id=75366&amp;lvl=3&amp;lin=f&amp;keep=1&amp;srchmode=1&amp;unlock","Sinocyclocheilus grahami")</f>
        <v>Sinocyclocheilus grahami</v>
      </c>
      <c r="H3328" t="s">
        <v>21</v>
      </c>
      <c r="I3328" t="str">
        <f>HYPERLINK("http://www.ncbi.nlm.nih.gov/protein/XP_016149764.1","PREDICTED: ryanodine receptor 3-like")</f>
        <v>PREDICTED: ryanodine receptor 3-like</v>
      </c>
      <c r="J3328">
        <v>8008.67</v>
      </c>
      <c r="K3328" t="s">
        <v>22</v>
      </c>
      <c r="L3328">
        <v>76</v>
      </c>
      <c r="M3328">
        <v>12.58</v>
      </c>
      <c r="N3328">
        <v>78.819999999999993</v>
      </c>
      <c r="O3328" t="s">
        <v>19</v>
      </c>
      <c r="P3328" t="s">
        <v>1320</v>
      </c>
      <c r="Q3328" t="s">
        <v>19</v>
      </c>
      <c r="R3328" t="str">
        <f>HYPERLINK("https://cfpub.epa.gov/ecotox/explore.cfm?ncbi=75366","Explore in ECOTOX")</f>
        <v>Explore in ECOTOX</v>
      </c>
    </row>
    <row r="3329" spans="1:18" x14ac:dyDescent="0.45">
      <c r="A3329" t="s">
        <v>1265</v>
      </c>
      <c r="B3329">
        <v>8</v>
      </c>
      <c r="C3329" t="str">
        <f>HYPERLINK("http://www.ncbi.nlm.nih.gov/protein/MCJ8743781.1","MCJ8743781.1")</f>
        <v>MCJ8743781.1</v>
      </c>
      <c r="D3329">
        <v>22462</v>
      </c>
      <c r="E3329" t="str">
        <f>HYPERLINK("http://www.ncbi.nlm.nih.gov/Taxonomy/Browser/wwwtax.cgi?mode=Info&amp;id=1691987&amp;lvl=3&amp;lin=f&amp;keep=1&amp;srchmode=1&amp;unlock","1691987")</f>
        <v>1691987</v>
      </c>
      <c r="F3329" t="s">
        <v>17</v>
      </c>
      <c r="G3329" t="str">
        <f>HYPERLINK("http://www.ncbi.nlm.nih.gov/Taxonomy/Browser/wwwtax.cgi?mode=Info&amp;id=1691987&amp;lvl=3&amp;lin=f&amp;keep=1&amp;srchmode=1&amp;unlock","Pangasius djambal")</f>
        <v>Pangasius djambal</v>
      </c>
      <c r="H3329" t="s">
        <v>705</v>
      </c>
      <c r="I3329" t="str">
        <f>HYPERLINK("http://www.ncbi.nlm.nih.gov/protein/MCJ8743781.1","hypothetical protein")</f>
        <v>hypothetical protein</v>
      </c>
      <c r="J3329">
        <v>7978.62</v>
      </c>
      <c r="K3329" t="s">
        <v>22</v>
      </c>
      <c r="L3329">
        <v>76</v>
      </c>
      <c r="M3329">
        <v>12.58</v>
      </c>
      <c r="N3329">
        <v>78.52</v>
      </c>
      <c r="O3329" t="s">
        <v>19</v>
      </c>
      <c r="P3329" t="s">
        <v>1320</v>
      </c>
      <c r="Q3329" t="s">
        <v>19</v>
      </c>
      <c r="R3329" t="str">
        <f>HYPERLINK("https://cfpub.epa.gov/ecotox/explore.cfm?ncbi=1691987","Explore in ECOTOX")</f>
        <v>Explore in ECOTOX</v>
      </c>
    </row>
    <row r="3330" spans="1:18" x14ac:dyDescent="0.45">
      <c r="A3330" t="s">
        <v>1265</v>
      </c>
      <c r="B3330">
        <v>8</v>
      </c>
      <c r="C3330" t="str">
        <f>HYPERLINK("http://www.ncbi.nlm.nih.gov/protein/XP_019721064.1","XP_019721064.1")</f>
        <v>XP_019721064.1</v>
      </c>
      <c r="D3330">
        <v>42022</v>
      </c>
      <c r="E3330" t="str">
        <f>HYPERLINK("http://www.ncbi.nlm.nih.gov/Taxonomy/Browser/wwwtax.cgi?mode=Info&amp;id=109280&amp;lvl=3&amp;lin=f&amp;keep=1&amp;srchmode=1&amp;unlock","109280")</f>
        <v>109280</v>
      </c>
      <c r="F3330" t="s">
        <v>17</v>
      </c>
      <c r="G3330" t="str">
        <f>HYPERLINK("http://www.ncbi.nlm.nih.gov/Taxonomy/Browser/wwwtax.cgi?mode=Info&amp;id=109280&amp;lvl=3&amp;lin=f&amp;keep=1&amp;srchmode=1&amp;unlock","Hippocampus comes")</f>
        <v>Hippocampus comes</v>
      </c>
      <c r="H3330" t="s">
        <v>142</v>
      </c>
      <c r="I3330" t="str">
        <f>HYPERLINK("http://www.ncbi.nlm.nih.gov/protein/XP_019721064.1","PREDICTED: LOW QUALITY PROTEIN: ryanodine receptor 3-like, partial")</f>
        <v>PREDICTED: LOW QUALITY PROTEIN: ryanodine receptor 3-like, partial</v>
      </c>
      <c r="J3330">
        <v>7970.92</v>
      </c>
      <c r="K3330" t="s">
        <v>22</v>
      </c>
      <c r="L3330">
        <v>76</v>
      </c>
      <c r="M3330">
        <v>12.58</v>
      </c>
      <c r="N3330">
        <v>78.45</v>
      </c>
      <c r="O3330" t="s">
        <v>19</v>
      </c>
      <c r="P3330" t="s">
        <v>1320</v>
      </c>
      <c r="Q3330" t="s">
        <v>19</v>
      </c>
      <c r="R3330" t="str">
        <f>HYPERLINK("https://cfpub.epa.gov/ecotox/explore.cfm?ncbi=109280","Explore in ECOTOX")</f>
        <v>Explore in ECOTOX</v>
      </c>
    </row>
    <row r="3331" spans="1:18" x14ac:dyDescent="0.45">
      <c r="A3331" t="s">
        <v>1265</v>
      </c>
      <c r="B3331">
        <v>8</v>
      </c>
      <c r="C3331" t="str">
        <f>HYPERLINK("http://www.ncbi.nlm.nih.gov/protein/XP_037541849.1","XP_037541849.1")</f>
        <v>XP_037541849.1</v>
      </c>
      <c r="D3331">
        <v>24154</v>
      </c>
      <c r="E3331" t="str">
        <f>HYPERLINK("http://www.ncbi.nlm.nih.gov/Taxonomy/Browser/wwwtax.cgi?mode=Info&amp;id=451745&amp;lvl=3&amp;lin=f&amp;keep=1&amp;srchmode=1&amp;unlock","451745")</f>
        <v>451745</v>
      </c>
      <c r="F3331" t="s">
        <v>17</v>
      </c>
      <c r="G3331" t="str">
        <f>HYPERLINK("http://www.ncbi.nlm.nih.gov/Taxonomy/Browser/wwwtax.cgi?mode=Info&amp;id=451745&amp;lvl=3&amp;lin=f&amp;keep=1&amp;srchmode=1&amp;unlock","Nematolebias whitei")</f>
        <v>Nematolebias whitei</v>
      </c>
      <c r="H3331" t="s">
        <v>136</v>
      </c>
      <c r="I3331" t="str">
        <f>HYPERLINK("http://www.ncbi.nlm.nih.gov/protein/XP_037541849.1","ryanodine receptor 3")</f>
        <v>ryanodine receptor 3</v>
      </c>
      <c r="J3331">
        <v>7964.76</v>
      </c>
      <c r="K3331" t="s">
        <v>22</v>
      </c>
      <c r="L3331">
        <v>76</v>
      </c>
      <c r="M3331">
        <v>12.58</v>
      </c>
      <c r="N3331">
        <v>78.39</v>
      </c>
      <c r="O3331" t="s">
        <v>19</v>
      </c>
      <c r="P3331" t="s">
        <v>1320</v>
      </c>
      <c r="Q3331" t="s">
        <v>19</v>
      </c>
      <c r="R3331" t="str">
        <f>HYPERLINK("https://cfpub.epa.gov/ecotox/explore.cfm?ncbi=451745","Explore in ECOTOX")</f>
        <v>Explore in ECOTOX</v>
      </c>
    </row>
    <row r="3332" spans="1:18" x14ac:dyDescent="0.45">
      <c r="A3332" t="s">
        <v>1265</v>
      </c>
      <c r="B3332">
        <v>8</v>
      </c>
      <c r="C3332" t="str">
        <f>HYPERLINK("http://www.ncbi.nlm.nih.gov/protein/XP_016889116.1","XP_016889116.1")</f>
        <v>XP_016889116.1</v>
      </c>
      <c r="D3332">
        <v>40033</v>
      </c>
      <c r="E3332" t="str">
        <f>HYPERLINK("http://www.ncbi.nlm.nih.gov/Taxonomy/Browser/wwwtax.cgi?mode=Info&amp;id=244447&amp;lvl=3&amp;lin=f&amp;keep=1&amp;srchmode=1&amp;unlock","244447")</f>
        <v>244447</v>
      </c>
      <c r="F3332" t="s">
        <v>17</v>
      </c>
      <c r="G3332" t="str">
        <f>HYPERLINK("http://www.ncbi.nlm.nih.gov/Taxonomy/Browser/wwwtax.cgi?mode=Info&amp;id=244447&amp;lvl=3&amp;lin=f&amp;keep=1&amp;srchmode=1&amp;unlock","Cynoglossus semilaevis")</f>
        <v>Cynoglossus semilaevis</v>
      </c>
      <c r="H3332" t="s">
        <v>137</v>
      </c>
      <c r="I3332" t="str">
        <f>HYPERLINK("http://www.ncbi.nlm.nih.gov/protein/XP_016889116.1","LOW QUALITY PROTEIN: ryanodine receptor 3")</f>
        <v>LOW QUALITY PROTEIN: ryanodine receptor 3</v>
      </c>
      <c r="J3332">
        <v>7957.44</v>
      </c>
      <c r="K3332" t="s">
        <v>22</v>
      </c>
      <c r="L3332">
        <v>76</v>
      </c>
      <c r="M3332">
        <v>12.58</v>
      </c>
      <c r="N3332">
        <v>78.319999999999993</v>
      </c>
      <c r="O3332" t="s">
        <v>19</v>
      </c>
      <c r="P3332" t="s">
        <v>1320</v>
      </c>
      <c r="Q3332" t="s">
        <v>19</v>
      </c>
      <c r="R3332" t="str">
        <f>HYPERLINK("https://cfpub.epa.gov/ecotox/explore.cfm?ncbi=244447","Explore in ECOTOX")</f>
        <v>Explore in ECOTOX</v>
      </c>
    </row>
    <row r="3333" spans="1:18" x14ac:dyDescent="0.45">
      <c r="A3333" t="s">
        <v>1265</v>
      </c>
      <c r="B3333">
        <v>8</v>
      </c>
      <c r="C3333" t="str">
        <f>HYPERLINK("http://www.ncbi.nlm.nih.gov/protein/XP_041429266.1","XP_041429266.1")</f>
        <v>XP_041429266.1</v>
      </c>
      <c r="D3333">
        <v>147175</v>
      </c>
      <c r="E3333" t="str">
        <f>HYPERLINK("http://www.ncbi.nlm.nih.gov/Taxonomy/Browser/wwwtax.cgi?mode=Info&amp;id=8355&amp;lvl=3&amp;lin=f&amp;keep=1&amp;srchmode=1&amp;unlock","8355")</f>
        <v>8355</v>
      </c>
      <c r="F3333" t="s">
        <v>177</v>
      </c>
      <c r="G3333" t="str">
        <f>HYPERLINK("http://www.ncbi.nlm.nih.gov/Taxonomy/Browser/wwwtax.cgi?mode=Info&amp;id=8355&amp;lvl=3&amp;lin=f&amp;keep=1&amp;srchmode=1&amp;unlock","Xenopus laevis")</f>
        <v>Xenopus laevis</v>
      </c>
      <c r="H3333" t="s">
        <v>184</v>
      </c>
      <c r="I3333" t="str">
        <f>HYPERLINK("http://www.ncbi.nlm.nih.gov/protein/XP_041429266.1","ryanodine receptor 3 isoform X7")</f>
        <v>ryanodine receptor 3 isoform X7</v>
      </c>
      <c r="J3333">
        <v>7915.07</v>
      </c>
      <c r="K3333" t="s">
        <v>22</v>
      </c>
      <c r="L3333">
        <v>76</v>
      </c>
      <c r="M3333">
        <v>12.58</v>
      </c>
      <c r="N3333">
        <v>77.900000000000006</v>
      </c>
      <c r="O3333" t="s">
        <v>19</v>
      </c>
      <c r="P3333" t="s">
        <v>1320</v>
      </c>
      <c r="Q3333" t="s">
        <v>19</v>
      </c>
      <c r="R3333" t="str">
        <f>HYPERLINK("https://cfpub.epa.gov/ecotox/explore.cfm?ncbi=8355","Explore in ECOTOX")</f>
        <v>Explore in ECOTOX</v>
      </c>
    </row>
    <row r="3334" spans="1:18" x14ac:dyDescent="0.45">
      <c r="A3334" t="s">
        <v>1265</v>
      </c>
      <c r="B3334">
        <v>8</v>
      </c>
      <c r="C3334" t="str">
        <f>HYPERLINK("http://www.ncbi.nlm.nih.gov/protein/XP_018409702.1","XP_018409702.1")</f>
        <v>XP_018409702.1</v>
      </c>
      <c r="D3334">
        <v>24954</v>
      </c>
      <c r="E3334" t="str">
        <f>HYPERLINK("http://www.ncbi.nlm.nih.gov/Taxonomy/Browser/wwwtax.cgi?mode=Info&amp;id=125878&amp;lvl=3&amp;lin=f&amp;keep=1&amp;srchmode=1&amp;unlock","125878")</f>
        <v>125878</v>
      </c>
      <c r="F3334" t="s">
        <v>177</v>
      </c>
      <c r="G3334" t="str">
        <f>HYPERLINK("http://www.ncbi.nlm.nih.gov/Taxonomy/Browser/wwwtax.cgi?mode=Info&amp;id=125878&amp;lvl=3&amp;lin=f&amp;keep=1&amp;srchmode=1&amp;unlock","Nanorana parkeri")</f>
        <v>Nanorana parkeri</v>
      </c>
      <c r="H3334" t="s">
        <v>717</v>
      </c>
      <c r="I3334" t="str">
        <f>HYPERLINK("http://www.ncbi.nlm.nih.gov/protein/XP_018409702.1","PREDICTED: ryanodine receptor 3")</f>
        <v>PREDICTED: ryanodine receptor 3</v>
      </c>
      <c r="J3334">
        <v>7915.07</v>
      </c>
      <c r="K3334" t="s">
        <v>22</v>
      </c>
      <c r="L3334">
        <v>76</v>
      </c>
      <c r="M3334">
        <v>12.58</v>
      </c>
      <c r="N3334">
        <v>77.900000000000006</v>
      </c>
      <c r="O3334" t="s">
        <v>19</v>
      </c>
      <c r="P3334" t="s">
        <v>1320</v>
      </c>
      <c r="Q3334" t="s">
        <v>19</v>
      </c>
      <c r="R3334" t="str">
        <f>HYPERLINK("https://cfpub.epa.gov/ecotox/explore.cfm?ncbi=125878","Explore in ECOTOX")</f>
        <v>Explore in ECOTOX</v>
      </c>
    </row>
    <row r="3335" spans="1:18" x14ac:dyDescent="0.45">
      <c r="A3335" t="s">
        <v>1265</v>
      </c>
      <c r="B3335">
        <v>8</v>
      </c>
      <c r="C3335" t="str">
        <f>HYPERLINK("http://www.ncbi.nlm.nih.gov/protein/XP_031747169.1","XP_031747169.1")</f>
        <v>XP_031747169.1</v>
      </c>
      <c r="D3335">
        <v>122869</v>
      </c>
      <c r="E3335" t="str">
        <f>HYPERLINK("http://www.ncbi.nlm.nih.gov/Taxonomy/Browser/wwwtax.cgi?mode=Info&amp;id=8364&amp;lvl=3&amp;lin=f&amp;keep=1&amp;srchmode=1&amp;unlock","8364")</f>
        <v>8364</v>
      </c>
      <c r="F3335" t="s">
        <v>177</v>
      </c>
      <c r="G3335" t="str">
        <f>HYPERLINK("http://www.ncbi.nlm.nih.gov/Taxonomy/Browser/wwwtax.cgi?mode=Info&amp;id=8364&amp;lvl=3&amp;lin=f&amp;keep=1&amp;srchmode=1&amp;unlock","Xenopus tropicalis")</f>
        <v>Xenopus tropicalis</v>
      </c>
      <c r="H3335" t="s">
        <v>178</v>
      </c>
      <c r="I3335" t="str">
        <f>HYPERLINK("http://www.ncbi.nlm.nih.gov/protein/XP_031747169.1","ryanodine receptor 3 isoform X11")</f>
        <v>ryanodine receptor 3 isoform X11</v>
      </c>
      <c r="J3335">
        <v>7911.99</v>
      </c>
      <c r="K3335" t="s">
        <v>22</v>
      </c>
      <c r="L3335">
        <v>76</v>
      </c>
      <c r="M3335">
        <v>12.58</v>
      </c>
      <c r="N3335">
        <v>77.87</v>
      </c>
      <c r="O3335" t="s">
        <v>19</v>
      </c>
      <c r="P3335" t="s">
        <v>1320</v>
      </c>
      <c r="Q3335" t="s">
        <v>19</v>
      </c>
      <c r="R3335" t="str">
        <f>HYPERLINK("https://cfpub.epa.gov/ecotox/explore.cfm?ncbi=8364","Explore in ECOTOX")</f>
        <v>Explore in ECOTOX</v>
      </c>
    </row>
    <row r="3336" spans="1:18" x14ac:dyDescent="0.45">
      <c r="A3336" t="s">
        <v>1265</v>
      </c>
      <c r="B3336">
        <v>8</v>
      </c>
      <c r="C3336" t="str">
        <f>HYPERLINK("http://www.ncbi.nlm.nih.gov/protein/XP_053553954.1","XP_053553954.1")</f>
        <v>XP_053553954.1</v>
      </c>
      <c r="D3336">
        <v>33803</v>
      </c>
      <c r="E3336" t="str">
        <f>HYPERLINK("http://www.ncbi.nlm.nih.gov/Taxonomy/Browser/wwwtax.cgi?mode=Info&amp;id=8345&amp;lvl=3&amp;lin=f&amp;keep=1&amp;srchmode=1&amp;unlock","8345")</f>
        <v>8345</v>
      </c>
      <c r="F3336" t="s">
        <v>177</v>
      </c>
      <c r="G3336" t="str">
        <f>HYPERLINK("http://www.ncbi.nlm.nih.gov/Taxonomy/Browser/wwwtax.cgi?mode=Info&amp;id=8345&amp;lvl=3&amp;lin=f&amp;keep=1&amp;srchmode=1&amp;unlock","Bombina bombina")</f>
        <v>Bombina bombina</v>
      </c>
      <c r="H3336" t="s">
        <v>187</v>
      </c>
      <c r="I3336" t="str">
        <f>HYPERLINK("http://www.ncbi.nlm.nih.gov/protein/XP_053553954.1","ryanodine receptor 3 isoform X10")</f>
        <v>ryanodine receptor 3 isoform X10</v>
      </c>
      <c r="J3336">
        <v>7904.67</v>
      </c>
      <c r="K3336" t="s">
        <v>19</v>
      </c>
      <c r="L3336">
        <v>76</v>
      </c>
      <c r="M3336">
        <v>12.58</v>
      </c>
      <c r="N3336">
        <v>77.8</v>
      </c>
      <c r="O3336" t="s">
        <v>19</v>
      </c>
      <c r="P3336" t="s">
        <v>1320</v>
      </c>
      <c r="Q3336" t="s">
        <v>19</v>
      </c>
      <c r="R3336" t="str">
        <f>HYPERLINK("https://cfpub.epa.gov/ecotox/explore.cfm?ncbi=8345","Explore in ECOTOX")</f>
        <v>Explore in ECOTOX</v>
      </c>
    </row>
    <row r="3337" spans="1:18" x14ac:dyDescent="0.45">
      <c r="A3337" t="s">
        <v>1265</v>
      </c>
      <c r="B3337">
        <v>8</v>
      </c>
      <c r="C3337" t="str">
        <f>HYPERLINK("http://www.ncbi.nlm.nih.gov/protein/XP_056401290.1","XP_056401290.1")</f>
        <v>XP_056401290.1</v>
      </c>
      <c r="D3337">
        <v>58737</v>
      </c>
      <c r="E3337" t="str">
        <f>HYPERLINK("http://www.ncbi.nlm.nih.gov/Taxonomy/Browser/wwwtax.cgi?mode=Info&amp;id=327740&amp;lvl=3&amp;lin=f&amp;keep=1&amp;srchmode=1&amp;unlock","327740")</f>
        <v>327740</v>
      </c>
      <c r="F3337" t="s">
        <v>177</v>
      </c>
      <c r="G3337" t="str">
        <f>HYPERLINK("http://www.ncbi.nlm.nih.gov/Taxonomy/Browser/wwwtax.cgi?mode=Info&amp;id=327740&amp;lvl=3&amp;lin=f&amp;keep=1&amp;srchmode=1&amp;unlock","Hyla sarda")</f>
        <v>Hyla sarda</v>
      </c>
      <c r="H3337" t="s">
        <v>731</v>
      </c>
      <c r="I3337" t="str">
        <f>HYPERLINK("http://www.ncbi.nlm.nih.gov/protein/XP_056401290.1","ryanodine receptor 3 isoform X4")</f>
        <v>ryanodine receptor 3 isoform X4</v>
      </c>
      <c r="J3337">
        <v>7902.74</v>
      </c>
      <c r="K3337" t="s">
        <v>22</v>
      </c>
      <c r="L3337">
        <v>76</v>
      </c>
      <c r="M3337">
        <v>12.58</v>
      </c>
      <c r="N3337">
        <v>77.78</v>
      </c>
      <c r="O3337" t="s">
        <v>19</v>
      </c>
      <c r="P3337" t="s">
        <v>1320</v>
      </c>
      <c r="Q3337" t="s">
        <v>19</v>
      </c>
      <c r="R3337" t="str">
        <f>HYPERLINK("https://cfpub.epa.gov/ecotox/explore.cfm?ncbi=327740","Explore in ECOTOX")</f>
        <v>Explore in ECOTOX</v>
      </c>
    </row>
    <row r="3338" spans="1:18" x14ac:dyDescent="0.45">
      <c r="A3338" t="s">
        <v>1265</v>
      </c>
      <c r="B3338">
        <v>8</v>
      </c>
      <c r="C3338" t="str">
        <f>HYPERLINK("http://www.ncbi.nlm.nih.gov/protein/CAH2328331.1","CAH2328331.1")</f>
        <v>CAH2328331.1</v>
      </c>
      <c r="D3338">
        <v>51619</v>
      </c>
      <c r="E3338" t="str">
        <f>HYPERLINK("http://www.ncbi.nlm.nih.gov/Taxonomy/Browser/wwwtax.cgi?mode=Info&amp;id=61616&amp;lvl=3&amp;lin=f&amp;keep=1&amp;srchmode=1&amp;unlock","61616")</f>
        <v>61616</v>
      </c>
      <c r="F3338" t="s">
        <v>177</v>
      </c>
      <c r="G3338" t="str">
        <f>HYPERLINK("http://www.ncbi.nlm.nih.gov/Taxonomy/Browser/wwwtax.cgi?mode=Info&amp;id=61616&amp;lvl=3&amp;lin=f&amp;keep=1&amp;srchmode=1&amp;unlock","Pelobates cultripes")</f>
        <v>Pelobates cultripes</v>
      </c>
      <c r="H3338" t="s">
        <v>714</v>
      </c>
      <c r="I3338" t="str">
        <f>HYPERLINK("http://www.ncbi.nlm.nih.gov/protein/CAH2328331.1","ryanodine receptor 3")</f>
        <v>ryanodine receptor 3</v>
      </c>
      <c r="J3338">
        <v>7900.81</v>
      </c>
      <c r="K3338" t="s">
        <v>22</v>
      </c>
      <c r="L3338">
        <v>76</v>
      </c>
      <c r="M3338">
        <v>12.58</v>
      </c>
      <c r="N3338">
        <v>77.760000000000005</v>
      </c>
      <c r="O3338" t="s">
        <v>19</v>
      </c>
      <c r="P3338" t="s">
        <v>1320</v>
      </c>
      <c r="Q3338" t="s">
        <v>19</v>
      </c>
      <c r="R3338" t="str">
        <f>HYPERLINK("https://cfpub.epa.gov/ecotox/explore.cfm?ncbi=61616","Explore in ECOTOX")</f>
        <v>Explore in ECOTOX</v>
      </c>
    </row>
    <row r="3339" spans="1:18" x14ac:dyDescent="0.45">
      <c r="A3339" t="s">
        <v>1265</v>
      </c>
      <c r="B3339">
        <v>8</v>
      </c>
      <c r="C3339" t="str">
        <f>HYPERLINK("http://www.ncbi.nlm.nih.gov/protein/XP_044128313.1","XP_044128313.1")</f>
        <v>XP_044128313.1</v>
      </c>
      <c r="D3339">
        <v>39196</v>
      </c>
      <c r="E3339" t="str">
        <f>HYPERLINK("http://www.ncbi.nlm.nih.gov/Taxonomy/Browser/wwwtax.cgi?mode=Info&amp;id=30331&amp;lvl=3&amp;lin=f&amp;keep=1&amp;srchmode=1&amp;unlock","30331")</f>
        <v>30331</v>
      </c>
      <c r="F3339" t="s">
        <v>177</v>
      </c>
      <c r="G3339" t="str">
        <f>HYPERLINK("http://www.ncbi.nlm.nih.gov/Taxonomy/Browser/wwwtax.cgi?mode=Info&amp;id=30331&amp;lvl=3&amp;lin=f&amp;keep=1&amp;srchmode=1&amp;unlock","Bufo gargarizans")</f>
        <v>Bufo gargarizans</v>
      </c>
      <c r="H3339" t="s">
        <v>186</v>
      </c>
      <c r="I3339" t="str">
        <f>HYPERLINK("http://www.ncbi.nlm.nih.gov/protein/XP_044128313.1","ryanodine receptor 3 isoform X3")</f>
        <v>ryanodine receptor 3 isoform X3</v>
      </c>
      <c r="J3339">
        <v>7892.34</v>
      </c>
      <c r="K3339" t="s">
        <v>22</v>
      </c>
      <c r="L3339">
        <v>76</v>
      </c>
      <c r="M3339">
        <v>12.58</v>
      </c>
      <c r="N3339">
        <v>77.67</v>
      </c>
      <c r="O3339" t="s">
        <v>19</v>
      </c>
      <c r="P3339" t="s">
        <v>1320</v>
      </c>
      <c r="Q3339" t="s">
        <v>19</v>
      </c>
      <c r="R3339" t="str">
        <f>HYPERLINK("https://cfpub.epa.gov/ecotox/explore.cfm?ncbi=30331","Explore in ECOTOX")</f>
        <v>Explore in ECOTOX</v>
      </c>
    </row>
    <row r="3340" spans="1:18" x14ac:dyDescent="0.45">
      <c r="A3340" t="s">
        <v>1265</v>
      </c>
      <c r="B3340">
        <v>8</v>
      </c>
      <c r="C3340" t="str">
        <f>HYPERLINK("http://www.ncbi.nlm.nih.gov/protein/XP_040189087.1","XP_040189087.1")</f>
        <v>XP_040189087.1</v>
      </c>
      <c r="D3340">
        <v>42589</v>
      </c>
      <c r="E3340" t="str">
        <f>HYPERLINK("http://www.ncbi.nlm.nih.gov/Taxonomy/Browser/wwwtax.cgi?mode=Info&amp;id=8407&amp;lvl=3&amp;lin=f&amp;keep=1&amp;srchmode=1&amp;unlock","8407")</f>
        <v>8407</v>
      </c>
      <c r="F3340" t="s">
        <v>177</v>
      </c>
      <c r="G3340" t="str">
        <f>HYPERLINK("http://www.ncbi.nlm.nih.gov/Taxonomy/Browser/wwwtax.cgi?mode=Info&amp;id=8407&amp;lvl=3&amp;lin=f&amp;keep=1&amp;srchmode=1&amp;unlock","Rana temporaria")</f>
        <v>Rana temporaria</v>
      </c>
      <c r="H3340" t="s">
        <v>191</v>
      </c>
      <c r="I3340" t="str">
        <f>HYPERLINK("http://www.ncbi.nlm.nih.gov/protein/XP_040189087.1","ryanodine receptor 3 isoform X6")</f>
        <v>ryanodine receptor 3 isoform X6</v>
      </c>
      <c r="J3340">
        <v>7889.26</v>
      </c>
      <c r="K3340" t="s">
        <v>22</v>
      </c>
      <c r="L3340">
        <v>76</v>
      </c>
      <c r="M3340">
        <v>12.58</v>
      </c>
      <c r="N3340">
        <v>77.64</v>
      </c>
      <c r="O3340" t="s">
        <v>19</v>
      </c>
      <c r="P3340" t="s">
        <v>1320</v>
      </c>
      <c r="Q3340" t="s">
        <v>19</v>
      </c>
      <c r="R3340" t="str">
        <f>HYPERLINK("https://cfpub.epa.gov/ecotox/explore.cfm?ncbi=8407","Explore in ECOTOX")</f>
        <v>Explore in ECOTOX</v>
      </c>
    </row>
    <row r="3341" spans="1:18" x14ac:dyDescent="0.45">
      <c r="A3341" t="s">
        <v>1265</v>
      </c>
      <c r="B3341">
        <v>8</v>
      </c>
      <c r="C3341" t="str">
        <f>HYPERLINK("http://www.ncbi.nlm.nih.gov/protein/BAA04647.2","BAA04647.2")</f>
        <v>BAA04647.2</v>
      </c>
      <c r="D3341">
        <v>30283</v>
      </c>
      <c r="E3341" t="str">
        <f>HYPERLINK("http://www.ncbi.nlm.nih.gov/Taxonomy/Browser/wwwtax.cgi?mode=Info&amp;id=8400&amp;lvl=3&amp;lin=f&amp;keep=1&amp;srchmode=1&amp;unlock","8400")</f>
        <v>8400</v>
      </c>
      <c r="F3341" t="s">
        <v>177</v>
      </c>
      <c r="G3341" t="str">
        <f>HYPERLINK("http://www.ncbi.nlm.nih.gov/Taxonomy/Browser/wwwtax.cgi?mode=Info&amp;id=8400&amp;lvl=3&amp;lin=f&amp;keep=1&amp;srchmode=1&amp;unlock","Aquarana catesbeiana")</f>
        <v>Aquarana catesbeiana</v>
      </c>
      <c r="H3341" t="s">
        <v>190</v>
      </c>
      <c r="I3341" t="str">
        <f>HYPERLINK("http://www.ncbi.nlm.nih.gov/protein/BAA04647.2","ryanodine receptor beta isoform")</f>
        <v>ryanodine receptor beta isoform</v>
      </c>
      <c r="J3341">
        <v>7883.48</v>
      </c>
      <c r="K3341" t="s">
        <v>22</v>
      </c>
      <c r="L3341">
        <v>76</v>
      </c>
      <c r="M3341">
        <v>12.58</v>
      </c>
      <c r="N3341">
        <v>77.59</v>
      </c>
      <c r="O3341" t="s">
        <v>19</v>
      </c>
      <c r="P3341" t="s">
        <v>1320</v>
      </c>
      <c r="Q3341" t="s">
        <v>19</v>
      </c>
      <c r="R3341" t="str">
        <f>HYPERLINK("https://cfpub.epa.gov/ecotox/explore.cfm?ncbi=8400","Explore in ECOTOX")</f>
        <v>Explore in ECOTOX</v>
      </c>
    </row>
    <row r="3342" spans="1:18" x14ac:dyDescent="0.45">
      <c r="A3342" t="s">
        <v>1265</v>
      </c>
      <c r="B3342">
        <v>8</v>
      </c>
      <c r="C3342" t="str">
        <f>HYPERLINK("http://www.ncbi.nlm.nih.gov/protein/XP_053330601.1","XP_053330601.1")</f>
        <v>XP_053330601.1</v>
      </c>
      <c r="D3342">
        <v>27882</v>
      </c>
      <c r="E3342" t="str">
        <f>HYPERLINK("http://www.ncbi.nlm.nih.gov/Taxonomy/Browser/wwwtax.cgi?mode=Info&amp;id=233779&amp;lvl=3&amp;lin=f&amp;keep=1&amp;srchmode=1&amp;unlock","233779")</f>
        <v>233779</v>
      </c>
      <c r="F3342" t="s">
        <v>177</v>
      </c>
      <c r="G3342" t="str">
        <f>HYPERLINK("http://www.ncbi.nlm.nih.gov/Taxonomy/Browser/wwwtax.cgi?mode=Info&amp;id=233779&amp;lvl=3&amp;lin=f&amp;keep=1&amp;srchmode=1&amp;unlock","Spea bombifrons")</f>
        <v>Spea bombifrons</v>
      </c>
      <c r="H3342" t="s">
        <v>183</v>
      </c>
      <c r="I3342" t="str">
        <f>HYPERLINK("http://www.ncbi.nlm.nih.gov/protein/XP_053330601.1","ryanodine receptor 3")</f>
        <v>ryanodine receptor 3</v>
      </c>
      <c r="J3342">
        <v>7865.76</v>
      </c>
      <c r="K3342" t="s">
        <v>22</v>
      </c>
      <c r="L3342">
        <v>76</v>
      </c>
      <c r="M3342">
        <v>12.58</v>
      </c>
      <c r="N3342">
        <v>77.41</v>
      </c>
      <c r="O3342" t="s">
        <v>19</v>
      </c>
      <c r="P3342" t="s">
        <v>1320</v>
      </c>
      <c r="Q3342" t="s">
        <v>19</v>
      </c>
      <c r="R3342" t="str">
        <f>HYPERLINK("https://cfpub.epa.gov/ecotox/explore.cfm?ncbi=233779","Explore in ECOTOX")</f>
        <v>Explore in ECOTOX</v>
      </c>
    </row>
    <row r="3343" spans="1:18" x14ac:dyDescent="0.45">
      <c r="A3343" t="s">
        <v>1265</v>
      </c>
      <c r="B3343">
        <v>8</v>
      </c>
      <c r="C3343" t="str">
        <f>HYPERLINK("http://www.ncbi.nlm.nih.gov/protein/XP_059897683.1","XP_059897683.1")</f>
        <v>XP_059897683.1</v>
      </c>
      <c r="D3343">
        <v>42356</v>
      </c>
      <c r="E3343" t="str">
        <f>HYPERLINK("http://www.ncbi.nlm.nih.gov/Taxonomy/Browser/wwwtax.cgi?mode=Info&amp;id=80720&amp;lvl=3&amp;lin=f&amp;keep=1&amp;srchmode=1&amp;unlock","80720")</f>
        <v>80720</v>
      </c>
      <c r="F3343" t="s">
        <v>17</v>
      </c>
      <c r="G3343" t="str">
        <f>HYPERLINK("http://www.ncbi.nlm.nih.gov/Taxonomy/Browser/wwwtax.cgi?mode=Info&amp;id=80720&amp;lvl=3&amp;lin=f&amp;keep=1&amp;srchmode=1&amp;unlock","Gadus macrocephalus")</f>
        <v>Gadus macrocephalus</v>
      </c>
      <c r="H3343" t="s">
        <v>168</v>
      </c>
      <c r="I3343" t="str">
        <f>HYPERLINK("http://www.ncbi.nlm.nih.gov/protein/XP_059897683.1","ryanodine receptor 3 isoform X5")</f>
        <v>ryanodine receptor 3 isoform X5</v>
      </c>
      <c r="J3343">
        <v>7864.99</v>
      </c>
      <c r="K3343" t="s">
        <v>22</v>
      </c>
      <c r="L3343">
        <v>76</v>
      </c>
      <c r="M3343">
        <v>12.58</v>
      </c>
      <c r="N3343">
        <v>77.41</v>
      </c>
      <c r="O3343" t="s">
        <v>19</v>
      </c>
      <c r="P3343" t="s">
        <v>1320</v>
      </c>
      <c r="Q3343" t="s">
        <v>19</v>
      </c>
      <c r="R3343" t="str">
        <f>HYPERLINK("https://cfpub.epa.gov/ecotox/explore.cfm?ncbi=80720","Explore in ECOTOX")</f>
        <v>Explore in ECOTOX</v>
      </c>
    </row>
    <row r="3344" spans="1:18" x14ac:dyDescent="0.45">
      <c r="A3344" t="s">
        <v>1265</v>
      </c>
      <c r="B3344">
        <v>8</v>
      </c>
      <c r="C3344" t="str">
        <f>HYPERLINK("http://www.ncbi.nlm.nih.gov/protein/XP_014347013.1","XP_014347013.1")</f>
        <v>XP_014347013.1</v>
      </c>
      <c r="D3344">
        <v>34481</v>
      </c>
      <c r="E3344" t="str">
        <f>HYPERLINK("http://www.ncbi.nlm.nih.gov/Taxonomy/Browser/wwwtax.cgi?mode=Info&amp;id=7897&amp;lvl=3&amp;lin=f&amp;keep=1&amp;srchmode=1&amp;unlock","7897")</f>
        <v>7897</v>
      </c>
      <c r="F3344" t="s">
        <v>179</v>
      </c>
      <c r="G3344" t="str">
        <f>HYPERLINK("http://www.ncbi.nlm.nih.gov/Taxonomy/Browser/wwwtax.cgi?mode=Info&amp;id=7897&amp;lvl=3&amp;lin=f&amp;keep=1&amp;srchmode=1&amp;unlock","Latimeria chalumnae")</f>
        <v>Latimeria chalumnae</v>
      </c>
      <c r="H3344" t="s">
        <v>180</v>
      </c>
      <c r="I3344" t="str">
        <f>HYPERLINK("http://www.ncbi.nlm.nih.gov/protein/XP_014347013.1","PREDICTED: ryanodine receptor 3")</f>
        <v>PREDICTED: ryanodine receptor 3</v>
      </c>
      <c r="J3344">
        <v>7864.22</v>
      </c>
      <c r="K3344" t="s">
        <v>22</v>
      </c>
      <c r="L3344">
        <v>76</v>
      </c>
      <c r="M3344">
        <v>12.58</v>
      </c>
      <c r="N3344">
        <v>77.400000000000006</v>
      </c>
      <c r="O3344" t="s">
        <v>19</v>
      </c>
      <c r="P3344" t="s">
        <v>1320</v>
      </c>
      <c r="Q3344" t="s">
        <v>19</v>
      </c>
      <c r="R3344" t="str">
        <f>HYPERLINK("https://cfpub.epa.gov/ecotox/explore.cfm?ncbi=7897","Explore in ECOTOX")</f>
        <v>Explore in ECOTOX</v>
      </c>
    </row>
    <row r="3345" spans="1:18" x14ac:dyDescent="0.45">
      <c r="A3345" t="s">
        <v>1265</v>
      </c>
      <c r="B3345">
        <v>8</v>
      </c>
      <c r="C3345" t="str">
        <f>HYPERLINK("http://www.ncbi.nlm.nih.gov/protein/XP_050810725.1","XP_050810725.1")</f>
        <v>XP_050810725.1</v>
      </c>
      <c r="D3345">
        <v>53772</v>
      </c>
      <c r="E3345" t="str">
        <f>HYPERLINK("http://www.ncbi.nlm.nih.gov/Taxonomy/Browser/wwwtax.cgi?mode=Info&amp;id=286002&amp;lvl=3&amp;lin=f&amp;keep=1&amp;srchmode=1&amp;unlock","286002")</f>
        <v>286002</v>
      </c>
      <c r="F3345" t="s">
        <v>203</v>
      </c>
      <c r="G3345" t="str">
        <f>HYPERLINK("http://www.ncbi.nlm.nih.gov/Taxonomy/Browser/wwwtax.cgi?mode=Info&amp;id=286002&amp;lvl=3&amp;lin=f&amp;keep=1&amp;srchmode=1&amp;unlock","Gopherus flavomarginatus")</f>
        <v>Gopherus flavomarginatus</v>
      </c>
      <c r="H3345" t="s">
        <v>204</v>
      </c>
      <c r="I3345" t="str">
        <f>HYPERLINK("http://www.ncbi.nlm.nih.gov/protein/XP_050810725.1","ryanodine receptor 3 isoform X9")</f>
        <v>ryanodine receptor 3 isoform X9</v>
      </c>
      <c r="J3345">
        <v>7859.6</v>
      </c>
      <c r="K3345" t="s">
        <v>22</v>
      </c>
      <c r="L3345">
        <v>76</v>
      </c>
      <c r="M3345">
        <v>12.58</v>
      </c>
      <c r="N3345">
        <v>77.349999999999994</v>
      </c>
      <c r="O3345" t="s">
        <v>19</v>
      </c>
      <c r="P3345" t="s">
        <v>1320</v>
      </c>
      <c r="Q3345" t="s">
        <v>19</v>
      </c>
      <c r="R3345" t="str">
        <f>HYPERLINK("https://cfpub.epa.gov/ecotox/explore.cfm?ncbi=286002","Explore in ECOTOX")</f>
        <v>Explore in ECOTOX</v>
      </c>
    </row>
    <row r="3346" spans="1:18" x14ac:dyDescent="0.45">
      <c r="A3346" t="s">
        <v>1265</v>
      </c>
      <c r="B3346">
        <v>8</v>
      </c>
      <c r="C3346" t="str">
        <f>HYPERLINK("http://www.ncbi.nlm.nih.gov/protein/XP_024057810.2","XP_024057810.2")</f>
        <v>XP_024057810.2</v>
      </c>
      <c r="D3346">
        <v>34224</v>
      </c>
      <c r="E3346" t="str">
        <f>HYPERLINK("http://www.ncbi.nlm.nih.gov/Taxonomy/Browser/wwwtax.cgi?mode=Info&amp;id=2587831&amp;lvl=3&amp;lin=f&amp;keep=1&amp;srchmode=1&amp;unlock","2587831")</f>
        <v>2587831</v>
      </c>
      <c r="F3346" t="s">
        <v>203</v>
      </c>
      <c r="G3346" t="str">
        <f>HYPERLINK("http://www.ncbi.nlm.nih.gov/Taxonomy/Browser/wwwtax.cgi?mode=Info&amp;id=2587831&amp;lvl=3&amp;lin=f&amp;keep=1&amp;srchmode=1&amp;unlock","Terrapene carolina triunguis")</f>
        <v>Terrapene carolina triunguis</v>
      </c>
      <c r="H3346" t="s">
        <v>307</v>
      </c>
      <c r="I3346" t="str">
        <f>HYPERLINK("http://www.ncbi.nlm.nih.gov/protein/XP_024057810.2","ryanodine receptor 3")</f>
        <v>ryanodine receptor 3</v>
      </c>
      <c r="J3346">
        <v>7848.43</v>
      </c>
      <c r="K3346" t="s">
        <v>22</v>
      </c>
      <c r="L3346">
        <v>76</v>
      </c>
      <c r="M3346">
        <v>12.58</v>
      </c>
      <c r="N3346">
        <v>77.239999999999995</v>
      </c>
      <c r="O3346" t="s">
        <v>19</v>
      </c>
      <c r="P3346" t="s">
        <v>1320</v>
      </c>
      <c r="Q3346" t="s">
        <v>19</v>
      </c>
      <c r="R3346" t="str">
        <f>HYPERLINK("https://cfpub.epa.gov/ecotox/explore.cfm?ncbi=2587831","Explore in ECOTOX")</f>
        <v>Explore in ECOTOX</v>
      </c>
    </row>
    <row r="3347" spans="1:18" x14ac:dyDescent="0.45">
      <c r="A3347" t="s">
        <v>1265</v>
      </c>
      <c r="B3347">
        <v>8</v>
      </c>
      <c r="C3347" t="str">
        <f>HYPERLINK("http://www.ncbi.nlm.nih.gov/protein/XP_030415277.1","XP_030415277.1")</f>
        <v>XP_030415277.1</v>
      </c>
      <c r="D3347">
        <v>50866</v>
      </c>
      <c r="E3347" t="str">
        <f>HYPERLINK("http://www.ncbi.nlm.nih.gov/Taxonomy/Browser/wwwtax.cgi?mode=Info&amp;id=1825980&amp;lvl=3&amp;lin=f&amp;keep=1&amp;srchmode=1&amp;unlock","1825980")</f>
        <v>1825980</v>
      </c>
      <c r="F3347" t="s">
        <v>203</v>
      </c>
      <c r="G3347" t="str">
        <f>HYPERLINK("http://www.ncbi.nlm.nih.gov/Taxonomy/Browser/wwwtax.cgi?mode=Info&amp;id=1825980&amp;lvl=3&amp;lin=f&amp;keep=1&amp;srchmode=1&amp;unlock","Gopherus evgoodei")</f>
        <v>Gopherus evgoodei</v>
      </c>
      <c r="H3347" t="s">
        <v>232</v>
      </c>
      <c r="I3347" t="str">
        <f>HYPERLINK("http://www.ncbi.nlm.nih.gov/protein/XP_030415277.1","LOW QUALITY PROTEIN: ryanodine receptor 3")</f>
        <v>LOW QUALITY PROTEIN: ryanodine receptor 3</v>
      </c>
      <c r="J3347">
        <v>7846.5</v>
      </c>
      <c r="K3347" t="s">
        <v>22</v>
      </c>
      <c r="L3347">
        <v>76</v>
      </c>
      <c r="M3347">
        <v>12.58</v>
      </c>
      <c r="N3347">
        <v>77.22</v>
      </c>
      <c r="O3347" t="s">
        <v>19</v>
      </c>
      <c r="P3347" t="s">
        <v>1320</v>
      </c>
      <c r="Q3347" t="s">
        <v>19</v>
      </c>
      <c r="R3347" t="str">
        <f>HYPERLINK("https://cfpub.epa.gov/ecotox/explore.cfm?ncbi=1825980","Explore in ECOTOX")</f>
        <v>Explore in ECOTOX</v>
      </c>
    </row>
    <row r="3348" spans="1:18" x14ac:dyDescent="0.45">
      <c r="A3348" t="s">
        <v>1265</v>
      </c>
      <c r="B3348">
        <v>8</v>
      </c>
      <c r="C3348" t="str">
        <f>HYPERLINK("http://www.ncbi.nlm.nih.gov/protein/XP_040268526.1","XP_040268526.1")</f>
        <v>XP_040268526.1</v>
      </c>
      <c r="D3348">
        <v>38457</v>
      </c>
      <c r="E3348" t="str">
        <f>HYPERLINK("http://www.ncbi.nlm.nih.gov/Taxonomy/Browser/wwwtax.cgi?mode=Info&amp;id=8384&amp;lvl=3&amp;lin=f&amp;keep=1&amp;srchmode=1&amp;unlock","8384")</f>
        <v>8384</v>
      </c>
      <c r="F3348" t="s">
        <v>177</v>
      </c>
      <c r="G3348" t="str">
        <f>HYPERLINK("http://www.ncbi.nlm.nih.gov/Taxonomy/Browser/wwwtax.cgi?mode=Info&amp;id=8384&amp;lvl=3&amp;lin=f&amp;keep=1&amp;srchmode=1&amp;unlock","Bufo bufo")</f>
        <v>Bufo bufo</v>
      </c>
      <c r="H3348" t="s">
        <v>181</v>
      </c>
      <c r="I3348" t="str">
        <f>HYPERLINK("http://www.ncbi.nlm.nih.gov/protein/XP_040268526.1","ryanodine receptor 3")</f>
        <v>ryanodine receptor 3</v>
      </c>
      <c r="J3348">
        <v>7844.19</v>
      </c>
      <c r="K3348" t="s">
        <v>22</v>
      </c>
      <c r="L3348">
        <v>76</v>
      </c>
      <c r="M3348">
        <v>12.58</v>
      </c>
      <c r="N3348">
        <v>77.2</v>
      </c>
      <c r="O3348" t="s">
        <v>19</v>
      </c>
      <c r="P3348" t="s">
        <v>1320</v>
      </c>
      <c r="Q3348" t="s">
        <v>19</v>
      </c>
      <c r="R3348" t="str">
        <f>HYPERLINK("https://cfpub.epa.gov/ecotox/explore.cfm?ncbi=8384","Explore in ECOTOX")</f>
        <v>Explore in ECOTOX</v>
      </c>
    </row>
    <row r="3349" spans="1:18" x14ac:dyDescent="0.45">
      <c r="A3349" t="s">
        <v>1265</v>
      </c>
      <c r="B3349">
        <v>8</v>
      </c>
      <c r="C3349" t="str">
        <f>HYPERLINK("http://www.ncbi.nlm.nih.gov/protein/XP_043405324.1","XP_043405324.1")</f>
        <v>XP_043405324.1</v>
      </c>
      <c r="D3349">
        <v>90498</v>
      </c>
      <c r="E3349" t="str">
        <f>HYPERLINK("http://www.ncbi.nlm.nih.gov/Taxonomy/Browser/wwwtax.cgi?mode=Info&amp;id=8469&amp;lvl=3&amp;lin=f&amp;keep=1&amp;srchmode=1&amp;unlock","8469")</f>
        <v>8469</v>
      </c>
      <c r="F3349" t="s">
        <v>203</v>
      </c>
      <c r="G3349" t="str">
        <f>HYPERLINK("http://www.ncbi.nlm.nih.gov/Taxonomy/Browser/wwwtax.cgi?mode=Info&amp;id=8469&amp;lvl=3&amp;lin=f&amp;keep=1&amp;srchmode=1&amp;unlock","Chelonia mydas")</f>
        <v>Chelonia mydas</v>
      </c>
      <c r="H3349" t="s">
        <v>502</v>
      </c>
      <c r="I3349" t="str">
        <f>HYPERLINK("http://www.ncbi.nlm.nih.gov/protein/XP_043405324.1","ryanodine receptor 3")</f>
        <v>ryanodine receptor 3</v>
      </c>
      <c r="J3349">
        <v>7836.49</v>
      </c>
      <c r="K3349" t="s">
        <v>22</v>
      </c>
      <c r="L3349">
        <v>76</v>
      </c>
      <c r="M3349">
        <v>12.58</v>
      </c>
      <c r="N3349">
        <v>77.12</v>
      </c>
      <c r="O3349" t="s">
        <v>19</v>
      </c>
      <c r="P3349" t="s">
        <v>1320</v>
      </c>
      <c r="Q3349" t="s">
        <v>19</v>
      </c>
      <c r="R3349" t="str">
        <f>HYPERLINK("https://cfpub.epa.gov/ecotox/explore.cfm?ncbi=8469","Explore in ECOTOX")</f>
        <v>Explore in ECOTOX</v>
      </c>
    </row>
    <row r="3350" spans="1:18" x14ac:dyDescent="0.45">
      <c r="A3350" t="s">
        <v>1265</v>
      </c>
      <c r="B3350">
        <v>8</v>
      </c>
      <c r="C3350" t="str">
        <f>HYPERLINK("http://www.ncbi.nlm.nih.gov/protein/XP_043372772.1","XP_043372772.1")</f>
        <v>XP_043372772.1</v>
      </c>
      <c r="D3350">
        <v>61243</v>
      </c>
      <c r="E3350" t="str">
        <f>HYPERLINK("http://www.ncbi.nlm.nih.gov/Taxonomy/Browser/wwwtax.cgi?mode=Info&amp;id=27794&amp;lvl=3&amp;lin=f&amp;keep=1&amp;srchmode=1&amp;unlock","27794")</f>
        <v>27794</v>
      </c>
      <c r="F3350" t="s">
        <v>203</v>
      </c>
      <c r="G3350" t="str">
        <f>HYPERLINK("http://www.ncbi.nlm.nih.gov/Taxonomy/Browser/wwwtax.cgi?mode=Info&amp;id=27794&amp;lvl=3&amp;lin=f&amp;keep=1&amp;srchmode=1&amp;unlock","Dermochelys coriacea")</f>
        <v>Dermochelys coriacea</v>
      </c>
      <c r="H3350" t="s">
        <v>218</v>
      </c>
      <c r="I3350" t="str">
        <f>HYPERLINK("http://www.ncbi.nlm.nih.gov/protein/XP_043372772.1","ryanodine receptor 3")</f>
        <v>ryanodine receptor 3</v>
      </c>
      <c r="J3350">
        <v>7833.79</v>
      </c>
      <c r="K3350" t="s">
        <v>22</v>
      </c>
      <c r="L3350">
        <v>76</v>
      </c>
      <c r="M3350">
        <v>12.58</v>
      </c>
      <c r="N3350">
        <v>77.099999999999994</v>
      </c>
      <c r="O3350" t="s">
        <v>19</v>
      </c>
      <c r="P3350" t="s">
        <v>1320</v>
      </c>
      <c r="Q3350" t="s">
        <v>19</v>
      </c>
      <c r="R3350" t="str">
        <f>HYPERLINK("https://cfpub.epa.gov/ecotox/explore.cfm?ncbi=27794","Explore in ECOTOX")</f>
        <v>Explore in ECOTOX</v>
      </c>
    </row>
    <row r="3351" spans="1:18" x14ac:dyDescent="0.45">
      <c r="A3351" t="s">
        <v>1265</v>
      </c>
      <c r="B3351">
        <v>8</v>
      </c>
      <c r="C3351" t="str">
        <f>HYPERLINK("http://www.ncbi.nlm.nih.gov/protein/TNM94653.1","TNM94653.1")</f>
        <v>TNM94653.1</v>
      </c>
      <c r="D3351">
        <v>20164</v>
      </c>
      <c r="E3351" t="str">
        <f>HYPERLINK("http://www.ncbi.nlm.nih.gov/Taxonomy/Browser/wwwtax.cgi?mode=Info&amp;id=433685&amp;lvl=3&amp;lin=f&amp;keep=1&amp;srchmode=1&amp;unlock","433685")</f>
        <v>433685</v>
      </c>
      <c r="F3351" t="s">
        <v>17</v>
      </c>
      <c r="G3351" t="str">
        <f>HYPERLINK("http://www.ncbi.nlm.nih.gov/Taxonomy/Browser/wwwtax.cgi?mode=Info&amp;id=433685&amp;lvl=3&amp;lin=f&amp;keep=1&amp;srchmode=1&amp;unlock","Takifugu bimaculatus")</f>
        <v>Takifugu bimaculatus</v>
      </c>
      <c r="H3351" t="s">
        <v>755</v>
      </c>
      <c r="I3351" t="str">
        <f>HYPERLINK("http://www.ncbi.nlm.nih.gov/protein/TNM94653.1","hypothetical protein fugu_017412")</f>
        <v>hypothetical protein fugu_017412</v>
      </c>
      <c r="J3351">
        <v>7833.4</v>
      </c>
      <c r="K3351" t="s">
        <v>22</v>
      </c>
      <c r="L3351">
        <v>76</v>
      </c>
      <c r="M3351">
        <v>12.58</v>
      </c>
      <c r="N3351">
        <v>77.09</v>
      </c>
      <c r="O3351" t="s">
        <v>19</v>
      </c>
      <c r="P3351" t="s">
        <v>1320</v>
      </c>
      <c r="Q3351" t="s">
        <v>19</v>
      </c>
      <c r="R3351" t="str">
        <f>HYPERLINK("https://cfpub.epa.gov/ecotox/explore.cfm?ncbi=433685","Explore in ECOTOX")</f>
        <v>Explore in ECOTOX</v>
      </c>
    </row>
    <row r="3352" spans="1:18" x14ac:dyDescent="0.45">
      <c r="A3352" t="s">
        <v>1265</v>
      </c>
      <c r="B3352">
        <v>8</v>
      </c>
      <c r="C3352" t="str">
        <f>HYPERLINK("http://www.ncbi.nlm.nih.gov/protein/XP_053883185.1","XP_053883185.1")</f>
        <v>XP_053883185.1</v>
      </c>
      <c r="D3352">
        <v>44760</v>
      </c>
      <c r="E3352" t="str">
        <f>HYPERLINK("http://www.ncbi.nlm.nih.gov/Taxonomy/Browser/wwwtax.cgi?mode=Info&amp;id=2991368&amp;lvl=3&amp;lin=f&amp;keep=1&amp;srchmode=1&amp;unlock","2991368")</f>
        <v>2991368</v>
      </c>
      <c r="F3352" t="s">
        <v>203</v>
      </c>
      <c r="G3352" t="str">
        <f>HYPERLINK("http://www.ncbi.nlm.nih.gov/Taxonomy/Browser/wwwtax.cgi?mode=Info&amp;id=2991368&amp;lvl=3&amp;lin=f&amp;keep=1&amp;srchmode=1&amp;unlock","Malaclemys terrapin pileata")</f>
        <v>Malaclemys terrapin pileata</v>
      </c>
      <c r="H3352" t="s">
        <v>211</v>
      </c>
      <c r="I3352" t="str">
        <f>HYPERLINK("http://www.ncbi.nlm.nih.gov/protein/XP_053883185.1","ryanodine receptor 3 isoform X11")</f>
        <v>ryanodine receptor 3 isoform X11</v>
      </c>
      <c r="J3352">
        <v>7831.48</v>
      </c>
      <c r="K3352" t="s">
        <v>22</v>
      </c>
      <c r="L3352">
        <v>76</v>
      </c>
      <c r="M3352">
        <v>12.58</v>
      </c>
      <c r="N3352">
        <v>77.08</v>
      </c>
      <c r="O3352" t="s">
        <v>19</v>
      </c>
      <c r="P3352" t="s">
        <v>1320</v>
      </c>
      <c r="Q3352" t="s">
        <v>19</v>
      </c>
      <c r="R3352" t="str">
        <f>HYPERLINK("https://cfpub.epa.gov/ecotox/explore.cfm?ncbi=2991368","Explore in ECOTOX")</f>
        <v>Explore in ECOTOX</v>
      </c>
    </row>
    <row r="3353" spans="1:18" x14ac:dyDescent="0.45">
      <c r="A3353" t="s">
        <v>1265</v>
      </c>
      <c r="B3353">
        <v>8</v>
      </c>
      <c r="C3353" t="str">
        <f>HYPERLINK("http://www.ncbi.nlm.nih.gov/protein/XP_039392137.1","XP_039392137.1")</f>
        <v>XP_039392137.1</v>
      </c>
      <c r="D3353">
        <v>67726</v>
      </c>
      <c r="E3353" t="str">
        <f>HYPERLINK("http://www.ncbi.nlm.nih.gov/Taxonomy/Browser/wwwtax.cgi?mode=Info&amp;id=260615&amp;lvl=3&amp;lin=f&amp;keep=1&amp;srchmode=1&amp;unlock","260615")</f>
        <v>260615</v>
      </c>
      <c r="F3353" t="s">
        <v>203</v>
      </c>
      <c r="G3353" t="str">
        <f>HYPERLINK("http://www.ncbi.nlm.nih.gov/Taxonomy/Browser/wwwtax.cgi?mode=Info&amp;id=260615&amp;lvl=3&amp;lin=f&amp;keep=1&amp;srchmode=1&amp;unlock","Mauremys reevesii")</f>
        <v>Mauremys reevesii</v>
      </c>
      <c r="H3353" t="s">
        <v>221</v>
      </c>
      <c r="I3353" t="str">
        <f>HYPERLINK("http://www.ncbi.nlm.nih.gov/protein/XP_039392137.1","LOW QUALITY PROTEIN: ryanodine receptor 3")</f>
        <v>LOW QUALITY PROTEIN: ryanodine receptor 3</v>
      </c>
      <c r="J3353">
        <v>7825.7</v>
      </c>
      <c r="K3353" t="s">
        <v>22</v>
      </c>
      <c r="L3353">
        <v>76</v>
      </c>
      <c r="M3353">
        <v>12.58</v>
      </c>
      <c r="N3353">
        <v>77.02</v>
      </c>
      <c r="O3353" t="s">
        <v>19</v>
      </c>
      <c r="P3353" t="s">
        <v>1320</v>
      </c>
      <c r="Q3353" t="s">
        <v>19</v>
      </c>
      <c r="R3353" t="str">
        <f>HYPERLINK("https://cfpub.epa.gov/ecotox/explore.cfm?ncbi=260615","Explore in ECOTOX")</f>
        <v>Explore in ECOTOX</v>
      </c>
    </row>
    <row r="3354" spans="1:18" x14ac:dyDescent="0.45">
      <c r="A3354" t="s">
        <v>1265</v>
      </c>
      <c r="B3354">
        <v>8</v>
      </c>
      <c r="C3354" t="str">
        <f>HYPERLINK("http://www.ncbi.nlm.nih.gov/protein/XP_044869169.1","XP_044869169.1")</f>
        <v>XP_044869169.1</v>
      </c>
      <c r="D3354">
        <v>78394</v>
      </c>
      <c r="E3354" t="str">
        <f>HYPERLINK("http://www.ncbi.nlm.nih.gov/Taxonomy/Browser/wwwtax.cgi?mode=Info&amp;id=74926&amp;lvl=3&amp;lin=f&amp;keep=1&amp;srchmode=1&amp;unlock","74926")</f>
        <v>74926</v>
      </c>
      <c r="F3354" t="s">
        <v>203</v>
      </c>
      <c r="G3354" t="str">
        <f>HYPERLINK("http://www.ncbi.nlm.nih.gov/Taxonomy/Browser/wwwtax.cgi?mode=Info&amp;id=74926&amp;lvl=3&amp;lin=f&amp;keep=1&amp;srchmode=1&amp;unlock","Mauremys mutica")</f>
        <v>Mauremys mutica</v>
      </c>
      <c r="H3354" t="s">
        <v>222</v>
      </c>
      <c r="I3354" t="str">
        <f>HYPERLINK("http://www.ncbi.nlm.nih.gov/protein/XP_044869169.1","LOW QUALITY PROTEIN: ryanodine receptor 3")</f>
        <v>LOW QUALITY PROTEIN: ryanodine receptor 3</v>
      </c>
      <c r="J3354">
        <v>7821.46</v>
      </c>
      <c r="K3354" t="s">
        <v>19</v>
      </c>
      <c r="L3354">
        <v>76</v>
      </c>
      <c r="M3354">
        <v>12.58</v>
      </c>
      <c r="N3354">
        <v>76.98</v>
      </c>
      <c r="O3354" t="s">
        <v>19</v>
      </c>
      <c r="P3354" t="s">
        <v>1320</v>
      </c>
      <c r="Q3354" t="s">
        <v>19</v>
      </c>
      <c r="R3354" t="str">
        <f>HYPERLINK("https://cfpub.epa.gov/ecotox/explore.cfm?ncbi=74926","Explore in ECOTOX")</f>
        <v>Explore in ECOTOX</v>
      </c>
    </row>
    <row r="3355" spans="1:18" x14ac:dyDescent="0.45">
      <c r="A3355" t="s">
        <v>1265</v>
      </c>
      <c r="B3355">
        <v>8</v>
      </c>
      <c r="C3355" t="str">
        <f>HYPERLINK("http://www.ncbi.nlm.nih.gov/protein/XP_053136385.1","XP_053136385.1")</f>
        <v>XP_053136385.1</v>
      </c>
      <c r="D3355">
        <v>71289</v>
      </c>
      <c r="E3355" t="str">
        <f>HYPERLINK("http://www.ncbi.nlm.nih.gov/Taxonomy/Browser/wwwtax.cgi?mode=Info&amp;id=884348&amp;lvl=3&amp;lin=f&amp;keep=1&amp;srchmode=1&amp;unlock","884348")</f>
        <v>884348</v>
      </c>
      <c r="F3355" t="s">
        <v>192</v>
      </c>
      <c r="G3355" t="str">
        <f>HYPERLINK("http://www.ncbi.nlm.nih.gov/Taxonomy/Browser/wwwtax.cgi?mode=Info&amp;id=884348&amp;lvl=3&amp;lin=f&amp;keep=1&amp;srchmode=1&amp;unlock","Hemicordylus capensis")</f>
        <v>Hemicordylus capensis</v>
      </c>
      <c r="H3355" t="s">
        <v>251</v>
      </c>
      <c r="I3355" t="str">
        <f>HYPERLINK("http://www.ncbi.nlm.nih.gov/protein/XP_053136385.1","ryanodine receptor 3 isoform X12")</f>
        <v>ryanodine receptor 3 isoform X12</v>
      </c>
      <c r="J3355">
        <v>7812.6</v>
      </c>
      <c r="K3355" t="s">
        <v>22</v>
      </c>
      <c r="L3355">
        <v>76</v>
      </c>
      <c r="M3355">
        <v>12.58</v>
      </c>
      <c r="N3355">
        <v>76.89</v>
      </c>
      <c r="O3355" t="s">
        <v>19</v>
      </c>
      <c r="P3355" t="s">
        <v>1320</v>
      </c>
      <c r="Q3355" t="s">
        <v>19</v>
      </c>
      <c r="R3355" t="str">
        <f>HYPERLINK("https://cfpub.epa.gov/ecotox/explore.cfm?ncbi=884348","Explore in ECOTOX")</f>
        <v>Explore in ECOTOX</v>
      </c>
    </row>
    <row r="3356" spans="1:18" x14ac:dyDescent="0.45">
      <c r="A3356" t="s">
        <v>1265</v>
      </c>
      <c r="B3356">
        <v>8</v>
      </c>
      <c r="C3356" t="str">
        <f>HYPERLINK("http://www.ncbi.nlm.nih.gov/protein/TFK15157.1","TFK15157.1")</f>
        <v>TFK15157.1</v>
      </c>
      <c r="D3356">
        <v>21675</v>
      </c>
      <c r="E3356" t="str">
        <f>HYPERLINK("http://www.ncbi.nlm.nih.gov/Taxonomy/Browser/wwwtax.cgi?mode=Info&amp;id=55544&amp;lvl=3&amp;lin=f&amp;keep=1&amp;srchmode=1&amp;unlock","55544")</f>
        <v>55544</v>
      </c>
      <c r="F3356" t="s">
        <v>203</v>
      </c>
      <c r="G3356" t="str">
        <f>HYPERLINK("http://www.ncbi.nlm.nih.gov/Taxonomy/Browser/wwwtax.cgi?mode=Info&amp;id=55544&amp;lvl=3&amp;lin=f&amp;keep=1&amp;srchmode=1&amp;unlock","Platysternon megacephalum")</f>
        <v>Platysternon megacephalum</v>
      </c>
      <c r="H3356" t="s">
        <v>701</v>
      </c>
      <c r="I3356" t="str">
        <f>HYPERLINK("http://www.ncbi.nlm.nih.gov/protein/TFK15157.1","cytosolic beta-glucosidase")</f>
        <v>cytosolic beta-glucosidase</v>
      </c>
      <c r="J3356">
        <v>7810.29</v>
      </c>
      <c r="K3356" t="s">
        <v>22</v>
      </c>
      <c r="L3356">
        <v>76</v>
      </c>
      <c r="M3356">
        <v>12.58</v>
      </c>
      <c r="N3356">
        <v>76.87</v>
      </c>
      <c r="O3356" t="s">
        <v>19</v>
      </c>
      <c r="P3356" t="s">
        <v>1320</v>
      </c>
      <c r="Q3356" t="s">
        <v>19</v>
      </c>
      <c r="R3356" t="str">
        <f>HYPERLINK("https://cfpub.epa.gov/ecotox/explore.cfm?ncbi=55544","Explore in ECOTOX")</f>
        <v>Explore in ECOTOX</v>
      </c>
    </row>
    <row r="3357" spans="1:18" x14ac:dyDescent="0.45">
      <c r="A3357" t="s">
        <v>1265</v>
      </c>
      <c r="B3357">
        <v>8</v>
      </c>
      <c r="C3357" t="str">
        <f>HYPERLINK("http://www.ncbi.nlm.nih.gov/protein/XP_025045235.1","XP_025045235.1")</f>
        <v>XP_025045235.1</v>
      </c>
      <c r="D3357">
        <v>39306</v>
      </c>
      <c r="E3357" t="str">
        <f>HYPERLINK("http://www.ncbi.nlm.nih.gov/Taxonomy/Browser/wwwtax.cgi?mode=Info&amp;id=13735&amp;lvl=3&amp;lin=f&amp;keep=1&amp;srchmode=1&amp;unlock","13735")</f>
        <v>13735</v>
      </c>
      <c r="F3357" t="s">
        <v>203</v>
      </c>
      <c r="G3357" t="str">
        <f>HYPERLINK("http://www.ncbi.nlm.nih.gov/Taxonomy/Browser/wwwtax.cgi?mode=Info&amp;id=13735&amp;lvl=3&amp;lin=f&amp;keep=1&amp;srchmode=1&amp;unlock","Pelodiscus sinensis")</f>
        <v>Pelodiscus sinensis</v>
      </c>
      <c r="H3357" t="s">
        <v>336</v>
      </c>
      <c r="I3357" t="str">
        <f>HYPERLINK("http://www.ncbi.nlm.nih.gov/protein/XP_025045235.1","ryanodine receptor 3 isoform X13")</f>
        <v>ryanodine receptor 3 isoform X13</v>
      </c>
      <c r="J3357">
        <v>7809.91</v>
      </c>
      <c r="K3357" t="s">
        <v>19</v>
      </c>
      <c r="L3357">
        <v>76</v>
      </c>
      <c r="M3357">
        <v>12.58</v>
      </c>
      <c r="N3357">
        <v>76.86</v>
      </c>
      <c r="O3357" t="s">
        <v>19</v>
      </c>
      <c r="P3357" t="s">
        <v>1320</v>
      </c>
      <c r="Q3357" t="s">
        <v>19</v>
      </c>
      <c r="R3357" t="str">
        <f>HYPERLINK("https://cfpub.epa.gov/ecotox/explore.cfm?ncbi=13735","Explore in ECOTOX")</f>
        <v>Explore in ECOTOX</v>
      </c>
    </row>
    <row r="3358" spans="1:18" x14ac:dyDescent="0.45">
      <c r="A3358" t="s">
        <v>1265</v>
      </c>
      <c r="B3358">
        <v>8</v>
      </c>
      <c r="C3358" t="str">
        <f>HYPERLINK("http://www.ncbi.nlm.nih.gov/protein/XP_048710595.1","XP_048710595.1")</f>
        <v>XP_048710595.1</v>
      </c>
      <c r="D3358">
        <v>54936</v>
      </c>
      <c r="E3358" t="str">
        <f>HYPERLINK("http://www.ncbi.nlm.nih.gov/Taxonomy/Browser/wwwtax.cgi?mode=Info&amp;id=8467&amp;lvl=3&amp;lin=f&amp;keep=1&amp;srchmode=1&amp;unlock","8467")</f>
        <v>8467</v>
      </c>
      <c r="F3358" t="s">
        <v>203</v>
      </c>
      <c r="G3358" t="str">
        <f>HYPERLINK("http://www.ncbi.nlm.nih.gov/Taxonomy/Browser/wwwtax.cgi?mode=Info&amp;id=8467&amp;lvl=3&amp;lin=f&amp;keep=1&amp;srchmode=1&amp;unlock","Caretta caretta")</f>
        <v>Caretta caretta</v>
      </c>
      <c r="H3358" t="s">
        <v>227</v>
      </c>
      <c r="I3358" t="str">
        <f>HYPERLINK("http://www.ncbi.nlm.nih.gov/protein/XP_048710595.1","ryanodine receptor 3")</f>
        <v>ryanodine receptor 3</v>
      </c>
      <c r="J3358">
        <v>7809.91</v>
      </c>
      <c r="K3358" t="s">
        <v>22</v>
      </c>
      <c r="L3358">
        <v>76</v>
      </c>
      <c r="M3358">
        <v>12.58</v>
      </c>
      <c r="N3358">
        <v>76.86</v>
      </c>
      <c r="O3358" t="s">
        <v>19</v>
      </c>
      <c r="P3358" t="s">
        <v>1320</v>
      </c>
      <c r="Q3358" t="s">
        <v>19</v>
      </c>
      <c r="R3358" t="str">
        <f>HYPERLINK("https://cfpub.epa.gov/ecotox/explore.cfm?ncbi=8467","Explore in ECOTOX")</f>
        <v>Explore in ECOTOX</v>
      </c>
    </row>
    <row r="3359" spans="1:18" x14ac:dyDescent="0.45">
      <c r="A3359" t="s">
        <v>1265</v>
      </c>
      <c r="B3359">
        <v>8</v>
      </c>
      <c r="C3359" t="str">
        <f>HYPERLINK("http://www.ncbi.nlm.nih.gov/protein/XP_034624885.1","XP_034624885.1")</f>
        <v>XP_034624885.1</v>
      </c>
      <c r="D3359">
        <v>42405</v>
      </c>
      <c r="E3359" t="str">
        <f>HYPERLINK("http://www.ncbi.nlm.nih.gov/Taxonomy/Browser/wwwtax.cgi?mode=Info&amp;id=31138&amp;lvl=3&amp;lin=f&amp;keep=1&amp;srchmode=1&amp;unlock","31138")</f>
        <v>31138</v>
      </c>
      <c r="F3359" t="s">
        <v>203</v>
      </c>
      <c r="G3359" t="str">
        <f>HYPERLINK("http://www.ncbi.nlm.nih.gov/Taxonomy/Browser/wwwtax.cgi?mode=Info&amp;id=31138&amp;lvl=3&amp;lin=f&amp;keep=1&amp;srchmode=1&amp;unlock","Trachemys scripta elegans")</f>
        <v>Trachemys scripta elegans</v>
      </c>
      <c r="H3359" t="s">
        <v>273</v>
      </c>
      <c r="I3359" t="str">
        <f>HYPERLINK("http://www.ncbi.nlm.nih.gov/protein/XP_034624885.1","ryanodine receptor 3")</f>
        <v>ryanodine receptor 3</v>
      </c>
      <c r="J3359">
        <v>7808.37</v>
      </c>
      <c r="K3359" t="s">
        <v>22</v>
      </c>
      <c r="L3359">
        <v>76</v>
      </c>
      <c r="M3359">
        <v>12.58</v>
      </c>
      <c r="N3359">
        <v>76.849999999999994</v>
      </c>
      <c r="O3359" t="s">
        <v>19</v>
      </c>
      <c r="P3359" t="s">
        <v>1320</v>
      </c>
      <c r="Q3359" t="s">
        <v>19</v>
      </c>
      <c r="R3359" t="str">
        <f>HYPERLINK("https://cfpub.epa.gov/ecotox/explore.cfm?ncbi=31138","Explore in ECOTOX")</f>
        <v>Explore in ECOTOX</v>
      </c>
    </row>
    <row r="3360" spans="1:18" x14ac:dyDescent="0.45">
      <c r="A3360" t="s">
        <v>1265</v>
      </c>
      <c r="B3360">
        <v>8</v>
      </c>
      <c r="C3360" t="str">
        <f>HYPERLINK("http://www.ncbi.nlm.nih.gov/protein/XP_030337463.1","XP_030337463.1")</f>
        <v>XP_030337463.1</v>
      </c>
      <c r="D3360">
        <v>43826</v>
      </c>
      <c r="E3360" t="str">
        <f>HYPERLINK("http://www.ncbi.nlm.nih.gov/Taxonomy/Browser/wwwtax.cgi?mode=Info&amp;id=2489341&amp;lvl=3&amp;lin=f&amp;keep=1&amp;srchmode=1&amp;unlock","2489341")</f>
        <v>2489341</v>
      </c>
      <c r="F3360" t="s">
        <v>241</v>
      </c>
      <c r="G3360" t="str">
        <f>HYPERLINK("http://www.ncbi.nlm.nih.gov/Taxonomy/Browser/wwwtax.cgi?mode=Info&amp;id=2489341&amp;lvl=3&amp;lin=f&amp;keep=1&amp;srchmode=1&amp;unlock","Strigops habroptila")</f>
        <v>Strigops habroptila</v>
      </c>
      <c r="H3360" t="s">
        <v>527</v>
      </c>
      <c r="I3360" t="str">
        <f>HYPERLINK("http://www.ncbi.nlm.nih.gov/protein/XP_030337463.1","ryanodine receptor 3 isoform X11")</f>
        <v>ryanodine receptor 3 isoform X11</v>
      </c>
      <c r="J3360">
        <v>7806.06</v>
      </c>
      <c r="K3360" t="s">
        <v>19</v>
      </c>
      <c r="L3360">
        <v>76</v>
      </c>
      <c r="M3360">
        <v>12.58</v>
      </c>
      <c r="N3360">
        <v>76.83</v>
      </c>
      <c r="O3360" t="s">
        <v>19</v>
      </c>
      <c r="P3360" t="s">
        <v>1320</v>
      </c>
      <c r="Q3360" t="s">
        <v>19</v>
      </c>
      <c r="R3360" t="str">
        <f>HYPERLINK("https://cfpub.epa.gov/ecotox/explore.cfm?ncbi=2489341","Explore in ECOTOX")</f>
        <v>Explore in ECOTOX</v>
      </c>
    </row>
    <row r="3361" spans="1:18" x14ac:dyDescent="0.45">
      <c r="A3361" t="s">
        <v>1265</v>
      </c>
      <c r="B3361">
        <v>8</v>
      </c>
      <c r="C3361" t="str">
        <f>HYPERLINK("http://www.ncbi.nlm.nih.gov/protein/OPJ83096.1","OPJ83096.1")</f>
        <v>OPJ83096.1</v>
      </c>
      <c r="D3361">
        <v>24828</v>
      </c>
      <c r="E3361" t="str">
        <f>HYPERLINK("http://www.ncbi.nlm.nih.gov/Taxonomy/Browser/wwwtax.cgi?mode=Info&amp;id=372326&amp;lvl=3&amp;lin=f&amp;keep=1&amp;srchmode=1&amp;unlock","372326")</f>
        <v>372326</v>
      </c>
      <c r="F3361" t="s">
        <v>241</v>
      </c>
      <c r="G3361" t="str">
        <f>HYPERLINK("http://www.ncbi.nlm.nih.gov/Taxonomy/Browser/wwwtax.cgi?mode=Info&amp;id=372326&amp;lvl=3&amp;lin=f&amp;keep=1&amp;srchmode=1&amp;unlock","Patagioenas fasciata monilis")</f>
        <v>Patagioenas fasciata monilis</v>
      </c>
      <c r="H3361" t="s">
        <v>497</v>
      </c>
      <c r="I3361" t="str">
        <f>HYPERLINK("http://www.ncbi.nlm.nih.gov/protein/OPJ83096.1","ryanodine receptor 3 isoform A")</f>
        <v>ryanodine receptor 3 isoform A</v>
      </c>
      <c r="J3361">
        <v>7800.66</v>
      </c>
      <c r="K3361" t="s">
        <v>22</v>
      </c>
      <c r="L3361">
        <v>76</v>
      </c>
      <c r="M3361">
        <v>12.58</v>
      </c>
      <c r="N3361">
        <v>76.77</v>
      </c>
      <c r="O3361" t="s">
        <v>19</v>
      </c>
      <c r="P3361" t="s">
        <v>1320</v>
      </c>
      <c r="Q3361" t="s">
        <v>19</v>
      </c>
      <c r="R3361" t="str">
        <f>HYPERLINK("https://cfpub.epa.gov/ecotox/explore.cfm?ncbi=372326","Explore in ECOTOX")</f>
        <v>Explore in ECOTOX</v>
      </c>
    </row>
    <row r="3362" spans="1:18" x14ac:dyDescent="0.45">
      <c r="A3362" t="s">
        <v>1265</v>
      </c>
      <c r="B3362">
        <v>8</v>
      </c>
      <c r="C3362" t="str">
        <f>HYPERLINK("http://www.ncbi.nlm.nih.gov/protein/XP_049681188.1","XP_049681188.1")</f>
        <v>XP_049681188.1</v>
      </c>
      <c r="D3362">
        <v>44909</v>
      </c>
      <c r="E3362" t="str">
        <f>HYPERLINK("http://www.ncbi.nlm.nih.gov/Taxonomy/Browser/wwwtax.cgi?mode=Info&amp;id=8957&amp;lvl=3&amp;lin=f&amp;keep=1&amp;srchmode=1&amp;unlock","8957")</f>
        <v>8957</v>
      </c>
      <c r="F3362" t="s">
        <v>241</v>
      </c>
      <c r="G3362" t="str">
        <f>HYPERLINK("http://www.ncbi.nlm.nih.gov/Taxonomy/Browser/wwwtax.cgi?mode=Info&amp;id=8957&amp;lvl=3&amp;lin=f&amp;keep=1&amp;srchmode=1&amp;unlock","Accipiter gentilis")</f>
        <v>Accipiter gentilis</v>
      </c>
      <c r="H3362" t="s">
        <v>478</v>
      </c>
      <c r="I3362" t="str">
        <f>HYPERLINK("http://www.ncbi.nlm.nih.gov/protein/XP_049681188.1","ryanodine receptor 3")</f>
        <v>ryanodine receptor 3</v>
      </c>
      <c r="J3362">
        <v>7799.89</v>
      </c>
      <c r="K3362" t="s">
        <v>19</v>
      </c>
      <c r="L3362">
        <v>76</v>
      </c>
      <c r="M3362">
        <v>12.58</v>
      </c>
      <c r="N3362">
        <v>76.760000000000005</v>
      </c>
      <c r="O3362" t="s">
        <v>19</v>
      </c>
      <c r="P3362" t="s">
        <v>1320</v>
      </c>
      <c r="Q3362" t="s">
        <v>19</v>
      </c>
      <c r="R3362" t="str">
        <f>HYPERLINK("https://cfpub.epa.gov/ecotox/explore.cfm?ncbi=8957","Explore in ECOTOX")</f>
        <v>Explore in ECOTOX</v>
      </c>
    </row>
    <row r="3363" spans="1:18" x14ac:dyDescent="0.45">
      <c r="A3363" t="s">
        <v>1265</v>
      </c>
      <c r="B3363">
        <v>8</v>
      </c>
      <c r="C3363" t="str">
        <f>HYPERLINK("http://www.ncbi.nlm.nih.gov/protein/XP_014797136.1","XP_014797136.1")</f>
        <v>XP_014797136.1</v>
      </c>
      <c r="D3363">
        <v>30960</v>
      </c>
      <c r="E3363" t="str">
        <f>HYPERLINK("http://www.ncbi.nlm.nih.gov/Taxonomy/Browser/wwwtax.cgi?mode=Info&amp;id=198806&amp;lvl=3&amp;lin=f&amp;keep=1&amp;srchmode=1&amp;unlock","198806")</f>
        <v>198806</v>
      </c>
      <c r="F3363" t="s">
        <v>241</v>
      </c>
      <c r="G3363" t="str">
        <f>HYPERLINK("http://www.ncbi.nlm.nih.gov/Taxonomy/Browser/wwwtax.cgi?mode=Info&amp;id=198806&amp;lvl=3&amp;lin=f&amp;keep=1&amp;srchmode=1&amp;unlock","Calidris pugnax")</f>
        <v>Calidris pugnax</v>
      </c>
      <c r="H3363" t="s">
        <v>535</v>
      </c>
      <c r="I3363" t="str">
        <f>HYPERLINK("http://www.ncbi.nlm.nih.gov/protein/XP_014797136.1","PREDICTED: ryanodine receptor 3")</f>
        <v>PREDICTED: ryanodine receptor 3</v>
      </c>
      <c r="J3363">
        <v>7799.89</v>
      </c>
      <c r="K3363" t="s">
        <v>22</v>
      </c>
      <c r="L3363">
        <v>76</v>
      </c>
      <c r="M3363">
        <v>12.58</v>
      </c>
      <c r="N3363">
        <v>76.760000000000005</v>
      </c>
      <c r="O3363" t="s">
        <v>19</v>
      </c>
      <c r="P3363" t="s">
        <v>1320</v>
      </c>
      <c r="Q3363" t="s">
        <v>19</v>
      </c>
      <c r="R3363" t="str">
        <f>HYPERLINK("https://cfpub.epa.gov/ecotox/explore.cfm?ncbi=198806","Explore in ECOTOX")</f>
        <v>Explore in ECOTOX</v>
      </c>
    </row>
    <row r="3364" spans="1:18" x14ac:dyDescent="0.45">
      <c r="A3364" t="s">
        <v>1265</v>
      </c>
      <c r="B3364">
        <v>8</v>
      </c>
      <c r="C3364" t="str">
        <f>HYPERLINK("http://www.ncbi.nlm.nih.gov/protein/XP_040556648.1","XP_040556648.1")</f>
        <v>XP_040556648.1</v>
      </c>
      <c r="D3364">
        <v>150505</v>
      </c>
      <c r="E3364" t="str">
        <f>HYPERLINK("http://www.ncbi.nlm.nih.gov/Taxonomy/Browser/wwwtax.cgi?mode=Info&amp;id=9031&amp;lvl=3&amp;lin=f&amp;keep=1&amp;srchmode=1&amp;unlock","9031")</f>
        <v>9031</v>
      </c>
      <c r="F3364" t="s">
        <v>241</v>
      </c>
      <c r="G3364" t="str">
        <f>HYPERLINK("http://www.ncbi.nlm.nih.gov/Taxonomy/Browser/wwwtax.cgi?mode=Info&amp;id=9031&amp;lvl=3&amp;lin=f&amp;keep=1&amp;srchmode=1&amp;unlock","Gallus gallus")</f>
        <v>Gallus gallus</v>
      </c>
      <c r="H3364" t="s">
        <v>242</v>
      </c>
      <c r="I3364" t="str">
        <f>HYPERLINK("http://www.ncbi.nlm.nih.gov/protein/XP_040556648.1","ryanodine receptor 3 isoform X3")</f>
        <v>ryanodine receptor 3 isoform X3</v>
      </c>
      <c r="J3364">
        <v>7799.12</v>
      </c>
      <c r="K3364" t="s">
        <v>22</v>
      </c>
      <c r="L3364">
        <v>76</v>
      </c>
      <c r="M3364">
        <v>12.58</v>
      </c>
      <c r="N3364">
        <v>76.760000000000005</v>
      </c>
      <c r="O3364" t="s">
        <v>19</v>
      </c>
      <c r="P3364" t="s">
        <v>1320</v>
      </c>
      <c r="Q3364" t="s">
        <v>19</v>
      </c>
      <c r="R3364" t="str">
        <f>HYPERLINK("https://cfpub.epa.gov/ecotox/explore.cfm?ncbi=9031","Explore in ECOTOX")</f>
        <v>Explore in ECOTOX</v>
      </c>
    </row>
    <row r="3365" spans="1:18" x14ac:dyDescent="0.45">
      <c r="A3365" t="s">
        <v>1265</v>
      </c>
      <c r="B3365">
        <v>8</v>
      </c>
      <c r="C3365" t="str">
        <f>HYPERLINK("http://www.ncbi.nlm.nih.gov/protein/XP_021257938.1","XP_021257938.1")</f>
        <v>XP_021257938.1</v>
      </c>
      <c r="D3365">
        <v>43424</v>
      </c>
      <c r="E3365" t="str">
        <f>HYPERLINK("http://www.ncbi.nlm.nih.gov/Taxonomy/Browser/wwwtax.cgi?mode=Info&amp;id=8996&amp;lvl=3&amp;lin=f&amp;keep=1&amp;srchmode=1&amp;unlock","8996")</f>
        <v>8996</v>
      </c>
      <c r="F3365" t="s">
        <v>241</v>
      </c>
      <c r="G3365" t="str">
        <f>HYPERLINK("http://www.ncbi.nlm.nih.gov/Taxonomy/Browser/wwwtax.cgi?mode=Info&amp;id=8996&amp;lvl=3&amp;lin=f&amp;keep=1&amp;srchmode=1&amp;unlock","Numida meleagris")</f>
        <v>Numida meleagris</v>
      </c>
      <c r="H3365" t="s">
        <v>243</v>
      </c>
      <c r="I3365" t="str">
        <f>HYPERLINK("http://www.ncbi.nlm.nih.gov/protein/XP_021257938.1","ryanodine receptor 3")</f>
        <v>ryanodine receptor 3</v>
      </c>
      <c r="J3365">
        <v>7795.65</v>
      </c>
      <c r="K3365" t="s">
        <v>22</v>
      </c>
      <c r="L3365">
        <v>76</v>
      </c>
      <c r="M3365">
        <v>12.58</v>
      </c>
      <c r="N3365">
        <v>76.72</v>
      </c>
      <c r="O3365" t="s">
        <v>19</v>
      </c>
      <c r="P3365" t="s">
        <v>1320</v>
      </c>
      <c r="Q3365" t="s">
        <v>19</v>
      </c>
      <c r="R3365" t="str">
        <f>HYPERLINK("https://cfpub.epa.gov/ecotox/explore.cfm?ncbi=8996","Explore in ECOTOX")</f>
        <v>Explore in ECOTOX</v>
      </c>
    </row>
    <row r="3366" spans="1:18" x14ac:dyDescent="0.45">
      <c r="A3366" t="s">
        <v>1265</v>
      </c>
      <c r="B3366">
        <v>8</v>
      </c>
      <c r="C3366" t="str">
        <f>HYPERLINK("http://www.ncbi.nlm.nih.gov/protein/XP_025931841.1","XP_025931841.1")</f>
        <v>XP_025931841.1</v>
      </c>
      <c r="D3366">
        <v>37693</v>
      </c>
      <c r="E3366" t="str">
        <f>HYPERLINK("http://www.ncbi.nlm.nih.gov/Taxonomy/Browser/wwwtax.cgi?mode=Info&amp;id=308060&amp;lvl=3&amp;lin=f&amp;keep=1&amp;srchmode=1&amp;unlock","308060")</f>
        <v>308060</v>
      </c>
      <c r="F3366" t="s">
        <v>241</v>
      </c>
      <c r="G3366" t="str">
        <f>HYPERLINK("http://www.ncbi.nlm.nih.gov/Taxonomy/Browser/wwwtax.cgi?mode=Info&amp;id=308060&amp;lvl=3&amp;lin=f&amp;keep=1&amp;srchmode=1&amp;unlock","Apteryx rowi")</f>
        <v>Apteryx rowi</v>
      </c>
      <c r="H3366" t="s">
        <v>319</v>
      </c>
      <c r="I3366" t="str">
        <f>HYPERLINK("http://www.ncbi.nlm.nih.gov/protein/XP_025931841.1","ryanodine receptor 3")</f>
        <v>ryanodine receptor 3</v>
      </c>
      <c r="J3366">
        <v>7795.65</v>
      </c>
      <c r="K3366" t="s">
        <v>22</v>
      </c>
      <c r="L3366">
        <v>76</v>
      </c>
      <c r="M3366">
        <v>12.58</v>
      </c>
      <c r="N3366">
        <v>76.72</v>
      </c>
      <c r="O3366" t="s">
        <v>19</v>
      </c>
      <c r="P3366" t="s">
        <v>1320</v>
      </c>
      <c r="Q3366" t="s">
        <v>19</v>
      </c>
      <c r="R3366" t="str">
        <f>HYPERLINK("https://cfpub.epa.gov/ecotox/explore.cfm?ncbi=308060","Explore in ECOTOX")</f>
        <v>Explore in ECOTOX</v>
      </c>
    </row>
    <row r="3367" spans="1:18" x14ac:dyDescent="0.45">
      <c r="A3367" t="s">
        <v>1265</v>
      </c>
      <c r="B3367">
        <v>8</v>
      </c>
      <c r="C3367" t="str">
        <f>HYPERLINK("http://www.ncbi.nlm.nih.gov/protein/XP_025053521.1","XP_025053521.1")</f>
        <v>XP_025053521.1</v>
      </c>
      <c r="D3367">
        <v>43415</v>
      </c>
      <c r="E3367" t="str">
        <f>HYPERLINK("http://www.ncbi.nlm.nih.gov/Taxonomy/Browser/wwwtax.cgi?mode=Info&amp;id=38654&amp;lvl=3&amp;lin=f&amp;keep=1&amp;srchmode=1&amp;unlock","38654")</f>
        <v>38654</v>
      </c>
      <c r="F3367" t="s">
        <v>214</v>
      </c>
      <c r="G3367" t="str">
        <f>HYPERLINK("http://www.ncbi.nlm.nih.gov/Taxonomy/Browser/wwwtax.cgi?mode=Info&amp;id=38654&amp;lvl=3&amp;lin=f&amp;keep=1&amp;srchmode=1&amp;unlock","Alligator sinensis")</f>
        <v>Alligator sinensis</v>
      </c>
      <c r="H3367" t="s">
        <v>559</v>
      </c>
      <c r="I3367" t="str">
        <f>HYPERLINK("http://www.ncbi.nlm.nih.gov/protein/XP_025053521.1","ryanodine receptor 3 isoform X2")</f>
        <v>ryanodine receptor 3 isoform X2</v>
      </c>
      <c r="J3367">
        <v>7795.27</v>
      </c>
      <c r="K3367" t="s">
        <v>22</v>
      </c>
      <c r="L3367">
        <v>76</v>
      </c>
      <c r="M3367">
        <v>12.58</v>
      </c>
      <c r="N3367">
        <v>76.72</v>
      </c>
      <c r="O3367" t="s">
        <v>19</v>
      </c>
      <c r="P3367" t="s">
        <v>1320</v>
      </c>
      <c r="Q3367" t="s">
        <v>19</v>
      </c>
      <c r="R3367" t="str">
        <f>HYPERLINK("https://cfpub.epa.gov/ecotox/explore.cfm?ncbi=38654","Explore in ECOTOX")</f>
        <v>Explore in ECOTOX</v>
      </c>
    </row>
    <row r="3368" spans="1:18" x14ac:dyDescent="0.45">
      <c r="A3368" t="s">
        <v>1265</v>
      </c>
      <c r="B3368">
        <v>8</v>
      </c>
      <c r="C3368" t="str">
        <f>HYPERLINK("http://www.ncbi.nlm.nih.gov/protein/XP_056666197.1","XP_056666197.1")</f>
        <v>XP_056666197.1</v>
      </c>
      <c r="D3368">
        <v>64551</v>
      </c>
      <c r="E3368" t="str">
        <f>HYPERLINK("http://www.ncbi.nlm.nih.gov/Taxonomy/Browser/wwwtax.cgi?mode=Info&amp;id=13616&amp;lvl=3&amp;lin=f&amp;keep=1&amp;srchmode=1&amp;unlock","13616")</f>
        <v>13616</v>
      </c>
      <c r="F3368" t="s">
        <v>96</v>
      </c>
      <c r="G3368" t="str">
        <f>HYPERLINK("http://www.ncbi.nlm.nih.gov/Taxonomy/Browser/wwwtax.cgi?mode=Info&amp;id=13616&amp;lvl=3&amp;lin=f&amp;keep=1&amp;srchmode=1&amp;unlock","Monodelphis domestica")</f>
        <v>Monodelphis domestica</v>
      </c>
      <c r="H3368" t="s">
        <v>376</v>
      </c>
      <c r="I3368" t="str">
        <f>HYPERLINK("http://www.ncbi.nlm.nih.gov/protein/XP_056666197.1","ryanodine receptor 3 isoform X2")</f>
        <v>ryanodine receptor 3 isoform X2</v>
      </c>
      <c r="J3368">
        <v>7794.88</v>
      </c>
      <c r="K3368" t="s">
        <v>22</v>
      </c>
      <c r="L3368">
        <v>76</v>
      </c>
      <c r="M3368">
        <v>12.58</v>
      </c>
      <c r="N3368">
        <v>76.72</v>
      </c>
      <c r="O3368" t="s">
        <v>19</v>
      </c>
      <c r="P3368" t="s">
        <v>1320</v>
      </c>
      <c r="Q3368" t="s">
        <v>19</v>
      </c>
      <c r="R3368" t="str">
        <f>HYPERLINK("https://cfpub.epa.gov/ecotox/explore.cfm?ncbi=13616","Explore in ECOTOX")</f>
        <v>Explore in ECOTOX</v>
      </c>
    </row>
    <row r="3369" spans="1:18" x14ac:dyDescent="0.45">
      <c r="A3369" t="s">
        <v>1265</v>
      </c>
      <c r="B3369">
        <v>8</v>
      </c>
      <c r="C3369" t="str">
        <f>HYPERLINK("http://www.ncbi.nlm.nih.gov/protein/XP_029325302.1","XP_029325302.1")</f>
        <v>XP_029325302.1</v>
      </c>
      <c r="D3369">
        <v>47681</v>
      </c>
      <c r="E3369" t="str">
        <f>HYPERLINK("http://www.ncbi.nlm.nih.gov/Taxonomy/Browser/wwwtax.cgi?mode=Info&amp;id=10089&amp;lvl=3&amp;lin=f&amp;keep=1&amp;srchmode=1&amp;unlock","10089")</f>
        <v>10089</v>
      </c>
      <c r="F3369" t="s">
        <v>96</v>
      </c>
      <c r="G3369" t="str">
        <f>HYPERLINK("http://www.ncbi.nlm.nih.gov/Taxonomy/Browser/wwwtax.cgi?mode=Info&amp;id=10089&amp;lvl=3&amp;lin=f&amp;keep=1&amp;srchmode=1&amp;unlock","Mus caroli")</f>
        <v>Mus caroli</v>
      </c>
      <c r="H3369" t="s">
        <v>353</v>
      </c>
      <c r="I3369" t="str">
        <f>HYPERLINK("http://www.ncbi.nlm.nih.gov/protein/XP_029325302.1","ryanodine receptor 3 isoform X1")</f>
        <v>ryanodine receptor 3 isoform X1</v>
      </c>
      <c r="J3369">
        <v>7794.5</v>
      </c>
      <c r="K3369" t="s">
        <v>22</v>
      </c>
      <c r="L3369">
        <v>76</v>
      </c>
      <c r="M3369">
        <v>12.58</v>
      </c>
      <c r="N3369">
        <v>76.709999999999994</v>
      </c>
      <c r="O3369" t="s">
        <v>19</v>
      </c>
      <c r="P3369" t="s">
        <v>1320</v>
      </c>
      <c r="Q3369" t="s">
        <v>19</v>
      </c>
      <c r="R3369" t="str">
        <f>HYPERLINK("https://cfpub.epa.gov/ecotox/explore.cfm?ncbi=10089","Explore in ECOTOX")</f>
        <v>Explore in ECOTOX</v>
      </c>
    </row>
    <row r="3370" spans="1:18" x14ac:dyDescent="0.45">
      <c r="A3370" t="s">
        <v>1265</v>
      </c>
      <c r="B3370">
        <v>8</v>
      </c>
      <c r="C3370" t="str">
        <f>HYPERLINK("http://www.ncbi.nlm.nih.gov/protein/XP_032840611.1","XP_032840611.1")</f>
        <v>XP_032840611.1</v>
      </c>
      <c r="D3370">
        <v>53398</v>
      </c>
      <c r="E3370" t="str">
        <f>HYPERLINK("http://www.ncbi.nlm.nih.gov/Taxonomy/Browser/wwwtax.cgi?mode=Info&amp;id=56313&amp;lvl=3&amp;lin=f&amp;keep=1&amp;srchmode=1&amp;unlock","56313")</f>
        <v>56313</v>
      </c>
      <c r="F3370" t="s">
        <v>241</v>
      </c>
      <c r="G3370" t="str">
        <f>HYPERLINK("http://www.ncbi.nlm.nih.gov/Taxonomy/Browser/wwwtax.cgi?mode=Info&amp;id=56313&amp;lvl=3&amp;lin=f&amp;keep=1&amp;srchmode=1&amp;unlock","Tyto alba")</f>
        <v>Tyto alba</v>
      </c>
      <c r="H3370" t="s">
        <v>266</v>
      </c>
      <c r="I3370" t="str">
        <f>HYPERLINK("http://www.ncbi.nlm.nih.gov/protein/XP_032840611.1","ryanodine receptor 3")</f>
        <v>ryanodine receptor 3</v>
      </c>
      <c r="J3370">
        <v>7794.11</v>
      </c>
      <c r="K3370" t="s">
        <v>22</v>
      </c>
      <c r="L3370">
        <v>76</v>
      </c>
      <c r="M3370">
        <v>12.58</v>
      </c>
      <c r="N3370">
        <v>76.709999999999994</v>
      </c>
      <c r="O3370" t="s">
        <v>19</v>
      </c>
      <c r="P3370" t="s">
        <v>1320</v>
      </c>
      <c r="Q3370" t="s">
        <v>19</v>
      </c>
      <c r="R3370" t="str">
        <f>HYPERLINK("https://cfpub.epa.gov/ecotox/explore.cfm?ncbi=56313","Explore in ECOTOX")</f>
        <v>Explore in ECOTOX</v>
      </c>
    </row>
    <row r="3371" spans="1:18" x14ac:dyDescent="0.45">
      <c r="A3371" t="s">
        <v>1265</v>
      </c>
      <c r="B3371">
        <v>8</v>
      </c>
      <c r="C3371" t="str">
        <f>HYPERLINK("http://www.ncbi.nlm.nih.gov/protein/XP_011947378.1","XP_011947378.1")</f>
        <v>XP_011947378.1</v>
      </c>
      <c r="D3371">
        <v>66423</v>
      </c>
      <c r="E3371" t="str">
        <f>HYPERLINK("http://www.ncbi.nlm.nih.gov/Taxonomy/Browser/wwwtax.cgi?mode=Info&amp;id=9531&amp;lvl=3&amp;lin=f&amp;keep=1&amp;srchmode=1&amp;unlock","9531")</f>
        <v>9531</v>
      </c>
      <c r="F3371" t="s">
        <v>96</v>
      </c>
      <c r="G3371" t="str">
        <f>HYPERLINK("http://www.ncbi.nlm.nih.gov/Taxonomy/Browser/wwwtax.cgi?mode=Info&amp;id=9531&amp;lvl=3&amp;lin=f&amp;keep=1&amp;srchmode=1&amp;unlock","Cercocebus atys")</f>
        <v>Cercocebus atys</v>
      </c>
      <c r="H3371" t="s">
        <v>709</v>
      </c>
      <c r="I3371" t="str">
        <f>HYPERLINK("http://www.ncbi.nlm.nih.gov/protein/XP_011947378.1","PREDICTED: ryanodine receptor 3 isoform X8")</f>
        <v>PREDICTED: ryanodine receptor 3 isoform X8</v>
      </c>
      <c r="J3371">
        <v>7793.34</v>
      </c>
      <c r="K3371" t="s">
        <v>22</v>
      </c>
      <c r="L3371">
        <v>76</v>
      </c>
      <c r="M3371">
        <v>12.58</v>
      </c>
      <c r="N3371">
        <v>76.7</v>
      </c>
      <c r="O3371" t="s">
        <v>19</v>
      </c>
      <c r="P3371" t="s">
        <v>1320</v>
      </c>
      <c r="Q3371" t="s">
        <v>19</v>
      </c>
      <c r="R3371" t="str">
        <f>HYPERLINK("https://cfpub.epa.gov/ecotox/explore.cfm?ncbi=9531","Explore in ECOTOX")</f>
        <v>Explore in ECOTOX</v>
      </c>
    </row>
    <row r="3372" spans="1:18" x14ac:dyDescent="0.45">
      <c r="A3372" t="s">
        <v>1265</v>
      </c>
      <c r="B3372">
        <v>8</v>
      </c>
      <c r="C3372" t="str">
        <f>HYPERLINK("http://www.ncbi.nlm.nih.gov/protein/XP_032045297.1","XP_032045297.1")</f>
        <v>XP_032045297.1</v>
      </c>
      <c r="D3372">
        <v>27822</v>
      </c>
      <c r="E3372" t="str">
        <f>HYPERLINK("http://www.ncbi.nlm.nih.gov/Taxonomy/Browser/wwwtax.cgi?mode=Info&amp;id=219594&amp;lvl=3&amp;lin=f&amp;keep=1&amp;srchmode=1&amp;unlock","219594")</f>
        <v>219594</v>
      </c>
      <c r="F3372" t="s">
        <v>241</v>
      </c>
      <c r="G3372" t="str">
        <f>HYPERLINK("http://www.ncbi.nlm.nih.gov/Taxonomy/Browser/wwwtax.cgi?mode=Info&amp;id=219594&amp;lvl=3&amp;lin=f&amp;keep=1&amp;srchmode=1&amp;unlock","Aythya fuligula")</f>
        <v>Aythya fuligula</v>
      </c>
      <c r="H3372" t="s">
        <v>519</v>
      </c>
      <c r="I3372" t="str">
        <f>HYPERLINK("http://www.ncbi.nlm.nih.gov/protein/XP_032045297.1","ryanodine receptor 3 isoform X8")</f>
        <v>ryanodine receptor 3 isoform X8</v>
      </c>
      <c r="J3372">
        <v>7792.96</v>
      </c>
      <c r="K3372" t="s">
        <v>22</v>
      </c>
      <c r="L3372">
        <v>76</v>
      </c>
      <c r="M3372">
        <v>12.58</v>
      </c>
      <c r="N3372">
        <v>76.7</v>
      </c>
      <c r="O3372" t="s">
        <v>19</v>
      </c>
      <c r="P3372" t="s">
        <v>1320</v>
      </c>
      <c r="Q3372" t="s">
        <v>19</v>
      </c>
      <c r="R3372" t="str">
        <f>HYPERLINK("https://cfpub.epa.gov/ecotox/explore.cfm?ncbi=219594","Explore in ECOTOX")</f>
        <v>Explore in ECOTOX</v>
      </c>
    </row>
    <row r="3373" spans="1:18" x14ac:dyDescent="0.45">
      <c r="A3373" t="s">
        <v>1265</v>
      </c>
      <c r="B3373">
        <v>8</v>
      </c>
      <c r="C3373" t="str">
        <f>HYPERLINK("http://www.ncbi.nlm.nih.gov/protein/XP_044292130.1","XP_044292130.1")</f>
        <v>XP_044292130.1</v>
      </c>
      <c r="D3373">
        <v>57848</v>
      </c>
      <c r="E3373" t="str">
        <f>HYPERLINK("http://www.ncbi.nlm.nih.gov/Taxonomy/Browser/wwwtax.cgi?mode=Info&amp;id=61221&amp;lvl=3&amp;lin=f&amp;keep=1&amp;srchmode=1&amp;unlock","61221")</f>
        <v>61221</v>
      </c>
      <c r="F3373" t="s">
        <v>192</v>
      </c>
      <c r="G3373" t="str">
        <f>HYPERLINK("http://www.ncbi.nlm.nih.gov/Taxonomy/Browser/wwwtax.cgi?mode=Info&amp;id=61221&amp;lvl=3&amp;lin=f&amp;keep=1&amp;srchmode=1&amp;unlock","Varanus komodoensis")</f>
        <v>Varanus komodoensis</v>
      </c>
      <c r="H3373" t="s">
        <v>193</v>
      </c>
      <c r="I3373" t="str">
        <f>HYPERLINK("http://www.ncbi.nlm.nih.gov/protein/XP_044292130.1","ryanodine receptor 3")</f>
        <v>ryanodine receptor 3</v>
      </c>
      <c r="J3373">
        <v>7791.42</v>
      </c>
      <c r="K3373" t="s">
        <v>22</v>
      </c>
      <c r="L3373">
        <v>76</v>
      </c>
      <c r="M3373">
        <v>12.58</v>
      </c>
      <c r="N3373">
        <v>76.680000000000007</v>
      </c>
      <c r="O3373" t="s">
        <v>19</v>
      </c>
      <c r="P3373" t="s">
        <v>1320</v>
      </c>
      <c r="Q3373" t="s">
        <v>19</v>
      </c>
      <c r="R3373" t="str">
        <f>HYPERLINK("https://cfpub.epa.gov/ecotox/explore.cfm?ncbi=61221","Explore in ECOTOX")</f>
        <v>Explore in ECOTOX</v>
      </c>
    </row>
    <row r="3374" spans="1:18" x14ac:dyDescent="0.45">
      <c r="A3374" t="s">
        <v>1265</v>
      </c>
      <c r="B3374">
        <v>8</v>
      </c>
      <c r="C3374" t="str">
        <f>HYPERLINK("http://www.ncbi.nlm.nih.gov/protein/XP_015720267.1","XP_015720267.1")</f>
        <v>XP_015720267.1</v>
      </c>
      <c r="D3374">
        <v>41859</v>
      </c>
      <c r="E3374" t="str">
        <f>HYPERLINK("http://www.ncbi.nlm.nih.gov/Taxonomy/Browser/wwwtax.cgi?mode=Info&amp;id=93934&amp;lvl=3&amp;lin=f&amp;keep=1&amp;srchmode=1&amp;unlock","93934")</f>
        <v>93934</v>
      </c>
      <c r="F3374" t="s">
        <v>241</v>
      </c>
      <c r="G3374" t="str">
        <f>HYPERLINK("http://www.ncbi.nlm.nih.gov/Taxonomy/Browser/wwwtax.cgi?mode=Info&amp;id=93934&amp;lvl=3&amp;lin=f&amp;keep=1&amp;srchmode=1&amp;unlock","Coturnix japonica")</f>
        <v>Coturnix japonica</v>
      </c>
      <c r="H3374" t="s">
        <v>555</v>
      </c>
      <c r="I3374" t="str">
        <f>HYPERLINK("http://www.ncbi.nlm.nih.gov/protein/XP_015720267.1","ryanodine receptor 3 isoform X3")</f>
        <v>ryanodine receptor 3 isoform X3</v>
      </c>
      <c r="J3374">
        <v>7791.03</v>
      </c>
      <c r="K3374" t="s">
        <v>22</v>
      </c>
      <c r="L3374">
        <v>76</v>
      </c>
      <c r="M3374">
        <v>12.58</v>
      </c>
      <c r="N3374">
        <v>76.680000000000007</v>
      </c>
      <c r="O3374" t="s">
        <v>19</v>
      </c>
      <c r="P3374" t="s">
        <v>1320</v>
      </c>
      <c r="Q3374" t="s">
        <v>19</v>
      </c>
      <c r="R3374" t="str">
        <f>HYPERLINK("https://cfpub.epa.gov/ecotox/explore.cfm?ncbi=93934","Explore in ECOTOX")</f>
        <v>Explore in ECOTOX</v>
      </c>
    </row>
    <row r="3375" spans="1:18" x14ac:dyDescent="0.45">
      <c r="A3375" t="s">
        <v>1265</v>
      </c>
      <c r="B3375">
        <v>8</v>
      </c>
      <c r="C3375" t="str">
        <f>HYPERLINK("http://www.ncbi.nlm.nih.gov/protein/XP_013796323.1","XP_013796323.1")</f>
        <v>XP_013796323.1</v>
      </c>
      <c r="D3375">
        <v>22840</v>
      </c>
      <c r="E3375" t="str">
        <f>HYPERLINK("http://www.ncbi.nlm.nih.gov/Taxonomy/Browser/wwwtax.cgi?mode=Info&amp;id=202946&amp;lvl=3&amp;lin=f&amp;keep=1&amp;srchmode=1&amp;unlock","202946")</f>
        <v>202946</v>
      </c>
      <c r="F3375" t="s">
        <v>241</v>
      </c>
      <c r="G3375" t="str">
        <f>HYPERLINK("http://www.ncbi.nlm.nih.gov/Taxonomy/Browser/wwwtax.cgi?mode=Info&amp;id=202946&amp;lvl=3&amp;lin=f&amp;keep=1&amp;srchmode=1&amp;unlock","Apteryx mantelli mantelli")</f>
        <v>Apteryx mantelli mantelli</v>
      </c>
      <c r="H3375" t="s">
        <v>341</v>
      </c>
      <c r="I3375" t="str">
        <f>HYPERLINK("http://www.ncbi.nlm.nih.gov/protein/XP_013796323.1","PREDICTED: ryanodine receptor 3")</f>
        <v>PREDICTED: ryanodine receptor 3</v>
      </c>
      <c r="J3375">
        <v>7791.03</v>
      </c>
      <c r="K3375" t="s">
        <v>22</v>
      </c>
      <c r="L3375">
        <v>76</v>
      </c>
      <c r="M3375">
        <v>12.58</v>
      </c>
      <c r="N3375">
        <v>76.680000000000007</v>
      </c>
      <c r="O3375" t="s">
        <v>19</v>
      </c>
      <c r="P3375" t="s">
        <v>1320</v>
      </c>
      <c r="Q3375" t="s">
        <v>19</v>
      </c>
      <c r="R3375" t="str">
        <f>HYPERLINK("https://cfpub.epa.gov/ecotox/explore.cfm?ncbi=202946","Explore in ECOTOX")</f>
        <v>Explore in ECOTOX</v>
      </c>
    </row>
    <row r="3376" spans="1:18" x14ac:dyDescent="0.45">
      <c r="A3376" t="s">
        <v>1265</v>
      </c>
      <c r="B3376">
        <v>8</v>
      </c>
      <c r="C3376" t="str">
        <f>HYPERLINK("http://www.ncbi.nlm.nih.gov/protein/XP_035184646.1","XP_035184646.1")</f>
        <v>XP_035184646.1</v>
      </c>
      <c r="D3376">
        <v>39835</v>
      </c>
      <c r="E3376" t="str">
        <f>HYPERLINK("http://www.ncbi.nlm.nih.gov/Taxonomy/Browser/wwwtax.cgi?mode=Info&amp;id=8884&amp;lvl=3&amp;lin=f&amp;keep=1&amp;srchmode=1&amp;unlock","8884")</f>
        <v>8884</v>
      </c>
      <c r="F3376" t="s">
        <v>241</v>
      </c>
      <c r="G3376" t="str">
        <f>HYPERLINK("http://www.ncbi.nlm.nih.gov/Taxonomy/Browser/wwwtax.cgi?mode=Info&amp;id=8884&amp;lvl=3&amp;lin=f&amp;keep=1&amp;srchmode=1&amp;unlock","Oxyura jamaicensis")</f>
        <v>Oxyura jamaicensis</v>
      </c>
      <c r="H3376" t="s">
        <v>533</v>
      </c>
      <c r="I3376" t="str">
        <f>HYPERLINK("http://www.ncbi.nlm.nih.gov/protein/XP_035184646.1","ryanodine receptor 3 isoform X10")</f>
        <v>ryanodine receptor 3 isoform X10</v>
      </c>
      <c r="J3376">
        <v>7790.26</v>
      </c>
      <c r="K3376" t="s">
        <v>22</v>
      </c>
      <c r="L3376">
        <v>76</v>
      </c>
      <c r="M3376">
        <v>12.58</v>
      </c>
      <c r="N3376">
        <v>76.67</v>
      </c>
      <c r="O3376" t="s">
        <v>19</v>
      </c>
      <c r="P3376" t="s">
        <v>1320</v>
      </c>
      <c r="Q3376" t="s">
        <v>19</v>
      </c>
      <c r="R3376" t="str">
        <f>HYPERLINK("https://cfpub.epa.gov/ecotox/explore.cfm?ncbi=8884","Explore in ECOTOX")</f>
        <v>Explore in ECOTOX</v>
      </c>
    </row>
    <row r="3377" spans="1:18" x14ac:dyDescent="0.45">
      <c r="A3377" t="s">
        <v>1265</v>
      </c>
      <c r="B3377">
        <v>8</v>
      </c>
      <c r="C3377" t="str">
        <f>HYPERLINK("http://www.ncbi.nlm.nih.gov/protein/XP_032620826.1","XP_032620826.1")</f>
        <v>XP_032620826.1</v>
      </c>
      <c r="D3377">
        <v>44415</v>
      </c>
      <c r="E3377" t="str">
        <f>HYPERLINK("http://www.ncbi.nlm.nih.gov/Taxonomy/Browser/wwwtax.cgi?mode=Info&amp;id=106734&amp;lvl=3&amp;lin=f&amp;keep=1&amp;srchmode=1&amp;unlock","106734")</f>
        <v>106734</v>
      </c>
      <c r="F3377" t="s">
        <v>203</v>
      </c>
      <c r="G3377" t="str">
        <f>HYPERLINK("http://www.ncbi.nlm.nih.gov/Taxonomy/Browser/wwwtax.cgi?mode=Info&amp;id=106734&amp;lvl=3&amp;lin=f&amp;keep=1&amp;srchmode=1&amp;unlock","Chelonoidis abingdonii")</f>
        <v>Chelonoidis abingdonii</v>
      </c>
      <c r="H3377" t="s">
        <v>742</v>
      </c>
      <c r="I3377" t="str">
        <f>HYPERLINK("http://www.ncbi.nlm.nih.gov/protein/XP_032620826.1","LOW QUALITY PROTEIN: ryanodine receptor 3-like")</f>
        <v>LOW QUALITY PROTEIN: ryanodine receptor 3-like</v>
      </c>
      <c r="J3377">
        <v>7789.11</v>
      </c>
      <c r="K3377" t="s">
        <v>22</v>
      </c>
      <c r="L3377">
        <v>76</v>
      </c>
      <c r="M3377">
        <v>12.58</v>
      </c>
      <c r="N3377">
        <v>76.66</v>
      </c>
      <c r="O3377" t="s">
        <v>19</v>
      </c>
      <c r="P3377" t="s">
        <v>1320</v>
      </c>
      <c r="Q3377" t="s">
        <v>19</v>
      </c>
      <c r="R3377" t="str">
        <f>HYPERLINK("https://cfpub.epa.gov/ecotox/explore.cfm?ncbi=106734","Explore in ECOTOX")</f>
        <v>Explore in ECOTOX</v>
      </c>
    </row>
    <row r="3378" spans="1:18" x14ac:dyDescent="0.45">
      <c r="A3378" t="s">
        <v>1265</v>
      </c>
      <c r="B3378">
        <v>8</v>
      </c>
      <c r="C3378" t="str">
        <f>HYPERLINK("http://www.ncbi.nlm.nih.gov/protein/XP_059578990.1","XP_059578990.1")</f>
        <v>XP_059578990.1</v>
      </c>
      <c r="D3378">
        <v>80366</v>
      </c>
      <c r="E3378" t="str">
        <f>HYPERLINK("http://www.ncbi.nlm.nih.gov/Taxonomy/Browser/wwwtax.cgi?mode=Info&amp;id=8496&amp;lvl=3&amp;lin=f&amp;keep=1&amp;srchmode=1&amp;unlock","8496")</f>
        <v>8496</v>
      </c>
      <c r="F3378" t="s">
        <v>214</v>
      </c>
      <c r="G3378" t="str">
        <f>HYPERLINK("http://www.ncbi.nlm.nih.gov/Taxonomy/Browser/wwwtax.cgi?mode=Info&amp;id=8496&amp;lvl=3&amp;lin=f&amp;keep=1&amp;srchmode=1&amp;unlock","Alligator mississippiensis")</f>
        <v>Alligator mississippiensis</v>
      </c>
      <c r="H3378" t="s">
        <v>215</v>
      </c>
      <c r="I3378" t="str">
        <f>HYPERLINK("http://www.ncbi.nlm.nih.gov/protein/XP_059578990.1","ryanodine receptor 3")</f>
        <v>ryanodine receptor 3</v>
      </c>
      <c r="J3378">
        <v>7789.11</v>
      </c>
      <c r="K3378" t="s">
        <v>22</v>
      </c>
      <c r="L3378">
        <v>76</v>
      </c>
      <c r="M3378">
        <v>12.58</v>
      </c>
      <c r="N3378">
        <v>76.66</v>
      </c>
      <c r="O3378" t="s">
        <v>19</v>
      </c>
      <c r="P3378" t="s">
        <v>1320</v>
      </c>
      <c r="Q3378" t="s">
        <v>19</v>
      </c>
      <c r="R3378" t="str">
        <f>HYPERLINK("https://cfpub.epa.gov/ecotox/explore.cfm?ncbi=8496","Explore in ECOTOX")</f>
        <v>Explore in ECOTOX</v>
      </c>
    </row>
    <row r="3379" spans="1:18" x14ac:dyDescent="0.45">
      <c r="A3379" t="s">
        <v>1265</v>
      </c>
      <c r="B3379">
        <v>8</v>
      </c>
      <c r="C3379" t="str">
        <f>HYPERLINK("http://www.ncbi.nlm.nih.gov/protein/XP_047914573.1","XP_047914573.1")</f>
        <v>XP_047914573.1</v>
      </c>
      <c r="D3379">
        <v>47682</v>
      </c>
      <c r="E3379" t="str">
        <f>HYPERLINK("http://www.ncbi.nlm.nih.gov/Taxonomy/Browser/wwwtax.cgi?mode=Info&amp;id=8845&amp;lvl=3&amp;lin=f&amp;keep=1&amp;srchmode=1&amp;unlock","8845")</f>
        <v>8845</v>
      </c>
      <c r="F3379" t="s">
        <v>241</v>
      </c>
      <c r="G3379" t="str">
        <f>HYPERLINK("http://www.ncbi.nlm.nih.gov/Taxonomy/Browser/wwwtax.cgi?mode=Info&amp;id=8845&amp;lvl=3&amp;lin=f&amp;keep=1&amp;srchmode=1&amp;unlock","Anser cygnoides")</f>
        <v>Anser cygnoides</v>
      </c>
      <c r="H3379" t="s">
        <v>716</v>
      </c>
      <c r="I3379" t="str">
        <f>HYPERLINK("http://www.ncbi.nlm.nih.gov/protein/XP_047914573.1","ryanodine receptor 3 isoform X13")</f>
        <v>ryanodine receptor 3 isoform X13</v>
      </c>
      <c r="J3379">
        <v>7788.34</v>
      </c>
      <c r="K3379" t="s">
        <v>22</v>
      </c>
      <c r="L3379">
        <v>76</v>
      </c>
      <c r="M3379">
        <v>12.58</v>
      </c>
      <c r="N3379">
        <v>76.650000000000006</v>
      </c>
      <c r="O3379" t="s">
        <v>19</v>
      </c>
      <c r="P3379" t="s">
        <v>1320</v>
      </c>
      <c r="Q3379" t="s">
        <v>19</v>
      </c>
      <c r="R3379" t="str">
        <f>HYPERLINK("https://cfpub.epa.gov/ecotox/explore.cfm?ncbi=8845","Explore in ECOTOX")</f>
        <v>Explore in ECOTOX</v>
      </c>
    </row>
    <row r="3380" spans="1:18" x14ac:dyDescent="0.45">
      <c r="A3380" t="s">
        <v>1265</v>
      </c>
      <c r="B3380">
        <v>8</v>
      </c>
      <c r="C3380" t="str">
        <f>HYPERLINK("http://www.ncbi.nlm.nih.gov/protein/XP_027314646.1","XP_027314646.1")</f>
        <v>XP_027314646.1</v>
      </c>
      <c r="D3380">
        <v>64066</v>
      </c>
      <c r="E3380" t="str">
        <f>HYPERLINK("http://www.ncbi.nlm.nih.gov/Taxonomy/Browser/wwwtax.cgi?mode=Info&amp;id=8839&amp;lvl=3&amp;lin=f&amp;keep=1&amp;srchmode=1&amp;unlock","8839")</f>
        <v>8839</v>
      </c>
      <c r="F3380" t="s">
        <v>241</v>
      </c>
      <c r="G3380" t="str">
        <f>HYPERLINK("http://www.ncbi.nlm.nih.gov/Taxonomy/Browser/wwwtax.cgi?mode=Info&amp;id=8839&amp;lvl=3&amp;lin=f&amp;keep=1&amp;srchmode=1&amp;unlock","Anas platyrhynchos")</f>
        <v>Anas platyrhynchos</v>
      </c>
      <c r="H3380" t="s">
        <v>541</v>
      </c>
      <c r="I3380" t="str">
        <f>HYPERLINK("http://www.ncbi.nlm.nih.gov/protein/XP_027314646.1","ryanodine receptor 3 isoform X14")</f>
        <v>ryanodine receptor 3 isoform X14</v>
      </c>
      <c r="J3380">
        <v>7787.95</v>
      </c>
      <c r="K3380" t="s">
        <v>22</v>
      </c>
      <c r="L3380">
        <v>76</v>
      </c>
      <c r="M3380">
        <v>12.58</v>
      </c>
      <c r="N3380">
        <v>76.650000000000006</v>
      </c>
      <c r="O3380" t="s">
        <v>19</v>
      </c>
      <c r="P3380" t="s">
        <v>1320</v>
      </c>
      <c r="Q3380" t="s">
        <v>19</v>
      </c>
      <c r="R3380" t="str">
        <f>HYPERLINK("https://cfpub.epa.gov/ecotox/explore.cfm?ncbi=8839","Explore in ECOTOX")</f>
        <v>Explore in ECOTOX</v>
      </c>
    </row>
    <row r="3381" spans="1:18" x14ac:dyDescent="0.45">
      <c r="A3381" t="s">
        <v>1265</v>
      </c>
      <c r="B3381">
        <v>8</v>
      </c>
      <c r="C3381" t="str">
        <f>HYPERLINK("http://www.ncbi.nlm.nih.gov/protein/XP_060616058.1","XP_060616058.1")</f>
        <v>XP_060616058.1</v>
      </c>
      <c r="D3381">
        <v>35822</v>
      </c>
      <c r="E3381" t="str">
        <f>HYPERLINK("http://www.ncbi.nlm.nih.gov/Taxonomy/Browser/wwwtax.cgi?mode=Info&amp;id=2962859&amp;lvl=3&amp;lin=f&amp;keep=1&amp;srchmode=1&amp;unlock","2962859")</f>
        <v>2962859</v>
      </c>
      <c r="F3381" t="s">
        <v>192</v>
      </c>
      <c r="G3381" t="str">
        <f>HYPERLINK("http://www.ncbi.nlm.nih.gov/Taxonomy/Browser/wwwtax.cgi?mode=Info&amp;id=2962859&amp;lvl=3&amp;lin=f&amp;keep=1&amp;srchmode=1&amp;unlock","Anolis sagrei ordinatus")</f>
        <v>Anolis sagrei ordinatus</v>
      </c>
      <c r="H3381" t="s">
        <v>248</v>
      </c>
      <c r="I3381" t="str">
        <f>HYPERLINK("http://www.ncbi.nlm.nih.gov/protein/XP_060616058.1","ryanodine receptor 3 isoform X2")</f>
        <v>ryanodine receptor 3 isoform X2</v>
      </c>
      <c r="J3381">
        <v>7786.8</v>
      </c>
      <c r="K3381" t="s">
        <v>22</v>
      </c>
      <c r="L3381">
        <v>76</v>
      </c>
      <c r="M3381">
        <v>12.58</v>
      </c>
      <c r="N3381">
        <v>76.64</v>
      </c>
      <c r="O3381" t="s">
        <v>19</v>
      </c>
      <c r="P3381" t="s">
        <v>1320</v>
      </c>
      <c r="Q3381" t="s">
        <v>19</v>
      </c>
      <c r="R3381" t="str">
        <f>HYPERLINK("https://cfpub.epa.gov/ecotox/explore.cfm?ncbi=2962859","Explore in ECOTOX")</f>
        <v>Explore in ECOTOX</v>
      </c>
    </row>
    <row r="3382" spans="1:18" x14ac:dyDescent="0.45">
      <c r="A3382" t="s">
        <v>1265</v>
      </c>
      <c r="B3382">
        <v>8</v>
      </c>
      <c r="C3382" t="str">
        <f>HYPERLINK("http://www.ncbi.nlm.nih.gov/protein/XP_042738893.1","XP_042738893.1")</f>
        <v>XP_042738893.1</v>
      </c>
      <c r="D3382">
        <v>33199</v>
      </c>
      <c r="E3382" t="str">
        <f>HYPERLINK("http://www.ncbi.nlm.nih.gov/Taxonomy/Browser/wwwtax.cgi?mode=Info&amp;id=30410&amp;lvl=3&amp;lin=f&amp;keep=1&amp;srchmode=1&amp;unlock","30410")</f>
        <v>30410</v>
      </c>
      <c r="F3382" t="s">
        <v>241</v>
      </c>
      <c r="G3382" t="str">
        <f>HYPERLINK("http://www.ncbi.nlm.nih.gov/Taxonomy/Browser/wwwtax.cgi?mode=Info&amp;id=30410&amp;lvl=3&amp;lin=f&amp;keep=1&amp;srchmode=1&amp;unlock","Lagopus leucura")</f>
        <v>Lagopus leucura</v>
      </c>
      <c r="H3382" t="s">
        <v>521</v>
      </c>
      <c r="I3382" t="str">
        <f>HYPERLINK("http://www.ncbi.nlm.nih.gov/protein/XP_042738893.1","ryanodine receptor 3 isoform X1")</f>
        <v>ryanodine receptor 3 isoform X1</v>
      </c>
      <c r="J3382">
        <v>7786.41</v>
      </c>
      <c r="K3382" t="s">
        <v>22</v>
      </c>
      <c r="L3382">
        <v>76</v>
      </c>
      <c r="M3382">
        <v>12.58</v>
      </c>
      <c r="N3382">
        <v>76.63</v>
      </c>
      <c r="O3382" t="s">
        <v>19</v>
      </c>
      <c r="P3382" t="s">
        <v>1320</v>
      </c>
      <c r="Q3382" t="s">
        <v>19</v>
      </c>
      <c r="R3382" t="str">
        <f>HYPERLINK("https://cfpub.epa.gov/ecotox/explore.cfm?ncbi=30410","Explore in ECOTOX")</f>
        <v>Explore in ECOTOX</v>
      </c>
    </row>
    <row r="3383" spans="1:18" x14ac:dyDescent="0.45">
      <c r="A3383" t="s">
        <v>1265</v>
      </c>
      <c r="B3383">
        <v>8</v>
      </c>
      <c r="C3383" t="str">
        <f>HYPERLINK("http://www.ncbi.nlm.nih.gov/protein/XP_061236155.1","XP_061236155.1")</f>
        <v>XP_061236155.1</v>
      </c>
      <c r="D3383">
        <v>38094</v>
      </c>
      <c r="E3383" t="str">
        <f>HYPERLINK("http://www.ncbi.nlm.nih.gov/Taxonomy/Browser/wwwtax.cgi?mode=Info&amp;id=309878&amp;lvl=3&amp;lin=f&amp;keep=1&amp;srchmode=1&amp;unlock","309878")</f>
        <v>309878</v>
      </c>
      <c r="F3383" t="s">
        <v>241</v>
      </c>
      <c r="G3383" t="str">
        <f>HYPERLINK("http://www.ncbi.nlm.nih.gov/Taxonomy/Browser/wwwtax.cgi?mode=Info&amp;id=309878&amp;lvl=3&amp;lin=f&amp;keep=1&amp;srchmode=1&amp;unlock","Neopsephotus bourkii")</f>
        <v>Neopsephotus bourkii</v>
      </c>
      <c r="H3383" t="s">
        <v>538</v>
      </c>
      <c r="I3383" t="str">
        <f>HYPERLINK("http://www.ncbi.nlm.nih.gov/protein/XP_061236155.1","ryanodine receptor 3 isoform X11")</f>
        <v>ryanodine receptor 3 isoform X11</v>
      </c>
      <c r="J3383">
        <v>7786.02</v>
      </c>
      <c r="K3383" t="s">
        <v>22</v>
      </c>
      <c r="L3383">
        <v>76</v>
      </c>
      <c r="M3383">
        <v>12.58</v>
      </c>
      <c r="N3383">
        <v>76.63</v>
      </c>
      <c r="O3383" t="s">
        <v>19</v>
      </c>
      <c r="P3383" t="s">
        <v>1320</v>
      </c>
      <c r="Q3383" t="s">
        <v>19</v>
      </c>
      <c r="R3383" t="str">
        <f>HYPERLINK("https://cfpub.epa.gov/ecotox/explore.cfm?ncbi=309878","Explore in ECOTOX")</f>
        <v>Explore in ECOTOX</v>
      </c>
    </row>
    <row r="3384" spans="1:18" x14ac:dyDescent="0.45">
      <c r="A3384" t="s">
        <v>1265</v>
      </c>
      <c r="B3384">
        <v>8</v>
      </c>
      <c r="C3384" t="str">
        <f>HYPERLINK("http://www.ncbi.nlm.nih.gov/protein/XP_042333667.1","XP_042333667.1")</f>
        <v>XP_042333667.1</v>
      </c>
      <c r="D3384">
        <v>43845</v>
      </c>
      <c r="E3384" t="str">
        <f>HYPERLINK("http://www.ncbi.nlm.nih.gov/Taxonomy/Browser/wwwtax.cgi?mode=Info&amp;id=8520&amp;lvl=3&amp;lin=f&amp;keep=1&amp;srchmode=1&amp;unlock","8520")</f>
        <v>8520</v>
      </c>
      <c r="F3384" t="s">
        <v>192</v>
      </c>
      <c r="G3384" t="str">
        <f>HYPERLINK("http://www.ncbi.nlm.nih.gov/Taxonomy/Browser/wwwtax.cgi?mode=Info&amp;id=8520&amp;lvl=3&amp;lin=f&amp;keep=1&amp;srchmode=1&amp;unlock","Sceloporus undulatus")</f>
        <v>Sceloporus undulatus</v>
      </c>
      <c r="H3384" t="s">
        <v>198</v>
      </c>
      <c r="I3384" t="str">
        <f>HYPERLINK("http://www.ncbi.nlm.nih.gov/protein/XP_042333667.1","LOW QUALITY PROTEIN: ryanodine receptor 3")</f>
        <v>LOW QUALITY PROTEIN: ryanodine receptor 3</v>
      </c>
      <c r="J3384">
        <v>7785.64</v>
      </c>
      <c r="K3384" t="s">
        <v>22</v>
      </c>
      <c r="L3384">
        <v>76</v>
      </c>
      <c r="M3384">
        <v>12.58</v>
      </c>
      <c r="N3384">
        <v>76.62</v>
      </c>
      <c r="O3384" t="s">
        <v>19</v>
      </c>
      <c r="P3384" t="s">
        <v>1320</v>
      </c>
      <c r="Q3384" t="s">
        <v>19</v>
      </c>
      <c r="R3384" t="str">
        <f>HYPERLINK("https://cfpub.epa.gov/ecotox/explore.cfm?ncbi=8520","Explore in ECOTOX")</f>
        <v>Explore in ECOTOX</v>
      </c>
    </row>
    <row r="3385" spans="1:18" x14ac:dyDescent="0.45">
      <c r="A3385" t="s">
        <v>1265</v>
      </c>
      <c r="B3385">
        <v>8</v>
      </c>
      <c r="C3385" t="str">
        <f>HYPERLINK("http://www.ncbi.nlm.nih.gov/protein/XP_040414293.1","XP_040414293.1")</f>
        <v>XP_040414293.1</v>
      </c>
      <c r="D3385">
        <v>47844</v>
      </c>
      <c r="E3385" t="str">
        <f>HYPERLINK("http://www.ncbi.nlm.nih.gov/Taxonomy/Browser/wwwtax.cgi?mode=Info&amp;id=8869&amp;lvl=3&amp;lin=f&amp;keep=1&amp;srchmode=1&amp;unlock","8869")</f>
        <v>8869</v>
      </c>
      <c r="F3385" t="s">
        <v>241</v>
      </c>
      <c r="G3385" t="str">
        <f>HYPERLINK("http://www.ncbi.nlm.nih.gov/Taxonomy/Browser/wwwtax.cgi?mode=Info&amp;id=8869&amp;lvl=3&amp;lin=f&amp;keep=1&amp;srchmode=1&amp;unlock","Cygnus olor")</f>
        <v>Cygnus olor</v>
      </c>
      <c r="H3385" t="s">
        <v>546</v>
      </c>
      <c r="I3385" t="str">
        <f>HYPERLINK("http://www.ncbi.nlm.nih.gov/protein/XP_040414293.1","LOW QUALITY PROTEIN: ryanodine receptor 3")</f>
        <v>LOW QUALITY PROTEIN: ryanodine receptor 3</v>
      </c>
      <c r="J3385">
        <v>7784.48</v>
      </c>
      <c r="K3385" t="s">
        <v>22</v>
      </c>
      <c r="L3385">
        <v>76</v>
      </c>
      <c r="M3385">
        <v>12.58</v>
      </c>
      <c r="N3385">
        <v>76.61</v>
      </c>
      <c r="O3385" t="s">
        <v>19</v>
      </c>
      <c r="P3385" t="s">
        <v>1320</v>
      </c>
      <c r="Q3385" t="s">
        <v>19</v>
      </c>
      <c r="R3385" t="str">
        <f>HYPERLINK("https://cfpub.epa.gov/ecotox/explore.cfm?ncbi=8869","Explore in ECOTOX")</f>
        <v>Explore in ECOTOX</v>
      </c>
    </row>
    <row r="3386" spans="1:18" x14ac:dyDescent="0.45">
      <c r="A3386" t="s">
        <v>1265</v>
      </c>
      <c r="B3386">
        <v>8</v>
      </c>
      <c r="C3386" t="str">
        <f>HYPERLINK("http://www.ncbi.nlm.nih.gov/protein/XP_054054022.1","XP_054054022.1")</f>
        <v>XP_054054022.1</v>
      </c>
      <c r="D3386">
        <v>58718</v>
      </c>
      <c r="E3386" t="str">
        <f>HYPERLINK("http://www.ncbi.nlm.nih.gov/Taxonomy/Browser/wwwtax.cgi?mode=Info&amp;id=75485&amp;lvl=3&amp;lin=f&amp;keep=1&amp;srchmode=1&amp;unlock","75485")</f>
        <v>75485</v>
      </c>
      <c r="F3386" t="s">
        <v>241</v>
      </c>
      <c r="G3386" t="str">
        <f>HYPERLINK("http://www.ncbi.nlm.nih.gov/Taxonomy/Browser/wwwtax.cgi?mode=Info&amp;id=75485&amp;lvl=3&amp;lin=f&amp;keep=1&amp;srchmode=1&amp;unlock","Rissa tridactyla")</f>
        <v>Rissa tridactyla</v>
      </c>
      <c r="H3386" t="s">
        <v>296</v>
      </c>
      <c r="I3386" t="str">
        <f>HYPERLINK("http://www.ncbi.nlm.nih.gov/protein/XP_054054022.1","ryanodine receptor 3 isoform X2")</f>
        <v>ryanodine receptor 3 isoform X2</v>
      </c>
      <c r="J3386">
        <v>7783.71</v>
      </c>
      <c r="K3386" t="s">
        <v>22</v>
      </c>
      <c r="L3386">
        <v>76</v>
      </c>
      <c r="M3386">
        <v>12.58</v>
      </c>
      <c r="N3386">
        <v>76.61</v>
      </c>
      <c r="O3386" t="s">
        <v>19</v>
      </c>
      <c r="P3386" t="s">
        <v>1320</v>
      </c>
      <c r="Q3386" t="s">
        <v>19</v>
      </c>
      <c r="R3386" t="str">
        <f>HYPERLINK("https://cfpub.epa.gov/ecotox/explore.cfm?ncbi=75485","Explore in ECOTOX")</f>
        <v>Explore in ECOTOX</v>
      </c>
    </row>
    <row r="3387" spans="1:18" x14ac:dyDescent="0.45">
      <c r="A3387" t="s">
        <v>1265</v>
      </c>
      <c r="B3387">
        <v>8</v>
      </c>
      <c r="C3387" t="str">
        <f>HYPERLINK("http://www.ncbi.nlm.nih.gov/protein/XP_054018101.1","XP_054018101.1")</f>
        <v>XP_054018101.1</v>
      </c>
      <c r="D3387">
        <v>37780</v>
      </c>
      <c r="E3387" t="str">
        <f>HYPERLINK("http://www.ncbi.nlm.nih.gov/Taxonomy/Browser/wwwtax.cgi?mode=Info&amp;id=118200&amp;lvl=3&amp;lin=f&amp;keep=1&amp;srchmode=1&amp;unlock","118200")</f>
        <v>118200</v>
      </c>
      <c r="F3387" t="s">
        <v>241</v>
      </c>
      <c r="G3387" t="str">
        <f>HYPERLINK("http://www.ncbi.nlm.nih.gov/Taxonomy/Browser/wwwtax.cgi?mode=Info&amp;id=118200&amp;lvl=3&amp;lin=f&amp;keep=1&amp;srchmode=1&amp;unlock","Dryobates pubescens")</f>
        <v>Dryobates pubescens</v>
      </c>
      <c r="H3387" t="s">
        <v>250</v>
      </c>
      <c r="I3387" t="str">
        <f>HYPERLINK("http://www.ncbi.nlm.nih.gov/protein/XP_054018101.1","ryanodine receptor 3")</f>
        <v>ryanodine receptor 3</v>
      </c>
      <c r="J3387">
        <v>7783.33</v>
      </c>
      <c r="K3387" t="s">
        <v>22</v>
      </c>
      <c r="L3387">
        <v>76</v>
      </c>
      <c r="M3387">
        <v>12.58</v>
      </c>
      <c r="N3387">
        <v>76.599999999999994</v>
      </c>
      <c r="O3387" t="s">
        <v>19</v>
      </c>
      <c r="P3387" t="s">
        <v>1320</v>
      </c>
      <c r="Q3387" t="s">
        <v>19</v>
      </c>
      <c r="R3387" t="str">
        <f>HYPERLINK("https://cfpub.epa.gov/ecotox/explore.cfm?ncbi=118200","Explore in ECOTOX")</f>
        <v>Explore in ECOTOX</v>
      </c>
    </row>
    <row r="3388" spans="1:18" x14ac:dyDescent="0.45">
      <c r="A3388" t="s">
        <v>1265</v>
      </c>
      <c r="B3388">
        <v>8</v>
      </c>
      <c r="C3388" t="str">
        <f>HYPERLINK("http://www.ncbi.nlm.nih.gov/protein/XP_029854537.1","XP_029854537.1")</f>
        <v>XP_029854537.1</v>
      </c>
      <c r="D3388">
        <v>52421</v>
      </c>
      <c r="E3388" t="str">
        <f>HYPERLINK("http://www.ncbi.nlm.nih.gov/Taxonomy/Browser/wwwtax.cgi?mode=Info&amp;id=223781&amp;lvl=3&amp;lin=f&amp;keep=1&amp;srchmode=1&amp;unlock","223781")</f>
        <v>223781</v>
      </c>
      <c r="F3388" t="s">
        <v>241</v>
      </c>
      <c r="G3388" t="str">
        <f>HYPERLINK("http://www.ncbi.nlm.nih.gov/Taxonomy/Browser/wwwtax.cgi?mode=Info&amp;id=223781&amp;lvl=3&amp;lin=f&amp;keep=1&amp;srchmode=1&amp;unlock","Aquila chrysaetos chrysaetos")</f>
        <v>Aquila chrysaetos chrysaetos</v>
      </c>
      <c r="H3388" t="s">
        <v>522</v>
      </c>
      <c r="I3388" t="str">
        <f>HYPERLINK("http://www.ncbi.nlm.nih.gov/protein/XP_029854537.1","ryanodine receptor 3 isoform X19")</f>
        <v>ryanodine receptor 3 isoform X19</v>
      </c>
      <c r="J3388">
        <v>7782.56</v>
      </c>
      <c r="K3388" t="s">
        <v>22</v>
      </c>
      <c r="L3388">
        <v>76</v>
      </c>
      <c r="M3388">
        <v>12.58</v>
      </c>
      <c r="N3388">
        <v>76.59</v>
      </c>
      <c r="O3388" t="s">
        <v>19</v>
      </c>
      <c r="P3388" t="s">
        <v>1320</v>
      </c>
      <c r="Q3388" t="s">
        <v>19</v>
      </c>
      <c r="R3388" t="str">
        <f>HYPERLINK("https://cfpub.epa.gov/ecotox/explore.cfm?ncbi=223781","Explore in ECOTOX")</f>
        <v>Explore in ECOTOX</v>
      </c>
    </row>
    <row r="3389" spans="1:18" x14ac:dyDescent="0.45">
      <c r="A3389" t="s">
        <v>1265</v>
      </c>
      <c r="B3389">
        <v>8</v>
      </c>
      <c r="C3389" t="str">
        <f>HYPERLINK("http://www.ncbi.nlm.nih.gov/protein/XP_019374511.1","XP_019374511.1")</f>
        <v>XP_019374511.1</v>
      </c>
      <c r="D3389">
        <v>27419</v>
      </c>
      <c r="E3389" t="str">
        <f>HYPERLINK("http://www.ncbi.nlm.nih.gov/Taxonomy/Browser/wwwtax.cgi?mode=Info&amp;id=94835&amp;lvl=3&amp;lin=f&amp;keep=1&amp;srchmode=1&amp;unlock","94835")</f>
        <v>94835</v>
      </c>
      <c r="F3389" t="s">
        <v>214</v>
      </c>
      <c r="G3389" t="str">
        <f>HYPERLINK("http://www.ncbi.nlm.nih.gov/Taxonomy/Browser/wwwtax.cgi?mode=Info&amp;id=94835&amp;lvl=3&amp;lin=f&amp;keep=1&amp;srchmode=1&amp;unlock","Gavialis gangeticus")</f>
        <v>Gavialis gangeticus</v>
      </c>
      <c r="H3389" t="s">
        <v>560</v>
      </c>
      <c r="I3389" t="str">
        <f>HYPERLINK("http://www.ncbi.nlm.nih.gov/protein/XP_019374511.1","PREDICTED: ryanodine receptor 3")</f>
        <v>PREDICTED: ryanodine receptor 3</v>
      </c>
      <c r="J3389">
        <v>7781.79</v>
      </c>
      <c r="K3389" t="s">
        <v>22</v>
      </c>
      <c r="L3389">
        <v>76</v>
      </c>
      <c r="M3389">
        <v>12.58</v>
      </c>
      <c r="N3389">
        <v>76.59</v>
      </c>
      <c r="O3389" t="s">
        <v>19</v>
      </c>
      <c r="P3389" t="s">
        <v>1320</v>
      </c>
      <c r="Q3389" t="s">
        <v>19</v>
      </c>
      <c r="R3389" t="str">
        <f>HYPERLINK("https://cfpub.epa.gov/ecotox/explore.cfm?ncbi=94835","Explore in ECOTOX")</f>
        <v>Explore in ECOTOX</v>
      </c>
    </row>
    <row r="3390" spans="1:18" x14ac:dyDescent="0.45">
      <c r="A3390" t="s">
        <v>1265</v>
      </c>
      <c r="B3390">
        <v>8</v>
      </c>
      <c r="C3390" t="str">
        <f>HYPERLINK("http://www.ncbi.nlm.nih.gov/protein/XP_052551392.1","XP_052551392.1")</f>
        <v>XP_052551392.1</v>
      </c>
      <c r="D3390">
        <v>41594</v>
      </c>
      <c r="E3390" t="str">
        <f>HYPERLINK("http://www.ncbi.nlm.nih.gov/Taxonomy/Browser/wwwtax.cgi?mode=Info&amp;id=109042&amp;lvl=3&amp;lin=f&amp;keep=1&amp;srchmode=1&amp;unlock","109042")</f>
        <v>109042</v>
      </c>
      <c r="F3390" t="s">
        <v>241</v>
      </c>
      <c r="G3390" t="str">
        <f>HYPERLINK("http://www.ncbi.nlm.nih.gov/Taxonomy/Browser/wwwtax.cgi?mode=Info&amp;id=109042&amp;lvl=3&amp;lin=f&amp;keep=1&amp;srchmode=1&amp;unlock","Tympanuchus pallidicinctus")</f>
        <v>Tympanuchus pallidicinctus</v>
      </c>
      <c r="H3390" t="s">
        <v>532</v>
      </c>
      <c r="I3390" t="str">
        <f>HYPERLINK("http://www.ncbi.nlm.nih.gov/protein/XP_052551392.1","ryanodine receptor 3 isoform X7")</f>
        <v>ryanodine receptor 3 isoform X7</v>
      </c>
      <c r="J3390">
        <v>7781.79</v>
      </c>
      <c r="K3390" t="s">
        <v>22</v>
      </c>
      <c r="L3390">
        <v>76</v>
      </c>
      <c r="M3390">
        <v>12.58</v>
      </c>
      <c r="N3390">
        <v>76.59</v>
      </c>
      <c r="O3390" t="s">
        <v>19</v>
      </c>
      <c r="P3390" t="s">
        <v>1320</v>
      </c>
      <c r="Q3390" t="s">
        <v>19</v>
      </c>
      <c r="R3390" t="str">
        <f>HYPERLINK("https://cfpub.epa.gov/ecotox/explore.cfm?ncbi=109042","Explore in ECOTOX")</f>
        <v>Explore in ECOTOX</v>
      </c>
    </row>
    <row r="3391" spans="1:18" x14ac:dyDescent="0.45">
      <c r="A3391" t="s">
        <v>1265</v>
      </c>
      <c r="B3391">
        <v>8</v>
      </c>
      <c r="C3391" t="str">
        <f>HYPERLINK("http://www.ncbi.nlm.nih.gov/protein/XP_019407343.1","XP_019407343.1")</f>
        <v>XP_019407343.1</v>
      </c>
      <c r="D3391">
        <v>29041</v>
      </c>
      <c r="E3391" t="str">
        <f>HYPERLINK("http://www.ncbi.nlm.nih.gov/Taxonomy/Browser/wwwtax.cgi?mode=Info&amp;id=8502&amp;lvl=3&amp;lin=f&amp;keep=1&amp;srchmode=1&amp;unlock","8502")</f>
        <v>8502</v>
      </c>
      <c r="F3391" t="s">
        <v>214</v>
      </c>
      <c r="G3391" t="str">
        <f>HYPERLINK("http://www.ncbi.nlm.nih.gov/Taxonomy/Browser/wwwtax.cgi?mode=Info&amp;id=8502&amp;lvl=3&amp;lin=f&amp;keep=1&amp;srchmode=1&amp;unlock","Crocodylus porosus")</f>
        <v>Crocodylus porosus</v>
      </c>
      <c r="H3391" t="s">
        <v>537</v>
      </c>
      <c r="I3391" t="str">
        <f>HYPERLINK("http://www.ncbi.nlm.nih.gov/protein/XP_019407343.1","PREDICTED: ryanodine receptor 3")</f>
        <v>PREDICTED: ryanodine receptor 3</v>
      </c>
      <c r="J3391">
        <v>7781.79</v>
      </c>
      <c r="K3391" t="s">
        <v>22</v>
      </c>
      <c r="L3391">
        <v>76</v>
      </c>
      <c r="M3391">
        <v>12.58</v>
      </c>
      <c r="N3391">
        <v>76.59</v>
      </c>
      <c r="O3391" t="s">
        <v>19</v>
      </c>
      <c r="P3391" t="s">
        <v>1320</v>
      </c>
      <c r="Q3391" t="s">
        <v>19</v>
      </c>
      <c r="R3391" t="str">
        <f>HYPERLINK("https://cfpub.epa.gov/ecotox/explore.cfm?ncbi=8502","Explore in ECOTOX")</f>
        <v>Explore in ECOTOX</v>
      </c>
    </row>
    <row r="3392" spans="1:18" x14ac:dyDescent="0.45">
      <c r="A3392" t="s">
        <v>1265</v>
      </c>
      <c r="B3392">
        <v>8</v>
      </c>
      <c r="C3392" t="str">
        <f>HYPERLINK("http://www.ncbi.nlm.nih.gov/protein/XP_015308076.2","XP_015308076.2")</f>
        <v>XP_015308076.2</v>
      </c>
      <c r="D3392">
        <v>126190</v>
      </c>
      <c r="E3392" t="str">
        <f>HYPERLINK("http://www.ncbi.nlm.nih.gov/Taxonomy/Browser/wwwtax.cgi?mode=Info&amp;id=9541&amp;lvl=3&amp;lin=f&amp;keep=1&amp;srchmode=1&amp;unlock","9541")</f>
        <v>9541</v>
      </c>
      <c r="F3392" t="s">
        <v>96</v>
      </c>
      <c r="G3392" t="str">
        <f>HYPERLINK("http://www.ncbi.nlm.nih.gov/Taxonomy/Browser/wwwtax.cgi?mode=Info&amp;id=9541&amp;lvl=3&amp;lin=f&amp;keep=1&amp;srchmode=1&amp;unlock","Macaca fascicularis")</f>
        <v>Macaca fascicularis</v>
      </c>
      <c r="H3392" t="s">
        <v>331</v>
      </c>
      <c r="I3392" t="str">
        <f>HYPERLINK("http://www.ncbi.nlm.nih.gov/protein/XP_015308076.2","ryanodine receptor 3 isoform X5")</f>
        <v>ryanodine receptor 3 isoform X5</v>
      </c>
      <c r="J3392">
        <v>7781.02</v>
      </c>
      <c r="K3392" t="s">
        <v>22</v>
      </c>
      <c r="L3392">
        <v>76</v>
      </c>
      <c r="M3392">
        <v>12.58</v>
      </c>
      <c r="N3392">
        <v>76.58</v>
      </c>
      <c r="O3392" t="s">
        <v>19</v>
      </c>
      <c r="P3392" t="s">
        <v>1320</v>
      </c>
      <c r="Q3392" t="s">
        <v>19</v>
      </c>
      <c r="R3392" t="str">
        <f>HYPERLINK("https://cfpub.epa.gov/ecotox/explore.cfm?ncbi=9541","Explore in ECOTOX")</f>
        <v>Explore in ECOTOX</v>
      </c>
    </row>
    <row r="3393" spans="1:18" x14ac:dyDescent="0.45">
      <c r="A3393" t="s">
        <v>1265</v>
      </c>
      <c r="B3393">
        <v>8</v>
      </c>
      <c r="C3393" t="str">
        <f>HYPERLINK("http://www.ncbi.nlm.nih.gov/protein/XP_054682164.1","XP_054682164.1")</f>
        <v>XP_054682164.1</v>
      </c>
      <c r="D3393">
        <v>62634</v>
      </c>
      <c r="E3393" t="str">
        <f>HYPERLINK("http://www.ncbi.nlm.nih.gov/Taxonomy/Browser/wwwtax.cgi?mode=Info&amp;id=9117&amp;lvl=3&amp;lin=f&amp;keep=1&amp;srchmode=1&amp;unlock","9117")</f>
        <v>9117</v>
      </c>
      <c r="F3393" t="s">
        <v>241</v>
      </c>
      <c r="G3393" t="str">
        <f>HYPERLINK("http://www.ncbi.nlm.nih.gov/Taxonomy/Browser/wwwtax.cgi?mode=Info&amp;id=9117&amp;lvl=3&amp;lin=f&amp;keep=1&amp;srchmode=1&amp;unlock","Grus americana")</f>
        <v>Grus americana</v>
      </c>
      <c r="H3393" t="s">
        <v>292</v>
      </c>
      <c r="I3393" t="str">
        <f>HYPERLINK("http://www.ncbi.nlm.nih.gov/protein/XP_054682164.1","ryanodine receptor 3 isoform X4")</f>
        <v>ryanodine receptor 3 isoform X4</v>
      </c>
      <c r="J3393">
        <v>7780.63</v>
      </c>
      <c r="K3393" t="s">
        <v>22</v>
      </c>
      <c r="L3393">
        <v>76</v>
      </c>
      <c r="M3393">
        <v>12.58</v>
      </c>
      <c r="N3393">
        <v>76.569999999999993</v>
      </c>
      <c r="O3393" t="s">
        <v>19</v>
      </c>
      <c r="P3393" t="s">
        <v>1320</v>
      </c>
      <c r="Q3393" t="s">
        <v>19</v>
      </c>
      <c r="R3393" t="str">
        <f>HYPERLINK("https://cfpub.epa.gov/ecotox/explore.cfm?ncbi=9117","Explore in ECOTOX")</f>
        <v>Explore in ECOTOX</v>
      </c>
    </row>
    <row r="3394" spans="1:18" x14ac:dyDescent="0.45">
      <c r="A3394" t="s">
        <v>1265</v>
      </c>
      <c r="B3394">
        <v>8</v>
      </c>
      <c r="C3394" t="str">
        <f>HYPERLINK("http://www.ncbi.nlm.nih.gov/protein/XP_031449582.1","XP_031449582.1")</f>
        <v>XP_031449582.1</v>
      </c>
      <c r="D3394">
        <v>29436</v>
      </c>
      <c r="E3394" t="str">
        <f>HYPERLINK("http://www.ncbi.nlm.nih.gov/Taxonomy/Browser/wwwtax.cgi?mode=Info&amp;id=9054&amp;lvl=3&amp;lin=f&amp;keep=1&amp;srchmode=1&amp;unlock","9054")</f>
        <v>9054</v>
      </c>
      <c r="F3394" t="s">
        <v>241</v>
      </c>
      <c r="G3394" t="str">
        <f>HYPERLINK("http://www.ncbi.nlm.nih.gov/Taxonomy/Browser/wwwtax.cgi?mode=Info&amp;id=9054&amp;lvl=3&amp;lin=f&amp;keep=1&amp;srchmode=1&amp;unlock","Phasianus colchicus")</f>
        <v>Phasianus colchicus</v>
      </c>
      <c r="H3394" t="s">
        <v>245</v>
      </c>
      <c r="I3394" t="str">
        <f>HYPERLINK("http://www.ncbi.nlm.nih.gov/protein/XP_031449582.1","ryanodine receptor 3")</f>
        <v>ryanodine receptor 3</v>
      </c>
      <c r="J3394">
        <v>7780.63</v>
      </c>
      <c r="K3394" t="s">
        <v>22</v>
      </c>
      <c r="L3394">
        <v>76</v>
      </c>
      <c r="M3394">
        <v>12.58</v>
      </c>
      <c r="N3394">
        <v>76.569999999999993</v>
      </c>
      <c r="O3394" t="s">
        <v>19</v>
      </c>
      <c r="P3394" t="s">
        <v>1320</v>
      </c>
      <c r="Q3394" t="s">
        <v>19</v>
      </c>
      <c r="R3394" t="str">
        <f>HYPERLINK("https://cfpub.epa.gov/ecotox/explore.cfm?ncbi=9054","Explore in ECOTOX")</f>
        <v>Explore in ECOTOX</v>
      </c>
    </row>
    <row r="3395" spans="1:18" x14ac:dyDescent="0.45">
      <c r="A3395" t="s">
        <v>1265</v>
      </c>
      <c r="B3395">
        <v>8</v>
      </c>
      <c r="C3395" t="str">
        <f>HYPERLINK("http://www.ncbi.nlm.nih.gov/protein/PNJ08353.1","PNJ08353.1")</f>
        <v>PNJ08353.1</v>
      </c>
      <c r="D3395">
        <v>166350</v>
      </c>
      <c r="E3395" t="str">
        <f>HYPERLINK("http://www.ncbi.nlm.nih.gov/Taxonomy/Browser/wwwtax.cgi?mode=Info&amp;id=9601&amp;lvl=3&amp;lin=f&amp;keep=1&amp;srchmode=1&amp;unlock","9601")</f>
        <v>9601</v>
      </c>
      <c r="F3395" t="s">
        <v>96</v>
      </c>
      <c r="G3395" t="str">
        <f>HYPERLINK("http://www.ncbi.nlm.nih.gov/Taxonomy/Browser/wwwtax.cgi?mode=Info&amp;id=9601&amp;lvl=3&amp;lin=f&amp;keep=1&amp;srchmode=1&amp;unlock","Pongo abelii")</f>
        <v>Pongo abelii</v>
      </c>
      <c r="H3395" t="s">
        <v>548</v>
      </c>
      <c r="I3395" t="str">
        <f>HYPERLINK("http://www.ncbi.nlm.nih.gov/protein/PNJ08353.1","RYR3 isoform 4")</f>
        <v>RYR3 isoform 4</v>
      </c>
      <c r="J3395">
        <v>7780.63</v>
      </c>
      <c r="K3395" t="s">
        <v>22</v>
      </c>
      <c r="L3395">
        <v>76</v>
      </c>
      <c r="M3395">
        <v>12.58</v>
      </c>
      <c r="N3395">
        <v>76.569999999999993</v>
      </c>
      <c r="O3395" t="s">
        <v>19</v>
      </c>
      <c r="P3395" t="s">
        <v>1320</v>
      </c>
      <c r="Q3395" t="s">
        <v>19</v>
      </c>
      <c r="R3395" t="str">
        <f>HYPERLINK("https://cfpub.epa.gov/ecotox/explore.cfm?ncbi=9601","Explore in ECOTOX")</f>
        <v>Explore in ECOTOX</v>
      </c>
    </row>
    <row r="3396" spans="1:18" x14ac:dyDescent="0.45">
      <c r="A3396" t="s">
        <v>1265</v>
      </c>
      <c r="B3396">
        <v>8</v>
      </c>
      <c r="C3396" t="str">
        <f>HYPERLINK("http://www.ncbi.nlm.nih.gov/protein/XP_028577930.1","XP_028577930.1")</f>
        <v>XP_028577930.1</v>
      </c>
      <c r="D3396">
        <v>51309</v>
      </c>
      <c r="E3396" t="str">
        <f>HYPERLINK("http://www.ncbi.nlm.nih.gov/Taxonomy/Browser/wwwtax.cgi?mode=Info&amp;id=64176&amp;lvl=3&amp;lin=f&amp;keep=1&amp;srchmode=1&amp;unlock","64176")</f>
        <v>64176</v>
      </c>
      <c r="F3396" t="s">
        <v>192</v>
      </c>
      <c r="G3396" t="str">
        <f>HYPERLINK("http://www.ncbi.nlm.nih.gov/Taxonomy/Browser/wwwtax.cgi?mode=Info&amp;id=64176&amp;lvl=3&amp;lin=f&amp;keep=1&amp;srchmode=1&amp;unlock","Podarcis muralis")</f>
        <v>Podarcis muralis</v>
      </c>
      <c r="H3396" t="s">
        <v>223</v>
      </c>
      <c r="I3396" t="str">
        <f>HYPERLINK("http://www.ncbi.nlm.nih.gov/protein/XP_028577930.1","ryanodine receptor 3")</f>
        <v>ryanodine receptor 3</v>
      </c>
      <c r="J3396">
        <v>7780.25</v>
      </c>
      <c r="K3396" t="s">
        <v>22</v>
      </c>
      <c r="L3396">
        <v>76</v>
      </c>
      <c r="M3396">
        <v>12.58</v>
      </c>
      <c r="N3396">
        <v>76.569999999999993</v>
      </c>
      <c r="O3396" t="s">
        <v>19</v>
      </c>
      <c r="P3396" t="s">
        <v>1320</v>
      </c>
      <c r="Q3396" t="s">
        <v>19</v>
      </c>
      <c r="R3396" t="str">
        <f>HYPERLINK("https://cfpub.epa.gov/ecotox/explore.cfm?ncbi=64176","Explore in ECOTOX")</f>
        <v>Explore in ECOTOX</v>
      </c>
    </row>
    <row r="3397" spans="1:18" x14ac:dyDescent="0.45">
      <c r="A3397" t="s">
        <v>1265</v>
      </c>
      <c r="B3397">
        <v>8</v>
      </c>
      <c r="C3397" t="str">
        <f>HYPERLINK("http://www.ncbi.nlm.nih.gov/protein/XP_040130259.1","XP_040130259.1")</f>
        <v>XP_040130259.1</v>
      </c>
      <c r="D3397">
        <v>94499</v>
      </c>
      <c r="E3397" t="str">
        <f>HYPERLINK("http://www.ncbi.nlm.nih.gov/Taxonomy/Browser/wwwtax.cgi?mode=Info&amp;id=43179&amp;lvl=3&amp;lin=f&amp;keep=1&amp;srchmode=1&amp;unlock","43179")</f>
        <v>43179</v>
      </c>
      <c r="F3397" t="s">
        <v>96</v>
      </c>
      <c r="G3397" t="str">
        <f>HYPERLINK("http://www.ncbi.nlm.nih.gov/Taxonomy/Browser/wwwtax.cgi?mode=Info&amp;id=43179&amp;lvl=3&amp;lin=f&amp;keep=1&amp;srchmode=1&amp;unlock","Ictidomys tridecemlineatus")</f>
        <v>Ictidomys tridecemlineatus</v>
      </c>
      <c r="H3397" t="s">
        <v>649</v>
      </c>
      <c r="I3397" t="str">
        <f>HYPERLINK("http://www.ncbi.nlm.nih.gov/protein/XP_040130259.1","ryanodine receptor 3 isoform X1")</f>
        <v>ryanodine receptor 3 isoform X1</v>
      </c>
      <c r="J3397">
        <v>7780.25</v>
      </c>
      <c r="K3397" t="s">
        <v>22</v>
      </c>
      <c r="L3397">
        <v>76</v>
      </c>
      <c r="M3397">
        <v>12.58</v>
      </c>
      <c r="N3397">
        <v>76.569999999999993</v>
      </c>
      <c r="O3397" t="s">
        <v>19</v>
      </c>
      <c r="P3397" t="s">
        <v>1320</v>
      </c>
      <c r="Q3397" t="s">
        <v>19</v>
      </c>
      <c r="R3397" t="str">
        <f>HYPERLINK("https://cfpub.epa.gov/ecotox/explore.cfm?ncbi=43179","Explore in ECOTOX")</f>
        <v>Explore in ECOTOX</v>
      </c>
    </row>
    <row r="3398" spans="1:18" x14ac:dyDescent="0.45">
      <c r="A3398" t="s">
        <v>1265</v>
      </c>
      <c r="B3398">
        <v>8</v>
      </c>
      <c r="C3398" t="str">
        <f>HYPERLINK("http://www.ncbi.nlm.nih.gov/protein/XP_037598305.1","XP_037598305.1")</f>
        <v>XP_037598305.1</v>
      </c>
      <c r="D3398">
        <v>55947</v>
      </c>
      <c r="E3398" t="str">
        <f>HYPERLINK("http://www.ncbi.nlm.nih.gov/Taxonomy/Browser/wwwtax.cgi?mode=Info&amp;id=2715852&amp;lvl=3&amp;lin=f&amp;keep=1&amp;srchmode=1&amp;unlock","2715852")</f>
        <v>2715852</v>
      </c>
      <c r="F3398" t="s">
        <v>96</v>
      </c>
      <c r="G3398" t="str">
        <f>HYPERLINK("http://www.ncbi.nlm.nih.gov/Taxonomy/Browser/wwwtax.cgi?mode=Info&amp;id=2715852&amp;lvl=3&amp;lin=f&amp;keep=1&amp;srchmode=1&amp;unlock","Cebus imitator")</f>
        <v>Cebus imitator</v>
      </c>
      <c r="H3398" t="s">
        <v>425</v>
      </c>
      <c r="I3398" t="str">
        <f>HYPERLINK("http://www.ncbi.nlm.nih.gov/protein/XP_037598305.1","ryanodine receptor 3 isoform X2")</f>
        <v>ryanodine receptor 3 isoform X2</v>
      </c>
      <c r="J3398">
        <v>7779.48</v>
      </c>
      <c r="K3398" t="s">
        <v>22</v>
      </c>
      <c r="L3398">
        <v>76</v>
      </c>
      <c r="M3398">
        <v>12.58</v>
      </c>
      <c r="N3398">
        <v>76.56</v>
      </c>
      <c r="O3398" t="s">
        <v>19</v>
      </c>
      <c r="P3398" t="s">
        <v>1320</v>
      </c>
      <c r="Q3398" t="s">
        <v>19</v>
      </c>
      <c r="R3398" t="str">
        <f>HYPERLINK("https://cfpub.epa.gov/ecotox/explore.cfm?ncbi=2715852","Explore in ECOTOX")</f>
        <v>Explore in ECOTOX</v>
      </c>
    </row>
    <row r="3399" spans="1:18" x14ac:dyDescent="0.45">
      <c r="A3399" t="s">
        <v>1265</v>
      </c>
      <c r="B3399">
        <v>8</v>
      </c>
      <c r="C3399" t="str">
        <f>HYPERLINK("http://www.ncbi.nlm.nih.gov/protein/XP_005149331.2","XP_005149331.2")</f>
        <v>XP_005149331.2</v>
      </c>
      <c r="D3399">
        <v>29330</v>
      </c>
      <c r="E3399" t="str">
        <f>HYPERLINK("http://www.ncbi.nlm.nih.gov/Taxonomy/Browser/wwwtax.cgi?mode=Info&amp;id=13146&amp;lvl=3&amp;lin=f&amp;keep=1&amp;srchmode=1&amp;unlock","13146")</f>
        <v>13146</v>
      </c>
      <c r="F3399" t="s">
        <v>241</v>
      </c>
      <c r="G3399" t="str">
        <f>HYPERLINK("http://www.ncbi.nlm.nih.gov/Taxonomy/Browser/wwwtax.cgi?mode=Info&amp;id=13146&amp;lvl=3&amp;lin=f&amp;keep=1&amp;srchmode=1&amp;unlock","Melopsittacus undulatus")</f>
        <v>Melopsittacus undulatus</v>
      </c>
      <c r="H3399" t="s">
        <v>564</v>
      </c>
      <c r="I3399" t="str">
        <f>HYPERLINK("http://www.ncbi.nlm.nih.gov/protein/XP_005149331.2","ryanodine receptor 3")</f>
        <v>ryanodine receptor 3</v>
      </c>
      <c r="J3399">
        <v>7779.09</v>
      </c>
      <c r="K3399" t="s">
        <v>22</v>
      </c>
      <c r="L3399">
        <v>76</v>
      </c>
      <c r="M3399">
        <v>12.58</v>
      </c>
      <c r="N3399">
        <v>76.56</v>
      </c>
      <c r="O3399" t="s">
        <v>19</v>
      </c>
      <c r="P3399" t="s">
        <v>1320</v>
      </c>
      <c r="Q3399" t="s">
        <v>19</v>
      </c>
      <c r="R3399" t="str">
        <f>HYPERLINK("https://cfpub.epa.gov/ecotox/explore.cfm?ncbi=13146","Explore in ECOTOX")</f>
        <v>Explore in ECOTOX</v>
      </c>
    </row>
    <row r="3400" spans="1:18" x14ac:dyDescent="0.45">
      <c r="A3400" t="s">
        <v>1265</v>
      </c>
      <c r="B3400">
        <v>8</v>
      </c>
      <c r="C3400" t="str">
        <f>HYPERLINK("http://www.ncbi.nlm.nih.gov/protein/XP_057276097.1","XP_057276097.1")</f>
        <v>XP_057276097.1</v>
      </c>
      <c r="D3400">
        <v>36893</v>
      </c>
      <c r="E3400" t="str">
        <f>HYPERLINK("http://www.ncbi.nlm.nih.gov/Taxonomy/Browser/wwwtax.cgi?mode=Info&amp;id=35540&amp;lvl=3&amp;lin=f&amp;keep=1&amp;srchmode=1&amp;unlock","35540")</f>
        <v>35540</v>
      </c>
      <c r="F3400" t="s">
        <v>241</v>
      </c>
      <c r="G3400" t="str">
        <f>HYPERLINK("http://www.ncbi.nlm.nih.gov/Taxonomy/Browser/wwwtax.cgi?mode=Info&amp;id=35540&amp;lvl=3&amp;lin=f&amp;keep=1&amp;srchmode=1&amp;unlock","Pezoporus wallicus")</f>
        <v>Pezoporus wallicus</v>
      </c>
      <c r="H3400" t="s">
        <v>524</v>
      </c>
      <c r="I3400" t="str">
        <f>HYPERLINK("http://www.ncbi.nlm.nih.gov/protein/XP_057276097.1","ryanodine receptor 3 isoform X7")</f>
        <v>ryanodine receptor 3 isoform X7</v>
      </c>
      <c r="J3400">
        <v>7777.55</v>
      </c>
      <c r="K3400" t="s">
        <v>22</v>
      </c>
      <c r="L3400">
        <v>76</v>
      </c>
      <c r="M3400">
        <v>12.58</v>
      </c>
      <c r="N3400">
        <v>76.540000000000006</v>
      </c>
      <c r="O3400" t="s">
        <v>19</v>
      </c>
      <c r="P3400" t="s">
        <v>1320</v>
      </c>
      <c r="Q3400" t="s">
        <v>19</v>
      </c>
      <c r="R3400" t="str">
        <f>HYPERLINK("https://cfpub.epa.gov/ecotox/explore.cfm?ncbi=35540","Explore in ECOTOX")</f>
        <v>Explore in ECOTOX</v>
      </c>
    </row>
    <row r="3401" spans="1:18" x14ac:dyDescent="0.45">
      <c r="A3401" t="s">
        <v>1265</v>
      </c>
      <c r="B3401">
        <v>8</v>
      </c>
      <c r="C3401" t="str">
        <f>HYPERLINK("http://www.ncbi.nlm.nih.gov/protein/XP_061319361.1","XP_061319361.1")</f>
        <v>XP_061319361.1</v>
      </c>
      <c r="D3401">
        <v>39521</v>
      </c>
      <c r="E3401" t="str">
        <f>HYPERLINK("http://www.ncbi.nlm.nih.gov/Taxonomy/Browser/wwwtax.cgi?mode=Info&amp;id=889875&amp;lvl=3&amp;lin=f&amp;keep=1&amp;srchmode=1&amp;unlock","889875")</f>
        <v>889875</v>
      </c>
      <c r="F3401" t="s">
        <v>241</v>
      </c>
      <c r="G3401" t="str">
        <f>HYPERLINK("http://www.ncbi.nlm.nih.gov/Taxonomy/Browser/wwwtax.cgi?mode=Info&amp;id=889875&amp;lvl=3&amp;lin=f&amp;keep=1&amp;srchmode=1&amp;unlock","Pezoporus flaviventris")</f>
        <v>Pezoporus flaviventris</v>
      </c>
      <c r="H3401" t="s">
        <v>525</v>
      </c>
      <c r="I3401" t="str">
        <f>HYPERLINK("http://www.ncbi.nlm.nih.gov/protein/XP_061319361.1","ryanodine receptor 3 isoform X7")</f>
        <v>ryanodine receptor 3 isoform X7</v>
      </c>
      <c r="J3401">
        <v>7777.17</v>
      </c>
      <c r="K3401" t="s">
        <v>22</v>
      </c>
      <c r="L3401">
        <v>76</v>
      </c>
      <c r="M3401">
        <v>12.58</v>
      </c>
      <c r="N3401">
        <v>76.540000000000006</v>
      </c>
      <c r="O3401" t="s">
        <v>19</v>
      </c>
      <c r="P3401" t="s">
        <v>1320</v>
      </c>
      <c r="Q3401" t="s">
        <v>19</v>
      </c>
      <c r="R3401" t="str">
        <f>HYPERLINK("https://cfpub.epa.gov/ecotox/explore.cfm?ncbi=889875","Explore in ECOTOX")</f>
        <v>Explore in ECOTOX</v>
      </c>
    </row>
    <row r="3402" spans="1:18" x14ac:dyDescent="0.45">
      <c r="A3402" t="s">
        <v>1265</v>
      </c>
      <c r="B3402">
        <v>8</v>
      </c>
      <c r="C3402" t="str">
        <f>HYPERLINK("http://www.ncbi.nlm.nih.gov/protein/XP_053238000.1","XP_053238000.1")</f>
        <v>XP_053238000.1</v>
      </c>
      <c r="D3402">
        <v>51575</v>
      </c>
      <c r="E3402" t="str">
        <f>HYPERLINK("http://www.ncbi.nlm.nih.gov/Taxonomy/Browser/wwwtax.cgi?mode=Info&amp;id=65483&amp;lvl=3&amp;lin=f&amp;keep=1&amp;srchmode=1&amp;unlock","65483")</f>
        <v>65483</v>
      </c>
      <c r="F3402" t="s">
        <v>192</v>
      </c>
      <c r="G3402" t="str">
        <f>HYPERLINK("http://www.ncbi.nlm.nih.gov/Taxonomy/Browser/wwwtax.cgi?mode=Info&amp;id=65483&amp;lvl=3&amp;lin=f&amp;keep=1&amp;srchmode=1&amp;unlock","Podarcis raffonei")</f>
        <v>Podarcis raffonei</v>
      </c>
      <c r="H3402" t="s">
        <v>197</v>
      </c>
      <c r="I3402" t="str">
        <f>HYPERLINK("http://www.ncbi.nlm.nih.gov/protein/XP_053238000.1","ryanodine receptor 3")</f>
        <v>ryanodine receptor 3</v>
      </c>
      <c r="J3402">
        <v>7777.17</v>
      </c>
      <c r="K3402" t="s">
        <v>22</v>
      </c>
      <c r="L3402">
        <v>76</v>
      </c>
      <c r="M3402">
        <v>12.58</v>
      </c>
      <c r="N3402">
        <v>76.540000000000006</v>
      </c>
      <c r="O3402" t="s">
        <v>19</v>
      </c>
      <c r="P3402" t="s">
        <v>1320</v>
      </c>
      <c r="Q3402" t="s">
        <v>19</v>
      </c>
      <c r="R3402" t="str">
        <f>HYPERLINK("https://cfpub.epa.gov/ecotox/explore.cfm?ncbi=65483","Explore in ECOTOX")</f>
        <v>Explore in ECOTOX</v>
      </c>
    </row>
    <row r="3403" spans="1:18" x14ac:dyDescent="0.45">
      <c r="A3403" t="s">
        <v>1265</v>
      </c>
      <c r="B3403">
        <v>8</v>
      </c>
      <c r="C3403" t="str">
        <f>HYPERLINK("http://www.ncbi.nlm.nih.gov/protein/XP_006883117.1","XP_006883117.1")</f>
        <v>XP_006883117.1</v>
      </c>
      <c r="D3403">
        <v>25301</v>
      </c>
      <c r="E3403" t="str">
        <f>HYPERLINK("http://www.ncbi.nlm.nih.gov/Taxonomy/Browser/wwwtax.cgi?mode=Info&amp;id=28737&amp;lvl=3&amp;lin=f&amp;keep=1&amp;srchmode=1&amp;unlock","28737")</f>
        <v>28737</v>
      </c>
      <c r="F3403" t="s">
        <v>96</v>
      </c>
      <c r="G3403" t="str">
        <f>HYPERLINK("http://www.ncbi.nlm.nih.gov/Taxonomy/Browser/wwwtax.cgi?mode=Info&amp;id=28737&amp;lvl=3&amp;lin=f&amp;keep=1&amp;srchmode=1&amp;unlock","Elephantulus edwardii")</f>
        <v>Elephantulus edwardii</v>
      </c>
      <c r="H3403" t="s">
        <v>382</v>
      </c>
      <c r="I3403" t="str">
        <f>HYPERLINK("http://www.ncbi.nlm.nih.gov/protein/XP_006883117.1","PREDICTED: ryanodine receptor 3 isoform X1")</f>
        <v>PREDICTED: ryanodine receptor 3 isoform X1</v>
      </c>
      <c r="J3403">
        <v>7777.17</v>
      </c>
      <c r="K3403" t="s">
        <v>22</v>
      </c>
      <c r="L3403">
        <v>76</v>
      </c>
      <c r="M3403">
        <v>12.58</v>
      </c>
      <c r="N3403">
        <v>76.540000000000006</v>
      </c>
      <c r="O3403" t="s">
        <v>19</v>
      </c>
      <c r="P3403" t="s">
        <v>1320</v>
      </c>
      <c r="Q3403" t="s">
        <v>19</v>
      </c>
      <c r="R3403" t="str">
        <f>HYPERLINK("https://cfpub.epa.gov/ecotox/explore.cfm?ncbi=28737","Explore in ECOTOX")</f>
        <v>Explore in ECOTOX</v>
      </c>
    </row>
    <row r="3404" spans="1:18" x14ac:dyDescent="0.45">
      <c r="A3404" t="s">
        <v>1265</v>
      </c>
      <c r="B3404">
        <v>8</v>
      </c>
      <c r="C3404" t="str">
        <f>HYPERLINK("http://www.ncbi.nlm.nih.gov/protein/XP_052638427.1","XP_052638427.1")</f>
        <v>XP_052638427.1</v>
      </c>
      <c r="D3404">
        <v>44817</v>
      </c>
      <c r="E3404" t="str">
        <f>HYPERLINK("http://www.ncbi.nlm.nih.gov/Taxonomy/Browser/wwwtax.cgi?mode=Info&amp;id=202280&amp;lvl=3&amp;lin=f&amp;keep=1&amp;srchmode=1&amp;unlock","202280")</f>
        <v>202280</v>
      </c>
      <c r="F3404" t="s">
        <v>241</v>
      </c>
      <c r="G3404" t="str">
        <f>HYPERLINK("http://www.ncbi.nlm.nih.gov/Taxonomy/Browser/wwwtax.cgi?mode=Info&amp;id=202280&amp;lvl=3&amp;lin=f&amp;keep=1&amp;srchmode=1&amp;unlock","Harpia harpyja")</f>
        <v>Harpia harpyja</v>
      </c>
      <c r="H3404" t="s">
        <v>523</v>
      </c>
      <c r="I3404" t="str">
        <f>HYPERLINK("http://www.ncbi.nlm.nih.gov/protein/XP_052638427.1","ryanodine receptor 3")</f>
        <v>ryanodine receptor 3</v>
      </c>
      <c r="J3404">
        <v>7776.01</v>
      </c>
      <c r="K3404" t="s">
        <v>22</v>
      </c>
      <c r="L3404">
        <v>76</v>
      </c>
      <c r="M3404">
        <v>12.58</v>
      </c>
      <c r="N3404">
        <v>76.53</v>
      </c>
      <c r="O3404" t="s">
        <v>19</v>
      </c>
      <c r="P3404" t="s">
        <v>1320</v>
      </c>
      <c r="Q3404" t="s">
        <v>19</v>
      </c>
      <c r="R3404" t="str">
        <f>HYPERLINK("https://cfpub.epa.gov/ecotox/explore.cfm?ncbi=202280","Explore in ECOTOX")</f>
        <v>Explore in ECOTOX</v>
      </c>
    </row>
    <row r="3405" spans="1:18" x14ac:dyDescent="0.45">
      <c r="A3405" t="s">
        <v>1265</v>
      </c>
      <c r="B3405">
        <v>8</v>
      </c>
      <c r="C3405" t="str">
        <f>HYPERLINK("http://www.ncbi.nlm.nih.gov/protein/XP_052581741.1","XP_052581741.1")</f>
        <v>XP_052581741.1</v>
      </c>
      <c r="D3405">
        <v>51854</v>
      </c>
      <c r="E3405" t="str">
        <f>HYPERLINK("http://www.ncbi.nlm.nih.gov/Taxonomy/Browser/wwwtax.cgi?mode=Info&amp;id=564181&amp;lvl=3&amp;lin=f&amp;keep=1&amp;srchmode=1&amp;unlock","564181")</f>
        <v>564181</v>
      </c>
      <c r="F3405" t="s">
        <v>96</v>
      </c>
      <c r="G3405" t="str">
        <f>HYPERLINK("http://www.ncbi.nlm.nih.gov/Taxonomy/Browser/wwwtax.cgi?mode=Info&amp;id=564181&amp;lvl=3&amp;lin=f&amp;keep=1&amp;srchmode=1&amp;unlock","Peromyscus californicus insignis")</f>
        <v>Peromyscus californicus insignis</v>
      </c>
      <c r="H3405" t="s">
        <v>284</v>
      </c>
      <c r="I3405" t="str">
        <f>HYPERLINK("http://www.ncbi.nlm.nih.gov/protein/XP_052581741.1","ryanodine receptor 3 isoform X3")</f>
        <v>ryanodine receptor 3 isoform X3</v>
      </c>
      <c r="J3405">
        <v>7773.7</v>
      </c>
      <c r="K3405" t="s">
        <v>22</v>
      </c>
      <c r="L3405">
        <v>76</v>
      </c>
      <c r="M3405">
        <v>12.58</v>
      </c>
      <c r="N3405">
        <v>76.510000000000005</v>
      </c>
      <c r="O3405" t="s">
        <v>19</v>
      </c>
      <c r="P3405" t="s">
        <v>1320</v>
      </c>
      <c r="Q3405" t="s">
        <v>19</v>
      </c>
      <c r="R3405" t="str">
        <f>HYPERLINK("https://cfpub.epa.gov/ecotox/explore.cfm?ncbi=564181","Explore in ECOTOX")</f>
        <v>Explore in ECOTOX</v>
      </c>
    </row>
    <row r="3406" spans="1:18" x14ac:dyDescent="0.45">
      <c r="A3406" t="s">
        <v>1265</v>
      </c>
      <c r="B3406">
        <v>8</v>
      </c>
      <c r="C3406" t="str">
        <f>HYPERLINK("http://www.ncbi.nlm.nih.gov/protein/XP_027409255.1","XP_027409255.1")</f>
        <v>XP_027409255.1</v>
      </c>
      <c r="D3406">
        <v>54456</v>
      </c>
      <c r="E3406" t="str">
        <f>HYPERLINK("http://www.ncbi.nlm.nih.gov/Taxonomy/Browser/wwwtax.cgi?mode=Info&amp;id=30522&amp;lvl=3&amp;lin=f&amp;keep=1&amp;srchmode=1&amp;unlock","30522")</f>
        <v>30522</v>
      </c>
      <c r="F3406" t="s">
        <v>96</v>
      </c>
      <c r="G3406" t="str">
        <f>HYPERLINK("http://www.ncbi.nlm.nih.gov/Taxonomy/Browser/wwwtax.cgi?mode=Info&amp;id=30522&amp;lvl=3&amp;lin=f&amp;keep=1&amp;srchmode=1&amp;unlock","Bos indicus x Bos taurus")</f>
        <v>Bos indicus x Bos taurus</v>
      </c>
      <c r="H3406" t="s">
        <v>466</v>
      </c>
      <c r="I3406" t="str">
        <f>HYPERLINK("http://www.ncbi.nlm.nih.gov/protein/XP_027409255.1","ryanodine receptor 3 isoform X1")</f>
        <v>ryanodine receptor 3 isoform X1</v>
      </c>
      <c r="J3406">
        <v>7772.93</v>
      </c>
      <c r="K3406" t="s">
        <v>22</v>
      </c>
      <c r="L3406">
        <v>76</v>
      </c>
      <c r="M3406">
        <v>12.58</v>
      </c>
      <c r="N3406">
        <v>76.5</v>
      </c>
      <c r="O3406" t="s">
        <v>19</v>
      </c>
      <c r="P3406" t="s">
        <v>1320</v>
      </c>
      <c r="Q3406" t="s">
        <v>19</v>
      </c>
      <c r="R3406" t="str">
        <f>HYPERLINK("https://cfpub.epa.gov/ecotox/explore.cfm?ncbi=30522","Explore in ECOTOX")</f>
        <v>Explore in ECOTOX</v>
      </c>
    </row>
    <row r="3407" spans="1:18" x14ac:dyDescent="0.45">
      <c r="A3407" t="s">
        <v>1265</v>
      </c>
      <c r="B3407">
        <v>8</v>
      </c>
      <c r="C3407" t="str">
        <f>HYPERLINK("http://www.ncbi.nlm.nih.gov/protein/XP_054256673.1","XP_054256673.1")</f>
        <v>XP_054256673.1</v>
      </c>
      <c r="D3407">
        <v>20201</v>
      </c>
      <c r="E3407" t="str">
        <f>HYPERLINK("http://www.ncbi.nlm.nih.gov/Taxonomy/Browser/wwwtax.cgi?mode=Info&amp;id=1002788&amp;lvl=3&amp;lin=f&amp;keep=1&amp;srchmode=1&amp;unlock","1002788")</f>
        <v>1002788</v>
      </c>
      <c r="F3407" t="s">
        <v>241</v>
      </c>
      <c r="G3407" t="str">
        <f>HYPERLINK("http://www.ncbi.nlm.nih.gov/Taxonomy/Browser/wwwtax.cgi?mode=Info&amp;id=1002788&amp;lvl=3&amp;lin=f&amp;keep=1&amp;srchmode=1&amp;unlock","Indicator indicator")</f>
        <v>Indicator indicator</v>
      </c>
      <c r="H3407" t="s">
        <v>310</v>
      </c>
      <c r="I3407" t="str">
        <f>HYPERLINK("http://www.ncbi.nlm.nih.gov/protein/XP_054256673.1","ryanodine receptor 3")</f>
        <v>ryanodine receptor 3</v>
      </c>
      <c r="J3407">
        <v>7772.54</v>
      </c>
      <c r="K3407" t="s">
        <v>22</v>
      </c>
      <c r="L3407">
        <v>76</v>
      </c>
      <c r="M3407">
        <v>12.58</v>
      </c>
      <c r="N3407">
        <v>76.5</v>
      </c>
      <c r="O3407" t="s">
        <v>19</v>
      </c>
      <c r="P3407" t="s">
        <v>1320</v>
      </c>
      <c r="Q3407" t="s">
        <v>19</v>
      </c>
      <c r="R3407" t="str">
        <f>HYPERLINK("https://cfpub.epa.gov/ecotox/explore.cfm?ncbi=1002788","Explore in ECOTOX")</f>
        <v>Explore in ECOTOX</v>
      </c>
    </row>
    <row r="3408" spans="1:18" x14ac:dyDescent="0.45">
      <c r="A3408" t="s">
        <v>1265</v>
      </c>
      <c r="B3408">
        <v>8</v>
      </c>
      <c r="C3408" t="str">
        <f>HYPERLINK("http://www.ncbi.nlm.nih.gov/protein/XP_054825893.1","XP_054825893.1")</f>
        <v>XP_054825893.1</v>
      </c>
      <c r="D3408">
        <v>34377</v>
      </c>
      <c r="E3408" t="str">
        <f>HYPERLINK("http://www.ncbi.nlm.nih.gov/Taxonomy/Browser/wwwtax.cgi?mode=Info&amp;id=481883&amp;lvl=3&amp;lin=f&amp;keep=1&amp;srchmode=1&amp;unlock","481883")</f>
        <v>481883</v>
      </c>
      <c r="F3408" t="s">
        <v>192</v>
      </c>
      <c r="G3408" t="str">
        <f>HYPERLINK("http://www.ncbi.nlm.nih.gov/Taxonomy/Browser/wwwtax.cgi?mode=Info&amp;id=481883&amp;lvl=3&amp;lin=f&amp;keep=1&amp;srchmode=1&amp;unlock","Eublepharis macularius")</f>
        <v>Eublepharis macularius</v>
      </c>
      <c r="H3408" t="s">
        <v>207</v>
      </c>
      <c r="I3408" t="str">
        <f>HYPERLINK("http://www.ncbi.nlm.nih.gov/protein/XP_054825893.1","ryanodine receptor 3")</f>
        <v>ryanodine receptor 3</v>
      </c>
      <c r="J3408">
        <v>7772.16</v>
      </c>
      <c r="K3408" t="s">
        <v>22</v>
      </c>
      <c r="L3408">
        <v>76</v>
      </c>
      <c r="M3408">
        <v>12.58</v>
      </c>
      <c r="N3408">
        <v>76.489999999999995</v>
      </c>
      <c r="O3408" t="s">
        <v>19</v>
      </c>
      <c r="P3408" t="s">
        <v>1320</v>
      </c>
      <c r="Q3408" t="s">
        <v>19</v>
      </c>
      <c r="R3408" t="str">
        <f>HYPERLINK("https://cfpub.epa.gov/ecotox/explore.cfm?ncbi=481883","Explore in ECOTOX")</f>
        <v>Explore in ECOTOX</v>
      </c>
    </row>
    <row r="3409" spans="1:18" x14ac:dyDescent="0.45">
      <c r="A3409" t="s">
        <v>1265</v>
      </c>
      <c r="B3409">
        <v>8</v>
      </c>
      <c r="C3409" t="str">
        <f>HYPERLINK("http://www.ncbi.nlm.nih.gov/protein/XP_016783381.2","XP_016783381.2")</f>
        <v>XP_016783381.2</v>
      </c>
      <c r="D3409">
        <v>177298</v>
      </c>
      <c r="E3409" t="str">
        <f>HYPERLINK("http://www.ncbi.nlm.nih.gov/Taxonomy/Browser/wwwtax.cgi?mode=Info&amp;id=9598&amp;lvl=3&amp;lin=f&amp;keep=1&amp;srchmode=1&amp;unlock","9598")</f>
        <v>9598</v>
      </c>
      <c r="F3409" t="s">
        <v>96</v>
      </c>
      <c r="G3409" t="str">
        <f>HYPERLINK("http://www.ncbi.nlm.nih.gov/Taxonomy/Browser/wwwtax.cgi?mode=Info&amp;id=9598&amp;lvl=3&amp;lin=f&amp;keep=1&amp;srchmode=1&amp;unlock","Pan troglodytes")</f>
        <v>Pan troglodytes</v>
      </c>
      <c r="H3409" t="s">
        <v>324</v>
      </c>
      <c r="I3409" t="str">
        <f>HYPERLINK("http://www.ncbi.nlm.nih.gov/protein/XP_016783381.2","ryanodine receptor 3 isoform X6")</f>
        <v>ryanodine receptor 3 isoform X6</v>
      </c>
      <c r="J3409">
        <v>7771.77</v>
      </c>
      <c r="K3409" t="s">
        <v>19</v>
      </c>
      <c r="L3409">
        <v>76</v>
      </c>
      <c r="M3409">
        <v>12.58</v>
      </c>
      <c r="N3409">
        <v>76.489999999999995</v>
      </c>
      <c r="O3409" t="s">
        <v>19</v>
      </c>
      <c r="P3409" t="s">
        <v>1320</v>
      </c>
      <c r="Q3409" t="s">
        <v>19</v>
      </c>
      <c r="R3409" t="str">
        <f>HYPERLINK("https://cfpub.epa.gov/ecotox/explore.cfm?ncbi=9598","Explore in ECOTOX")</f>
        <v>Explore in ECOTOX</v>
      </c>
    </row>
    <row r="3410" spans="1:18" x14ac:dyDescent="0.45">
      <c r="A3410" t="s">
        <v>1265</v>
      </c>
      <c r="B3410">
        <v>8</v>
      </c>
      <c r="C3410" t="str">
        <f>HYPERLINK("http://www.ncbi.nlm.nih.gov/protein/XP_042798452.1","XP_042798452.1")</f>
        <v>XP_042798452.1</v>
      </c>
      <c r="D3410">
        <v>53687</v>
      </c>
      <c r="E3410" t="str">
        <f>HYPERLINK("http://www.ncbi.nlm.nih.gov/Taxonomy/Browser/wwwtax.cgi?mode=Info&amp;id=9689&amp;lvl=3&amp;lin=f&amp;keep=1&amp;srchmode=1&amp;unlock","9689")</f>
        <v>9689</v>
      </c>
      <c r="F3410" t="s">
        <v>96</v>
      </c>
      <c r="G3410" t="str">
        <f>HYPERLINK("http://www.ncbi.nlm.nih.gov/Taxonomy/Browser/wwwtax.cgi?mode=Info&amp;id=9689&amp;lvl=3&amp;lin=f&amp;keep=1&amp;srchmode=1&amp;unlock","Panthera leo")</f>
        <v>Panthera leo</v>
      </c>
      <c r="H3410" t="s">
        <v>318</v>
      </c>
      <c r="I3410" t="str">
        <f>HYPERLINK("http://www.ncbi.nlm.nih.gov/protein/XP_042798452.1","ryanodine receptor 3")</f>
        <v>ryanodine receptor 3</v>
      </c>
      <c r="J3410">
        <v>7771.77</v>
      </c>
      <c r="K3410" t="s">
        <v>19</v>
      </c>
      <c r="L3410">
        <v>76</v>
      </c>
      <c r="M3410">
        <v>12.58</v>
      </c>
      <c r="N3410">
        <v>76.489999999999995</v>
      </c>
      <c r="O3410" t="s">
        <v>19</v>
      </c>
      <c r="P3410" t="s">
        <v>1320</v>
      </c>
      <c r="Q3410" t="s">
        <v>19</v>
      </c>
      <c r="R3410" t="str">
        <f>HYPERLINK("https://cfpub.epa.gov/ecotox/explore.cfm?ncbi=9689","Explore in ECOTOX")</f>
        <v>Explore in ECOTOX</v>
      </c>
    </row>
    <row r="3411" spans="1:18" x14ac:dyDescent="0.45">
      <c r="A3411" t="s">
        <v>1265</v>
      </c>
      <c r="B3411">
        <v>8</v>
      </c>
      <c r="C3411" t="str">
        <f>HYPERLINK("http://www.ncbi.nlm.nih.gov/protein/NP_001290140.1","NP_001290140.1")</f>
        <v>NP_001290140.1</v>
      </c>
      <c r="D3411">
        <v>30643</v>
      </c>
      <c r="E3411" t="str">
        <f>HYPERLINK("http://www.ncbi.nlm.nih.gov/Taxonomy/Browser/wwwtax.cgi?mode=Info&amp;id=9103&amp;lvl=3&amp;lin=f&amp;keep=1&amp;srchmode=1&amp;unlock","9103")</f>
        <v>9103</v>
      </c>
      <c r="F3411" t="s">
        <v>241</v>
      </c>
      <c r="G3411" t="str">
        <f>HYPERLINK("http://www.ncbi.nlm.nih.gov/Taxonomy/Browser/wwwtax.cgi?mode=Info&amp;id=9103&amp;lvl=3&amp;lin=f&amp;keep=1&amp;srchmode=1&amp;unlock","Meleagris gallopavo")</f>
        <v>Meleagris gallopavo</v>
      </c>
      <c r="H3411" t="s">
        <v>592</v>
      </c>
      <c r="I3411" t="str">
        <f>HYPERLINK("http://www.ncbi.nlm.nih.gov/protein/NP_001290140.1","ryanodine receptor 3")</f>
        <v>ryanodine receptor 3</v>
      </c>
      <c r="J3411">
        <v>7770.23</v>
      </c>
      <c r="K3411" t="s">
        <v>22</v>
      </c>
      <c r="L3411">
        <v>76</v>
      </c>
      <c r="M3411">
        <v>12.58</v>
      </c>
      <c r="N3411">
        <v>76.47</v>
      </c>
      <c r="O3411" t="s">
        <v>19</v>
      </c>
      <c r="P3411" t="s">
        <v>1320</v>
      </c>
      <c r="Q3411" t="s">
        <v>19</v>
      </c>
      <c r="R3411" t="str">
        <f>HYPERLINK("https://cfpub.epa.gov/ecotox/explore.cfm?ncbi=9103","Explore in ECOTOX")</f>
        <v>Explore in ECOTOX</v>
      </c>
    </row>
    <row r="3412" spans="1:18" x14ac:dyDescent="0.45">
      <c r="A3412" t="s">
        <v>1265</v>
      </c>
      <c r="B3412">
        <v>8</v>
      </c>
      <c r="C3412" t="str">
        <f>HYPERLINK("http://www.ncbi.nlm.nih.gov/protein/XP_043410457.1","XP_043410457.1")</f>
        <v>XP_043410457.1</v>
      </c>
      <c r="D3412">
        <v>52244</v>
      </c>
      <c r="E3412" t="str">
        <f>HYPERLINK("http://www.ncbi.nlm.nih.gov/Taxonomy/Browser/wwwtax.cgi?mode=Info&amp;id=37029&amp;lvl=3&amp;lin=f&amp;keep=1&amp;srchmode=1&amp;unlock","37029")</f>
        <v>37029</v>
      </c>
      <c r="F3412" t="s">
        <v>96</v>
      </c>
      <c r="G3412" t="str">
        <f>HYPERLINK("http://www.ncbi.nlm.nih.gov/Taxonomy/Browser/wwwtax.cgi?mode=Info&amp;id=37029&amp;lvl=3&amp;lin=f&amp;keep=1&amp;srchmode=1&amp;unlock","Prionailurus bengalensis")</f>
        <v>Prionailurus bengalensis</v>
      </c>
      <c r="H3412" t="s">
        <v>274</v>
      </c>
      <c r="I3412" t="str">
        <f>HYPERLINK("http://www.ncbi.nlm.nih.gov/protein/XP_043410457.1","ryanodine receptor 3")</f>
        <v>ryanodine receptor 3</v>
      </c>
      <c r="J3412">
        <v>7770.23</v>
      </c>
      <c r="K3412" t="s">
        <v>22</v>
      </c>
      <c r="L3412">
        <v>76</v>
      </c>
      <c r="M3412">
        <v>12.58</v>
      </c>
      <c r="N3412">
        <v>76.47</v>
      </c>
      <c r="O3412" t="s">
        <v>19</v>
      </c>
      <c r="P3412" t="s">
        <v>1320</v>
      </c>
      <c r="Q3412" t="s">
        <v>19</v>
      </c>
      <c r="R3412" t="str">
        <f>HYPERLINK("https://cfpub.epa.gov/ecotox/explore.cfm?ncbi=37029","Explore in ECOTOX")</f>
        <v>Explore in ECOTOX</v>
      </c>
    </row>
    <row r="3413" spans="1:18" x14ac:dyDescent="0.45">
      <c r="A3413" t="s">
        <v>1265</v>
      </c>
      <c r="B3413">
        <v>8</v>
      </c>
      <c r="C3413" t="str">
        <f>HYPERLINK("http://www.ncbi.nlm.nih.gov/protein/XP_048805478.1","XP_048805478.1")</f>
        <v>XP_048805478.1</v>
      </c>
      <c r="D3413">
        <v>43884</v>
      </c>
      <c r="E3413" t="str">
        <f>HYPERLINK("http://www.ncbi.nlm.nih.gov/Taxonomy/Browser/wwwtax.cgi?mode=Info&amp;id=64668&amp;lvl=3&amp;lin=f&amp;keep=1&amp;srchmode=1&amp;unlock","64668")</f>
        <v>64668</v>
      </c>
      <c r="F3413" t="s">
        <v>241</v>
      </c>
      <c r="G3413" t="str">
        <f>HYPERLINK("http://www.ncbi.nlm.nih.gov/Taxonomy/Browser/wwwtax.cgi?mode=Info&amp;id=64668&amp;lvl=3&amp;lin=f&amp;keep=1&amp;srchmode=1&amp;unlock","Lagopus muta")</f>
        <v>Lagopus muta</v>
      </c>
      <c r="H3413" t="s">
        <v>465</v>
      </c>
      <c r="I3413" t="str">
        <f>HYPERLINK("http://www.ncbi.nlm.nih.gov/protein/XP_048805478.1","ryanodine receptor 3 isoform X3")</f>
        <v>ryanodine receptor 3 isoform X3</v>
      </c>
      <c r="J3413">
        <v>7770.23</v>
      </c>
      <c r="K3413" t="s">
        <v>22</v>
      </c>
      <c r="L3413">
        <v>76</v>
      </c>
      <c r="M3413">
        <v>12.58</v>
      </c>
      <c r="N3413">
        <v>76.47</v>
      </c>
      <c r="O3413" t="s">
        <v>19</v>
      </c>
      <c r="P3413" t="s">
        <v>1320</v>
      </c>
      <c r="Q3413" t="s">
        <v>19</v>
      </c>
      <c r="R3413" t="str">
        <f>HYPERLINK("https://cfpub.epa.gov/ecotox/explore.cfm?ncbi=64668","Explore in ECOTOX")</f>
        <v>Explore in ECOTOX</v>
      </c>
    </row>
    <row r="3414" spans="1:18" x14ac:dyDescent="0.45">
      <c r="A3414" t="s">
        <v>1265</v>
      </c>
      <c r="B3414">
        <v>8</v>
      </c>
      <c r="C3414" t="str">
        <f>HYPERLINK("http://www.ncbi.nlm.nih.gov/protein/XP_050753040.1","XP_050753040.1")</f>
        <v>XP_050753040.1</v>
      </c>
      <c r="D3414">
        <v>25319</v>
      </c>
      <c r="E3414" t="str">
        <f>HYPERLINK("http://www.ncbi.nlm.nih.gov/Taxonomy/Browser/wwwtax.cgi?mode=Info&amp;id=33616&amp;lvl=3&amp;lin=f&amp;keep=1&amp;srchmode=1&amp;unlock","33616")</f>
        <v>33616</v>
      </c>
      <c r="F3414" t="s">
        <v>241</v>
      </c>
      <c r="G3414" t="str">
        <f>HYPERLINK("http://www.ncbi.nlm.nih.gov/Taxonomy/Browser/wwwtax.cgi?mode=Info&amp;id=33616&amp;lvl=3&amp;lin=f&amp;keep=1&amp;srchmode=1&amp;unlock","Gymnogyps californianus")</f>
        <v>Gymnogyps californianus</v>
      </c>
      <c r="H3414" t="s">
        <v>348</v>
      </c>
      <c r="I3414" t="str">
        <f>HYPERLINK("http://www.ncbi.nlm.nih.gov/protein/XP_050753040.1","ryanodine receptor 3")</f>
        <v>ryanodine receptor 3</v>
      </c>
      <c r="J3414">
        <v>7769.85</v>
      </c>
      <c r="K3414" t="s">
        <v>22</v>
      </c>
      <c r="L3414">
        <v>76</v>
      </c>
      <c r="M3414">
        <v>12.58</v>
      </c>
      <c r="N3414">
        <v>76.47</v>
      </c>
      <c r="O3414" t="s">
        <v>19</v>
      </c>
      <c r="P3414" t="s">
        <v>1320</v>
      </c>
      <c r="Q3414" t="s">
        <v>19</v>
      </c>
      <c r="R3414" t="str">
        <f>HYPERLINK("https://cfpub.epa.gov/ecotox/explore.cfm?ncbi=33616","Explore in ECOTOX")</f>
        <v>Explore in ECOTOX</v>
      </c>
    </row>
    <row r="3415" spans="1:18" x14ac:dyDescent="0.45">
      <c r="A3415" t="s">
        <v>1265</v>
      </c>
      <c r="B3415">
        <v>8</v>
      </c>
      <c r="C3415" t="str">
        <f>HYPERLINK("http://www.ncbi.nlm.nih.gov/protein/NP_001027.3","NP_001027.3")</f>
        <v>NP_001027.3</v>
      </c>
      <c r="D3415">
        <v>2914507</v>
      </c>
      <c r="E3415" t="str">
        <f>HYPERLINK("http://www.ncbi.nlm.nih.gov/Taxonomy/Browser/wwwtax.cgi?mode=Info&amp;id=9606&amp;lvl=3&amp;lin=f&amp;keep=1&amp;srchmode=1&amp;unlock","9606")</f>
        <v>9606</v>
      </c>
      <c r="F3415" t="s">
        <v>96</v>
      </c>
      <c r="G3415" t="str">
        <f>HYPERLINK("http://www.ncbi.nlm.nih.gov/Taxonomy/Browser/wwwtax.cgi?mode=Info&amp;id=9606&amp;lvl=3&amp;lin=f&amp;keep=1&amp;srchmode=1&amp;unlock","Homo sapiens")</f>
        <v>Homo sapiens</v>
      </c>
      <c r="H3415" t="s">
        <v>303</v>
      </c>
      <c r="I3415" t="str">
        <f>HYPERLINK("http://www.ncbi.nlm.nih.gov/protein/NP_001027.3","ryanodine receptor 3 isoform 1")</f>
        <v>ryanodine receptor 3 isoform 1</v>
      </c>
      <c r="J3415">
        <v>7769.85</v>
      </c>
      <c r="K3415" t="s">
        <v>22</v>
      </c>
      <c r="L3415">
        <v>76</v>
      </c>
      <c r="M3415">
        <v>12.58</v>
      </c>
      <c r="N3415">
        <v>76.47</v>
      </c>
      <c r="O3415" t="s">
        <v>19</v>
      </c>
      <c r="P3415" t="s">
        <v>1320</v>
      </c>
      <c r="Q3415" t="s">
        <v>19</v>
      </c>
      <c r="R3415" t="str">
        <f>HYPERLINK("https://cfpub.epa.gov/ecotox/explore.cfm?ncbi=9606","Explore in ECOTOX")</f>
        <v>Explore in ECOTOX</v>
      </c>
    </row>
    <row r="3416" spans="1:18" x14ac:dyDescent="0.45">
      <c r="A3416" t="s">
        <v>1265</v>
      </c>
      <c r="B3416">
        <v>8</v>
      </c>
      <c r="C3416" t="str">
        <f>HYPERLINK("http://www.ncbi.nlm.nih.gov/protein/XP_051477600.1","XP_051477600.1")</f>
        <v>XP_051477600.1</v>
      </c>
      <c r="D3416">
        <v>36428</v>
      </c>
      <c r="E3416" t="str">
        <f>HYPERLINK("http://www.ncbi.nlm.nih.gov/Taxonomy/Browser/wwwtax.cgi?mode=Info&amp;id=8895&amp;lvl=3&amp;lin=f&amp;keep=1&amp;srchmode=1&amp;unlock","8895")</f>
        <v>8895</v>
      </c>
      <c r="F3416" t="s">
        <v>241</v>
      </c>
      <c r="G3416" t="str">
        <f>HYPERLINK("http://www.ncbi.nlm.nih.gov/Taxonomy/Browser/wwwtax.cgi?mode=Info&amp;id=8895&amp;lvl=3&amp;lin=f&amp;keep=1&amp;srchmode=1&amp;unlock","Apus apus")</f>
        <v>Apus apus</v>
      </c>
      <c r="H3416" t="s">
        <v>343</v>
      </c>
      <c r="I3416" t="str">
        <f>HYPERLINK("http://www.ncbi.nlm.nih.gov/protein/XP_051477600.1","ryanodine receptor 3 isoform X7")</f>
        <v>ryanodine receptor 3 isoform X7</v>
      </c>
      <c r="J3416">
        <v>7769.08</v>
      </c>
      <c r="K3416" t="s">
        <v>22</v>
      </c>
      <c r="L3416">
        <v>76</v>
      </c>
      <c r="M3416">
        <v>12.58</v>
      </c>
      <c r="N3416">
        <v>76.459999999999994</v>
      </c>
      <c r="O3416" t="s">
        <v>19</v>
      </c>
      <c r="P3416" t="s">
        <v>1320</v>
      </c>
      <c r="Q3416" t="s">
        <v>19</v>
      </c>
      <c r="R3416" t="str">
        <f>HYPERLINK("https://cfpub.epa.gov/ecotox/explore.cfm?ncbi=8895","Explore in ECOTOX")</f>
        <v>Explore in ECOTOX</v>
      </c>
    </row>
    <row r="3417" spans="1:18" x14ac:dyDescent="0.45">
      <c r="A3417" t="s">
        <v>1265</v>
      </c>
      <c r="B3417">
        <v>8</v>
      </c>
      <c r="C3417" t="str">
        <f>HYPERLINK("http://www.ncbi.nlm.nih.gov/protein/XP_042669196.1","XP_042669196.1")</f>
        <v>XP_042669196.1</v>
      </c>
      <c r="D3417">
        <v>31606</v>
      </c>
      <c r="E3417" t="str">
        <f>HYPERLINK("http://www.ncbi.nlm.nih.gov/Taxonomy/Browser/wwwtax.cgi?mode=Info&amp;id=9002&amp;lvl=3&amp;lin=f&amp;keep=1&amp;srchmode=1&amp;unlock","9002")</f>
        <v>9002</v>
      </c>
      <c r="F3417" t="s">
        <v>241</v>
      </c>
      <c r="G3417" t="str">
        <f>HYPERLINK("http://www.ncbi.nlm.nih.gov/Taxonomy/Browser/wwwtax.cgi?mode=Info&amp;id=9002&amp;lvl=3&amp;lin=f&amp;keep=1&amp;srchmode=1&amp;unlock","Centrocercus urophasianus")</f>
        <v>Centrocercus urophasianus</v>
      </c>
      <c r="H3417" t="s">
        <v>275</v>
      </c>
      <c r="I3417" t="str">
        <f>HYPERLINK("http://www.ncbi.nlm.nih.gov/protein/XP_042669196.1","ryanodine receptor 3")</f>
        <v>ryanodine receptor 3</v>
      </c>
      <c r="J3417">
        <v>7769.08</v>
      </c>
      <c r="K3417" t="s">
        <v>22</v>
      </c>
      <c r="L3417">
        <v>76</v>
      </c>
      <c r="M3417">
        <v>12.58</v>
      </c>
      <c r="N3417">
        <v>76.459999999999994</v>
      </c>
      <c r="O3417" t="s">
        <v>19</v>
      </c>
      <c r="P3417" t="s">
        <v>1320</v>
      </c>
      <c r="Q3417" t="s">
        <v>19</v>
      </c>
      <c r="R3417" t="str">
        <f>HYPERLINK("https://cfpub.epa.gov/ecotox/explore.cfm?ncbi=9002","Explore in ECOTOX")</f>
        <v>Explore in ECOTOX</v>
      </c>
    </row>
    <row r="3418" spans="1:18" x14ac:dyDescent="0.45">
      <c r="A3418" t="s">
        <v>1265</v>
      </c>
      <c r="B3418">
        <v>8</v>
      </c>
      <c r="C3418" t="str">
        <f>HYPERLINK("http://www.ncbi.nlm.nih.gov/protein/XP_045306084.1","XP_045306084.1")</f>
        <v>XP_045306084.1</v>
      </c>
      <c r="D3418">
        <v>67612</v>
      </c>
      <c r="E3418" t="str">
        <f>HYPERLINK("http://www.ncbi.nlm.nih.gov/Taxonomy/Browser/wwwtax.cgi?mode=Info&amp;id=46844&amp;lvl=3&amp;lin=f&amp;keep=1&amp;srchmode=1&amp;unlock","46844")</f>
        <v>46844</v>
      </c>
      <c r="F3418" t="s">
        <v>96</v>
      </c>
      <c r="G3418" t="str">
        <f>HYPERLINK("http://www.ncbi.nlm.nih.gov/Taxonomy/Browser/wwwtax.cgi?mode=Info&amp;id=46844&amp;lvl=3&amp;lin=f&amp;keep=1&amp;srchmode=1&amp;unlock","Leopardus geoffroyi")</f>
        <v>Leopardus geoffroyi</v>
      </c>
      <c r="H3418" t="s">
        <v>286</v>
      </c>
      <c r="I3418" t="str">
        <f>HYPERLINK("http://www.ncbi.nlm.nih.gov/protein/XP_045306084.1","ryanodine receptor 3 isoform X4")</f>
        <v>ryanodine receptor 3 isoform X4</v>
      </c>
      <c r="J3418">
        <v>7768.69</v>
      </c>
      <c r="K3418" t="s">
        <v>19</v>
      </c>
      <c r="L3418">
        <v>76</v>
      </c>
      <c r="M3418">
        <v>12.58</v>
      </c>
      <c r="N3418">
        <v>76.459999999999994</v>
      </c>
      <c r="O3418" t="s">
        <v>19</v>
      </c>
      <c r="P3418" t="s">
        <v>1320</v>
      </c>
      <c r="Q3418" t="s">
        <v>19</v>
      </c>
      <c r="R3418" t="str">
        <f>HYPERLINK("https://cfpub.epa.gov/ecotox/explore.cfm?ncbi=46844","Explore in ECOTOX")</f>
        <v>Explore in ECOTOX</v>
      </c>
    </row>
    <row r="3419" spans="1:18" x14ac:dyDescent="0.45">
      <c r="A3419" t="s">
        <v>1265</v>
      </c>
      <c r="B3419">
        <v>8</v>
      </c>
      <c r="C3419" t="str">
        <f>HYPERLINK("http://www.ncbi.nlm.nih.gov/protein/XP_009281938.1","XP_009281938.1")</f>
        <v>XP_009281938.1</v>
      </c>
      <c r="D3419">
        <v>32650</v>
      </c>
      <c r="E3419" t="str">
        <f>HYPERLINK("http://www.ncbi.nlm.nih.gov/Taxonomy/Browser/wwwtax.cgi?mode=Info&amp;id=9233&amp;lvl=3&amp;lin=f&amp;keep=1&amp;srchmode=1&amp;unlock","9233")</f>
        <v>9233</v>
      </c>
      <c r="F3419" t="s">
        <v>241</v>
      </c>
      <c r="G3419" t="str">
        <f>HYPERLINK("http://www.ncbi.nlm.nih.gov/Taxonomy/Browser/wwwtax.cgi?mode=Info&amp;id=9233&amp;lvl=3&amp;lin=f&amp;keep=1&amp;srchmode=1&amp;unlock","Aptenodytes forsteri")</f>
        <v>Aptenodytes forsteri</v>
      </c>
      <c r="H3419" t="s">
        <v>699</v>
      </c>
      <c r="I3419" t="str">
        <f>HYPERLINK("http://www.ncbi.nlm.nih.gov/protein/XP_009281938.1","PREDICTED: ryanodine receptor 3 isoform X3")</f>
        <v>PREDICTED: ryanodine receptor 3 isoform X3</v>
      </c>
      <c r="J3419">
        <v>7768.69</v>
      </c>
      <c r="K3419" t="s">
        <v>22</v>
      </c>
      <c r="L3419">
        <v>76</v>
      </c>
      <c r="M3419">
        <v>12.58</v>
      </c>
      <c r="N3419">
        <v>76.459999999999994</v>
      </c>
      <c r="O3419" t="s">
        <v>19</v>
      </c>
      <c r="P3419" t="s">
        <v>1320</v>
      </c>
      <c r="Q3419" t="s">
        <v>19</v>
      </c>
      <c r="R3419" t="str">
        <f>HYPERLINK("https://cfpub.epa.gov/ecotox/explore.cfm?ncbi=9233","Explore in ECOTOX")</f>
        <v>Explore in ECOTOX</v>
      </c>
    </row>
    <row r="3420" spans="1:18" x14ac:dyDescent="0.45">
      <c r="A3420" t="s">
        <v>1265</v>
      </c>
      <c r="B3420">
        <v>8</v>
      </c>
      <c r="C3420" t="str">
        <f>HYPERLINK("http://www.ncbi.nlm.nih.gov/protein/XP_054306456.1","XP_054306456.1")</f>
        <v>XP_054306456.1</v>
      </c>
      <c r="D3420">
        <v>70586</v>
      </c>
      <c r="E3420" t="str">
        <f>HYPERLINK("http://www.ncbi.nlm.nih.gov/Taxonomy/Browser/wwwtax.cgi?mode=Info&amp;id=9600&amp;lvl=3&amp;lin=f&amp;keep=1&amp;srchmode=1&amp;unlock","9600")</f>
        <v>9600</v>
      </c>
      <c r="F3420" t="s">
        <v>96</v>
      </c>
      <c r="G3420" t="str">
        <f>HYPERLINK("http://www.ncbi.nlm.nih.gov/Taxonomy/Browser/wwwtax.cgi?mode=Info&amp;id=9600&amp;lvl=3&amp;lin=f&amp;keep=1&amp;srchmode=1&amp;unlock","Pongo pygmaeus")</f>
        <v>Pongo pygmaeus</v>
      </c>
      <c r="H3420" t="s">
        <v>321</v>
      </c>
      <c r="I3420" t="str">
        <f>HYPERLINK("http://www.ncbi.nlm.nih.gov/protein/XP_054306456.1","ryanodine receptor 3")</f>
        <v>ryanodine receptor 3</v>
      </c>
      <c r="J3420">
        <v>7768.31</v>
      </c>
      <c r="K3420" t="s">
        <v>22</v>
      </c>
      <c r="L3420">
        <v>76</v>
      </c>
      <c r="M3420">
        <v>12.58</v>
      </c>
      <c r="N3420">
        <v>76.45</v>
      </c>
      <c r="O3420" t="s">
        <v>19</v>
      </c>
      <c r="P3420" t="s">
        <v>1320</v>
      </c>
      <c r="Q3420" t="s">
        <v>19</v>
      </c>
      <c r="R3420" t="str">
        <f>HYPERLINK("https://cfpub.epa.gov/ecotox/explore.cfm?ncbi=9600","Explore in ECOTOX")</f>
        <v>Explore in ECOTOX</v>
      </c>
    </row>
    <row r="3421" spans="1:18" x14ac:dyDescent="0.45">
      <c r="A3421" t="s">
        <v>1265</v>
      </c>
      <c r="B3421">
        <v>8</v>
      </c>
      <c r="C3421" t="str">
        <f>HYPERLINK("http://www.ncbi.nlm.nih.gov/protein/XP_058396514.1","XP_058396514.1")</f>
        <v>XP_058396514.1</v>
      </c>
      <c r="D3421">
        <v>67239</v>
      </c>
      <c r="E3421" t="str">
        <f>HYPERLINK("http://www.ncbi.nlm.nih.gov/Taxonomy/Browser/wwwtax.cgi?mode=Info&amp;id=77932&amp;lvl=3&amp;lin=f&amp;keep=1&amp;srchmode=1&amp;unlock","77932")</f>
        <v>77932</v>
      </c>
      <c r="F3421" t="s">
        <v>96</v>
      </c>
      <c r="G3421" t="str">
        <f>HYPERLINK("http://www.ncbi.nlm.nih.gov/Taxonomy/Browser/wwwtax.cgi?mode=Info&amp;id=77932&amp;lvl=3&amp;lin=f&amp;keep=1&amp;srchmode=1&amp;unlock","Diceros bicornis minor")</f>
        <v>Diceros bicornis minor</v>
      </c>
      <c r="H3421" t="s">
        <v>345</v>
      </c>
      <c r="I3421" t="str">
        <f>HYPERLINK("http://www.ncbi.nlm.nih.gov/protein/XP_058396514.1","ryanodine receptor 3")</f>
        <v>ryanodine receptor 3</v>
      </c>
      <c r="J3421">
        <v>7767.54</v>
      </c>
      <c r="K3421" t="s">
        <v>22</v>
      </c>
      <c r="L3421">
        <v>76</v>
      </c>
      <c r="M3421">
        <v>12.58</v>
      </c>
      <c r="N3421">
        <v>76.45</v>
      </c>
      <c r="O3421" t="s">
        <v>19</v>
      </c>
      <c r="P3421" t="s">
        <v>1320</v>
      </c>
      <c r="Q3421" t="s">
        <v>19</v>
      </c>
      <c r="R3421" t="str">
        <f>HYPERLINK("https://cfpub.epa.gov/ecotox/explore.cfm?ncbi=77932","Explore in ECOTOX")</f>
        <v>Explore in ECOTOX</v>
      </c>
    </row>
    <row r="3422" spans="1:18" x14ac:dyDescent="0.45">
      <c r="A3422" t="s">
        <v>1265</v>
      </c>
      <c r="B3422">
        <v>8</v>
      </c>
      <c r="C3422" t="str">
        <f>HYPERLINK("http://www.ncbi.nlm.nih.gov/protein/XP_040348139.1","XP_040348139.1")</f>
        <v>XP_040348139.1</v>
      </c>
      <c r="D3422">
        <v>55681</v>
      </c>
      <c r="E3422" t="str">
        <f>HYPERLINK("http://www.ncbi.nlm.nih.gov/Taxonomy/Browser/wwwtax.cgi?mode=Info&amp;id=1608482&amp;lvl=3&amp;lin=f&amp;keep=1&amp;srchmode=1&amp;unlock","1608482")</f>
        <v>1608482</v>
      </c>
      <c r="F3422" t="s">
        <v>96</v>
      </c>
      <c r="G3422" t="str">
        <f>HYPERLINK("http://www.ncbi.nlm.nih.gov/Taxonomy/Browser/wwwtax.cgi?mode=Info&amp;id=1608482&amp;lvl=3&amp;lin=f&amp;keep=1&amp;srchmode=1&amp;unlock","Puma yagouaroundi")</f>
        <v>Puma yagouaroundi</v>
      </c>
      <c r="H3422" t="s">
        <v>283</v>
      </c>
      <c r="I3422" t="str">
        <f>HYPERLINK("http://www.ncbi.nlm.nih.gov/protein/XP_040348139.1","ryanodine receptor 3")</f>
        <v>ryanodine receptor 3</v>
      </c>
      <c r="J3422">
        <v>7767.54</v>
      </c>
      <c r="K3422" t="s">
        <v>22</v>
      </c>
      <c r="L3422">
        <v>76</v>
      </c>
      <c r="M3422">
        <v>12.58</v>
      </c>
      <c r="N3422">
        <v>76.45</v>
      </c>
      <c r="O3422" t="s">
        <v>19</v>
      </c>
      <c r="P3422" t="s">
        <v>1320</v>
      </c>
      <c r="Q3422" t="s">
        <v>19</v>
      </c>
      <c r="R3422" t="str">
        <f>HYPERLINK("https://cfpub.epa.gov/ecotox/explore.cfm?ncbi=1608482","Explore in ECOTOX")</f>
        <v>Explore in ECOTOX</v>
      </c>
    </row>
    <row r="3423" spans="1:18" x14ac:dyDescent="0.45">
      <c r="A3423" t="s">
        <v>1265</v>
      </c>
      <c r="B3423">
        <v>8</v>
      </c>
      <c r="C3423" t="str">
        <f>HYPERLINK("http://www.ncbi.nlm.nih.gov/protein/XP_017172189.1","XP_017172189.1")</f>
        <v>XP_017172189.1</v>
      </c>
      <c r="D3423">
        <v>351069</v>
      </c>
      <c r="E3423" t="str">
        <f>HYPERLINK("http://www.ncbi.nlm.nih.gov/Taxonomy/Browser/wwwtax.cgi?mode=Info&amp;id=10090&amp;lvl=3&amp;lin=f&amp;keep=1&amp;srchmode=1&amp;unlock","10090")</f>
        <v>10090</v>
      </c>
      <c r="F3423" t="s">
        <v>96</v>
      </c>
      <c r="G3423" t="str">
        <f>HYPERLINK("http://www.ncbi.nlm.nih.gov/Taxonomy/Browser/wwwtax.cgi?mode=Info&amp;id=10090&amp;lvl=3&amp;lin=f&amp;keep=1&amp;srchmode=1&amp;unlock","Mus musculus")</f>
        <v>Mus musculus</v>
      </c>
      <c r="H3423" t="s">
        <v>347</v>
      </c>
      <c r="I3423" t="str">
        <f>HYPERLINK("http://www.ncbi.nlm.nih.gov/protein/XP_017172189.1","ryanodine receptor 3 isoform X1")</f>
        <v>ryanodine receptor 3 isoform X1</v>
      </c>
      <c r="J3423">
        <v>7767.15</v>
      </c>
      <c r="K3423" t="s">
        <v>22</v>
      </c>
      <c r="L3423">
        <v>76</v>
      </c>
      <c r="M3423">
        <v>12.58</v>
      </c>
      <c r="N3423">
        <v>76.44</v>
      </c>
      <c r="O3423" t="s">
        <v>19</v>
      </c>
      <c r="P3423" t="s">
        <v>1320</v>
      </c>
      <c r="Q3423" t="s">
        <v>19</v>
      </c>
      <c r="R3423" t="str">
        <f>HYPERLINK("https://cfpub.epa.gov/ecotox/explore.cfm?ncbi=10090","Explore in ECOTOX")</f>
        <v>Explore in ECOTOX</v>
      </c>
    </row>
    <row r="3424" spans="1:18" x14ac:dyDescent="0.45">
      <c r="A3424" t="s">
        <v>1265</v>
      </c>
      <c r="B3424">
        <v>8</v>
      </c>
      <c r="C3424" t="str">
        <f>HYPERLINK("http://www.ncbi.nlm.nih.gov/protein/XP_033000785.1","XP_033000785.1")</f>
        <v>XP_033000785.1</v>
      </c>
      <c r="D3424">
        <v>39501</v>
      </c>
      <c r="E3424" t="str">
        <f>HYPERLINK("http://www.ncbi.nlm.nih.gov/Taxonomy/Browser/wwwtax.cgi?mode=Info&amp;id=80427&amp;lvl=3&amp;lin=f&amp;keep=1&amp;srchmode=1&amp;unlock","80427")</f>
        <v>80427</v>
      </c>
      <c r="F3424" t="s">
        <v>192</v>
      </c>
      <c r="G3424" t="str">
        <f>HYPERLINK("http://www.ncbi.nlm.nih.gov/Taxonomy/Browser/wwwtax.cgi?mode=Info&amp;id=80427&amp;lvl=3&amp;lin=f&amp;keep=1&amp;srchmode=1&amp;unlock","Lacerta agilis")</f>
        <v>Lacerta agilis</v>
      </c>
      <c r="H3424" t="s">
        <v>206</v>
      </c>
      <c r="I3424" t="str">
        <f>HYPERLINK("http://www.ncbi.nlm.nih.gov/protein/XP_033000785.1","ryanodine receptor 3")</f>
        <v>ryanodine receptor 3</v>
      </c>
      <c r="J3424">
        <v>7766.76</v>
      </c>
      <c r="K3424" t="s">
        <v>22</v>
      </c>
      <c r="L3424">
        <v>76</v>
      </c>
      <c r="M3424">
        <v>12.58</v>
      </c>
      <c r="N3424">
        <v>76.44</v>
      </c>
      <c r="O3424" t="s">
        <v>19</v>
      </c>
      <c r="P3424" t="s">
        <v>1320</v>
      </c>
      <c r="Q3424" t="s">
        <v>19</v>
      </c>
      <c r="R3424" t="str">
        <f>HYPERLINK("https://cfpub.epa.gov/ecotox/explore.cfm?ncbi=80427","Explore in ECOTOX")</f>
        <v>Explore in ECOTOX</v>
      </c>
    </row>
    <row r="3425" spans="1:18" x14ac:dyDescent="0.45">
      <c r="A3425" t="s">
        <v>1265</v>
      </c>
      <c r="B3425">
        <v>8</v>
      </c>
      <c r="C3425" t="str">
        <f>HYPERLINK("http://www.ncbi.nlm.nih.gov/protein/XP_059675536.1","XP_059675536.1")</f>
        <v>XP_059675536.1</v>
      </c>
      <c r="D3425">
        <v>35182</v>
      </c>
      <c r="E3425" t="str">
        <f>HYPERLINK("http://www.ncbi.nlm.nih.gov/Taxonomy/Browser/wwwtax.cgi?mode=Info&amp;id=37040&amp;lvl=3&amp;lin=f&amp;keep=1&amp;srchmode=1&amp;unlock","37040")</f>
        <v>37040</v>
      </c>
      <c r="F3425" t="s">
        <v>241</v>
      </c>
      <c r="G3425" t="str">
        <f>HYPERLINK("http://www.ncbi.nlm.nih.gov/Taxonomy/Browser/wwwtax.cgi?mode=Info&amp;id=37040&amp;lvl=3&amp;lin=f&amp;keep=1&amp;srchmode=1&amp;unlock","Gavia stellata")</f>
        <v>Gavia stellata</v>
      </c>
      <c r="H3425" t="s">
        <v>713</v>
      </c>
      <c r="I3425" t="str">
        <f>HYPERLINK("http://www.ncbi.nlm.nih.gov/protein/XP_059675536.1","ryanodine receptor 3")</f>
        <v>ryanodine receptor 3</v>
      </c>
      <c r="J3425">
        <v>7765.99</v>
      </c>
      <c r="K3425" t="s">
        <v>22</v>
      </c>
      <c r="L3425">
        <v>76</v>
      </c>
      <c r="M3425">
        <v>12.58</v>
      </c>
      <c r="N3425">
        <v>76.430000000000007</v>
      </c>
      <c r="O3425" t="s">
        <v>19</v>
      </c>
      <c r="P3425" t="s">
        <v>1320</v>
      </c>
      <c r="Q3425" t="s">
        <v>19</v>
      </c>
      <c r="R3425" t="str">
        <f>HYPERLINK("https://cfpub.epa.gov/ecotox/explore.cfm?ncbi=37040","Explore in ECOTOX")</f>
        <v>Explore in ECOTOX</v>
      </c>
    </row>
    <row r="3426" spans="1:18" x14ac:dyDescent="0.45">
      <c r="A3426" t="s">
        <v>1265</v>
      </c>
      <c r="B3426">
        <v>8</v>
      </c>
      <c r="C3426" t="str">
        <f>HYPERLINK("http://www.ncbi.nlm.nih.gov/protein/XP_009472111.1","XP_009472111.1")</f>
        <v>XP_009472111.1</v>
      </c>
      <c r="D3426">
        <v>31421</v>
      </c>
      <c r="E3426" t="str">
        <f>HYPERLINK("http://www.ncbi.nlm.nih.gov/Taxonomy/Browser/wwwtax.cgi?mode=Info&amp;id=128390&amp;lvl=3&amp;lin=f&amp;keep=1&amp;srchmode=1&amp;unlock","128390")</f>
        <v>128390</v>
      </c>
      <c r="F3426" t="s">
        <v>241</v>
      </c>
      <c r="G3426" t="str">
        <f>HYPERLINK("http://www.ncbi.nlm.nih.gov/Taxonomy/Browser/wwwtax.cgi?mode=Info&amp;id=128390&amp;lvl=3&amp;lin=f&amp;keep=1&amp;srchmode=1&amp;unlock","Nipponia nippon")</f>
        <v>Nipponia nippon</v>
      </c>
      <c r="H3426" t="s">
        <v>342</v>
      </c>
      <c r="I3426" t="str">
        <f>HYPERLINK("http://www.ncbi.nlm.nih.gov/protein/XP_009472111.1","PREDICTED: ryanodine receptor 3")</f>
        <v>PREDICTED: ryanodine receptor 3</v>
      </c>
      <c r="J3426">
        <v>7765.99</v>
      </c>
      <c r="K3426" t="s">
        <v>22</v>
      </c>
      <c r="L3426">
        <v>76</v>
      </c>
      <c r="M3426">
        <v>12.58</v>
      </c>
      <c r="N3426">
        <v>76.430000000000007</v>
      </c>
      <c r="O3426" t="s">
        <v>19</v>
      </c>
      <c r="P3426" t="s">
        <v>1320</v>
      </c>
      <c r="Q3426" t="s">
        <v>19</v>
      </c>
      <c r="R3426" t="str">
        <f>HYPERLINK("https://cfpub.epa.gov/ecotox/explore.cfm?ncbi=128390","Explore in ECOTOX")</f>
        <v>Explore in ECOTOX</v>
      </c>
    </row>
    <row r="3427" spans="1:18" x14ac:dyDescent="0.45">
      <c r="A3427" t="s">
        <v>1265</v>
      </c>
      <c r="B3427">
        <v>8</v>
      </c>
      <c r="C3427" t="str">
        <f>HYPERLINK("http://www.ncbi.nlm.nih.gov/protein/XP_029391914.1","XP_029391914.1")</f>
        <v>XP_029391914.1</v>
      </c>
      <c r="D3427">
        <v>42358</v>
      </c>
      <c r="E3427" t="str">
        <f>HYPERLINK("http://www.ncbi.nlm.nih.gov/Taxonomy/Browser/wwwtax.cgi?mode=Info&amp;id=10093&amp;lvl=3&amp;lin=f&amp;keep=1&amp;srchmode=1&amp;unlock","10093")</f>
        <v>10093</v>
      </c>
      <c r="F3427" t="s">
        <v>96</v>
      </c>
      <c r="G3427" t="str">
        <f>HYPERLINK("http://www.ncbi.nlm.nih.gov/Taxonomy/Browser/wwwtax.cgi?mode=Info&amp;id=10093&amp;lvl=3&amp;lin=f&amp;keep=1&amp;srchmode=1&amp;unlock","Mus pahari")</f>
        <v>Mus pahari</v>
      </c>
      <c r="H3427" t="s">
        <v>325</v>
      </c>
      <c r="I3427" t="str">
        <f>HYPERLINK("http://www.ncbi.nlm.nih.gov/protein/XP_029391914.1","LOW QUALITY PROTEIN: ryanodine receptor 3")</f>
        <v>LOW QUALITY PROTEIN: ryanodine receptor 3</v>
      </c>
      <c r="J3427">
        <v>7765.61</v>
      </c>
      <c r="K3427" t="s">
        <v>22</v>
      </c>
      <c r="L3427">
        <v>76</v>
      </c>
      <c r="M3427">
        <v>12.58</v>
      </c>
      <c r="N3427">
        <v>76.430000000000007</v>
      </c>
      <c r="O3427" t="s">
        <v>19</v>
      </c>
      <c r="P3427" t="s">
        <v>1320</v>
      </c>
      <c r="Q3427" t="s">
        <v>19</v>
      </c>
      <c r="R3427" t="str">
        <f>HYPERLINK("https://cfpub.epa.gov/ecotox/explore.cfm?ncbi=10093","Explore in ECOTOX")</f>
        <v>Explore in ECOTOX</v>
      </c>
    </row>
    <row r="3428" spans="1:18" x14ac:dyDescent="0.45">
      <c r="A3428" t="s">
        <v>1265</v>
      </c>
      <c r="B3428">
        <v>8</v>
      </c>
      <c r="C3428" t="str">
        <f>HYPERLINK("http://www.ncbi.nlm.nih.gov/protein/XP_027424913.1","XP_027424913.1")</f>
        <v>XP_027424913.1</v>
      </c>
      <c r="D3428">
        <v>61139</v>
      </c>
      <c r="E3428" t="str">
        <f>HYPERLINK("http://www.ncbi.nlm.nih.gov/Taxonomy/Browser/wwwtax.cgi?mode=Info&amp;id=9704&amp;lvl=3&amp;lin=f&amp;keep=1&amp;srchmode=1&amp;unlock","9704")</f>
        <v>9704</v>
      </c>
      <c r="F3428" t="s">
        <v>96</v>
      </c>
      <c r="G3428" t="str">
        <f>HYPERLINK("http://www.ncbi.nlm.nih.gov/Taxonomy/Browser/wwwtax.cgi?mode=Info&amp;id=9704&amp;lvl=3&amp;lin=f&amp;keep=1&amp;srchmode=1&amp;unlock","Zalophus californianus")</f>
        <v>Zalophus californianus</v>
      </c>
      <c r="H3428" t="s">
        <v>378</v>
      </c>
      <c r="I3428" t="str">
        <f>HYPERLINK("http://www.ncbi.nlm.nih.gov/protein/XP_027424913.1","ryanodine receptor 3")</f>
        <v>ryanodine receptor 3</v>
      </c>
      <c r="J3428">
        <v>7765.22</v>
      </c>
      <c r="K3428" t="s">
        <v>22</v>
      </c>
      <c r="L3428">
        <v>76</v>
      </c>
      <c r="M3428">
        <v>12.58</v>
      </c>
      <c r="N3428">
        <v>76.42</v>
      </c>
      <c r="O3428" t="s">
        <v>19</v>
      </c>
      <c r="P3428" t="s">
        <v>1320</v>
      </c>
      <c r="Q3428" t="s">
        <v>19</v>
      </c>
      <c r="R3428" t="str">
        <f>HYPERLINK("https://cfpub.epa.gov/ecotox/explore.cfm?ncbi=9704","Explore in ECOTOX")</f>
        <v>Explore in ECOTOX</v>
      </c>
    </row>
    <row r="3429" spans="1:18" x14ac:dyDescent="0.45">
      <c r="A3429" t="s">
        <v>1265</v>
      </c>
      <c r="B3429">
        <v>8</v>
      </c>
      <c r="C3429" t="str">
        <f>HYPERLINK("http://www.ncbi.nlm.nih.gov/protein/XP_026643531.1","XP_026643531.1")</f>
        <v>XP_026643531.1</v>
      </c>
      <c r="D3429">
        <v>59759</v>
      </c>
      <c r="E3429" t="str">
        <f>HYPERLINK("http://www.ncbi.nlm.nih.gov/Taxonomy/Browser/wwwtax.cgi?mode=Info&amp;id=79684&amp;lvl=3&amp;lin=f&amp;keep=1&amp;srchmode=1&amp;unlock","79684")</f>
        <v>79684</v>
      </c>
      <c r="F3429" t="s">
        <v>96</v>
      </c>
      <c r="G3429" t="str">
        <f>HYPERLINK("http://www.ncbi.nlm.nih.gov/Taxonomy/Browser/wwwtax.cgi?mode=Info&amp;id=79684&amp;lvl=3&amp;lin=f&amp;keep=1&amp;srchmode=1&amp;unlock","Microtus ochrogaster")</f>
        <v>Microtus ochrogaster</v>
      </c>
      <c r="H3429" t="s">
        <v>301</v>
      </c>
      <c r="I3429" t="str">
        <f>HYPERLINK("http://www.ncbi.nlm.nih.gov/protein/XP_026643531.1","ryanodine receptor 3")</f>
        <v>ryanodine receptor 3</v>
      </c>
      <c r="J3429">
        <v>7764.84</v>
      </c>
      <c r="K3429" t="s">
        <v>22</v>
      </c>
      <c r="L3429">
        <v>76</v>
      </c>
      <c r="M3429">
        <v>12.58</v>
      </c>
      <c r="N3429">
        <v>76.42</v>
      </c>
      <c r="O3429" t="s">
        <v>19</v>
      </c>
      <c r="P3429" t="s">
        <v>1320</v>
      </c>
      <c r="Q3429" t="s">
        <v>19</v>
      </c>
      <c r="R3429" t="str">
        <f>HYPERLINK("https://cfpub.epa.gov/ecotox/explore.cfm?ncbi=79684","Explore in ECOTOX")</f>
        <v>Explore in ECOTOX</v>
      </c>
    </row>
    <row r="3430" spans="1:18" x14ac:dyDescent="0.45">
      <c r="A3430" t="s">
        <v>1265</v>
      </c>
      <c r="B3430">
        <v>8</v>
      </c>
      <c r="C3430" t="str">
        <f>HYPERLINK("http://www.ncbi.nlm.nih.gov/protein/XP_047719155.1","XP_047719155.1")</f>
        <v>XP_047719155.1</v>
      </c>
      <c r="D3430">
        <v>56465</v>
      </c>
      <c r="E3430" t="str">
        <f>HYPERLINK("http://www.ncbi.nlm.nih.gov/Taxonomy/Browser/wwwtax.cgi?mode=Info&amp;id=61388&amp;lvl=3&amp;lin=f&amp;keep=1&amp;srchmode=1&amp;unlock","61388")</f>
        <v>61388</v>
      </c>
      <c r="F3430" t="s">
        <v>96</v>
      </c>
      <c r="G3430" t="str">
        <f>HYPERLINK("http://www.ncbi.nlm.nih.gov/Taxonomy/Browser/wwwtax.cgi?mode=Info&amp;id=61388&amp;lvl=3&amp;lin=f&amp;keep=1&amp;srchmode=1&amp;unlock","Prionailurus viverrinus")</f>
        <v>Prionailurus viverrinus</v>
      </c>
      <c r="H3430" t="s">
        <v>306</v>
      </c>
      <c r="I3430" t="str">
        <f>HYPERLINK("http://www.ncbi.nlm.nih.gov/protein/XP_047719155.1","ryanodine receptor 3")</f>
        <v>ryanodine receptor 3</v>
      </c>
      <c r="J3430">
        <v>7764.45</v>
      </c>
      <c r="K3430" t="s">
        <v>22</v>
      </c>
      <c r="L3430">
        <v>76</v>
      </c>
      <c r="M3430">
        <v>12.58</v>
      </c>
      <c r="N3430">
        <v>76.42</v>
      </c>
      <c r="O3430" t="s">
        <v>19</v>
      </c>
      <c r="P3430" t="s">
        <v>1320</v>
      </c>
      <c r="Q3430" t="s">
        <v>19</v>
      </c>
      <c r="R3430" t="str">
        <f>HYPERLINK("https://cfpub.epa.gov/ecotox/explore.cfm?ncbi=61388","Explore in ECOTOX")</f>
        <v>Explore in ECOTOX</v>
      </c>
    </row>
    <row r="3431" spans="1:18" x14ac:dyDescent="0.45">
      <c r="A3431" t="s">
        <v>1265</v>
      </c>
      <c r="B3431">
        <v>8</v>
      </c>
      <c r="C3431" t="str">
        <f>HYPERLINK("http://www.ncbi.nlm.nih.gov/protein/XP_032117221.1","XP_032117221.1")</f>
        <v>XP_032117221.1</v>
      </c>
      <c r="D3431">
        <v>62543</v>
      </c>
      <c r="E3431" t="str">
        <f>HYPERLINK("http://www.ncbi.nlm.nih.gov/Taxonomy/Browser/wwwtax.cgi?mode=Info&amp;id=9515&amp;lvl=3&amp;lin=f&amp;keep=1&amp;srchmode=1&amp;unlock","9515")</f>
        <v>9515</v>
      </c>
      <c r="F3431" t="s">
        <v>96</v>
      </c>
      <c r="G3431" t="str">
        <f>HYPERLINK("http://www.ncbi.nlm.nih.gov/Taxonomy/Browser/wwwtax.cgi?mode=Info&amp;id=9515&amp;lvl=3&amp;lin=f&amp;keep=1&amp;srchmode=1&amp;unlock","Sapajus apella")</f>
        <v>Sapajus apella</v>
      </c>
      <c r="H3431" t="s">
        <v>270</v>
      </c>
      <c r="I3431" t="str">
        <f>HYPERLINK("http://www.ncbi.nlm.nih.gov/protein/XP_032117221.1","ryanodine receptor 3 isoform X6")</f>
        <v>ryanodine receptor 3 isoform X6</v>
      </c>
      <c r="J3431">
        <v>7764.45</v>
      </c>
      <c r="K3431" t="s">
        <v>19</v>
      </c>
      <c r="L3431">
        <v>76</v>
      </c>
      <c r="M3431">
        <v>12.58</v>
      </c>
      <c r="N3431">
        <v>76.42</v>
      </c>
      <c r="O3431" t="s">
        <v>19</v>
      </c>
      <c r="P3431" t="s">
        <v>1320</v>
      </c>
      <c r="Q3431" t="s">
        <v>19</v>
      </c>
      <c r="R3431" t="str">
        <f>HYPERLINK("https://cfpub.epa.gov/ecotox/explore.cfm?ncbi=9515","Explore in ECOTOX")</f>
        <v>Explore in ECOTOX</v>
      </c>
    </row>
    <row r="3432" spans="1:18" x14ac:dyDescent="0.45">
      <c r="A3432" t="s">
        <v>1265</v>
      </c>
      <c r="B3432">
        <v>8</v>
      </c>
      <c r="C3432" t="str">
        <f>HYPERLINK("http://www.ncbi.nlm.nih.gov/protein/XP_054096551.1","XP_054096551.1")</f>
        <v>XP_054096551.1</v>
      </c>
      <c r="D3432">
        <v>85703</v>
      </c>
      <c r="E3432" t="str">
        <f>HYPERLINK("http://www.ncbi.nlm.nih.gov/Taxonomy/Browser/wwwtax.cgi?mode=Info&amp;id=9483&amp;lvl=3&amp;lin=f&amp;keep=1&amp;srchmode=1&amp;unlock","9483")</f>
        <v>9483</v>
      </c>
      <c r="F3432" t="s">
        <v>96</v>
      </c>
      <c r="G3432" t="str">
        <f>HYPERLINK("http://www.ncbi.nlm.nih.gov/Taxonomy/Browser/wwwtax.cgi?mode=Info&amp;id=9483&amp;lvl=3&amp;lin=f&amp;keep=1&amp;srchmode=1&amp;unlock","Callithrix jacchus")</f>
        <v>Callithrix jacchus</v>
      </c>
      <c r="H3432" t="s">
        <v>260</v>
      </c>
      <c r="I3432" t="str">
        <f>HYPERLINK("http://www.ncbi.nlm.nih.gov/protein/XP_054096551.1","ryanodine receptor 3 isoform X1")</f>
        <v>ryanodine receptor 3 isoform X1</v>
      </c>
      <c r="J3432">
        <v>7764.07</v>
      </c>
      <c r="K3432" t="s">
        <v>22</v>
      </c>
      <c r="L3432">
        <v>76</v>
      </c>
      <c r="M3432">
        <v>12.58</v>
      </c>
      <c r="N3432">
        <v>76.41</v>
      </c>
      <c r="O3432" t="s">
        <v>19</v>
      </c>
      <c r="P3432" t="s">
        <v>1320</v>
      </c>
      <c r="Q3432" t="s">
        <v>19</v>
      </c>
      <c r="R3432" t="str">
        <f>HYPERLINK("https://cfpub.epa.gov/ecotox/explore.cfm?ncbi=9483","Explore in ECOTOX")</f>
        <v>Explore in ECOTOX</v>
      </c>
    </row>
    <row r="3433" spans="1:18" x14ac:dyDescent="0.45">
      <c r="A3433" t="s">
        <v>1265</v>
      </c>
      <c r="B3433">
        <v>8</v>
      </c>
      <c r="C3433" t="str">
        <f>HYPERLINK("http://www.ncbi.nlm.nih.gov/protein/XP_057577459.1","XP_057577459.1")</f>
        <v>XP_057577459.1</v>
      </c>
      <c r="D3433">
        <v>55980</v>
      </c>
      <c r="E3433" t="str">
        <f>HYPERLINK("http://www.ncbi.nlm.nih.gov/Taxonomy/Browser/wwwtax.cgi?mode=Info&amp;id=575201&amp;lvl=3&amp;lin=f&amp;keep=1&amp;srchmode=1&amp;unlock","575201")</f>
        <v>575201</v>
      </c>
      <c r="F3433" t="s">
        <v>96</v>
      </c>
      <c r="G3433" t="str">
        <f>HYPERLINK("http://www.ncbi.nlm.nih.gov/Taxonomy/Browser/wwwtax.cgi?mode=Info&amp;id=575201&amp;lvl=3&amp;lin=f&amp;keep=1&amp;srchmode=1&amp;unlock","Hippopotamus amphibius kiboko")</f>
        <v>Hippopotamus amphibius kiboko</v>
      </c>
      <c r="H3433" t="s">
        <v>390</v>
      </c>
      <c r="I3433" t="str">
        <f>HYPERLINK("http://www.ncbi.nlm.nih.gov/protein/XP_057577459.1","LOW QUALITY PROTEIN: ryanodine receptor 3")</f>
        <v>LOW QUALITY PROTEIN: ryanodine receptor 3</v>
      </c>
      <c r="J3433">
        <v>7764.07</v>
      </c>
      <c r="K3433" t="s">
        <v>22</v>
      </c>
      <c r="L3433">
        <v>76</v>
      </c>
      <c r="M3433">
        <v>12.58</v>
      </c>
      <c r="N3433">
        <v>76.41</v>
      </c>
      <c r="O3433" t="s">
        <v>19</v>
      </c>
      <c r="P3433" t="s">
        <v>1320</v>
      </c>
      <c r="Q3433" t="s">
        <v>19</v>
      </c>
      <c r="R3433" t="str">
        <f>HYPERLINK("https://cfpub.epa.gov/ecotox/explore.cfm?ncbi=575201","Explore in ECOTOX")</f>
        <v>Explore in ECOTOX</v>
      </c>
    </row>
    <row r="3434" spans="1:18" x14ac:dyDescent="0.45">
      <c r="A3434" t="s">
        <v>1265</v>
      </c>
      <c r="B3434">
        <v>8</v>
      </c>
      <c r="C3434" t="str">
        <f>HYPERLINK("http://www.ncbi.nlm.nih.gov/protein/XP_058685252.1","XP_058685252.1")</f>
        <v>XP_058685252.1</v>
      </c>
      <c r="D3434">
        <v>53397</v>
      </c>
      <c r="E3434" t="str">
        <f>HYPERLINK("http://www.ncbi.nlm.nih.gov/Taxonomy/Browser/wwwtax.cgi?mode=Info&amp;id=48891&amp;lvl=3&amp;lin=f&amp;keep=1&amp;srchmode=1&amp;unlock","48891")</f>
        <v>48891</v>
      </c>
      <c r="F3434" t="s">
        <v>241</v>
      </c>
      <c r="G3434" t="str">
        <f>HYPERLINK("http://www.ncbi.nlm.nih.gov/Taxonomy/Browser/wwwtax.cgi?mode=Info&amp;id=48891&amp;lvl=3&amp;lin=f&amp;keep=1&amp;srchmode=1&amp;unlock","Poecile atricapillus")</f>
        <v>Poecile atricapillus</v>
      </c>
      <c r="H3434" t="s">
        <v>470</v>
      </c>
      <c r="I3434" t="str">
        <f>HYPERLINK("http://www.ncbi.nlm.nih.gov/protein/XP_058685252.1","ryanodine receptor 3 isoform X1")</f>
        <v>ryanodine receptor 3 isoform X1</v>
      </c>
      <c r="J3434">
        <v>7763.68</v>
      </c>
      <c r="K3434" t="s">
        <v>22</v>
      </c>
      <c r="L3434">
        <v>76</v>
      </c>
      <c r="M3434">
        <v>12.58</v>
      </c>
      <c r="N3434">
        <v>76.41</v>
      </c>
      <c r="O3434" t="s">
        <v>19</v>
      </c>
      <c r="P3434" t="s">
        <v>1320</v>
      </c>
      <c r="Q3434" t="s">
        <v>19</v>
      </c>
      <c r="R3434" t="str">
        <f>HYPERLINK("https://cfpub.epa.gov/ecotox/explore.cfm?ncbi=48891","Explore in ECOTOX")</f>
        <v>Explore in ECOTOX</v>
      </c>
    </row>
    <row r="3435" spans="1:18" x14ac:dyDescent="0.45">
      <c r="A3435" t="s">
        <v>1265</v>
      </c>
      <c r="B3435">
        <v>8</v>
      </c>
      <c r="C3435" t="str">
        <f>HYPERLINK("http://www.ncbi.nlm.nih.gov/protein/XP_034794365.2","XP_034794365.2")</f>
        <v>XP_034794365.2</v>
      </c>
      <c r="D3435">
        <v>75957</v>
      </c>
      <c r="E3435" t="str">
        <f>HYPERLINK("http://www.ncbi.nlm.nih.gov/Taxonomy/Browser/wwwtax.cgi?mode=Info&amp;id=9597&amp;lvl=3&amp;lin=f&amp;keep=1&amp;srchmode=1&amp;unlock","9597")</f>
        <v>9597</v>
      </c>
      <c r="F3435" t="s">
        <v>96</v>
      </c>
      <c r="G3435" t="str">
        <f>HYPERLINK("http://www.ncbi.nlm.nih.gov/Taxonomy/Browser/wwwtax.cgi?mode=Info&amp;id=9597&amp;lvl=3&amp;lin=f&amp;keep=1&amp;srchmode=1&amp;unlock","Pan paniscus")</f>
        <v>Pan paniscus</v>
      </c>
      <c r="H3435" t="s">
        <v>481</v>
      </c>
      <c r="I3435" t="str">
        <f>HYPERLINK("http://www.ncbi.nlm.nih.gov/protein/XP_034794365.2","ryanodine receptor 3 isoform X1")</f>
        <v>ryanodine receptor 3 isoform X1</v>
      </c>
      <c r="J3435">
        <v>7763.3</v>
      </c>
      <c r="K3435" t="s">
        <v>22</v>
      </c>
      <c r="L3435">
        <v>76</v>
      </c>
      <c r="M3435">
        <v>12.58</v>
      </c>
      <c r="N3435">
        <v>76.400000000000006</v>
      </c>
      <c r="O3435" t="s">
        <v>19</v>
      </c>
      <c r="P3435" t="s">
        <v>1320</v>
      </c>
      <c r="Q3435" t="s">
        <v>19</v>
      </c>
      <c r="R3435" t="str">
        <f>HYPERLINK("https://cfpub.epa.gov/ecotox/explore.cfm?ncbi=9597","Explore in ECOTOX")</f>
        <v>Explore in ECOTOX</v>
      </c>
    </row>
    <row r="3436" spans="1:18" x14ac:dyDescent="0.45">
      <c r="A3436" t="s">
        <v>1265</v>
      </c>
      <c r="B3436">
        <v>8</v>
      </c>
      <c r="C3436" t="str">
        <f>HYPERLINK("http://www.ncbi.nlm.nih.gov/protein/XP_020851754.1","XP_020851754.1")</f>
        <v>XP_020851754.1</v>
      </c>
      <c r="D3436">
        <v>47308</v>
      </c>
      <c r="E3436" t="str">
        <f>HYPERLINK("http://www.ncbi.nlm.nih.gov/Taxonomy/Browser/wwwtax.cgi?mode=Info&amp;id=38626&amp;lvl=3&amp;lin=f&amp;keep=1&amp;srchmode=1&amp;unlock","38626")</f>
        <v>38626</v>
      </c>
      <c r="F3436" t="s">
        <v>96</v>
      </c>
      <c r="G3436" t="str">
        <f>HYPERLINK("http://www.ncbi.nlm.nih.gov/Taxonomy/Browser/wwwtax.cgi?mode=Info&amp;id=38626&amp;lvl=3&amp;lin=f&amp;keep=1&amp;srchmode=1&amp;unlock","Phascolarctos cinereus")</f>
        <v>Phascolarctos cinereus</v>
      </c>
      <c r="H3436" t="s">
        <v>596</v>
      </c>
      <c r="I3436" t="str">
        <f>HYPERLINK("http://www.ncbi.nlm.nih.gov/protein/XP_020851754.1","ryanodine receptor 3")</f>
        <v>ryanodine receptor 3</v>
      </c>
      <c r="J3436">
        <v>7762.91</v>
      </c>
      <c r="K3436" t="s">
        <v>22</v>
      </c>
      <c r="L3436">
        <v>76</v>
      </c>
      <c r="M3436">
        <v>12.58</v>
      </c>
      <c r="N3436">
        <v>76.400000000000006</v>
      </c>
      <c r="O3436" t="s">
        <v>19</v>
      </c>
      <c r="P3436" t="s">
        <v>1320</v>
      </c>
      <c r="Q3436" t="s">
        <v>19</v>
      </c>
      <c r="R3436" t="str">
        <f>HYPERLINK("https://cfpub.epa.gov/ecotox/explore.cfm?ncbi=38626","Explore in ECOTOX")</f>
        <v>Explore in ECOTOX</v>
      </c>
    </row>
    <row r="3437" spans="1:18" x14ac:dyDescent="0.45">
      <c r="A3437" t="s">
        <v>1265</v>
      </c>
      <c r="B3437">
        <v>8</v>
      </c>
      <c r="C3437" t="str">
        <f>HYPERLINK("http://www.ncbi.nlm.nih.gov/protein/XP_050566795.1","XP_050566795.1")</f>
        <v>XP_050566795.1</v>
      </c>
      <c r="D3437">
        <v>36870</v>
      </c>
      <c r="E3437" t="str">
        <f>HYPERLINK("http://www.ncbi.nlm.nih.gov/Taxonomy/Browser/wwwtax.cgi?mode=Info&amp;id=8868&amp;lvl=3&amp;lin=f&amp;keep=1&amp;srchmode=1&amp;unlock","8868")</f>
        <v>8868</v>
      </c>
      <c r="F3437" t="s">
        <v>241</v>
      </c>
      <c r="G3437" t="str">
        <f>HYPERLINK("http://www.ncbi.nlm.nih.gov/Taxonomy/Browser/wwwtax.cgi?mode=Info&amp;id=8868&amp;lvl=3&amp;lin=f&amp;keep=1&amp;srchmode=1&amp;unlock","Cygnus atratus")</f>
        <v>Cygnus atratus</v>
      </c>
      <c r="H3437" t="s">
        <v>585</v>
      </c>
      <c r="I3437" t="str">
        <f>HYPERLINK("http://www.ncbi.nlm.nih.gov/protein/XP_050566795.1","ryanodine receptor 3")</f>
        <v>ryanodine receptor 3</v>
      </c>
      <c r="J3437">
        <v>7762.53</v>
      </c>
      <c r="K3437" t="s">
        <v>22</v>
      </c>
      <c r="L3437">
        <v>76</v>
      </c>
      <c r="M3437">
        <v>12.58</v>
      </c>
      <c r="N3437">
        <v>76.400000000000006</v>
      </c>
      <c r="O3437" t="s">
        <v>19</v>
      </c>
      <c r="P3437" t="s">
        <v>1320</v>
      </c>
      <c r="Q3437" t="s">
        <v>19</v>
      </c>
      <c r="R3437" t="str">
        <f>HYPERLINK("https://cfpub.epa.gov/ecotox/explore.cfm?ncbi=8868","Explore in ECOTOX")</f>
        <v>Explore in ECOTOX</v>
      </c>
    </row>
    <row r="3438" spans="1:18" x14ac:dyDescent="0.45">
      <c r="A3438" t="s">
        <v>1265</v>
      </c>
      <c r="B3438">
        <v>8</v>
      </c>
      <c r="C3438" t="str">
        <f>HYPERLINK("http://www.ncbi.nlm.nih.gov/protein/XP_020955566.1","XP_020955566.1")</f>
        <v>XP_020955566.1</v>
      </c>
      <c r="D3438">
        <v>90396</v>
      </c>
      <c r="E3438" t="str">
        <f>HYPERLINK("http://www.ncbi.nlm.nih.gov/Taxonomy/Browser/wwwtax.cgi?mode=Info&amp;id=9823&amp;lvl=3&amp;lin=f&amp;keep=1&amp;srchmode=1&amp;unlock","9823")</f>
        <v>9823</v>
      </c>
      <c r="F3438" t="s">
        <v>96</v>
      </c>
      <c r="G3438" t="str">
        <f>HYPERLINK("http://www.ncbi.nlm.nih.gov/Taxonomy/Browser/wwwtax.cgi?mode=Info&amp;id=9823&amp;lvl=3&amp;lin=f&amp;keep=1&amp;srchmode=1&amp;unlock","Sus scrofa")</f>
        <v>Sus scrofa</v>
      </c>
      <c r="H3438" t="s">
        <v>584</v>
      </c>
      <c r="I3438" t="str">
        <f>HYPERLINK("http://www.ncbi.nlm.nih.gov/protein/XP_020955566.1","LOW QUALITY PROTEIN: ryanodine receptor 3")</f>
        <v>LOW QUALITY PROTEIN: ryanodine receptor 3</v>
      </c>
      <c r="J3438">
        <v>7762.14</v>
      </c>
      <c r="K3438" t="s">
        <v>22</v>
      </c>
      <c r="L3438">
        <v>76</v>
      </c>
      <c r="M3438">
        <v>12.58</v>
      </c>
      <c r="N3438">
        <v>76.39</v>
      </c>
      <c r="O3438" t="s">
        <v>19</v>
      </c>
      <c r="P3438" t="s">
        <v>1320</v>
      </c>
      <c r="Q3438" t="s">
        <v>19</v>
      </c>
      <c r="R3438" t="str">
        <f>HYPERLINK("https://cfpub.epa.gov/ecotox/explore.cfm?ncbi=9823","Explore in ECOTOX")</f>
        <v>Explore in ECOTOX</v>
      </c>
    </row>
    <row r="3439" spans="1:18" x14ac:dyDescent="0.45">
      <c r="A3439" t="s">
        <v>1265</v>
      </c>
      <c r="B3439">
        <v>8</v>
      </c>
      <c r="C3439" t="str">
        <f>HYPERLINK("http://www.ncbi.nlm.nih.gov/protein/XP_010572585.1","XP_010572585.1")</f>
        <v>XP_010572585.1</v>
      </c>
      <c r="D3439">
        <v>25385</v>
      </c>
      <c r="E3439" t="str">
        <f>HYPERLINK("http://www.ncbi.nlm.nih.gov/Taxonomy/Browser/wwwtax.cgi?mode=Info&amp;id=52644&amp;lvl=3&amp;lin=f&amp;keep=1&amp;srchmode=1&amp;unlock","52644")</f>
        <v>52644</v>
      </c>
      <c r="F3439" t="s">
        <v>241</v>
      </c>
      <c r="G3439" t="str">
        <f>HYPERLINK("http://www.ncbi.nlm.nih.gov/Taxonomy/Browser/wwwtax.cgi?mode=Info&amp;id=52644&amp;lvl=3&amp;lin=f&amp;keep=1&amp;srchmode=1&amp;unlock","Haliaeetus leucocephalus")</f>
        <v>Haliaeetus leucocephalus</v>
      </c>
      <c r="H3439" t="s">
        <v>569</v>
      </c>
      <c r="I3439" t="str">
        <f>HYPERLINK("http://www.ncbi.nlm.nih.gov/protein/XP_010572585.1","PREDICTED: ryanodine receptor 3")</f>
        <v>PREDICTED: ryanodine receptor 3</v>
      </c>
      <c r="J3439">
        <v>7761.76</v>
      </c>
      <c r="K3439" t="s">
        <v>22</v>
      </c>
      <c r="L3439">
        <v>76</v>
      </c>
      <c r="M3439">
        <v>12.58</v>
      </c>
      <c r="N3439">
        <v>76.39</v>
      </c>
      <c r="O3439" t="s">
        <v>19</v>
      </c>
      <c r="P3439" t="s">
        <v>1320</v>
      </c>
      <c r="Q3439" t="s">
        <v>19</v>
      </c>
      <c r="R3439" t="str">
        <f>HYPERLINK("https://cfpub.epa.gov/ecotox/explore.cfm?ncbi=52644","Explore in ECOTOX")</f>
        <v>Explore in ECOTOX</v>
      </c>
    </row>
    <row r="3440" spans="1:18" x14ac:dyDescent="0.45">
      <c r="A3440" t="s">
        <v>1265</v>
      </c>
      <c r="B3440">
        <v>8</v>
      </c>
      <c r="C3440" t="str">
        <f>HYPERLINK("http://www.ncbi.nlm.nih.gov/protein/XP_014997278.2","XP_014997278.2")</f>
        <v>XP_014997278.2</v>
      </c>
      <c r="D3440">
        <v>182127</v>
      </c>
      <c r="E3440" t="str">
        <f>HYPERLINK("http://www.ncbi.nlm.nih.gov/Taxonomy/Browser/wwwtax.cgi?mode=Info&amp;id=9544&amp;lvl=3&amp;lin=f&amp;keep=1&amp;srchmode=1&amp;unlock","9544")</f>
        <v>9544</v>
      </c>
      <c r="F3440" t="s">
        <v>96</v>
      </c>
      <c r="G3440" t="str">
        <f>HYPERLINK("http://www.ncbi.nlm.nih.gov/Taxonomy/Browser/wwwtax.cgi?mode=Info&amp;id=9544&amp;lvl=3&amp;lin=f&amp;keep=1&amp;srchmode=1&amp;unlock","Macaca mulatta")</f>
        <v>Macaca mulatta</v>
      </c>
      <c r="H3440" t="s">
        <v>317</v>
      </c>
      <c r="I3440" t="str">
        <f>HYPERLINK("http://www.ncbi.nlm.nih.gov/protein/XP_014997278.2","ryanodine receptor 3 isoform X1")</f>
        <v>ryanodine receptor 3 isoform X1</v>
      </c>
      <c r="J3440">
        <v>7761.76</v>
      </c>
      <c r="K3440" t="s">
        <v>22</v>
      </c>
      <c r="L3440">
        <v>76</v>
      </c>
      <c r="M3440">
        <v>12.58</v>
      </c>
      <c r="N3440">
        <v>76.39</v>
      </c>
      <c r="O3440" t="s">
        <v>19</v>
      </c>
      <c r="P3440" t="s">
        <v>1320</v>
      </c>
      <c r="Q3440" t="s">
        <v>19</v>
      </c>
      <c r="R3440" t="str">
        <f>HYPERLINK("https://cfpub.epa.gov/ecotox/explore.cfm?ncbi=9544","Explore in ECOTOX")</f>
        <v>Explore in ECOTOX</v>
      </c>
    </row>
    <row r="3441" spans="1:18" x14ac:dyDescent="0.45">
      <c r="A3441" t="s">
        <v>1265</v>
      </c>
      <c r="B3441">
        <v>8</v>
      </c>
      <c r="C3441" t="str">
        <f>HYPERLINK("http://www.ncbi.nlm.nih.gov/protein/XP_058283332.1","XP_058283332.1")</f>
        <v>XP_058283332.1</v>
      </c>
      <c r="D3441">
        <v>59647</v>
      </c>
      <c r="E3441" t="str">
        <f>HYPERLINK("http://www.ncbi.nlm.nih.gov/Taxonomy/Browser/wwwtax.cgi?mode=Info&amp;id=81572&amp;lvl=3&amp;lin=f&amp;keep=1&amp;srchmode=1&amp;unlock","81572")</f>
        <v>81572</v>
      </c>
      <c r="F3441" t="s">
        <v>96</v>
      </c>
      <c r="G3441" t="str">
        <f>HYPERLINK("http://www.ncbi.nlm.nih.gov/Taxonomy/Browser/wwwtax.cgi?mode=Info&amp;id=81572&amp;lvl=3&amp;lin=f&amp;keep=1&amp;srchmode=1&amp;unlock","Hylobates moloch")</f>
        <v>Hylobates moloch</v>
      </c>
      <c r="H3441" t="s">
        <v>477</v>
      </c>
      <c r="I3441" t="str">
        <f>HYPERLINK("http://www.ncbi.nlm.nih.gov/protein/XP_058283332.1","ryanodine receptor 3")</f>
        <v>ryanodine receptor 3</v>
      </c>
      <c r="J3441">
        <v>7761.76</v>
      </c>
      <c r="K3441" t="s">
        <v>22</v>
      </c>
      <c r="L3441">
        <v>76</v>
      </c>
      <c r="M3441">
        <v>12.58</v>
      </c>
      <c r="N3441">
        <v>76.39</v>
      </c>
      <c r="O3441" t="s">
        <v>19</v>
      </c>
      <c r="P3441" t="s">
        <v>1320</v>
      </c>
      <c r="Q3441" t="s">
        <v>19</v>
      </c>
      <c r="R3441" t="str">
        <f>HYPERLINK("https://cfpub.epa.gov/ecotox/explore.cfm?ncbi=81572","Explore in ECOTOX")</f>
        <v>Explore in ECOTOX</v>
      </c>
    </row>
    <row r="3442" spans="1:18" x14ac:dyDescent="0.45">
      <c r="A3442" t="s">
        <v>1265</v>
      </c>
      <c r="B3442">
        <v>8</v>
      </c>
      <c r="C3442" t="str">
        <f>HYPERLINK("http://www.ncbi.nlm.nih.gov/protein/XP_042845197.1","XP_042845197.1")</f>
        <v>XP_042845197.1</v>
      </c>
      <c r="D3442">
        <v>56149</v>
      </c>
      <c r="E3442" t="str">
        <f>HYPERLINK("http://www.ncbi.nlm.nih.gov/Taxonomy/Browser/wwwtax.cgi?mode=Info&amp;id=9694&amp;lvl=3&amp;lin=f&amp;keep=1&amp;srchmode=1&amp;unlock","9694")</f>
        <v>9694</v>
      </c>
      <c r="F3442" t="s">
        <v>96</v>
      </c>
      <c r="G3442" t="str">
        <f>HYPERLINK("http://www.ncbi.nlm.nih.gov/Taxonomy/Browser/wwwtax.cgi?mode=Info&amp;id=9694&amp;lvl=3&amp;lin=f&amp;keep=1&amp;srchmode=1&amp;unlock","Panthera tigris")</f>
        <v>Panthera tigris</v>
      </c>
      <c r="H3442" t="s">
        <v>314</v>
      </c>
      <c r="I3442" t="str">
        <f>HYPERLINK("http://www.ncbi.nlm.nih.gov/protein/XP_042845197.1","ryanodine receptor 3")</f>
        <v>ryanodine receptor 3</v>
      </c>
      <c r="J3442">
        <v>7761.37</v>
      </c>
      <c r="K3442" t="s">
        <v>19</v>
      </c>
      <c r="L3442">
        <v>76</v>
      </c>
      <c r="M3442">
        <v>12.58</v>
      </c>
      <c r="N3442">
        <v>76.39</v>
      </c>
      <c r="O3442" t="s">
        <v>19</v>
      </c>
      <c r="P3442" t="s">
        <v>1320</v>
      </c>
      <c r="Q3442" t="s">
        <v>19</v>
      </c>
      <c r="R3442" t="str">
        <f>HYPERLINK("https://cfpub.epa.gov/ecotox/explore.cfm?ncbi=9694","Explore in ECOTOX")</f>
        <v>Explore in ECOTOX</v>
      </c>
    </row>
    <row r="3443" spans="1:18" x14ac:dyDescent="0.45">
      <c r="A3443" t="s">
        <v>1265</v>
      </c>
      <c r="B3443">
        <v>8</v>
      </c>
      <c r="C3443" t="str">
        <f>HYPERLINK("http://www.ncbi.nlm.nih.gov/protein/XP_049990394.1","XP_049990394.1")</f>
        <v>XP_049990394.1</v>
      </c>
      <c r="D3443">
        <v>47946</v>
      </c>
      <c r="E3443" t="str">
        <f>HYPERLINK("http://www.ncbi.nlm.nih.gov/Taxonomy/Browser/wwwtax.cgi?mode=Info&amp;id=100897&amp;lvl=3&amp;lin=f&amp;keep=1&amp;srchmode=1&amp;unlock","100897")</f>
        <v>100897</v>
      </c>
      <c r="F3443" t="s">
        <v>96</v>
      </c>
      <c r="G3443" t="str">
        <f>HYPERLINK("http://www.ncbi.nlm.nih.gov/Taxonomy/Browser/wwwtax.cgi?mode=Info&amp;id=100897&amp;lvl=3&amp;lin=f&amp;keep=1&amp;srchmode=1&amp;unlock","Microtus fortis")</f>
        <v>Microtus fortis</v>
      </c>
      <c r="H3443" t="s">
        <v>428</v>
      </c>
      <c r="I3443" t="str">
        <f>HYPERLINK("http://www.ncbi.nlm.nih.gov/protein/XP_049990394.1","ryanodine receptor 3 isoform X3")</f>
        <v>ryanodine receptor 3 isoform X3</v>
      </c>
      <c r="J3443">
        <v>7760.6</v>
      </c>
      <c r="K3443" t="s">
        <v>22</v>
      </c>
      <c r="L3443">
        <v>76</v>
      </c>
      <c r="M3443">
        <v>12.58</v>
      </c>
      <c r="N3443">
        <v>76.38</v>
      </c>
      <c r="O3443" t="s">
        <v>19</v>
      </c>
      <c r="P3443" t="s">
        <v>1320</v>
      </c>
      <c r="Q3443" t="s">
        <v>19</v>
      </c>
      <c r="R3443" t="str">
        <f>HYPERLINK("https://cfpub.epa.gov/ecotox/explore.cfm?ncbi=100897","Explore in ECOTOX")</f>
        <v>Explore in ECOTOX</v>
      </c>
    </row>
    <row r="3444" spans="1:18" x14ac:dyDescent="0.45">
      <c r="A3444" t="s">
        <v>1265</v>
      </c>
      <c r="B3444">
        <v>8</v>
      </c>
      <c r="C3444" t="str">
        <f>HYPERLINK("http://www.ncbi.nlm.nih.gov/protein/XP_047650826.1","XP_047650826.1")</f>
        <v>XP_047650826.1</v>
      </c>
      <c r="D3444">
        <v>48289</v>
      </c>
      <c r="E3444" t="str">
        <f>HYPERLINK("http://www.ncbi.nlm.nih.gov/Taxonomy/Browser/wwwtax.cgi?mode=Info&amp;id=41426&amp;lvl=3&amp;lin=f&amp;keep=1&amp;srchmode=1&amp;unlock","41426")</f>
        <v>41426</v>
      </c>
      <c r="F3444" t="s">
        <v>96</v>
      </c>
      <c r="G3444" t="str">
        <f>HYPERLINK("http://www.ncbi.nlm.nih.gov/Taxonomy/Browser/wwwtax.cgi?mode=Info&amp;id=41426&amp;lvl=3&amp;lin=f&amp;keep=1&amp;srchmode=1&amp;unlock","Phacochoerus africanus")</f>
        <v>Phacochoerus africanus</v>
      </c>
      <c r="H3444" t="s">
        <v>355</v>
      </c>
      <c r="I3444" t="str">
        <f>HYPERLINK("http://www.ncbi.nlm.nih.gov/protein/XP_047650826.1","ryanodine receptor 3")</f>
        <v>ryanodine receptor 3</v>
      </c>
      <c r="J3444">
        <v>7760.6</v>
      </c>
      <c r="K3444" t="s">
        <v>22</v>
      </c>
      <c r="L3444">
        <v>76</v>
      </c>
      <c r="M3444">
        <v>12.58</v>
      </c>
      <c r="N3444">
        <v>76.38</v>
      </c>
      <c r="O3444" t="s">
        <v>19</v>
      </c>
      <c r="P3444" t="s">
        <v>1320</v>
      </c>
      <c r="Q3444" t="s">
        <v>19</v>
      </c>
      <c r="R3444" t="str">
        <f>HYPERLINK("https://cfpub.epa.gov/ecotox/explore.cfm?ncbi=41426","Explore in ECOTOX")</f>
        <v>Explore in ECOTOX</v>
      </c>
    </row>
    <row r="3445" spans="1:18" x14ac:dyDescent="0.45">
      <c r="A3445" t="s">
        <v>1265</v>
      </c>
      <c r="B3445">
        <v>8</v>
      </c>
      <c r="C3445" t="str">
        <f>HYPERLINK("http://www.ncbi.nlm.nih.gov/protein/XP_032759778.1","XP_032759778.1")</f>
        <v>XP_032759778.1</v>
      </c>
      <c r="D3445">
        <v>36663</v>
      </c>
      <c r="E3445" t="str">
        <f>HYPERLINK("http://www.ncbi.nlm.nih.gov/Taxonomy/Browser/wwwtax.cgi?mode=Info&amp;id=10117&amp;lvl=3&amp;lin=f&amp;keep=1&amp;srchmode=1&amp;unlock","10117")</f>
        <v>10117</v>
      </c>
      <c r="F3445" t="s">
        <v>96</v>
      </c>
      <c r="G3445" t="str">
        <f>HYPERLINK("http://www.ncbi.nlm.nih.gov/Taxonomy/Browser/wwwtax.cgi?mode=Info&amp;id=10117&amp;lvl=3&amp;lin=f&amp;keep=1&amp;srchmode=1&amp;unlock","Rattus rattus")</f>
        <v>Rattus rattus</v>
      </c>
      <c r="H3445" t="s">
        <v>403</v>
      </c>
      <c r="I3445" t="str">
        <f>HYPERLINK("http://www.ncbi.nlm.nih.gov/protein/XP_032759778.1","ryanodine receptor 3 isoform X3")</f>
        <v>ryanodine receptor 3 isoform X3</v>
      </c>
      <c r="J3445">
        <v>7760.22</v>
      </c>
      <c r="K3445" t="s">
        <v>22</v>
      </c>
      <c r="L3445">
        <v>76</v>
      </c>
      <c r="M3445">
        <v>12.58</v>
      </c>
      <c r="N3445">
        <v>76.37</v>
      </c>
      <c r="O3445" t="s">
        <v>19</v>
      </c>
      <c r="P3445" t="s">
        <v>1320</v>
      </c>
      <c r="Q3445" t="s">
        <v>19</v>
      </c>
      <c r="R3445" t="str">
        <f>HYPERLINK("https://cfpub.epa.gov/ecotox/explore.cfm?ncbi=10117","Explore in ECOTOX")</f>
        <v>Explore in ECOTOX</v>
      </c>
    </row>
    <row r="3446" spans="1:18" x14ac:dyDescent="0.45">
      <c r="A3446" t="s">
        <v>1265</v>
      </c>
      <c r="B3446">
        <v>8</v>
      </c>
      <c r="C3446" t="str">
        <f>HYPERLINK("http://www.ncbi.nlm.nih.gov/protein/XP_037690310.1","XP_037690310.1")</f>
        <v>XP_037690310.1</v>
      </c>
      <c r="D3446">
        <v>54619</v>
      </c>
      <c r="E3446" t="str">
        <f>HYPERLINK("http://www.ncbi.nlm.nih.gov/Taxonomy/Browser/wwwtax.cgi?mode=Info&amp;id=27675&amp;lvl=3&amp;lin=f&amp;keep=1&amp;srchmode=1&amp;unlock","27675")</f>
        <v>27675</v>
      </c>
      <c r="F3446" t="s">
        <v>96</v>
      </c>
      <c r="G3446" t="str">
        <f>HYPERLINK("http://www.ncbi.nlm.nih.gov/Taxonomy/Browser/wwwtax.cgi?mode=Info&amp;id=27675&amp;lvl=3&amp;lin=f&amp;keep=1&amp;srchmode=1&amp;unlock","Choloepus didactylus")</f>
        <v>Choloepus didactylus</v>
      </c>
      <c r="H3446" t="s">
        <v>565</v>
      </c>
      <c r="I3446" t="str">
        <f>HYPERLINK("http://www.ncbi.nlm.nih.gov/protein/XP_037690310.1","ryanodine receptor 3 isoform X10")</f>
        <v>ryanodine receptor 3 isoform X10</v>
      </c>
      <c r="J3446">
        <v>7760.22</v>
      </c>
      <c r="K3446" t="s">
        <v>22</v>
      </c>
      <c r="L3446">
        <v>76</v>
      </c>
      <c r="M3446">
        <v>12.58</v>
      </c>
      <c r="N3446">
        <v>76.37</v>
      </c>
      <c r="O3446" t="s">
        <v>19</v>
      </c>
      <c r="P3446" t="s">
        <v>1320</v>
      </c>
      <c r="Q3446" t="s">
        <v>19</v>
      </c>
      <c r="R3446" t="str">
        <f>HYPERLINK("https://cfpub.epa.gov/ecotox/explore.cfm?ncbi=27675","Explore in ECOTOX")</f>
        <v>Explore in ECOTOX</v>
      </c>
    </row>
    <row r="3447" spans="1:18" x14ac:dyDescent="0.45">
      <c r="A3447" t="s">
        <v>1265</v>
      </c>
      <c r="B3447">
        <v>8</v>
      </c>
      <c r="C3447" t="str">
        <f>HYPERLINK("http://www.ncbi.nlm.nih.gov/protein/XP_027781585.1","XP_027781585.1")</f>
        <v>XP_027781585.1</v>
      </c>
      <c r="D3447">
        <v>37689</v>
      </c>
      <c r="E3447" t="str">
        <f>HYPERLINK("http://www.ncbi.nlm.nih.gov/Taxonomy/Browser/wwwtax.cgi?mode=Info&amp;id=93162&amp;lvl=3&amp;lin=f&amp;keep=1&amp;srchmode=1&amp;unlock","93162")</f>
        <v>93162</v>
      </c>
      <c r="F3447" t="s">
        <v>96</v>
      </c>
      <c r="G3447" t="str">
        <f>HYPERLINK("http://www.ncbi.nlm.nih.gov/Taxonomy/Browser/wwwtax.cgi?mode=Info&amp;id=93162&amp;lvl=3&amp;lin=f&amp;keep=1&amp;srchmode=1&amp;unlock","Marmota flaviventris")</f>
        <v>Marmota flaviventris</v>
      </c>
      <c r="H3447" t="s">
        <v>574</v>
      </c>
      <c r="I3447" t="str">
        <f>HYPERLINK("http://www.ncbi.nlm.nih.gov/protein/XP_027781585.1","ryanodine receptor 3")</f>
        <v>ryanodine receptor 3</v>
      </c>
      <c r="J3447">
        <v>7759.83</v>
      </c>
      <c r="K3447" t="s">
        <v>22</v>
      </c>
      <c r="L3447">
        <v>76</v>
      </c>
      <c r="M3447">
        <v>12.58</v>
      </c>
      <c r="N3447">
        <v>76.37</v>
      </c>
      <c r="O3447" t="s">
        <v>19</v>
      </c>
      <c r="P3447" t="s">
        <v>1320</v>
      </c>
      <c r="Q3447" t="s">
        <v>19</v>
      </c>
      <c r="R3447" t="str">
        <f>HYPERLINK("https://cfpub.epa.gov/ecotox/explore.cfm?ncbi=93162","Explore in ECOTOX")</f>
        <v>Explore in ECOTOX</v>
      </c>
    </row>
    <row r="3448" spans="1:18" x14ac:dyDescent="0.45">
      <c r="A3448" t="s">
        <v>1265</v>
      </c>
      <c r="B3448">
        <v>8</v>
      </c>
      <c r="C3448" t="str">
        <f>HYPERLINK("http://www.ncbi.nlm.nih.gov/protein/XP_054988571.1","XP_054988571.1")</f>
        <v>XP_054988571.1</v>
      </c>
      <c r="D3448">
        <v>41587</v>
      </c>
      <c r="E3448" t="str">
        <f>HYPERLINK("http://www.ncbi.nlm.nih.gov/Taxonomy/Browser/wwwtax.cgi?mode=Info&amp;id=42254&amp;lvl=3&amp;lin=f&amp;keep=1&amp;srchmode=1&amp;unlock","42254")</f>
        <v>42254</v>
      </c>
      <c r="F3448" t="s">
        <v>96</v>
      </c>
      <c r="G3448" t="str">
        <f>HYPERLINK("http://www.ncbi.nlm.nih.gov/Taxonomy/Browser/wwwtax.cgi?mode=Info&amp;id=42254&amp;lvl=3&amp;lin=f&amp;keep=1&amp;srchmode=1&amp;unlock","Sorex araneus")</f>
        <v>Sorex araneus</v>
      </c>
      <c r="H3448" t="s">
        <v>311</v>
      </c>
      <c r="I3448" t="str">
        <f>HYPERLINK("http://www.ncbi.nlm.nih.gov/protein/XP_054988571.1","ryanodine receptor 3 isoform X2")</f>
        <v>ryanodine receptor 3 isoform X2</v>
      </c>
      <c r="J3448">
        <v>7759.83</v>
      </c>
      <c r="K3448" t="s">
        <v>22</v>
      </c>
      <c r="L3448">
        <v>76</v>
      </c>
      <c r="M3448">
        <v>12.58</v>
      </c>
      <c r="N3448">
        <v>76.37</v>
      </c>
      <c r="O3448" t="s">
        <v>19</v>
      </c>
      <c r="P3448" t="s">
        <v>1320</v>
      </c>
      <c r="Q3448" t="s">
        <v>19</v>
      </c>
      <c r="R3448" t="str">
        <f>HYPERLINK("https://cfpub.epa.gov/ecotox/explore.cfm?ncbi=42254","Explore in ECOTOX")</f>
        <v>Explore in ECOTOX</v>
      </c>
    </row>
    <row r="3449" spans="1:18" x14ac:dyDescent="0.45">
      <c r="A3449" t="s">
        <v>1265</v>
      </c>
      <c r="B3449">
        <v>8</v>
      </c>
      <c r="C3449" t="str">
        <f>HYPERLINK("http://www.ncbi.nlm.nih.gov/protein/XP_031791594.1","XP_031791594.1")</f>
        <v>XP_031791594.1</v>
      </c>
      <c r="D3449">
        <v>52625</v>
      </c>
      <c r="E3449" t="str">
        <f>HYPERLINK("http://www.ncbi.nlm.nih.gov/Taxonomy/Browser/wwwtax.cgi?mode=Info&amp;id=591936&amp;lvl=3&amp;lin=f&amp;keep=1&amp;srchmode=1&amp;unlock","591936")</f>
        <v>591936</v>
      </c>
      <c r="F3449" t="s">
        <v>96</v>
      </c>
      <c r="G3449" t="str">
        <f>HYPERLINK("http://www.ncbi.nlm.nih.gov/Taxonomy/Browser/wwwtax.cgi?mode=Info&amp;id=591936&amp;lvl=3&amp;lin=f&amp;keep=1&amp;srchmode=1&amp;unlock","Piliocolobus tephrosceles")</f>
        <v>Piliocolobus tephrosceles</v>
      </c>
      <c r="H3449" t="s">
        <v>361</v>
      </c>
      <c r="I3449" t="str">
        <f>HYPERLINK("http://www.ncbi.nlm.nih.gov/protein/XP_031791594.1","ryanodine receptor 3")</f>
        <v>ryanodine receptor 3</v>
      </c>
      <c r="J3449">
        <v>7759.45</v>
      </c>
      <c r="K3449" t="s">
        <v>22</v>
      </c>
      <c r="L3449">
        <v>76</v>
      </c>
      <c r="M3449">
        <v>12.58</v>
      </c>
      <c r="N3449">
        <v>76.37</v>
      </c>
      <c r="O3449" t="s">
        <v>19</v>
      </c>
      <c r="P3449" t="s">
        <v>1320</v>
      </c>
      <c r="Q3449" t="s">
        <v>19</v>
      </c>
      <c r="R3449" t="str">
        <f>HYPERLINK("https://cfpub.epa.gov/ecotox/explore.cfm?ncbi=591936","Explore in ECOTOX")</f>
        <v>Explore in ECOTOX</v>
      </c>
    </row>
    <row r="3450" spans="1:18" x14ac:dyDescent="0.45">
      <c r="A3450" t="s">
        <v>1265</v>
      </c>
      <c r="B3450">
        <v>8</v>
      </c>
      <c r="C3450" t="str">
        <f>HYPERLINK("http://www.ncbi.nlm.nih.gov/protein/XP_014635880.1","XP_014635880.1")</f>
        <v>XP_014635880.1</v>
      </c>
      <c r="D3450">
        <v>33637</v>
      </c>
      <c r="E3450" t="str">
        <f>HYPERLINK("http://www.ncbi.nlm.nih.gov/Taxonomy/Browser/wwwtax.cgi?mode=Info&amp;id=73337&amp;lvl=3&amp;lin=f&amp;keep=1&amp;srchmode=1&amp;unlock","73337")</f>
        <v>73337</v>
      </c>
      <c r="F3450" t="s">
        <v>96</v>
      </c>
      <c r="G3450" t="str">
        <f>HYPERLINK("http://www.ncbi.nlm.nih.gov/Taxonomy/Browser/wwwtax.cgi?mode=Info&amp;id=73337&amp;lvl=3&amp;lin=f&amp;keep=1&amp;srchmode=1&amp;unlock","Ceratotherium simum simum")</f>
        <v>Ceratotherium simum simum</v>
      </c>
      <c r="H3450" t="s">
        <v>740</v>
      </c>
      <c r="I3450" t="str">
        <f>HYPERLINK("http://www.ncbi.nlm.nih.gov/protein/XP_014635880.1","PREDICTED: ryanodine receptor 3")</f>
        <v>PREDICTED: ryanodine receptor 3</v>
      </c>
      <c r="J3450">
        <v>7759.45</v>
      </c>
      <c r="K3450" t="s">
        <v>22</v>
      </c>
      <c r="L3450">
        <v>76</v>
      </c>
      <c r="M3450">
        <v>12.58</v>
      </c>
      <c r="N3450">
        <v>76.37</v>
      </c>
      <c r="O3450" t="s">
        <v>19</v>
      </c>
      <c r="P3450" t="s">
        <v>1320</v>
      </c>
      <c r="Q3450" t="s">
        <v>19</v>
      </c>
      <c r="R3450" t="str">
        <f>HYPERLINK("https://cfpub.epa.gov/ecotox/explore.cfm?ncbi=73337","Explore in ECOTOX")</f>
        <v>Explore in ECOTOX</v>
      </c>
    </row>
    <row r="3451" spans="1:18" x14ac:dyDescent="0.45">
      <c r="A3451" t="s">
        <v>1265</v>
      </c>
      <c r="B3451">
        <v>8</v>
      </c>
      <c r="C3451" t="str">
        <f>HYPERLINK("http://www.ncbi.nlm.nih.gov/protein/XP_026246150.1","XP_026246150.1")</f>
        <v>XP_026246150.1</v>
      </c>
      <c r="D3451">
        <v>36507</v>
      </c>
      <c r="E3451" t="str">
        <f>HYPERLINK("http://www.ncbi.nlm.nih.gov/Taxonomy/Browser/wwwtax.cgi?mode=Info&amp;id=9999&amp;lvl=3&amp;lin=f&amp;keep=1&amp;srchmode=1&amp;unlock","9999")</f>
        <v>9999</v>
      </c>
      <c r="F3451" t="s">
        <v>96</v>
      </c>
      <c r="G3451" t="str">
        <f>HYPERLINK("http://www.ncbi.nlm.nih.gov/Taxonomy/Browser/wwwtax.cgi?mode=Info&amp;id=9999&amp;lvl=3&amp;lin=f&amp;keep=1&amp;srchmode=1&amp;unlock","Urocitellus parryii")</f>
        <v>Urocitellus parryii</v>
      </c>
      <c r="H3451" t="s">
        <v>578</v>
      </c>
      <c r="I3451" t="str">
        <f>HYPERLINK("http://www.ncbi.nlm.nih.gov/protein/XP_026246150.1","ryanodine receptor 3")</f>
        <v>ryanodine receptor 3</v>
      </c>
      <c r="J3451">
        <v>7759.06</v>
      </c>
      <c r="K3451" t="s">
        <v>22</v>
      </c>
      <c r="L3451">
        <v>76</v>
      </c>
      <c r="M3451">
        <v>12.58</v>
      </c>
      <c r="N3451">
        <v>76.36</v>
      </c>
      <c r="O3451" t="s">
        <v>19</v>
      </c>
      <c r="P3451" t="s">
        <v>1320</v>
      </c>
      <c r="Q3451" t="s">
        <v>19</v>
      </c>
      <c r="R3451" t="str">
        <f>HYPERLINK("https://cfpub.epa.gov/ecotox/explore.cfm?ncbi=9999","Explore in ECOTOX")</f>
        <v>Explore in ECOTOX</v>
      </c>
    </row>
    <row r="3452" spans="1:18" x14ac:dyDescent="0.45">
      <c r="A3452" t="s">
        <v>1265</v>
      </c>
      <c r="B3452">
        <v>8</v>
      </c>
      <c r="C3452" t="str">
        <f>HYPERLINK("http://www.ncbi.nlm.nih.gov/protein/XP_056708120.1","XP_056708120.1")</f>
        <v>XP_056708120.1</v>
      </c>
      <c r="D3452">
        <v>23805</v>
      </c>
      <c r="E3452" t="str">
        <f>HYPERLINK("http://www.ncbi.nlm.nih.gov/Taxonomy/Browser/wwwtax.cgi?mode=Info&amp;id=460621&amp;lvl=3&amp;lin=f&amp;keep=1&amp;srchmode=1&amp;unlock","460621")</f>
        <v>460621</v>
      </c>
      <c r="F3452" t="s">
        <v>192</v>
      </c>
      <c r="G3452" t="str">
        <f>HYPERLINK("http://www.ncbi.nlm.nih.gov/Taxonomy/Browser/wwwtax.cgi?mode=Info&amp;id=460621&amp;lvl=3&amp;lin=f&amp;keep=1&amp;srchmode=1&amp;unlock","Euleptes europaea")</f>
        <v>Euleptes europaea</v>
      </c>
      <c r="H3452" t="s">
        <v>217</v>
      </c>
      <c r="I3452" t="str">
        <f>HYPERLINK("http://www.ncbi.nlm.nih.gov/protein/XP_056708120.1","ryanodine receptor 3")</f>
        <v>ryanodine receptor 3</v>
      </c>
      <c r="J3452">
        <v>7759.06</v>
      </c>
      <c r="K3452" t="s">
        <v>19</v>
      </c>
      <c r="L3452">
        <v>76</v>
      </c>
      <c r="M3452">
        <v>12.58</v>
      </c>
      <c r="N3452">
        <v>76.36</v>
      </c>
      <c r="O3452" t="s">
        <v>19</v>
      </c>
      <c r="P3452" t="s">
        <v>1320</v>
      </c>
      <c r="Q3452" t="s">
        <v>19</v>
      </c>
      <c r="R3452" t="str">
        <f>HYPERLINK("https://cfpub.epa.gov/ecotox/explore.cfm?ncbi=460621","Explore in ECOTOX")</f>
        <v>Explore in ECOTOX</v>
      </c>
    </row>
    <row r="3453" spans="1:18" x14ac:dyDescent="0.45">
      <c r="A3453" t="s">
        <v>1265</v>
      </c>
      <c r="B3453">
        <v>8</v>
      </c>
      <c r="C3453" t="str">
        <f>HYPERLINK("http://www.ncbi.nlm.nih.gov/protein/XP_053745189.1","XP_053745189.1")</f>
        <v>XP_053745189.1</v>
      </c>
      <c r="D3453">
        <v>57098</v>
      </c>
      <c r="E3453" t="str">
        <f>HYPERLINK("http://www.ncbi.nlm.nih.gov/Taxonomy/Browser/wwwtax.cgi?mode=Info&amp;id=9691&amp;lvl=3&amp;lin=f&amp;keep=1&amp;srchmode=1&amp;unlock","9691")</f>
        <v>9691</v>
      </c>
      <c r="F3453" t="s">
        <v>96</v>
      </c>
      <c r="G3453" t="str">
        <f>HYPERLINK("http://www.ncbi.nlm.nih.gov/Taxonomy/Browser/wwwtax.cgi?mode=Info&amp;id=9691&amp;lvl=3&amp;lin=f&amp;keep=1&amp;srchmode=1&amp;unlock","Panthera pardus")</f>
        <v>Panthera pardus</v>
      </c>
      <c r="H3453" t="s">
        <v>289</v>
      </c>
      <c r="I3453" t="str">
        <f>HYPERLINK("http://www.ncbi.nlm.nih.gov/protein/XP_053745189.1","ryanodine receptor 3")</f>
        <v>ryanodine receptor 3</v>
      </c>
      <c r="J3453">
        <v>7759.06</v>
      </c>
      <c r="K3453" t="s">
        <v>22</v>
      </c>
      <c r="L3453">
        <v>76</v>
      </c>
      <c r="M3453">
        <v>12.58</v>
      </c>
      <c r="N3453">
        <v>76.36</v>
      </c>
      <c r="O3453" t="s">
        <v>19</v>
      </c>
      <c r="P3453" t="s">
        <v>1320</v>
      </c>
      <c r="Q3453" t="s">
        <v>19</v>
      </c>
      <c r="R3453" t="str">
        <f>HYPERLINK("https://cfpub.epa.gov/ecotox/explore.cfm?ncbi=9691","Explore in ECOTOX")</f>
        <v>Explore in ECOTOX</v>
      </c>
    </row>
    <row r="3454" spans="1:18" x14ac:dyDescent="0.45">
      <c r="A3454" t="s">
        <v>1265</v>
      </c>
      <c r="B3454">
        <v>8</v>
      </c>
      <c r="C3454" t="str">
        <f>HYPERLINK("http://www.ncbi.nlm.nih.gov/protein/XP_055219208.1","XP_055219208.1")</f>
        <v>XP_055219208.1</v>
      </c>
      <c r="D3454">
        <v>82505</v>
      </c>
      <c r="E3454" t="str">
        <f>HYPERLINK("http://www.ncbi.nlm.nih.gov/Taxonomy/Browser/wwwtax.cgi?mode=Info&amp;id=9595&amp;lvl=3&amp;lin=f&amp;keep=1&amp;srchmode=1&amp;unlock","9595")</f>
        <v>9595</v>
      </c>
      <c r="F3454" t="s">
        <v>96</v>
      </c>
      <c r="G3454" t="str">
        <f>HYPERLINK("http://www.ncbi.nlm.nih.gov/Taxonomy/Browser/wwwtax.cgi?mode=Info&amp;id=9595&amp;lvl=3&amp;lin=f&amp;keep=1&amp;srchmode=1&amp;unlock","Gorilla gorilla gorilla")</f>
        <v>Gorilla gorilla gorilla</v>
      </c>
      <c r="H3454" t="s">
        <v>547</v>
      </c>
      <c r="I3454" t="str">
        <f>HYPERLINK("http://www.ncbi.nlm.nih.gov/protein/XP_055219208.1","ryanodine receptor 3 isoform X1")</f>
        <v>ryanodine receptor 3 isoform X1</v>
      </c>
      <c r="J3454">
        <v>7759.06</v>
      </c>
      <c r="K3454" t="s">
        <v>22</v>
      </c>
      <c r="L3454">
        <v>76</v>
      </c>
      <c r="M3454">
        <v>12.58</v>
      </c>
      <c r="N3454">
        <v>76.36</v>
      </c>
      <c r="O3454" t="s">
        <v>19</v>
      </c>
      <c r="P3454" t="s">
        <v>1320</v>
      </c>
      <c r="Q3454" t="s">
        <v>19</v>
      </c>
      <c r="R3454" t="str">
        <f>HYPERLINK("https://cfpub.epa.gov/ecotox/explore.cfm?ncbi=9595","Explore in ECOTOX")</f>
        <v>Explore in ECOTOX</v>
      </c>
    </row>
    <row r="3455" spans="1:18" x14ac:dyDescent="0.45">
      <c r="A3455" t="s">
        <v>1265</v>
      </c>
      <c r="B3455">
        <v>8</v>
      </c>
      <c r="C3455" t="str">
        <f>HYPERLINK("http://www.ncbi.nlm.nih.gov/protein/XP_032712811.1","XP_032712811.1")</f>
        <v>XP_032712811.1</v>
      </c>
      <c r="D3455">
        <v>48430</v>
      </c>
      <c r="E3455" t="str">
        <f>HYPERLINK("http://www.ncbi.nlm.nih.gov/Taxonomy/Browser/wwwtax.cgi?mode=Info&amp;id=76717&amp;lvl=3&amp;lin=f&amp;keep=1&amp;srchmode=1&amp;unlock","76717")</f>
        <v>76717</v>
      </c>
      <c r="F3455" t="s">
        <v>96</v>
      </c>
      <c r="G3455" t="str">
        <f>HYPERLINK("http://www.ncbi.nlm.nih.gov/Taxonomy/Browser/wwwtax.cgi?mode=Info&amp;id=76717&amp;lvl=3&amp;lin=f&amp;keep=1&amp;srchmode=1&amp;unlock","Lontra canadensis")</f>
        <v>Lontra canadensis</v>
      </c>
      <c r="H3455" t="s">
        <v>536</v>
      </c>
      <c r="I3455" t="str">
        <f>HYPERLINK("http://www.ncbi.nlm.nih.gov/protein/XP_032712811.1","ryanodine receptor 3")</f>
        <v>ryanodine receptor 3</v>
      </c>
      <c r="J3455">
        <v>7758.68</v>
      </c>
      <c r="K3455" t="s">
        <v>22</v>
      </c>
      <c r="L3455">
        <v>76</v>
      </c>
      <c r="M3455">
        <v>12.58</v>
      </c>
      <c r="N3455">
        <v>76.36</v>
      </c>
      <c r="O3455" t="s">
        <v>19</v>
      </c>
      <c r="P3455" t="s">
        <v>1320</v>
      </c>
      <c r="Q3455" t="s">
        <v>19</v>
      </c>
      <c r="R3455" t="str">
        <f>HYPERLINK("https://cfpub.epa.gov/ecotox/explore.cfm?ncbi=76717","Explore in ECOTOX")</f>
        <v>Explore in ECOTOX</v>
      </c>
    </row>
    <row r="3456" spans="1:18" x14ac:dyDescent="0.45">
      <c r="A3456" t="s">
        <v>1265</v>
      </c>
      <c r="B3456">
        <v>8</v>
      </c>
      <c r="C3456" t="str">
        <f>HYPERLINK("http://www.ncbi.nlm.nih.gov/protein/XP_015485560.1","XP_015485560.1")</f>
        <v>XP_015485560.1</v>
      </c>
      <c r="D3456">
        <v>39863</v>
      </c>
      <c r="E3456" t="str">
        <f>HYPERLINK("http://www.ncbi.nlm.nih.gov/Taxonomy/Browser/wwwtax.cgi?mode=Info&amp;id=9157&amp;lvl=3&amp;lin=f&amp;keep=1&amp;srchmode=1&amp;unlock","9157")</f>
        <v>9157</v>
      </c>
      <c r="F3456" t="s">
        <v>241</v>
      </c>
      <c r="G3456" t="str">
        <f>HYPERLINK("http://www.ncbi.nlm.nih.gov/Taxonomy/Browser/wwwtax.cgi?mode=Info&amp;id=9157&amp;lvl=3&amp;lin=f&amp;keep=1&amp;srchmode=1&amp;unlock","Parus major")</f>
        <v>Parus major</v>
      </c>
      <c r="H3456" t="s">
        <v>573</v>
      </c>
      <c r="I3456" t="str">
        <f>HYPERLINK("http://www.ncbi.nlm.nih.gov/protein/XP_015485560.1","ryanodine receptor 3 isoform X10")</f>
        <v>ryanodine receptor 3 isoform X10</v>
      </c>
      <c r="J3456">
        <v>7758.29</v>
      </c>
      <c r="K3456" t="s">
        <v>22</v>
      </c>
      <c r="L3456">
        <v>76</v>
      </c>
      <c r="M3456">
        <v>12.58</v>
      </c>
      <c r="N3456">
        <v>76.36</v>
      </c>
      <c r="O3456" t="s">
        <v>19</v>
      </c>
      <c r="P3456" t="s">
        <v>1320</v>
      </c>
      <c r="Q3456" t="s">
        <v>19</v>
      </c>
      <c r="R3456" t="str">
        <f>HYPERLINK("https://cfpub.epa.gov/ecotox/explore.cfm?ncbi=9157","Explore in ECOTOX")</f>
        <v>Explore in ECOTOX</v>
      </c>
    </row>
    <row r="3457" spans="1:18" x14ac:dyDescent="0.45">
      <c r="A3457" t="s">
        <v>1265</v>
      </c>
      <c r="B3457">
        <v>8</v>
      </c>
      <c r="C3457" t="str">
        <f>HYPERLINK("http://www.ncbi.nlm.nih.gov/protein/XP_046931313.1","XP_046931313.1")</f>
        <v>XP_046931313.1</v>
      </c>
      <c r="D3457">
        <v>38820</v>
      </c>
      <c r="E3457" t="str">
        <f>HYPERLINK("http://www.ncbi.nlm.nih.gov/Taxonomy/Browser/wwwtax.cgi?mode=Info&amp;id=61384&amp;lvl=3&amp;lin=f&amp;keep=1&amp;srchmode=1&amp;unlock","61384")</f>
        <v>61384</v>
      </c>
      <c r="F3457" t="s">
        <v>96</v>
      </c>
      <c r="G3457" t="str">
        <f>HYPERLINK("http://www.ncbi.nlm.nih.gov/Taxonomy/Browser/wwwtax.cgi?mode=Info&amp;id=61384&amp;lvl=3&amp;lin=f&amp;keep=1&amp;srchmode=1&amp;unlock","Lynx rufus")</f>
        <v>Lynx rufus</v>
      </c>
      <c r="H3457" t="s">
        <v>359</v>
      </c>
      <c r="I3457" t="str">
        <f>HYPERLINK("http://www.ncbi.nlm.nih.gov/protein/XP_046931313.1","ryanodine receptor 3")</f>
        <v>ryanodine receptor 3</v>
      </c>
      <c r="J3457">
        <v>7758.29</v>
      </c>
      <c r="K3457" t="s">
        <v>22</v>
      </c>
      <c r="L3457">
        <v>76</v>
      </c>
      <c r="M3457">
        <v>12.58</v>
      </c>
      <c r="N3457">
        <v>76.36</v>
      </c>
      <c r="O3457" t="s">
        <v>19</v>
      </c>
      <c r="P3457" t="s">
        <v>1320</v>
      </c>
      <c r="Q3457" t="s">
        <v>19</v>
      </c>
      <c r="R3457" t="str">
        <f>HYPERLINK("https://cfpub.epa.gov/ecotox/explore.cfm?ncbi=61384","Explore in ECOTOX")</f>
        <v>Explore in ECOTOX</v>
      </c>
    </row>
    <row r="3458" spans="1:18" x14ac:dyDescent="0.45">
      <c r="A3458" t="s">
        <v>1265</v>
      </c>
      <c r="B3458">
        <v>8</v>
      </c>
      <c r="C3458" t="str">
        <f>HYPERLINK("http://www.ncbi.nlm.nih.gov/protein/XP_023476448.1","XP_023476448.1")</f>
        <v>XP_023476448.1</v>
      </c>
      <c r="D3458">
        <v>68413</v>
      </c>
      <c r="E3458" t="str">
        <f>HYPERLINK("http://www.ncbi.nlm.nih.gov/Taxonomy/Browser/wwwtax.cgi?mode=Info&amp;id=9796&amp;lvl=3&amp;lin=f&amp;keep=1&amp;srchmode=1&amp;unlock","9796")</f>
        <v>9796</v>
      </c>
      <c r="F3458" t="s">
        <v>96</v>
      </c>
      <c r="G3458" t="str">
        <f>HYPERLINK("http://www.ncbi.nlm.nih.gov/Taxonomy/Browser/wwwtax.cgi?mode=Info&amp;id=9796&amp;lvl=3&amp;lin=f&amp;keep=1&amp;srchmode=1&amp;unlock","Equus caballus")</f>
        <v>Equus caballus</v>
      </c>
      <c r="H3458" t="s">
        <v>410</v>
      </c>
      <c r="I3458" t="str">
        <f>HYPERLINK("http://www.ncbi.nlm.nih.gov/protein/XP_023476448.1","ryanodine receptor 3")</f>
        <v>ryanodine receptor 3</v>
      </c>
      <c r="J3458">
        <v>7757.91</v>
      </c>
      <c r="K3458" t="s">
        <v>22</v>
      </c>
      <c r="L3458">
        <v>76</v>
      </c>
      <c r="M3458">
        <v>12.58</v>
      </c>
      <c r="N3458">
        <v>76.349999999999994</v>
      </c>
      <c r="O3458" t="s">
        <v>19</v>
      </c>
      <c r="P3458" t="s">
        <v>1320</v>
      </c>
      <c r="Q3458" t="s">
        <v>19</v>
      </c>
      <c r="R3458" t="str">
        <f>HYPERLINK("https://cfpub.epa.gov/ecotox/explore.cfm?ncbi=9796","Explore in ECOTOX")</f>
        <v>Explore in ECOTOX</v>
      </c>
    </row>
    <row r="3459" spans="1:18" x14ac:dyDescent="0.45">
      <c r="A3459" t="s">
        <v>1265</v>
      </c>
      <c r="B3459">
        <v>8</v>
      </c>
      <c r="C3459" t="str">
        <f>HYPERLINK("http://www.ncbi.nlm.nih.gov/protein/XP_055134563.1","XP_055134563.1")</f>
        <v>XP_055134563.1</v>
      </c>
      <c r="D3459">
        <v>67561</v>
      </c>
      <c r="E3459" t="str">
        <f>HYPERLINK("http://www.ncbi.nlm.nih.gov/Taxonomy/Browser/wwwtax.cgi?mode=Info&amp;id=9590&amp;lvl=3&amp;lin=f&amp;keep=1&amp;srchmode=1&amp;unlock","9590")</f>
        <v>9590</v>
      </c>
      <c r="F3459" t="s">
        <v>96</v>
      </c>
      <c r="G3459" t="str">
        <f>HYPERLINK("http://www.ncbi.nlm.nih.gov/Taxonomy/Browser/wwwtax.cgi?mode=Info&amp;id=9590&amp;lvl=3&amp;lin=f&amp;keep=1&amp;srchmode=1&amp;unlock","Symphalangus syndactylus")</f>
        <v>Symphalangus syndactylus</v>
      </c>
      <c r="H3459" t="s">
        <v>556</v>
      </c>
      <c r="I3459" t="str">
        <f>HYPERLINK("http://www.ncbi.nlm.nih.gov/protein/XP_055134563.1","ryanodine receptor 3 isoform X1")</f>
        <v>ryanodine receptor 3 isoform X1</v>
      </c>
      <c r="J3459">
        <v>7756.75</v>
      </c>
      <c r="K3459" t="s">
        <v>22</v>
      </c>
      <c r="L3459">
        <v>76</v>
      </c>
      <c r="M3459">
        <v>12.58</v>
      </c>
      <c r="N3459">
        <v>76.34</v>
      </c>
      <c r="O3459" t="s">
        <v>19</v>
      </c>
      <c r="P3459" t="s">
        <v>1320</v>
      </c>
      <c r="Q3459" t="s">
        <v>19</v>
      </c>
      <c r="R3459" t="str">
        <f>HYPERLINK("https://cfpub.epa.gov/ecotox/explore.cfm?ncbi=9590","Explore in ECOTOX")</f>
        <v>Explore in ECOTOX</v>
      </c>
    </row>
    <row r="3460" spans="1:18" x14ac:dyDescent="0.45">
      <c r="A3460" t="s">
        <v>1265</v>
      </c>
      <c r="B3460">
        <v>8</v>
      </c>
      <c r="C3460" t="str">
        <f>HYPERLINK("http://www.ncbi.nlm.nih.gov/protein/XP_049561424.1","XP_049561424.1")</f>
        <v>XP_049561424.1</v>
      </c>
      <c r="D3460">
        <v>63778</v>
      </c>
      <c r="E3460" t="str">
        <f>HYPERLINK("http://www.ncbi.nlm.nih.gov/Taxonomy/Browser/wwwtax.cgi?mode=Info&amp;id=9733&amp;lvl=3&amp;lin=f&amp;keep=1&amp;srchmode=1&amp;unlock","9733")</f>
        <v>9733</v>
      </c>
      <c r="F3460" t="s">
        <v>96</v>
      </c>
      <c r="G3460" t="str">
        <f>HYPERLINK("http://www.ncbi.nlm.nih.gov/Taxonomy/Browser/wwwtax.cgi?mode=Info&amp;id=9733&amp;lvl=3&amp;lin=f&amp;keep=1&amp;srchmode=1&amp;unlock","Orcinus orca")</f>
        <v>Orcinus orca</v>
      </c>
      <c r="H3460" t="s">
        <v>605</v>
      </c>
      <c r="I3460" t="str">
        <f>HYPERLINK("http://www.ncbi.nlm.nih.gov/protein/XP_049561424.1","ryanodine receptor 3 isoform X1")</f>
        <v>ryanodine receptor 3 isoform X1</v>
      </c>
      <c r="J3460">
        <v>7756.75</v>
      </c>
      <c r="K3460" t="s">
        <v>22</v>
      </c>
      <c r="L3460">
        <v>76</v>
      </c>
      <c r="M3460">
        <v>12.58</v>
      </c>
      <c r="N3460">
        <v>76.34</v>
      </c>
      <c r="O3460" t="s">
        <v>19</v>
      </c>
      <c r="P3460" t="s">
        <v>1320</v>
      </c>
      <c r="Q3460" t="s">
        <v>19</v>
      </c>
      <c r="R3460" t="str">
        <f>HYPERLINK("https://cfpub.epa.gov/ecotox/explore.cfm?ncbi=9733","Explore in ECOTOX")</f>
        <v>Explore in ECOTOX</v>
      </c>
    </row>
    <row r="3461" spans="1:18" x14ac:dyDescent="0.45">
      <c r="A3461" t="s">
        <v>1265</v>
      </c>
      <c r="B3461">
        <v>8</v>
      </c>
      <c r="C3461" t="str">
        <f>HYPERLINK("http://www.ncbi.nlm.nih.gov/protein/XP_047592943.1","XP_047592943.1")</f>
        <v>XP_047592943.1</v>
      </c>
      <c r="D3461">
        <v>57788</v>
      </c>
      <c r="E3461" t="str">
        <f>HYPERLINK("http://www.ncbi.nlm.nih.gov/Taxonomy/Browser/wwwtax.cgi?mode=Info&amp;id=9657&amp;lvl=3&amp;lin=f&amp;keep=1&amp;srchmode=1&amp;unlock","9657")</f>
        <v>9657</v>
      </c>
      <c r="F3461" t="s">
        <v>96</v>
      </c>
      <c r="G3461" t="str">
        <f>HYPERLINK("http://www.ncbi.nlm.nih.gov/Taxonomy/Browser/wwwtax.cgi?mode=Info&amp;id=9657&amp;lvl=3&amp;lin=f&amp;keep=1&amp;srchmode=1&amp;unlock","Lutra lutra")</f>
        <v>Lutra lutra</v>
      </c>
      <c r="H3461" t="s">
        <v>540</v>
      </c>
      <c r="I3461" t="str">
        <f>HYPERLINK("http://www.ncbi.nlm.nih.gov/protein/XP_047592943.1","ryanodine receptor 3")</f>
        <v>ryanodine receptor 3</v>
      </c>
      <c r="J3461">
        <v>7756.36</v>
      </c>
      <c r="K3461" t="s">
        <v>22</v>
      </c>
      <c r="L3461">
        <v>76</v>
      </c>
      <c r="M3461">
        <v>12.58</v>
      </c>
      <c r="N3461">
        <v>76.34</v>
      </c>
      <c r="O3461" t="s">
        <v>19</v>
      </c>
      <c r="P3461" t="s">
        <v>1320</v>
      </c>
      <c r="Q3461" t="s">
        <v>19</v>
      </c>
      <c r="R3461" t="str">
        <f>HYPERLINK("https://cfpub.epa.gov/ecotox/explore.cfm?ncbi=9657","Explore in ECOTOX")</f>
        <v>Explore in ECOTOX</v>
      </c>
    </row>
    <row r="3462" spans="1:18" x14ac:dyDescent="0.45">
      <c r="A3462" t="s">
        <v>1265</v>
      </c>
      <c r="B3462">
        <v>8</v>
      </c>
      <c r="C3462" t="str">
        <f>HYPERLINK("http://www.ncbi.nlm.nih.gov/protein/XP_049467607.1","XP_049467607.1")</f>
        <v>XP_049467607.1</v>
      </c>
      <c r="D3462">
        <v>44053</v>
      </c>
      <c r="E3462" t="str">
        <f>HYPERLINK("http://www.ncbi.nlm.nih.gov/Taxonomy/Browser/wwwtax.cgi?mode=Info&amp;id=29064&amp;lvl=3&amp;lin=f&amp;keep=1&amp;srchmode=1&amp;unlock","29064")</f>
        <v>29064</v>
      </c>
      <c r="F3462" t="s">
        <v>96</v>
      </c>
      <c r="G3462" t="str">
        <f>HYPERLINK("http://www.ncbi.nlm.nih.gov/Taxonomy/Browser/wwwtax.cgi?mode=Info&amp;id=29064&amp;lvl=3&amp;lin=f&amp;keep=1&amp;srchmode=1&amp;unlock","Panthera uncia")</f>
        <v>Panthera uncia</v>
      </c>
      <c r="H3462" t="s">
        <v>327</v>
      </c>
      <c r="I3462" t="str">
        <f>HYPERLINK("http://www.ncbi.nlm.nih.gov/protein/XP_049467607.1","ryanodine receptor 3")</f>
        <v>ryanodine receptor 3</v>
      </c>
      <c r="J3462">
        <v>7755.98</v>
      </c>
      <c r="K3462" t="s">
        <v>22</v>
      </c>
      <c r="L3462">
        <v>76</v>
      </c>
      <c r="M3462">
        <v>12.58</v>
      </c>
      <c r="N3462">
        <v>76.33</v>
      </c>
      <c r="O3462" t="s">
        <v>19</v>
      </c>
      <c r="P3462" t="s">
        <v>1320</v>
      </c>
      <c r="Q3462" t="s">
        <v>19</v>
      </c>
      <c r="R3462" t="str">
        <f>HYPERLINK("https://cfpub.epa.gov/ecotox/explore.cfm?ncbi=29064","Explore in ECOTOX")</f>
        <v>Explore in ECOTOX</v>
      </c>
    </row>
    <row r="3463" spans="1:18" x14ac:dyDescent="0.45">
      <c r="A3463" t="s">
        <v>1265</v>
      </c>
      <c r="B3463">
        <v>8</v>
      </c>
      <c r="C3463" t="str">
        <f>HYPERLINK("http://www.ncbi.nlm.nih.gov/protein/XP_010344564.1","XP_010344564.1")</f>
        <v>XP_010344564.1</v>
      </c>
      <c r="D3463">
        <v>45637</v>
      </c>
      <c r="E3463" t="str">
        <f>HYPERLINK("http://www.ncbi.nlm.nih.gov/Taxonomy/Browser/wwwtax.cgi?mode=Info&amp;id=39432&amp;lvl=3&amp;lin=f&amp;keep=1&amp;srchmode=1&amp;unlock","39432")</f>
        <v>39432</v>
      </c>
      <c r="F3463" t="s">
        <v>96</v>
      </c>
      <c r="G3463" t="str">
        <f>HYPERLINK("http://www.ncbi.nlm.nih.gov/Taxonomy/Browser/wwwtax.cgi?mode=Info&amp;id=39432&amp;lvl=3&amp;lin=f&amp;keep=1&amp;srchmode=1&amp;unlock","Saimiri boliviensis boliviensis")</f>
        <v>Saimiri boliviensis boliviensis</v>
      </c>
      <c r="H3463" t="s">
        <v>276</v>
      </c>
      <c r="I3463" t="str">
        <f>HYPERLINK("http://www.ncbi.nlm.nih.gov/protein/XP_010344564.1","ryanodine receptor 3")</f>
        <v>ryanodine receptor 3</v>
      </c>
      <c r="J3463">
        <v>7755.98</v>
      </c>
      <c r="K3463" t="s">
        <v>22</v>
      </c>
      <c r="L3463">
        <v>76</v>
      </c>
      <c r="M3463">
        <v>12.58</v>
      </c>
      <c r="N3463">
        <v>76.33</v>
      </c>
      <c r="O3463" t="s">
        <v>19</v>
      </c>
      <c r="P3463" t="s">
        <v>1320</v>
      </c>
      <c r="Q3463" t="s">
        <v>19</v>
      </c>
      <c r="R3463" t="str">
        <f>HYPERLINK("https://cfpub.epa.gov/ecotox/explore.cfm?ncbi=39432","Explore in ECOTOX")</f>
        <v>Explore in ECOTOX</v>
      </c>
    </row>
    <row r="3464" spans="1:18" x14ac:dyDescent="0.45">
      <c r="A3464" t="s">
        <v>1265</v>
      </c>
      <c r="B3464">
        <v>8</v>
      </c>
      <c r="C3464" t="str">
        <f>HYPERLINK("http://www.ncbi.nlm.nih.gov/protein/XP_055455031.1","XP_055455031.1")</f>
        <v>XP_055455031.1</v>
      </c>
      <c r="D3464">
        <v>38745</v>
      </c>
      <c r="E3464" t="str">
        <f>HYPERLINK("http://www.ncbi.nlm.nih.gov/Taxonomy/Browser/wwwtax.cgi?mode=Info&amp;id=48139&amp;lvl=3&amp;lin=f&amp;keep=1&amp;srchmode=1&amp;unlock","48139")</f>
        <v>48139</v>
      </c>
      <c r="F3464" t="s">
        <v>96</v>
      </c>
      <c r="G3464" t="str">
        <f>HYPERLINK("http://www.ncbi.nlm.nih.gov/Taxonomy/Browser/wwwtax.cgi?mode=Info&amp;id=48139&amp;lvl=3&amp;lin=f&amp;keep=1&amp;srchmode=1&amp;unlock","Psammomys obesus")</f>
        <v>Psammomys obesus</v>
      </c>
      <c r="H3464" t="s">
        <v>349</v>
      </c>
      <c r="I3464" t="str">
        <f>HYPERLINK("http://www.ncbi.nlm.nih.gov/protein/XP_055455031.1","ryanodine receptor 3")</f>
        <v>ryanodine receptor 3</v>
      </c>
      <c r="J3464">
        <v>7755.59</v>
      </c>
      <c r="K3464" t="s">
        <v>22</v>
      </c>
      <c r="L3464">
        <v>76</v>
      </c>
      <c r="M3464">
        <v>12.58</v>
      </c>
      <c r="N3464">
        <v>76.33</v>
      </c>
      <c r="O3464" t="s">
        <v>19</v>
      </c>
      <c r="P3464" t="s">
        <v>1320</v>
      </c>
      <c r="Q3464" t="s">
        <v>19</v>
      </c>
      <c r="R3464" t="str">
        <f>HYPERLINK("https://cfpub.epa.gov/ecotox/explore.cfm?ncbi=48139","Explore in ECOTOX")</f>
        <v>Explore in ECOTOX</v>
      </c>
    </row>
    <row r="3465" spans="1:18" x14ac:dyDescent="0.45">
      <c r="A3465" t="s">
        <v>1265</v>
      </c>
      <c r="B3465">
        <v>8</v>
      </c>
      <c r="C3465" t="str">
        <f>HYPERLINK("http://www.ncbi.nlm.nih.gov/protein/XP_043837948.1","XP_043837948.1")</f>
        <v>XP_043837948.1</v>
      </c>
      <c r="D3465">
        <v>43715</v>
      </c>
      <c r="E3465" t="str">
        <f>HYPERLINK("http://www.ncbi.nlm.nih.gov/Taxonomy/Browser/wwwtax.cgi?mode=Info&amp;id=33562&amp;lvl=3&amp;lin=f&amp;keep=1&amp;srchmode=1&amp;unlock","33562")</f>
        <v>33562</v>
      </c>
      <c r="F3465" t="s">
        <v>96</v>
      </c>
      <c r="G3465" t="str">
        <f>HYPERLINK("http://www.ncbi.nlm.nih.gov/Taxonomy/Browser/wwwtax.cgi?mode=Info&amp;id=33562&amp;lvl=3&amp;lin=f&amp;keep=1&amp;srchmode=1&amp;unlock","Dromiciops gliroides")</f>
        <v>Dromiciops gliroides</v>
      </c>
      <c r="H3465" t="s">
        <v>418</v>
      </c>
      <c r="I3465" t="str">
        <f>HYPERLINK("http://www.ncbi.nlm.nih.gov/protein/XP_043837948.1","ryanodine receptor 3")</f>
        <v>ryanodine receptor 3</v>
      </c>
      <c r="J3465">
        <v>7755.59</v>
      </c>
      <c r="K3465" t="s">
        <v>22</v>
      </c>
      <c r="L3465">
        <v>76</v>
      </c>
      <c r="M3465">
        <v>12.58</v>
      </c>
      <c r="N3465">
        <v>76.33</v>
      </c>
      <c r="O3465" t="s">
        <v>19</v>
      </c>
      <c r="P3465" t="s">
        <v>1320</v>
      </c>
      <c r="Q3465" t="s">
        <v>19</v>
      </c>
      <c r="R3465" t="str">
        <f>HYPERLINK("https://cfpub.epa.gov/ecotox/explore.cfm?ncbi=33562","Explore in ECOTOX")</f>
        <v>Explore in ECOTOX</v>
      </c>
    </row>
    <row r="3466" spans="1:18" x14ac:dyDescent="0.45">
      <c r="A3466" t="s">
        <v>1265</v>
      </c>
      <c r="B3466">
        <v>8</v>
      </c>
      <c r="C3466" t="str">
        <f>HYPERLINK("http://www.ncbi.nlm.nih.gov/protein/XP_041534932.1","XP_041534932.1")</f>
        <v>XP_041534932.1</v>
      </c>
      <c r="D3466">
        <v>50333</v>
      </c>
      <c r="E3466" t="str">
        <f>HYPERLINK("http://www.ncbi.nlm.nih.gov/Taxonomy/Browser/wwwtax.cgi?mode=Info&amp;id=111838&amp;lvl=3&amp;lin=f&amp;keep=1&amp;srchmode=1&amp;unlock","111838")</f>
        <v>111838</v>
      </c>
      <c r="F3466" t="s">
        <v>96</v>
      </c>
      <c r="G3466" t="str">
        <f>HYPERLINK("http://www.ncbi.nlm.nih.gov/Taxonomy/Browser/wwwtax.cgi?mode=Info&amp;id=111838&amp;lvl=3&amp;lin=f&amp;keep=1&amp;srchmode=1&amp;unlock","Microtus oregoni")</f>
        <v>Microtus oregoni</v>
      </c>
      <c r="H3466" t="s">
        <v>312</v>
      </c>
      <c r="I3466" t="str">
        <f>HYPERLINK("http://www.ncbi.nlm.nih.gov/protein/XP_041534932.1","ryanodine receptor 3")</f>
        <v>ryanodine receptor 3</v>
      </c>
      <c r="J3466">
        <v>7755.21</v>
      </c>
      <c r="K3466" t="s">
        <v>22</v>
      </c>
      <c r="L3466">
        <v>76</v>
      </c>
      <c r="M3466">
        <v>12.58</v>
      </c>
      <c r="N3466">
        <v>76.319999999999993</v>
      </c>
      <c r="O3466" t="s">
        <v>19</v>
      </c>
      <c r="P3466" t="s">
        <v>1320</v>
      </c>
      <c r="Q3466" t="s">
        <v>19</v>
      </c>
      <c r="R3466" t="str">
        <f>HYPERLINK("https://cfpub.epa.gov/ecotox/explore.cfm?ncbi=111838","Explore in ECOTOX")</f>
        <v>Explore in ECOTOX</v>
      </c>
    </row>
    <row r="3467" spans="1:18" x14ac:dyDescent="0.45">
      <c r="A3467" t="s">
        <v>1265</v>
      </c>
      <c r="B3467">
        <v>8</v>
      </c>
      <c r="C3467" t="str">
        <f>HYPERLINK("http://www.ncbi.nlm.nih.gov/protein/XP_053521382.1","XP_053521382.1")</f>
        <v>XP_053521382.1</v>
      </c>
      <c r="D3467">
        <v>48847</v>
      </c>
      <c r="E3467" t="str">
        <f>HYPERLINK("http://www.ncbi.nlm.nih.gov/Taxonomy/Browser/wwwtax.cgi?mode=Info&amp;id=9417&amp;lvl=3&amp;lin=f&amp;keep=1&amp;srchmode=1&amp;unlock","9417")</f>
        <v>9417</v>
      </c>
      <c r="F3467" t="s">
        <v>96</v>
      </c>
      <c r="G3467" t="str">
        <f>HYPERLINK("http://www.ncbi.nlm.nih.gov/Taxonomy/Browser/wwwtax.cgi?mode=Info&amp;id=9417&amp;lvl=3&amp;lin=f&amp;keep=1&amp;srchmode=1&amp;unlock","Artibeus jamaicensis")</f>
        <v>Artibeus jamaicensis</v>
      </c>
      <c r="H3467" t="s">
        <v>658</v>
      </c>
      <c r="I3467" t="str">
        <f>HYPERLINK("http://www.ncbi.nlm.nih.gov/protein/XP_053521382.1","ryanodine receptor 3")</f>
        <v>ryanodine receptor 3</v>
      </c>
      <c r="J3467">
        <v>7755.21</v>
      </c>
      <c r="K3467" t="s">
        <v>22</v>
      </c>
      <c r="L3467">
        <v>76</v>
      </c>
      <c r="M3467">
        <v>12.58</v>
      </c>
      <c r="N3467">
        <v>76.319999999999993</v>
      </c>
      <c r="O3467" t="s">
        <v>19</v>
      </c>
      <c r="P3467" t="s">
        <v>1320</v>
      </c>
      <c r="Q3467" t="s">
        <v>19</v>
      </c>
      <c r="R3467" t="str">
        <f>HYPERLINK("https://cfpub.epa.gov/ecotox/explore.cfm?ncbi=9417","Explore in ECOTOX")</f>
        <v>Explore in ECOTOX</v>
      </c>
    </row>
    <row r="3468" spans="1:18" x14ac:dyDescent="0.45">
      <c r="A3468" t="s">
        <v>1265</v>
      </c>
      <c r="B3468">
        <v>8</v>
      </c>
      <c r="C3468" t="str">
        <f>HYPERLINK("http://www.ncbi.nlm.nih.gov/protein/XP_030670219.1","XP_030670219.1")</f>
        <v>XP_030670219.1</v>
      </c>
      <c r="D3468">
        <v>51679</v>
      </c>
      <c r="E3468" t="str">
        <f>HYPERLINK("http://www.ncbi.nlm.nih.gov/Taxonomy/Browser/wwwtax.cgi?mode=Info&amp;id=61853&amp;lvl=3&amp;lin=f&amp;keep=1&amp;srchmode=1&amp;unlock","61853")</f>
        <v>61853</v>
      </c>
      <c r="F3468" t="s">
        <v>96</v>
      </c>
      <c r="G3468" t="str">
        <f>HYPERLINK("http://www.ncbi.nlm.nih.gov/Taxonomy/Browser/wwwtax.cgi?mode=Info&amp;id=61853&amp;lvl=3&amp;lin=f&amp;keep=1&amp;srchmode=1&amp;unlock","Nomascus leucogenys")</f>
        <v>Nomascus leucogenys</v>
      </c>
      <c r="H3468" t="s">
        <v>298</v>
      </c>
      <c r="I3468" t="str">
        <f>HYPERLINK("http://www.ncbi.nlm.nih.gov/protein/XP_030670219.1","ryanodine receptor 3 isoform X1")</f>
        <v>ryanodine receptor 3 isoform X1</v>
      </c>
      <c r="J3468">
        <v>7755.21</v>
      </c>
      <c r="K3468" t="s">
        <v>22</v>
      </c>
      <c r="L3468">
        <v>76</v>
      </c>
      <c r="M3468">
        <v>12.58</v>
      </c>
      <c r="N3468">
        <v>76.319999999999993</v>
      </c>
      <c r="O3468" t="s">
        <v>19</v>
      </c>
      <c r="P3468" t="s">
        <v>1320</v>
      </c>
      <c r="Q3468" t="s">
        <v>19</v>
      </c>
      <c r="R3468" t="str">
        <f>HYPERLINK("https://cfpub.epa.gov/ecotox/explore.cfm?ncbi=61853","Explore in ECOTOX")</f>
        <v>Explore in ECOTOX</v>
      </c>
    </row>
    <row r="3469" spans="1:18" x14ac:dyDescent="0.45">
      <c r="A3469" t="s">
        <v>1265</v>
      </c>
      <c r="B3469">
        <v>8</v>
      </c>
      <c r="C3469" t="str">
        <f>HYPERLINK("http://www.ncbi.nlm.nih.gov/protein/XP_045864274.1","XP_045864274.1")</f>
        <v>XP_045864274.1</v>
      </c>
      <c r="D3469">
        <v>50759</v>
      </c>
      <c r="E3469" t="str">
        <f>HYPERLINK("http://www.ncbi.nlm.nih.gov/Taxonomy/Browser/wwwtax.cgi?mode=Info&amp;id=9662&amp;lvl=3&amp;lin=f&amp;keep=1&amp;srchmode=1&amp;unlock","9662")</f>
        <v>9662</v>
      </c>
      <c r="F3469" t="s">
        <v>96</v>
      </c>
      <c r="G3469" t="str">
        <f>HYPERLINK("http://www.ncbi.nlm.nih.gov/Taxonomy/Browser/wwwtax.cgi?mode=Info&amp;id=9662&amp;lvl=3&amp;lin=f&amp;keep=1&amp;srchmode=1&amp;unlock","Meles meles")</f>
        <v>Meles meles</v>
      </c>
      <c r="H3469" t="s">
        <v>528</v>
      </c>
      <c r="I3469" t="str">
        <f>HYPERLINK("http://www.ncbi.nlm.nih.gov/protein/XP_045864274.1","ryanodine receptor 3")</f>
        <v>ryanodine receptor 3</v>
      </c>
      <c r="J3469">
        <v>7755.21</v>
      </c>
      <c r="K3469" t="s">
        <v>19</v>
      </c>
      <c r="L3469">
        <v>76</v>
      </c>
      <c r="M3469">
        <v>12.58</v>
      </c>
      <c r="N3469">
        <v>76.319999999999993</v>
      </c>
      <c r="O3469" t="s">
        <v>19</v>
      </c>
      <c r="P3469" t="s">
        <v>1320</v>
      </c>
      <c r="Q3469" t="s">
        <v>19</v>
      </c>
      <c r="R3469" t="str">
        <f>HYPERLINK("https://cfpub.epa.gov/ecotox/explore.cfm?ncbi=9662","Explore in ECOTOX")</f>
        <v>Explore in ECOTOX</v>
      </c>
    </row>
    <row r="3470" spans="1:18" x14ac:dyDescent="0.45">
      <c r="A3470" t="s">
        <v>1265</v>
      </c>
      <c r="B3470">
        <v>8</v>
      </c>
      <c r="C3470" t="str">
        <f>HYPERLINK("http://www.ncbi.nlm.nih.gov/protein/XP_021797399.2","XP_021797399.2")</f>
        <v>XP_021797399.2</v>
      </c>
      <c r="D3470">
        <v>73749</v>
      </c>
      <c r="E3470" t="str">
        <f>HYPERLINK("http://www.ncbi.nlm.nih.gov/Taxonomy/Browser/wwwtax.cgi?mode=Info&amp;id=9555&amp;lvl=3&amp;lin=f&amp;keep=1&amp;srchmode=1&amp;unlock","9555")</f>
        <v>9555</v>
      </c>
      <c r="F3470" t="s">
        <v>96</v>
      </c>
      <c r="G3470" t="str">
        <f>HYPERLINK("http://www.ncbi.nlm.nih.gov/Taxonomy/Browser/wwwtax.cgi?mode=Info&amp;id=9555&amp;lvl=3&amp;lin=f&amp;keep=1&amp;srchmode=1&amp;unlock","Papio anubis")</f>
        <v>Papio anubis</v>
      </c>
      <c r="H3470" t="s">
        <v>297</v>
      </c>
      <c r="I3470" t="str">
        <f>HYPERLINK("http://www.ncbi.nlm.nih.gov/protein/XP_021797399.2","ryanodine receptor 3 isoform X9")</f>
        <v>ryanodine receptor 3 isoform X9</v>
      </c>
      <c r="J3470">
        <v>7754.44</v>
      </c>
      <c r="K3470" t="s">
        <v>22</v>
      </c>
      <c r="L3470">
        <v>76</v>
      </c>
      <c r="M3470">
        <v>12.58</v>
      </c>
      <c r="N3470">
        <v>76.319999999999993</v>
      </c>
      <c r="O3470" t="s">
        <v>19</v>
      </c>
      <c r="P3470" t="s">
        <v>1320</v>
      </c>
      <c r="Q3470" t="s">
        <v>19</v>
      </c>
      <c r="R3470" t="str">
        <f>HYPERLINK("https://cfpub.epa.gov/ecotox/explore.cfm?ncbi=9555","Explore in ECOTOX")</f>
        <v>Explore in ECOTOX</v>
      </c>
    </row>
    <row r="3471" spans="1:18" x14ac:dyDescent="0.45">
      <c r="A3471" t="s">
        <v>1265</v>
      </c>
      <c r="B3471">
        <v>8</v>
      </c>
      <c r="C3471" t="str">
        <f>HYPERLINK("http://www.ncbi.nlm.nih.gov/protein/XP_036592572.1","XP_036592572.1")</f>
        <v>XP_036592572.1</v>
      </c>
      <c r="D3471">
        <v>36165</v>
      </c>
      <c r="E3471" t="str">
        <f>HYPERLINK("http://www.ncbi.nlm.nih.gov/Taxonomy/Browser/wwwtax.cgi?mode=Info&amp;id=9337&amp;lvl=3&amp;lin=f&amp;keep=1&amp;srchmode=1&amp;unlock","9337")</f>
        <v>9337</v>
      </c>
      <c r="F3471" t="s">
        <v>96</v>
      </c>
      <c r="G3471" t="str">
        <f>HYPERLINK("http://www.ncbi.nlm.nih.gov/Taxonomy/Browser/wwwtax.cgi?mode=Info&amp;id=9337&amp;lvl=3&amp;lin=f&amp;keep=1&amp;srchmode=1&amp;unlock","Trichosurus vulpecula")</f>
        <v>Trichosurus vulpecula</v>
      </c>
      <c r="H3471" t="s">
        <v>595</v>
      </c>
      <c r="I3471" t="str">
        <f>HYPERLINK("http://www.ncbi.nlm.nih.gov/protein/XP_036592572.1","ryanodine receptor 3")</f>
        <v>ryanodine receptor 3</v>
      </c>
      <c r="J3471">
        <v>7754.44</v>
      </c>
      <c r="K3471" t="s">
        <v>22</v>
      </c>
      <c r="L3471">
        <v>76</v>
      </c>
      <c r="M3471">
        <v>12.58</v>
      </c>
      <c r="N3471">
        <v>76.319999999999993</v>
      </c>
      <c r="O3471" t="s">
        <v>19</v>
      </c>
      <c r="P3471" t="s">
        <v>1320</v>
      </c>
      <c r="Q3471" t="s">
        <v>19</v>
      </c>
      <c r="R3471" t="str">
        <f>HYPERLINK("https://cfpub.epa.gov/ecotox/explore.cfm?ncbi=9337","Explore in ECOTOX")</f>
        <v>Explore in ECOTOX</v>
      </c>
    </row>
    <row r="3472" spans="1:18" x14ac:dyDescent="0.45">
      <c r="A3472" t="s">
        <v>1265</v>
      </c>
      <c r="B3472">
        <v>8</v>
      </c>
      <c r="C3472" t="str">
        <f>HYPERLINK("http://www.ncbi.nlm.nih.gov/protein/XP_026939590.1","XP_026939590.1")</f>
        <v>XP_026939590.1</v>
      </c>
      <c r="D3472">
        <v>54700</v>
      </c>
      <c r="E3472" t="str">
        <f>HYPERLINK("http://www.ncbi.nlm.nih.gov/Taxonomy/Browser/wwwtax.cgi?mode=Info&amp;id=90247&amp;lvl=3&amp;lin=f&amp;keep=1&amp;srchmode=1&amp;unlock","90247")</f>
        <v>90247</v>
      </c>
      <c r="F3472" t="s">
        <v>96</v>
      </c>
      <c r="G3472" t="str">
        <f>HYPERLINK("http://www.ncbi.nlm.nih.gov/Taxonomy/Browser/wwwtax.cgi?mode=Info&amp;id=90247&amp;lvl=3&amp;lin=f&amp;keep=1&amp;srchmode=1&amp;unlock","Lagenorhynchus obliquidens")</f>
        <v>Lagenorhynchus obliquidens</v>
      </c>
      <c r="H3472" t="s">
        <v>606</v>
      </c>
      <c r="I3472" t="str">
        <f>HYPERLINK("http://www.ncbi.nlm.nih.gov/protein/XP_026939590.1","ryanodine receptor 3 isoform X1")</f>
        <v>ryanodine receptor 3 isoform X1</v>
      </c>
      <c r="J3472">
        <v>7754.05</v>
      </c>
      <c r="K3472" t="s">
        <v>22</v>
      </c>
      <c r="L3472">
        <v>76</v>
      </c>
      <c r="M3472">
        <v>12.58</v>
      </c>
      <c r="N3472">
        <v>76.31</v>
      </c>
      <c r="O3472" t="s">
        <v>19</v>
      </c>
      <c r="P3472" t="s">
        <v>1320</v>
      </c>
      <c r="Q3472" t="s">
        <v>19</v>
      </c>
      <c r="R3472" t="str">
        <f>HYPERLINK("https://cfpub.epa.gov/ecotox/explore.cfm?ncbi=90247","Explore in ECOTOX")</f>
        <v>Explore in ECOTOX</v>
      </c>
    </row>
    <row r="3473" spans="1:18" x14ac:dyDescent="0.45">
      <c r="A3473" t="s">
        <v>1265</v>
      </c>
      <c r="B3473">
        <v>8</v>
      </c>
      <c r="C3473" t="str">
        <f>HYPERLINK("http://www.ncbi.nlm.nih.gov/protein/XP_014702784.1","XP_014702784.1")</f>
        <v>XP_014702784.1</v>
      </c>
      <c r="D3473">
        <v>60887</v>
      </c>
      <c r="E3473" t="str">
        <f>HYPERLINK("http://www.ncbi.nlm.nih.gov/Taxonomy/Browser/wwwtax.cgi?mode=Info&amp;id=9793&amp;lvl=3&amp;lin=f&amp;keep=1&amp;srchmode=1&amp;unlock","9793")</f>
        <v>9793</v>
      </c>
      <c r="F3473" t="s">
        <v>96</v>
      </c>
      <c r="G3473" t="str">
        <f>HYPERLINK("http://www.ncbi.nlm.nih.gov/Taxonomy/Browser/wwwtax.cgi?mode=Info&amp;id=9793&amp;lvl=3&amp;lin=f&amp;keep=1&amp;srchmode=1&amp;unlock","Equus asinus")</f>
        <v>Equus asinus</v>
      </c>
      <c r="H3473" t="s">
        <v>396</v>
      </c>
      <c r="I3473" t="str">
        <f>HYPERLINK("http://www.ncbi.nlm.nih.gov/protein/XP_014702784.1","LOW QUALITY PROTEIN: ryanodine receptor 3")</f>
        <v>LOW QUALITY PROTEIN: ryanodine receptor 3</v>
      </c>
      <c r="J3473">
        <v>7753.28</v>
      </c>
      <c r="K3473" t="s">
        <v>22</v>
      </c>
      <c r="L3473">
        <v>76</v>
      </c>
      <c r="M3473">
        <v>12.58</v>
      </c>
      <c r="N3473">
        <v>76.31</v>
      </c>
      <c r="O3473" t="s">
        <v>19</v>
      </c>
      <c r="P3473" t="s">
        <v>1320</v>
      </c>
      <c r="Q3473" t="s">
        <v>19</v>
      </c>
      <c r="R3473" t="str">
        <f>HYPERLINK("https://cfpub.epa.gov/ecotox/explore.cfm?ncbi=9793","Explore in ECOTOX")</f>
        <v>Explore in ECOTOX</v>
      </c>
    </row>
    <row r="3474" spans="1:18" x14ac:dyDescent="0.45">
      <c r="A3474" t="s">
        <v>1265</v>
      </c>
      <c r="B3474">
        <v>8</v>
      </c>
      <c r="C3474" t="str">
        <f>HYPERLINK("http://www.ncbi.nlm.nih.gov/protein/XP_025246000.1","XP_025246000.1")</f>
        <v>XP_025246000.1</v>
      </c>
      <c r="D3474">
        <v>52710</v>
      </c>
      <c r="E3474" t="str">
        <f>HYPERLINK("http://www.ncbi.nlm.nih.gov/Taxonomy/Browser/wwwtax.cgi?mode=Info&amp;id=9565&amp;lvl=3&amp;lin=f&amp;keep=1&amp;srchmode=1&amp;unlock","9565")</f>
        <v>9565</v>
      </c>
      <c r="F3474" t="s">
        <v>96</v>
      </c>
      <c r="G3474" t="str">
        <f>HYPERLINK("http://www.ncbi.nlm.nih.gov/Taxonomy/Browser/wwwtax.cgi?mode=Info&amp;id=9565&amp;lvl=3&amp;lin=f&amp;keep=1&amp;srchmode=1&amp;unlock","Theropithecus gelada")</f>
        <v>Theropithecus gelada</v>
      </c>
      <c r="H3474" t="s">
        <v>389</v>
      </c>
      <c r="I3474" t="str">
        <f>HYPERLINK("http://www.ncbi.nlm.nih.gov/protein/XP_025246000.1","ryanodine receptor 3 isoform X1")</f>
        <v>ryanodine receptor 3 isoform X1</v>
      </c>
      <c r="J3474">
        <v>7752.9</v>
      </c>
      <c r="K3474" t="s">
        <v>22</v>
      </c>
      <c r="L3474">
        <v>76</v>
      </c>
      <c r="M3474">
        <v>12.58</v>
      </c>
      <c r="N3474">
        <v>76.3</v>
      </c>
      <c r="O3474" t="s">
        <v>19</v>
      </c>
      <c r="P3474" t="s">
        <v>1320</v>
      </c>
      <c r="Q3474" t="s">
        <v>19</v>
      </c>
      <c r="R3474" t="str">
        <f>HYPERLINK("https://cfpub.epa.gov/ecotox/explore.cfm?ncbi=9565","Explore in ECOTOX")</f>
        <v>Explore in ECOTOX</v>
      </c>
    </row>
    <row r="3475" spans="1:18" x14ac:dyDescent="0.45">
      <c r="A3475" t="s">
        <v>1265</v>
      </c>
      <c r="B3475">
        <v>8</v>
      </c>
      <c r="C3475" t="str">
        <f>HYPERLINK("http://www.ncbi.nlm.nih.gov/protein/XP_051677676.1","XP_051677676.1")</f>
        <v>XP_051677676.1</v>
      </c>
      <c r="D3475">
        <v>81896</v>
      </c>
      <c r="E3475" t="str">
        <f>HYPERLINK("http://www.ncbi.nlm.nih.gov/Taxonomy/Browser/wwwtax.cgi?mode=Info&amp;id=9986&amp;lvl=3&amp;lin=f&amp;keep=1&amp;srchmode=1&amp;unlock","9986")</f>
        <v>9986</v>
      </c>
      <c r="F3475" t="s">
        <v>96</v>
      </c>
      <c r="G3475" t="str">
        <f>HYPERLINK("http://www.ncbi.nlm.nih.gov/Taxonomy/Browser/wwwtax.cgi?mode=Info&amp;id=9986&amp;lvl=3&amp;lin=f&amp;keep=1&amp;srchmode=1&amp;unlock","Oryctolagus cuniculus")</f>
        <v>Oryctolagus cuniculus</v>
      </c>
      <c r="H3475" t="s">
        <v>442</v>
      </c>
      <c r="I3475" t="str">
        <f>HYPERLINK("http://www.ncbi.nlm.nih.gov/protein/XP_051677676.1","ryanodine receptor 3 isoform X1")</f>
        <v>ryanodine receptor 3 isoform X1</v>
      </c>
      <c r="J3475">
        <v>7752.13</v>
      </c>
      <c r="K3475" t="s">
        <v>22</v>
      </c>
      <c r="L3475">
        <v>76</v>
      </c>
      <c r="M3475">
        <v>12.58</v>
      </c>
      <c r="N3475">
        <v>76.290000000000006</v>
      </c>
      <c r="O3475" t="s">
        <v>19</v>
      </c>
      <c r="P3475" t="s">
        <v>1320</v>
      </c>
      <c r="Q3475" t="s">
        <v>19</v>
      </c>
      <c r="R3475" t="str">
        <f>HYPERLINK("https://cfpub.epa.gov/ecotox/explore.cfm?ncbi=9986","Explore in ECOTOX")</f>
        <v>Explore in ECOTOX</v>
      </c>
    </row>
    <row r="3476" spans="1:18" x14ac:dyDescent="0.45">
      <c r="A3476" t="s">
        <v>1265</v>
      </c>
      <c r="B3476">
        <v>8</v>
      </c>
      <c r="C3476" t="str">
        <f>HYPERLINK("http://www.ncbi.nlm.nih.gov/protein/DBA14234.1","DBA14234.1")</f>
        <v>DBA14234.1</v>
      </c>
      <c r="D3476">
        <v>21325</v>
      </c>
      <c r="E3476" t="str">
        <f>HYPERLINK("http://www.ncbi.nlm.nih.gov/Taxonomy/Browser/wwwtax.cgi?mode=Info&amp;id=30357&amp;lvl=3&amp;lin=f&amp;keep=1&amp;srchmode=1&amp;unlock","30357")</f>
        <v>30357</v>
      </c>
      <c r="F3476" t="s">
        <v>177</v>
      </c>
      <c r="G3476" t="str">
        <f>HYPERLINK("http://www.ncbi.nlm.nih.gov/Taxonomy/Browser/wwwtax.cgi?mode=Info&amp;id=30357&amp;lvl=3&amp;lin=f&amp;keep=1&amp;srchmode=1&amp;unlock","Pyxicephalus adspersus")</f>
        <v>Pyxicephalus adspersus</v>
      </c>
      <c r="H3476" t="s">
        <v>717</v>
      </c>
      <c r="I3476" t="str">
        <f>HYPERLINK("http://www.ncbi.nlm.nih.gov/protein/DBA14234.1","TPA: hypothetical protein GDO54_005232")</f>
        <v>TPA: hypothetical protein GDO54_005232</v>
      </c>
      <c r="J3476">
        <v>7752.13</v>
      </c>
      <c r="K3476" t="s">
        <v>22</v>
      </c>
      <c r="L3476">
        <v>76</v>
      </c>
      <c r="M3476">
        <v>12.58</v>
      </c>
      <c r="N3476">
        <v>76.290000000000006</v>
      </c>
      <c r="O3476" t="s">
        <v>19</v>
      </c>
      <c r="P3476" t="s">
        <v>1320</v>
      </c>
      <c r="Q3476" t="s">
        <v>19</v>
      </c>
      <c r="R3476" t="str">
        <f>HYPERLINK("https://cfpub.epa.gov/ecotox/explore.cfm?ncbi=30357","Explore in ECOTOX")</f>
        <v>Explore in ECOTOX</v>
      </c>
    </row>
    <row r="3477" spans="1:18" x14ac:dyDescent="0.45">
      <c r="A3477" t="s">
        <v>1265</v>
      </c>
      <c r="B3477">
        <v>8</v>
      </c>
      <c r="C3477" t="str">
        <f>HYPERLINK("http://www.ncbi.nlm.nih.gov/protein/XP_048315473.1","XP_048315473.1")</f>
        <v>XP_048315473.1</v>
      </c>
      <c r="D3477">
        <v>49669</v>
      </c>
      <c r="E3477" t="str">
        <f>HYPERLINK("http://www.ncbi.nlm.nih.gov/Taxonomy/Browser/wwwtax.cgi?mode=Info&amp;id=447135&amp;lvl=3&amp;lin=f&amp;keep=1&amp;srchmode=1&amp;unlock","447135")</f>
        <v>447135</v>
      </c>
      <c r="F3477" t="s">
        <v>96</v>
      </c>
      <c r="G3477" t="str">
        <f>HYPERLINK("http://www.ncbi.nlm.nih.gov/Taxonomy/Browser/wwwtax.cgi?mode=Info&amp;id=447135&amp;lvl=3&amp;lin=f&amp;keep=1&amp;srchmode=1&amp;unlock","Myodes glareolus")</f>
        <v>Myodes glareolus</v>
      </c>
      <c r="H3477" t="s">
        <v>404</v>
      </c>
      <c r="I3477" t="str">
        <f>HYPERLINK("http://www.ncbi.nlm.nih.gov/protein/XP_048315473.1","ryanodine receptor 3")</f>
        <v>ryanodine receptor 3</v>
      </c>
      <c r="J3477">
        <v>7752.13</v>
      </c>
      <c r="K3477" t="s">
        <v>22</v>
      </c>
      <c r="L3477">
        <v>76</v>
      </c>
      <c r="M3477">
        <v>12.58</v>
      </c>
      <c r="N3477">
        <v>76.290000000000006</v>
      </c>
      <c r="O3477" t="s">
        <v>19</v>
      </c>
      <c r="P3477" t="s">
        <v>1320</v>
      </c>
      <c r="Q3477" t="s">
        <v>19</v>
      </c>
      <c r="R3477" t="str">
        <f>HYPERLINK("https://cfpub.epa.gov/ecotox/explore.cfm?ncbi=447135","Explore in ECOTOX")</f>
        <v>Explore in ECOTOX</v>
      </c>
    </row>
    <row r="3478" spans="1:18" x14ac:dyDescent="0.45">
      <c r="A3478" t="s">
        <v>1265</v>
      </c>
      <c r="B3478">
        <v>8</v>
      </c>
      <c r="C3478" t="str">
        <f>HYPERLINK("http://www.ncbi.nlm.nih.gov/protein/KAF5908445.1","KAF5908445.1")</f>
        <v>KAF5908445.1</v>
      </c>
      <c r="D3478">
        <v>23900</v>
      </c>
      <c r="E3478" t="str">
        <f>HYPERLINK("http://www.ncbi.nlm.nih.gov/Taxonomy/Browser/wwwtax.cgi?mode=Info&amp;id=1594786&amp;lvl=3&amp;lin=f&amp;keep=1&amp;srchmode=1&amp;unlock","1594786")</f>
        <v>1594786</v>
      </c>
      <c r="F3478" t="s">
        <v>17</v>
      </c>
      <c r="G3478" t="str">
        <f>HYPERLINK("http://www.ncbi.nlm.nih.gov/Taxonomy/Browser/wwwtax.cgi?mode=Info&amp;id=1594786&amp;lvl=3&amp;lin=f&amp;keep=1&amp;srchmode=1&amp;unlock","Clarias magur")</f>
        <v>Clarias magur</v>
      </c>
      <c r="H3478" t="s">
        <v>59</v>
      </c>
      <c r="I3478" t="str">
        <f>HYPERLINK("http://www.ncbi.nlm.nih.gov/protein/KAF5908445.1","ryanodine receptor 3 isoform X3, partial")</f>
        <v>ryanodine receptor 3 isoform X3, partial</v>
      </c>
      <c r="J3478">
        <v>7752.13</v>
      </c>
      <c r="K3478" t="s">
        <v>22</v>
      </c>
      <c r="L3478">
        <v>76</v>
      </c>
      <c r="M3478">
        <v>12.58</v>
      </c>
      <c r="N3478">
        <v>76.290000000000006</v>
      </c>
      <c r="O3478" t="s">
        <v>19</v>
      </c>
      <c r="P3478" t="s">
        <v>1320</v>
      </c>
      <c r="Q3478" t="s">
        <v>19</v>
      </c>
      <c r="R3478" t="str">
        <f>HYPERLINK("https://cfpub.epa.gov/ecotox/explore.cfm?ncbi=1594786","Explore in ECOTOX")</f>
        <v>Explore in ECOTOX</v>
      </c>
    </row>
    <row r="3479" spans="1:18" x14ac:dyDescent="0.45">
      <c r="A3479" t="s">
        <v>1265</v>
      </c>
      <c r="B3479">
        <v>8</v>
      </c>
      <c r="C3479" t="str">
        <f>HYPERLINK("http://www.ncbi.nlm.nih.gov/protein/XP_015335616.2","XP_015335616.2")</f>
        <v>XP_015335616.2</v>
      </c>
      <c r="D3479">
        <v>56614</v>
      </c>
      <c r="E3479" t="str">
        <f>HYPERLINK("http://www.ncbi.nlm.nih.gov/Taxonomy/Browser/wwwtax.cgi?mode=Info&amp;id=9994&amp;lvl=3&amp;lin=f&amp;keep=1&amp;srchmode=1&amp;unlock","9994")</f>
        <v>9994</v>
      </c>
      <c r="F3479" t="s">
        <v>96</v>
      </c>
      <c r="G3479" t="str">
        <f>HYPERLINK("http://www.ncbi.nlm.nih.gov/Taxonomy/Browser/wwwtax.cgi?mode=Info&amp;id=9994&amp;lvl=3&amp;lin=f&amp;keep=1&amp;srchmode=1&amp;unlock","Marmota marmota marmota")</f>
        <v>Marmota marmota marmota</v>
      </c>
      <c r="H3479" t="s">
        <v>594</v>
      </c>
      <c r="I3479" t="str">
        <f>HYPERLINK("http://www.ncbi.nlm.nih.gov/protein/XP_015335616.2","ryanodine receptor 3")</f>
        <v>ryanodine receptor 3</v>
      </c>
      <c r="J3479">
        <v>7751.74</v>
      </c>
      <c r="K3479" t="s">
        <v>22</v>
      </c>
      <c r="L3479">
        <v>76</v>
      </c>
      <c r="M3479">
        <v>12.58</v>
      </c>
      <c r="N3479">
        <v>76.290000000000006</v>
      </c>
      <c r="O3479" t="s">
        <v>19</v>
      </c>
      <c r="P3479" t="s">
        <v>1320</v>
      </c>
      <c r="Q3479" t="s">
        <v>19</v>
      </c>
      <c r="R3479" t="str">
        <f>HYPERLINK("https://cfpub.epa.gov/ecotox/explore.cfm?ncbi=9994","Explore in ECOTOX")</f>
        <v>Explore in ECOTOX</v>
      </c>
    </row>
    <row r="3480" spans="1:18" x14ac:dyDescent="0.45">
      <c r="A3480" t="s">
        <v>1265</v>
      </c>
      <c r="B3480">
        <v>8</v>
      </c>
      <c r="C3480" t="str">
        <f>HYPERLINK("http://www.ncbi.nlm.nih.gov/protein/XP_046509205.1","XP_046509205.1")</f>
        <v>XP_046509205.1</v>
      </c>
      <c r="D3480">
        <v>48854</v>
      </c>
      <c r="E3480" t="str">
        <f>HYPERLINK("http://www.ncbi.nlm.nih.gov/Taxonomy/Browser/wwwtax.cgi?mode=Info&amp;id=89248&amp;lvl=3&amp;lin=f&amp;keep=1&amp;srchmode=1&amp;unlock","89248")</f>
        <v>89248</v>
      </c>
      <c r="F3480" t="s">
        <v>96</v>
      </c>
      <c r="G3480" t="str">
        <f>HYPERLINK("http://www.ncbi.nlm.nih.gov/Taxonomy/Browser/wwwtax.cgi?mode=Info&amp;id=89248&amp;lvl=3&amp;lin=f&amp;keep=1&amp;srchmode=1&amp;unlock","Equus quagga")</f>
        <v>Equus quagga</v>
      </c>
      <c r="H3480" t="s">
        <v>393</v>
      </c>
      <c r="I3480" t="str">
        <f>HYPERLINK("http://www.ncbi.nlm.nih.gov/protein/XP_046509205.1","ryanodine receptor 3 isoform X8")</f>
        <v>ryanodine receptor 3 isoform X8</v>
      </c>
      <c r="J3480">
        <v>7751.36</v>
      </c>
      <c r="K3480" t="s">
        <v>22</v>
      </c>
      <c r="L3480">
        <v>76</v>
      </c>
      <c r="M3480">
        <v>12.58</v>
      </c>
      <c r="N3480">
        <v>76.290000000000006</v>
      </c>
      <c r="O3480" t="s">
        <v>19</v>
      </c>
      <c r="P3480" t="s">
        <v>1320</v>
      </c>
      <c r="Q3480" t="s">
        <v>19</v>
      </c>
      <c r="R3480" t="str">
        <f>HYPERLINK("https://cfpub.epa.gov/ecotox/explore.cfm?ncbi=89248","Explore in ECOTOX")</f>
        <v>Explore in ECOTOX</v>
      </c>
    </row>
    <row r="3481" spans="1:18" x14ac:dyDescent="0.45">
      <c r="A3481" t="s">
        <v>1265</v>
      </c>
      <c r="B3481">
        <v>8</v>
      </c>
      <c r="C3481" t="str">
        <f>HYPERLINK("http://www.ncbi.nlm.nih.gov/protein/XP_021530513.1","XP_021530513.1")</f>
        <v>XP_021530513.1</v>
      </c>
      <c r="D3481">
        <v>48145</v>
      </c>
      <c r="E3481" t="str">
        <f>HYPERLINK("http://www.ncbi.nlm.nih.gov/Taxonomy/Browser/wwwtax.cgi?mode=Info&amp;id=37293&amp;lvl=3&amp;lin=f&amp;keep=1&amp;srchmode=1&amp;unlock","37293")</f>
        <v>37293</v>
      </c>
      <c r="F3481" t="s">
        <v>96</v>
      </c>
      <c r="G3481" t="str">
        <f>HYPERLINK("http://www.ncbi.nlm.nih.gov/Taxonomy/Browser/wwwtax.cgi?mode=Info&amp;id=37293&amp;lvl=3&amp;lin=f&amp;keep=1&amp;srchmode=1&amp;unlock","Aotus nancymaae")</f>
        <v>Aotus nancymaae</v>
      </c>
      <c r="H3481" t="s">
        <v>517</v>
      </c>
      <c r="I3481" t="str">
        <f>HYPERLINK("http://www.ncbi.nlm.nih.gov/protein/XP_021530513.1","LOW QUALITY PROTEIN: ryanodine receptor 3")</f>
        <v>LOW QUALITY PROTEIN: ryanodine receptor 3</v>
      </c>
      <c r="J3481">
        <v>7751.36</v>
      </c>
      <c r="K3481" t="s">
        <v>22</v>
      </c>
      <c r="L3481">
        <v>76</v>
      </c>
      <c r="M3481">
        <v>12.58</v>
      </c>
      <c r="N3481">
        <v>76.290000000000006</v>
      </c>
      <c r="O3481" t="s">
        <v>19</v>
      </c>
      <c r="P3481" t="s">
        <v>1320</v>
      </c>
      <c r="Q3481" t="s">
        <v>19</v>
      </c>
      <c r="R3481" t="str">
        <f>HYPERLINK("https://cfpub.epa.gov/ecotox/explore.cfm?ncbi=37293","Explore in ECOTOX")</f>
        <v>Explore in ECOTOX</v>
      </c>
    </row>
    <row r="3482" spans="1:18" x14ac:dyDescent="0.45">
      <c r="A3482" t="s">
        <v>1265</v>
      </c>
      <c r="B3482">
        <v>8</v>
      </c>
      <c r="C3482" t="str">
        <f>HYPERLINK("http://www.ncbi.nlm.nih.gov/protein/XP_031309212.1","XP_031309212.1")</f>
        <v>XP_031309212.1</v>
      </c>
      <c r="D3482">
        <v>87248</v>
      </c>
      <c r="E3482" t="str">
        <f>HYPERLINK("http://www.ncbi.nlm.nih.gov/Taxonomy/Browser/wwwtax.cgi?mode=Info&amp;id=9838&amp;lvl=3&amp;lin=f&amp;keep=1&amp;srchmode=1&amp;unlock","9838")</f>
        <v>9838</v>
      </c>
      <c r="F3482" t="s">
        <v>96</v>
      </c>
      <c r="G3482" t="str">
        <f>HYPERLINK("http://www.ncbi.nlm.nih.gov/Taxonomy/Browser/wwwtax.cgi?mode=Info&amp;id=9838&amp;lvl=3&amp;lin=f&amp;keep=1&amp;srchmode=1&amp;unlock","Camelus dromedarius")</f>
        <v>Camelus dromedarius</v>
      </c>
      <c r="H3482" t="s">
        <v>708</v>
      </c>
      <c r="I3482" t="str">
        <f>HYPERLINK("http://www.ncbi.nlm.nih.gov/protein/XP_031309212.1","ryanodine receptor 3 isoform X1")</f>
        <v>ryanodine receptor 3 isoform X1</v>
      </c>
      <c r="J3482">
        <v>7751.36</v>
      </c>
      <c r="K3482" t="s">
        <v>22</v>
      </c>
      <c r="L3482">
        <v>76</v>
      </c>
      <c r="M3482">
        <v>12.58</v>
      </c>
      <c r="N3482">
        <v>76.290000000000006</v>
      </c>
      <c r="O3482" t="s">
        <v>19</v>
      </c>
      <c r="P3482" t="s">
        <v>1320</v>
      </c>
      <c r="Q3482" t="s">
        <v>19</v>
      </c>
      <c r="R3482" t="str">
        <f>HYPERLINK("https://cfpub.epa.gov/ecotox/explore.cfm?ncbi=9838","Explore in ECOTOX")</f>
        <v>Explore in ECOTOX</v>
      </c>
    </row>
    <row r="3483" spans="1:18" x14ac:dyDescent="0.45">
      <c r="A3483" t="s">
        <v>1265</v>
      </c>
      <c r="B3483">
        <v>8</v>
      </c>
      <c r="C3483" t="str">
        <f>HYPERLINK("http://www.ncbi.nlm.nih.gov/protein/KAG8449571.1","KAG8449571.1")</f>
        <v>KAG8449571.1</v>
      </c>
      <c r="D3483">
        <v>28057</v>
      </c>
      <c r="E3483" t="str">
        <f>HYPERLINK("http://www.ncbi.nlm.nih.gov/Taxonomy/Browser/wwwtax.cgi?mode=Info&amp;id=247094&amp;lvl=3&amp;lin=f&amp;keep=1&amp;srchmode=1&amp;unlock","247094")</f>
        <v>247094</v>
      </c>
      <c r="F3483" t="s">
        <v>177</v>
      </c>
      <c r="G3483" t="str">
        <f>HYPERLINK("http://www.ncbi.nlm.nih.gov/Taxonomy/Browser/wwwtax.cgi?mode=Info&amp;id=247094&amp;lvl=3&amp;lin=f&amp;keep=1&amp;srchmode=1&amp;unlock","Hymenochirus boettgeri")</f>
        <v>Hymenochirus boettgeri</v>
      </c>
      <c r="H3483" t="s">
        <v>188</v>
      </c>
      <c r="I3483" t="str">
        <f>HYPERLINK("http://www.ncbi.nlm.nih.gov/protein/KAG8449571.1","hypothetical protein GDO86_016282")</f>
        <v>hypothetical protein GDO86_016282</v>
      </c>
      <c r="J3483">
        <v>7751.36</v>
      </c>
      <c r="K3483" t="s">
        <v>22</v>
      </c>
      <c r="L3483">
        <v>76</v>
      </c>
      <c r="M3483">
        <v>12.58</v>
      </c>
      <c r="N3483">
        <v>76.290000000000006</v>
      </c>
      <c r="O3483" t="s">
        <v>19</v>
      </c>
      <c r="P3483" t="s">
        <v>1320</v>
      </c>
      <c r="Q3483" t="s">
        <v>19</v>
      </c>
      <c r="R3483" t="str">
        <f>HYPERLINK("https://cfpub.epa.gov/ecotox/explore.cfm?ncbi=247094","Explore in ECOTOX")</f>
        <v>Explore in ECOTOX</v>
      </c>
    </row>
    <row r="3484" spans="1:18" x14ac:dyDescent="0.45">
      <c r="A3484" t="s">
        <v>1265</v>
      </c>
      <c r="B3484">
        <v>8</v>
      </c>
      <c r="C3484" t="str">
        <f>HYPERLINK("http://www.ncbi.nlm.nih.gov/protein/XP_053080189.1","XP_053080189.1")</f>
        <v>XP_053080189.1</v>
      </c>
      <c r="D3484">
        <v>64266</v>
      </c>
      <c r="E3484" t="str">
        <f>HYPERLINK("http://www.ncbi.nlm.nih.gov/Taxonomy/Browser/wwwtax.cgi?mode=Info&amp;id=32536&amp;lvl=3&amp;lin=f&amp;keep=1&amp;srchmode=1&amp;unlock","32536")</f>
        <v>32536</v>
      </c>
      <c r="F3484" t="s">
        <v>96</v>
      </c>
      <c r="G3484" t="str">
        <f>HYPERLINK("http://www.ncbi.nlm.nih.gov/Taxonomy/Browser/wwwtax.cgi?mode=Info&amp;id=32536&amp;lvl=3&amp;lin=f&amp;keep=1&amp;srchmode=1&amp;unlock","Acinonyx jubatus")</f>
        <v>Acinonyx jubatus</v>
      </c>
      <c r="H3484" t="s">
        <v>333</v>
      </c>
      <c r="I3484" t="str">
        <f>HYPERLINK("http://www.ncbi.nlm.nih.gov/protein/XP_053080189.1","ryanodine receptor 3")</f>
        <v>ryanodine receptor 3</v>
      </c>
      <c r="J3484">
        <v>7750.97</v>
      </c>
      <c r="K3484" t="s">
        <v>22</v>
      </c>
      <c r="L3484">
        <v>76</v>
      </c>
      <c r="M3484">
        <v>12.58</v>
      </c>
      <c r="N3484">
        <v>76.28</v>
      </c>
      <c r="O3484" t="s">
        <v>19</v>
      </c>
      <c r="P3484" t="s">
        <v>1320</v>
      </c>
      <c r="Q3484" t="s">
        <v>19</v>
      </c>
      <c r="R3484" t="str">
        <f>HYPERLINK("https://cfpub.epa.gov/ecotox/explore.cfm?ncbi=32536","Explore in ECOTOX")</f>
        <v>Explore in ECOTOX</v>
      </c>
    </row>
    <row r="3485" spans="1:18" x14ac:dyDescent="0.45">
      <c r="A3485" t="s">
        <v>1265</v>
      </c>
      <c r="B3485">
        <v>8</v>
      </c>
      <c r="C3485" t="str">
        <f>HYPERLINK("http://www.ncbi.nlm.nih.gov/protein/XP_034350120.1","XP_034350120.1")</f>
        <v>XP_034350120.1</v>
      </c>
      <c r="D3485">
        <v>41697</v>
      </c>
      <c r="E3485" t="str">
        <f>HYPERLINK("http://www.ncbi.nlm.nih.gov/Taxonomy/Browser/wwwtax.cgi?mode=Info&amp;id=61156&amp;lvl=3&amp;lin=f&amp;keep=1&amp;srchmode=1&amp;unlock","61156")</f>
        <v>61156</v>
      </c>
      <c r="F3485" t="s">
        <v>96</v>
      </c>
      <c r="G3485" t="str">
        <f>HYPERLINK("http://www.ncbi.nlm.nih.gov/Taxonomy/Browser/wwwtax.cgi?mode=Info&amp;id=61156&amp;lvl=3&amp;lin=f&amp;keep=1&amp;srchmode=1&amp;unlock","Arvicanthis niloticus")</f>
        <v>Arvicanthis niloticus</v>
      </c>
      <c r="H3485" t="s">
        <v>379</v>
      </c>
      <c r="I3485" t="str">
        <f>HYPERLINK("http://www.ncbi.nlm.nih.gov/protein/XP_034350120.1","ryanodine receptor 3")</f>
        <v>ryanodine receptor 3</v>
      </c>
      <c r="J3485">
        <v>7750.97</v>
      </c>
      <c r="K3485" t="s">
        <v>22</v>
      </c>
      <c r="L3485">
        <v>76</v>
      </c>
      <c r="M3485">
        <v>12.58</v>
      </c>
      <c r="N3485">
        <v>76.28</v>
      </c>
      <c r="O3485" t="s">
        <v>19</v>
      </c>
      <c r="P3485" t="s">
        <v>1320</v>
      </c>
      <c r="Q3485" t="s">
        <v>19</v>
      </c>
      <c r="R3485" t="str">
        <f>HYPERLINK("https://cfpub.epa.gov/ecotox/explore.cfm?ncbi=61156","Explore in ECOTOX")</f>
        <v>Explore in ECOTOX</v>
      </c>
    </row>
    <row r="3486" spans="1:18" x14ac:dyDescent="0.45">
      <c r="A3486" t="s">
        <v>1265</v>
      </c>
      <c r="B3486">
        <v>8</v>
      </c>
      <c r="C3486" t="str">
        <f>HYPERLINK("http://www.ncbi.nlm.nih.gov/protein/XP_038317034.1","XP_038317034.1")</f>
        <v>XP_038317034.1</v>
      </c>
      <c r="D3486">
        <v>198466</v>
      </c>
      <c r="E3486" t="str">
        <f>HYPERLINK("http://www.ncbi.nlm.nih.gov/Taxonomy/Browser/wwwtax.cgi?mode=Info&amp;id=9615&amp;lvl=3&amp;lin=f&amp;keep=1&amp;srchmode=1&amp;unlock","9615")</f>
        <v>9615</v>
      </c>
      <c r="F3486" t="s">
        <v>96</v>
      </c>
      <c r="G3486" t="str">
        <f>HYPERLINK("http://www.ncbi.nlm.nih.gov/Taxonomy/Browser/wwwtax.cgi?mode=Info&amp;id=9615&amp;lvl=3&amp;lin=f&amp;keep=1&amp;srchmode=1&amp;unlock","Canis lupus familiaris")</f>
        <v>Canis lupus familiaris</v>
      </c>
      <c r="H3486" t="s">
        <v>246</v>
      </c>
      <c r="I3486" t="str">
        <f>HYPERLINK("http://www.ncbi.nlm.nih.gov/protein/XP_038317034.1","ryanodine receptor 3 isoform X9")</f>
        <v>ryanodine receptor 3 isoform X9</v>
      </c>
      <c r="J3486">
        <v>7750.97</v>
      </c>
      <c r="K3486" t="s">
        <v>22</v>
      </c>
      <c r="L3486">
        <v>76</v>
      </c>
      <c r="M3486">
        <v>12.58</v>
      </c>
      <c r="N3486">
        <v>76.28</v>
      </c>
      <c r="O3486" t="s">
        <v>19</v>
      </c>
      <c r="P3486" t="s">
        <v>1320</v>
      </c>
      <c r="Q3486" t="s">
        <v>19</v>
      </c>
      <c r="R3486" t="str">
        <f>HYPERLINK("https://cfpub.epa.gov/ecotox/explore.cfm?ncbi=9615","Explore in ECOTOX")</f>
        <v>Explore in ECOTOX</v>
      </c>
    </row>
    <row r="3487" spans="1:18" x14ac:dyDescent="0.45">
      <c r="A3487" t="s">
        <v>1265</v>
      </c>
      <c r="B3487">
        <v>8</v>
      </c>
      <c r="C3487" t="str">
        <f>HYPERLINK("http://www.ncbi.nlm.nih.gov/protein/XP_030700133.1","XP_030700133.1")</f>
        <v>XP_030700133.1</v>
      </c>
      <c r="D3487">
        <v>87350</v>
      </c>
      <c r="E3487" t="str">
        <f>HYPERLINK("http://www.ncbi.nlm.nih.gov/Taxonomy/Browser/wwwtax.cgi?mode=Info&amp;id=9731&amp;lvl=3&amp;lin=f&amp;keep=1&amp;srchmode=1&amp;unlock","9731")</f>
        <v>9731</v>
      </c>
      <c r="F3487" t="s">
        <v>96</v>
      </c>
      <c r="G3487" t="str">
        <f>HYPERLINK("http://www.ncbi.nlm.nih.gov/Taxonomy/Browser/wwwtax.cgi?mode=Info&amp;id=9731&amp;lvl=3&amp;lin=f&amp;keep=1&amp;srchmode=1&amp;unlock","Globicephala melas")</f>
        <v>Globicephala melas</v>
      </c>
      <c r="H3487" t="s">
        <v>587</v>
      </c>
      <c r="I3487" t="str">
        <f>HYPERLINK("http://www.ncbi.nlm.nih.gov/protein/XP_030700133.1","ryanodine receptor 3 isoform X1")</f>
        <v>ryanodine receptor 3 isoform X1</v>
      </c>
      <c r="J3487">
        <v>7750.97</v>
      </c>
      <c r="K3487" t="s">
        <v>22</v>
      </c>
      <c r="L3487">
        <v>76</v>
      </c>
      <c r="M3487">
        <v>12.58</v>
      </c>
      <c r="N3487">
        <v>76.28</v>
      </c>
      <c r="O3487" t="s">
        <v>19</v>
      </c>
      <c r="P3487" t="s">
        <v>1320</v>
      </c>
      <c r="Q3487" t="s">
        <v>19</v>
      </c>
      <c r="R3487" t="str">
        <f>HYPERLINK("https://cfpub.epa.gov/ecotox/explore.cfm?ncbi=9731","Explore in ECOTOX")</f>
        <v>Explore in ECOTOX</v>
      </c>
    </row>
    <row r="3488" spans="1:18" x14ac:dyDescent="0.45">
      <c r="A3488" t="s">
        <v>1265</v>
      </c>
      <c r="B3488">
        <v>8</v>
      </c>
      <c r="C3488" t="str">
        <f>HYPERLINK("http://www.ncbi.nlm.nih.gov/protein/XP_060129275.1","XP_060129275.1")</f>
        <v>XP_060129275.1</v>
      </c>
      <c r="D3488">
        <v>70511</v>
      </c>
      <c r="E3488" t="str">
        <f>HYPERLINK("http://www.ncbi.nlm.nih.gov/Taxonomy/Browser/wwwtax.cgi?mode=Info&amp;id=8524&amp;lvl=3&amp;lin=f&amp;keep=1&amp;srchmode=1&amp;unlock","8524")</f>
        <v>8524</v>
      </c>
      <c r="F3488" t="s">
        <v>192</v>
      </c>
      <c r="G3488" t="str">
        <f>HYPERLINK("http://www.ncbi.nlm.nih.gov/Taxonomy/Browser/wwwtax.cgi?mode=Info&amp;id=8524&amp;lvl=3&amp;lin=f&amp;keep=1&amp;srchmode=1&amp;unlock","Zootoca vivipara")</f>
        <v>Zootoca vivipara</v>
      </c>
      <c r="H3488" t="s">
        <v>199</v>
      </c>
      <c r="I3488" t="str">
        <f>HYPERLINK("http://www.ncbi.nlm.nih.gov/protein/XP_060129275.1","ryanodine receptor 3 isoform X2")</f>
        <v>ryanodine receptor 3 isoform X2</v>
      </c>
      <c r="J3488">
        <v>7750.59</v>
      </c>
      <c r="K3488" t="s">
        <v>22</v>
      </c>
      <c r="L3488">
        <v>76</v>
      </c>
      <c r="M3488">
        <v>12.58</v>
      </c>
      <c r="N3488">
        <v>76.28</v>
      </c>
      <c r="O3488" t="s">
        <v>19</v>
      </c>
      <c r="P3488" t="s">
        <v>1320</v>
      </c>
      <c r="Q3488" t="s">
        <v>19</v>
      </c>
      <c r="R3488" t="str">
        <f>HYPERLINK("https://cfpub.epa.gov/ecotox/explore.cfm?ncbi=8524","Explore in ECOTOX")</f>
        <v>Explore in ECOTOX</v>
      </c>
    </row>
    <row r="3489" spans="1:18" x14ac:dyDescent="0.45">
      <c r="A3489" t="s">
        <v>1265</v>
      </c>
      <c r="B3489">
        <v>8</v>
      </c>
      <c r="C3489" t="str">
        <f>HYPERLINK("http://www.ncbi.nlm.nih.gov/protein/XP_035938497.1","XP_035938497.1")</f>
        <v>XP_035938497.1</v>
      </c>
      <c r="D3489">
        <v>60464</v>
      </c>
      <c r="E3489" t="str">
        <f>HYPERLINK("http://www.ncbi.nlm.nih.gov/Taxonomy/Browser/wwwtax.cgi?mode=Info&amp;id=9711&amp;lvl=3&amp;lin=f&amp;keep=1&amp;srchmode=1&amp;unlock","9711")</f>
        <v>9711</v>
      </c>
      <c r="F3489" t="s">
        <v>96</v>
      </c>
      <c r="G3489" t="str">
        <f>HYPERLINK("http://www.ncbi.nlm.nih.gov/Taxonomy/Browser/wwwtax.cgi?mode=Info&amp;id=9711&amp;lvl=3&amp;lin=f&amp;keep=1&amp;srchmode=1&amp;unlock","Halichoerus grypus")</f>
        <v>Halichoerus grypus</v>
      </c>
      <c r="H3489" t="s">
        <v>416</v>
      </c>
      <c r="I3489" t="str">
        <f>HYPERLINK("http://www.ncbi.nlm.nih.gov/protein/XP_035938497.1","ryanodine receptor 3")</f>
        <v>ryanodine receptor 3</v>
      </c>
      <c r="J3489">
        <v>7750.59</v>
      </c>
      <c r="K3489" t="s">
        <v>22</v>
      </c>
      <c r="L3489">
        <v>76</v>
      </c>
      <c r="M3489">
        <v>12.58</v>
      </c>
      <c r="N3489">
        <v>76.28</v>
      </c>
      <c r="O3489" t="s">
        <v>19</v>
      </c>
      <c r="P3489" t="s">
        <v>1320</v>
      </c>
      <c r="Q3489" t="s">
        <v>19</v>
      </c>
      <c r="R3489" t="str">
        <f>HYPERLINK("https://cfpub.epa.gov/ecotox/explore.cfm?ncbi=9711","Explore in ECOTOX")</f>
        <v>Explore in ECOTOX</v>
      </c>
    </row>
    <row r="3490" spans="1:18" x14ac:dyDescent="0.45">
      <c r="A3490" t="s">
        <v>1265</v>
      </c>
      <c r="B3490">
        <v>8</v>
      </c>
      <c r="C3490" t="str">
        <f>HYPERLINK("http://www.ncbi.nlm.nih.gov/protein/XP_055172606.1","XP_055172606.1")</f>
        <v>XP_055172606.1</v>
      </c>
      <c r="D3490">
        <v>73430</v>
      </c>
      <c r="E3490" t="str">
        <f>HYPERLINK("http://www.ncbi.nlm.nih.gov/Taxonomy/Browser/wwwtax.cgi?mode=Info&amp;id=34880&amp;lvl=3&amp;lin=f&amp;keep=1&amp;srchmode=1&amp;unlock","34880")</f>
        <v>34880</v>
      </c>
      <c r="F3490" t="s">
        <v>96</v>
      </c>
      <c r="G3490" t="str">
        <f>HYPERLINK("http://www.ncbi.nlm.nih.gov/Taxonomy/Browser/wwwtax.cgi?mode=Info&amp;id=34880&amp;lvl=3&amp;lin=f&amp;keep=1&amp;srchmode=1&amp;unlock","Nyctereutes procyonoides")</f>
        <v>Nyctereutes procyonoides</v>
      </c>
      <c r="H3490" t="s">
        <v>254</v>
      </c>
      <c r="I3490" t="str">
        <f>HYPERLINK("http://www.ncbi.nlm.nih.gov/protein/XP_055172606.1","ryanodine receptor 3")</f>
        <v>ryanodine receptor 3</v>
      </c>
      <c r="J3490">
        <v>7749.43</v>
      </c>
      <c r="K3490" t="s">
        <v>22</v>
      </c>
      <c r="L3490">
        <v>76</v>
      </c>
      <c r="M3490">
        <v>12.58</v>
      </c>
      <c r="N3490">
        <v>76.27</v>
      </c>
      <c r="O3490" t="s">
        <v>19</v>
      </c>
      <c r="P3490" t="s">
        <v>1320</v>
      </c>
      <c r="Q3490" t="s">
        <v>19</v>
      </c>
      <c r="R3490" t="str">
        <f>HYPERLINK("https://cfpub.epa.gov/ecotox/explore.cfm?ncbi=34880","Explore in ECOTOX")</f>
        <v>Explore in ECOTOX</v>
      </c>
    </row>
    <row r="3491" spans="1:18" x14ac:dyDescent="0.45">
      <c r="A3491" t="s">
        <v>1265</v>
      </c>
      <c r="B3491">
        <v>8</v>
      </c>
      <c r="C3491" t="str">
        <f>HYPERLINK("http://www.ncbi.nlm.nih.gov/protein/XP_025907549.1","XP_025907549.1")</f>
        <v>XP_025907549.1</v>
      </c>
      <c r="D3491">
        <v>21567</v>
      </c>
      <c r="E3491" t="str">
        <f>HYPERLINK("http://www.ncbi.nlm.nih.gov/Taxonomy/Browser/wwwtax.cgi?mode=Info&amp;id=30464&amp;lvl=3&amp;lin=f&amp;keep=1&amp;srchmode=1&amp;unlock","30464")</f>
        <v>30464</v>
      </c>
      <c r="F3491" t="s">
        <v>241</v>
      </c>
      <c r="G3491" t="str">
        <f>HYPERLINK("http://www.ncbi.nlm.nih.gov/Taxonomy/Browser/wwwtax.cgi?mode=Info&amp;id=30464&amp;lvl=3&amp;lin=f&amp;keep=1&amp;srchmode=1&amp;unlock","Nothoprocta perdicaria")</f>
        <v>Nothoprocta perdicaria</v>
      </c>
      <c r="H3491" t="s">
        <v>367</v>
      </c>
      <c r="I3491" t="str">
        <f>HYPERLINK("http://www.ncbi.nlm.nih.gov/protein/XP_025907549.1","ryanodine receptor 3")</f>
        <v>ryanodine receptor 3</v>
      </c>
      <c r="J3491">
        <v>7749.05</v>
      </c>
      <c r="K3491" t="s">
        <v>22</v>
      </c>
      <c r="L3491">
        <v>76</v>
      </c>
      <c r="M3491">
        <v>12.58</v>
      </c>
      <c r="N3491">
        <v>76.260000000000005</v>
      </c>
      <c r="O3491" t="s">
        <v>19</v>
      </c>
      <c r="P3491" t="s">
        <v>1320</v>
      </c>
      <c r="Q3491" t="s">
        <v>19</v>
      </c>
      <c r="R3491" t="str">
        <f>HYPERLINK("https://cfpub.epa.gov/ecotox/explore.cfm?ncbi=30464","Explore in ECOTOX")</f>
        <v>Explore in ECOTOX</v>
      </c>
    </row>
    <row r="3492" spans="1:18" x14ac:dyDescent="0.45">
      <c r="A3492" t="s">
        <v>1265</v>
      </c>
      <c r="B3492">
        <v>8</v>
      </c>
      <c r="C3492" t="str">
        <f>HYPERLINK("http://www.ncbi.nlm.nih.gov/protein/XP_019790791.2","XP_019790791.2")</f>
        <v>XP_019790791.2</v>
      </c>
      <c r="D3492">
        <v>57134</v>
      </c>
      <c r="E3492" t="str">
        <f>HYPERLINK("http://www.ncbi.nlm.nih.gov/Taxonomy/Browser/wwwtax.cgi?mode=Info&amp;id=9739&amp;lvl=3&amp;lin=f&amp;keep=1&amp;srchmode=1&amp;unlock","9739")</f>
        <v>9739</v>
      </c>
      <c r="F3492" t="s">
        <v>96</v>
      </c>
      <c r="G3492" t="str">
        <f>HYPERLINK("http://www.ncbi.nlm.nih.gov/Taxonomy/Browser/wwwtax.cgi?mode=Info&amp;id=9739&amp;lvl=3&amp;lin=f&amp;keep=1&amp;srchmode=1&amp;unlock","Tursiops truncatus")</f>
        <v>Tursiops truncatus</v>
      </c>
      <c r="H3492" t="s">
        <v>604</v>
      </c>
      <c r="I3492" t="str">
        <f>HYPERLINK("http://www.ncbi.nlm.nih.gov/protein/XP_019790791.2","ryanodine receptor 3 isoform X1")</f>
        <v>ryanodine receptor 3 isoform X1</v>
      </c>
      <c r="J3492">
        <v>7749.05</v>
      </c>
      <c r="K3492" t="s">
        <v>22</v>
      </c>
      <c r="L3492">
        <v>76</v>
      </c>
      <c r="M3492">
        <v>12.58</v>
      </c>
      <c r="N3492">
        <v>76.260000000000005</v>
      </c>
      <c r="O3492" t="s">
        <v>19</v>
      </c>
      <c r="P3492" t="s">
        <v>1320</v>
      </c>
      <c r="Q3492" t="s">
        <v>19</v>
      </c>
      <c r="R3492" t="str">
        <f>HYPERLINK("https://cfpub.epa.gov/ecotox/explore.cfm?ncbi=9739","Explore in ECOTOX")</f>
        <v>Explore in ECOTOX</v>
      </c>
    </row>
    <row r="3493" spans="1:18" x14ac:dyDescent="0.45">
      <c r="A3493" t="s">
        <v>1265</v>
      </c>
      <c r="B3493">
        <v>8</v>
      </c>
      <c r="C3493" t="str">
        <f>HYPERLINK("http://www.ncbi.nlm.nih.gov/protein/XP_055990193.1","XP_055990193.1")</f>
        <v>XP_055990193.1</v>
      </c>
      <c r="D3493">
        <v>32714</v>
      </c>
      <c r="E3493" t="str">
        <f>HYPERLINK("http://www.ncbi.nlm.nih.gov/Taxonomy/Browser/wwwtax.cgi?mode=Info&amp;id=62283&amp;lvl=3&amp;lin=f&amp;keep=1&amp;srchmode=1&amp;unlock","62283")</f>
        <v>62283</v>
      </c>
      <c r="F3493" t="s">
        <v>96</v>
      </c>
      <c r="G3493" t="str">
        <f>HYPERLINK("http://www.ncbi.nlm.nih.gov/Taxonomy/Browser/wwwtax.cgi?mode=Info&amp;id=62283&amp;lvl=3&amp;lin=f&amp;keep=1&amp;srchmode=1&amp;unlock","Sorex fumeus")</f>
        <v>Sorex fumeus</v>
      </c>
      <c r="H3493" t="s">
        <v>316</v>
      </c>
      <c r="I3493" t="str">
        <f>HYPERLINK("http://www.ncbi.nlm.nih.gov/protein/XP_055990193.1","ryanodine receptor 3 isoform X1")</f>
        <v>ryanodine receptor 3 isoform X1</v>
      </c>
      <c r="J3493">
        <v>7747.89</v>
      </c>
      <c r="K3493" t="s">
        <v>22</v>
      </c>
      <c r="L3493">
        <v>76</v>
      </c>
      <c r="M3493">
        <v>12.58</v>
      </c>
      <c r="N3493">
        <v>76.25</v>
      </c>
      <c r="O3493" t="s">
        <v>19</v>
      </c>
      <c r="P3493" t="s">
        <v>1320</v>
      </c>
      <c r="Q3493" t="s">
        <v>19</v>
      </c>
      <c r="R3493" t="str">
        <f>HYPERLINK("https://cfpub.epa.gov/ecotox/explore.cfm?ncbi=62283","Explore in ECOTOX")</f>
        <v>Explore in ECOTOX</v>
      </c>
    </row>
    <row r="3494" spans="1:18" x14ac:dyDescent="0.45">
      <c r="A3494" t="s">
        <v>1265</v>
      </c>
      <c r="B3494">
        <v>8</v>
      </c>
      <c r="C3494" t="str">
        <f>HYPERLINK("http://www.ncbi.nlm.nih.gov/protein/XP_036039731.1","XP_036039731.1")</f>
        <v>XP_036039731.1</v>
      </c>
      <c r="D3494">
        <v>43283</v>
      </c>
      <c r="E3494" t="str">
        <f>HYPERLINK("http://www.ncbi.nlm.nih.gov/Taxonomy/Browser/wwwtax.cgi?mode=Info&amp;id=38674&amp;lvl=3&amp;lin=f&amp;keep=1&amp;srchmode=1&amp;unlock","38674")</f>
        <v>38674</v>
      </c>
      <c r="F3494" t="s">
        <v>96</v>
      </c>
      <c r="G3494" t="str">
        <f>HYPERLINK("http://www.ncbi.nlm.nih.gov/Taxonomy/Browser/wwwtax.cgi?mode=Info&amp;id=38674&amp;lvl=3&amp;lin=f&amp;keep=1&amp;srchmode=1&amp;unlock","Onychomys torridus")</f>
        <v>Onychomys torridus</v>
      </c>
      <c r="H3494" t="s">
        <v>256</v>
      </c>
      <c r="I3494" t="str">
        <f>HYPERLINK("http://www.ncbi.nlm.nih.gov/protein/XP_036039731.1","LOW QUALITY PROTEIN: ryanodine receptor 3")</f>
        <v>LOW QUALITY PROTEIN: ryanodine receptor 3</v>
      </c>
      <c r="J3494">
        <v>7746.73</v>
      </c>
      <c r="K3494" t="s">
        <v>22</v>
      </c>
      <c r="L3494">
        <v>76</v>
      </c>
      <c r="M3494">
        <v>12.58</v>
      </c>
      <c r="N3494">
        <v>76.239999999999995</v>
      </c>
      <c r="O3494" t="s">
        <v>19</v>
      </c>
      <c r="P3494" t="s">
        <v>1320</v>
      </c>
      <c r="Q3494" t="s">
        <v>19</v>
      </c>
      <c r="R3494" t="str">
        <f>HYPERLINK("https://cfpub.epa.gov/ecotox/explore.cfm?ncbi=38674","Explore in ECOTOX")</f>
        <v>Explore in ECOTOX</v>
      </c>
    </row>
    <row r="3495" spans="1:18" x14ac:dyDescent="0.45">
      <c r="A3495" t="s">
        <v>1265</v>
      </c>
      <c r="B3495">
        <v>8</v>
      </c>
      <c r="C3495" t="str">
        <f>HYPERLINK("http://www.ncbi.nlm.nih.gov/protein/XP_030308105.1","XP_030308105.1")</f>
        <v>XP_030308105.1</v>
      </c>
      <c r="D3495">
        <v>42938</v>
      </c>
      <c r="E3495" t="str">
        <f>HYPERLINK("http://www.ncbi.nlm.nih.gov/Taxonomy/Browser/wwwtax.cgi?mode=Info&amp;id=9244&amp;lvl=3&amp;lin=f&amp;keep=1&amp;srchmode=1&amp;unlock","9244")</f>
        <v>9244</v>
      </c>
      <c r="F3495" t="s">
        <v>241</v>
      </c>
      <c r="G3495" t="str">
        <f>HYPERLINK("http://www.ncbi.nlm.nih.gov/Taxonomy/Browser/wwwtax.cgi?mode=Info&amp;id=9244&amp;lvl=3&amp;lin=f&amp;keep=1&amp;srchmode=1&amp;unlock","Calypte anna")</f>
        <v>Calypte anna</v>
      </c>
      <c r="H3495" t="s">
        <v>583</v>
      </c>
      <c r="I3495" t="str">
        <f>HYPERLINK("http://www.ncbi.nlm.nih.gov/protein/XP_030308105.1","ryanodine receptor 3 isoform X1")</f>
        <v>ryanodine receptor 3 isoform X1</v>
      </c>
      <c r="J3495">
        <v>7746.73</v>
      </c>
      <c r="K3495" t="s">
        <v>22</v>
      </c>
      <c r="L3495">
        <v>76</v>
      </c>
      <c r="M3495">
        <v>12.58</v>
      </c>
      <c r="N3495">
        <v>76.239999999999995</v>
      </c>
      <c r="O3495" t="s">
        <v>19</v>
      </c>
      <c r="P3495" t="s">
        <v>1320</v>
      </c>
      <c r="Q3495" t="s">
        <v>19</v>
      </c>
      <c r="R3495" t="str">
        <f>HYPERLINK("https://cfpub.epa.gov/ecotox/explore.cfm?ncbi=9244","Explore in ECOTOX")</f>
        <v>Explore in ECOTOX</v>
      </c>
    </row>
    <row r="3496" spans="1:18" x14ac:dyDescent="0.45">
      <c r="A3496" t="s">
        <v>1265</v>
      </c>
      <c r="B3496">
        <v>8</v>
      </c>
      <c r="C3496" t="str">
        <f>HYPERLINK("http://www.ncbi.nlm.nih.gov/protein/XP_024643054.1","XP_024643054.1")</f>
        <v>XP_024643054.1</v>
      </c>
      <c r="D3496">
        <v>68732</v>
      </c>
      <c r="E3496" t="str">
        <f>HYPERLINK("http://www.ncbi.nlm.nih.gov/Taxonomy/Browser/wwwtax.cgi?mode=Info&amp;id=9545&amp;lvl=3&amp;lin=f&amp;keep=1&amp;srchmode=1&amp;unlock","9545")</f>
        <v>9545</v>
      </c>
      <c r="F3496" t="s">
        <v>96</v>
      </c>
      <c r="G3496" t="str">
        <f>HYPERLINK("http://www.ncbi.nlm.nih.gov/Taxonomy/Browser/wwwtax.cgi?mode=Info&amp;id=9545&amp;lvl=3&amp;lin=f&amp;keep=1&amp;srchmode=1&amp;unlock","Macaca nemestrina")</f>
        <v>Macaca nemestrina</v>
      </c>
      <c r="H3496" t="s">
        <v>340</v>
      </c>
      <c r="I3496" t="str">
        <f>HYPERLINK("http://www.ncbi.nlm.nih.gov/protein/XP_024643054.1","ryanodine receptor 3 isoform X8")</f>
        <v>ryanodine receptor 3 isoform X8</v>
      </c>
      <c r="J3496">
        <v>7746.73</v>
      </c>
      <c r="K3496" t="s">
        <v>22</v>
      </c>
      <c r="L3496">
        <v>76</v>
      </c>
      <c r="M3496">
        <v>12.58</v>
      </c>
      <c r="N3496">
        <v>76.239999999999995</v>
      </c>
      <c r="O3496" t="s">
        <v>19</v>
      </c>
      <c r="P3496" t="s">
        <v>1320</v>
      </c>
      <c r="Q3496" t="s">
        <v>19</v>
      </c>
      <c r="R3496" t="str">
        <f>HYPERLINK("https://cfpub.epa.gov/ecotox/explore.cfm?ncbi=9545","Explore in ECOTOX")</f>
        <v>Explore in ECOTOX</v>
      </c>
    </row>
    <row r="3497" spans="1:18" x14ac:dyDescent="0.45">
      <c r="A3497" t="s">
        <v>1265</v>
      </c>
      <c r="B3497">
        <v>8</v>
      </c>
      <c r="C3497" t="str">
        <f>HYPERLINK("http://www.ncbi.nlm.nih.gov/protein/XP_009319259.1","XP_009319259.1")</f>
        <v>XP_009319259.1</v>
      </c>
      <c r="D3497">
        <v>29694</v>
      </c>
      <c r="E3497" t="str">
        <f>HYPERLINK("http://www.ncbi.nlm.nih.gov/Taxonomy/Browser/wwwtax.cgi?mode=Info&amp;id=9238&amp;lvl=3&amp;lin=f&amp;keep=1&amp;srchmode=1&amp;unlock","9238")</f>
        <v>9238</v>
      </c>
      <c r="F3497" t="s">
        <v>241</v>
      </c>
      <c r="G3497" t="str">
        <f>HYPERLINK("http://www.ncbi.nlm.nih.gov/Taxonomy/Browser/wwwtax.cgi?mode=Info&amp;id=9238&amp;lvl=3&amp;lin=f&amp;keep=1&amp;srchmode=1&amp;unlock","Pygoscelis adeliae")</f>
        <v>Pygoscelis adeliae</v>
      </c>
      <c r="H3497" t="s">
        <v>572</v>
      </c>
      <c r="I3497" t="str">
        <f>HYPERLINK("http://www.ncbi.nlm.nih.gov/protein/XP_009319259.1","PREDICTED: LOW QUALITY PROTEIN: ryanodine receptor 3")</f>
        <v>PREDICTED: LOW QUALITY PROTEIN: ryanodine receptor 3</v>
      </c>
      <c r="J3497">
        <v>7746.73</v>
      </c>
      <c r="K3497" t="s">
        <v>22</v>
      </c>
      <c r="L3497">
        <v>76</v>
      </c>
      <c r="M3497">
        <v>12.58</v>
      </c>
      <c r="N3497">
        <v>76.239999999999995</v>
      </c>
      <c r="O3497" t="s">
        <v>19</v>
      </c>
      <c r="P3497" t="s">
        <v>1320</v>
      </c>
      <c r="Q3497" t="s">
        <v>19</v>
      </c>
      <c r="R3497" t="str">
        <f>HYPERLINK("https://cfpub.epa.gov/ecotox/explore.cfm?ncbi=9238","Explore in ECOTOX")</f>
        <v>Explore in ECOTOX</v>
      </c>
    </row>
    <row r="3498" spans="1:18" x14ac:dyDescent="0.45">
      <c r="A3498" t="s">
        <v>1265</v>
      </c>
      <c r="B3498">
        <v>8</v>
      </c>
      <c r="C3498" t="str">
        <f>HYPERLINK("http://www.ncbi.nlm.nih.gov/protein/XP_057636377.1","XP_057636377.1")</f>
        <v>XP_057636377.1</v>
      </c>
      <c r="D3498">
        <v>44061</v>
      </c>
      <c r="E3498" t="str">
        <f>HYPERLINK("http://www.ncbi.nlm.nih.gov/Taxonomy/Browser/wwwtax.cgi?mode=Info&amp;id=269649&amp;lvl=3&amp;lin=f&amp;keep=1&amp;srchmode=1&amp;unlock","269649")</f>
        <v>269649</v>
      </c>
      <c r="F3498" t="s">
        <v>96</v>
      </c>
      <c r="G3498" t="str">
        <f>HYPERLINK("http://www.ncbi.nlm.nih.gov/Taxonomy/Browser/wwwtax.cgi?mode=Info&amp;id=269649&amp;lvl=3&amp;lin=f&amp;keep=1&amp;srchmode=1&amp;unlock","Chionomys nivalis")</f>
        <v>Chionomys nivalis</v>
      </c>
      <c r="H3498" t="s">
        <v>305</v>
      </c>
      <c r="I3498" t="str">
        <f>HYPERLINK("http://www.ncbi.nlm.nih.gov/protein/XP_057636377.1","ryanodine receptor 3")</f>
        <v>ryanodine receptor 3</v>
      </c>
      <c r="J3498">
        <v>7746.35</v>
      </c>
      <c r="K3498" t="s">
        <v>22</v>
      </c>
      <c r="L3498">
        <v>76</v>
      </c>
      <c r="M3498">
        <v>12.58</v>
      </c>
      <c r="N3498">
        <v>76.239999999999995</v>
      </c>
      <c r="O3498" t="s">
        <v>19</v>
      </c>
      <c r="P3498" t="s">
        <v>1320</v>
      </c>
      <c r="Q3498" t="s">
        <v>19</v>
      </c>
      <c r="R3498" t="str">
        <f>HYPERLINK("https://cfpub.epa.gov/ecotox/explore.cfm?ncbi=269649","Explore in ECOTOX")</f>
        <v>Explore in ECOTOX</v>
      </c>
    </row>
    <row r="3499" spans="1:18" x14ac:dyDescent="0.45">
      <c r="A3499" t="s">
        <v>1265</v>
      </c>
      <c r="B3499">
        <v>8</v>
      </c>
      <c r="C3499" t="str">
        <f>HYPERLINK("http://www.ncbi.nlm.nih.gov/protein/XP_039923328.1","XP_039923328.1")</f>
        <v>XP_039923328.1</v>
      </c>
      <c r="D3499">
        <v>51036</v>
      </c>
      <c r="E3499" t="str">
        <f>HYPERLINK("http://www.ncbi.nlm.nih.gov/Taxonomy/Browser/wwwtax.cgi?mode=Info&amp;id=43150&amp;lvl=3&amp;lin=f&amp;keep=1&amp;srchmode=1&amp;unlock","43150")</f>
        <v>43150</v>
      </c>
      <c r="F3499" t="s">
        <v>241</v>
      </c>
      <c r="G3499" t="str">
        <f>HYPERLINK("http://www.ncbi.nlm.nih.gov/Taxonomy/Browser/wwwtax.cgi?mode=Info&amp;id=43150&amp;lvl=3&amp;lin=f&amp;keep=1&amp;srchmode=1&amp;unlock","Hirundo rustica")</f>
        <v>Hirundo rustica</v>
      </c>
      <c r="H3499" t="s">
        <v>549</v>
      </c>
      <c r="I3499" t="str">
        <f>HYPERLINK("http://www.ncbi.nlm.nih.gov/protein/XP_039923328.1","ryanodine receptor 3 isoform X8")</f>
        <v>ryanodine receptor 3 isoform X8</v>
      </c>
      <c r="J3499">
        <v>7746.35</v>
      </c>
      <c r="K3499" t="s">
        <v>22</v>
      </c>
      <c r="L3499">
        <v>76</v>
      </c>
      <c r="M3499">
        <v>12.58</v>
      </c>
      <c r="N3499">
        <v>76.239999999999995</v>
      </c>
      <c r="O3499" t="s">
        <v>19</v>
      </c>
      <c r="P3499" t="s">
        <v>1320</v>
      </c>
      <c r="Q3499" t="s">
        <v>19</v>
      </c>
      <c r="R3499" t="str">
        <f>HYPERLINK("https://cfpub.epa.gov/ecotox/explore.cfm?ncbi=43150","Explore in ECOTOX")</f>
        <v>Explore in ECOTOX</v>
      </c>
    </row>
    <row r="3500" spans="1:18" x14ac:dyDescent="0.45">
      <c r="A3500" t="s">
        <v>1265</v>
      </c>
      <c r="B3500">
        <v>8</v>
      </c>
      <c r="C3500" t="str">
        <f>HYPERLINK("http://www.ncbi.nlm.nih.gov/protein/XP_032337457.1","XP_032337457.1")</f>
        <v>XP_032337457.1</v>
      </c>
      <c r="D3500">
        <v>74725</v>
      </c>
      <c r="E3500" t="str">
        <f>HYPERLINK("http://www.ncbi.nlm.nih.gov/Taxonomy/Browser/wwwtax.cgi?mode=Info&amp;id=419612&amp;lvl=3&amp;lin=f&amp;keep=1&amp;srchmode=1&amp;unlock","419612")</f>
        <v>419612</v>
      </c>
      <c r="F3500" t="s">
        <v>96</v>
      </c>
      <c r="G3500" t="str">
        <f>HYPERLINK("http://www.ncbi.nlm.nih.gov/Taxonomy/Browser/wwwtax.cgi?mode=Info&amp;id=419612&amp;lvl=3&amp;lin=f&amp;keep=1&amp;srchmode=1&amp;unlock","Camelus ferus")</f>
        <v>Camelus ferus</v>
      </c>
      <c r="H3500" t="s">
        <v>351</v>
      </c>
      <c r="I3500" t="str">
        <f>HYPERLINK("http://www.ncbi.nlm.nih.gov/protein/XP_032337457.1","ryanodine receptor 3 isoform X1")</f>
        <v>ryanodine receptor 3 isoform X1</v>
      </c>
      <c r="J3500">
        <v>7745.96</v>
      </c>
      <c r="K3500" t="s">
        <v>22</v>
      </c>
      <c r="L3500">
        <v>76</v>
      </c>
      <c r="M3500">
        <v>12.58</v>
      </c>
      <c r="N3500">
        <v>76.23</v>
      </c>
      <c r="O3500" t="s">
        <v>19</v>
      </c>
      <c r="P3500" t="s">
        <v>1320</v>
      </c>
      <c r="Q3500" t="s">
        <v>19</v>
      </c>
      <c r="R3500" t="str">
        <f>HYPERLINK("https://cfpub.epa.gov/ecotox/explore.cfm?ncbi=419612","Explore in ECOTOX")</f>
        <v>Explore in ECOTOX</v>
      </c>
    </row>
    <row r="3501" spans="1:18" x14ac:dyDescent="0.45">
      <c r="A3501" t="s">
        <v>1265</v>
      </c>
      <c r="B3501">
        <v>8</v>
      </c>
      <c r="C3501" t="str">
        <f>HYPERLINK("http://www.ncbi.nlm.nih.gov/protein/XP_014952400.2","XP_014952400.2")</f>
        <v>XP_014952400.2</v>
      </c>
      <c r="D3501">
        <v>120322</v>
      </c>
      <c r="E3501" t="str">
        <f>HYPERLINK("http://www.ncbi.nlm.nih.gov/Taxonomy/Browser/wwwtax.cgi?mode=Info&amp;id=9940&amp;lvl=3&amp;lin=f&amp;keep=1&amp;srchmode=1&amp;unlock","9940")</f>
        <v>9940</v>
      </c>
      <c r="F3501" t="s">
        <v>96</v>
      </c>
      <c r="G3501" t="str">
        <f>HYPERLINK("http://www.ncbi.nlm.nih.gov/Taxonomy/Browser/wwwtax.cgi?mode=Info&amp;id=9940&amp;lvl=3&amp;lin=f&amp;keep=1&amp;srchmode=1&amp;unlock","Ovis aries")</f>
        <v>Ovis aries</v>
      </c>
      <c r="H3501" t="s">
        <v>371</v>
      </c>
      <c r="I3501" t="str">
        <f>HYPERLINK("http://www.ncbi.nlm.nih.gov/protein/XP_014952400.2","ryanodine receptor 3")</f>
        <v>ryanodine receptor 3</v>
      </c>
      <c r="J3501">
        <v>7745.96</v>
      </c>
      <c r="K3501" t="s">
        <v>22</v>
      </c>
      <c r="L3501">
        <v>76</v>
      </c>
      <c r="M3501">
        <v>12.58</v>
      </c>
      <c r="N3501">
        <v>76.23</v>
      </c>
      <c r="O3501" t="s">
        <v>19</v>
      </c>
      <c r="P3501" t="s">
        <v>1320</v>
      </c>
      <c r="Q3501" t="s">
        <v>19</v>
      </c>
      <c r="R3501" t="str">
        <f>HYPERLINK("https://cfpub.epa.gov/ecotox/explore.cfm?ncbi=9940","Explore in ECOTOX")</f>
        <v>Explore in ECOTOX</v>
      </c>
    </row>
    <row r="3502" spans="1:18" x14ac:dyDescent="0.45">
      <c r="A3502" t="s">
        <v>1265</v>
      </c>
      <c r="B3502">
        <v>8</v>
      </c>
      <c r="C3502" t="str">
        <f>HYPERLINK("http://www.ncbi.nlm.nih.gov/protein/XP_044915523.1","XP_044915523.1")</f>
        <v>XP_044915523.1</v>
      </c>
      <c r="D3502">
        <v>74655</v>
      </c>
      <c r="E3502" t="str">
        <f>HYPERLINK("http://www.ncbi.nlm.nih.gov/Taxonomy/Browser/wwwtax.cgi?mode=Info&amp;id=9685&amp;lvl=3&amp;lin=f&amp;keep=1&amp;srchmode=1&amp;unlock","9685")</f>
        <v>9685</v>
      </c>
      <c r="F3502" t="s">
        <v>96</v>
      </c>
      <c r="G3502" t="str">
        <f>HYPERLINK("http://www.ncbi.nlm.nih.gov/Taxonomy/Browser/wwwtax.cgi?mode=Info&amp;id=9685&amp;lvl=3&amp;lin=f&amp;keep=1&amp;srchmode=1&amp;unlock","Felis catus")</f>
        <v>Felis catus</v>
      </c>
      <c r="H3502" t="s">
        <v>288</v>
      </c>
      <c r="I3502" t="str">
        <f>HYPERLINK("http://www.ncbi.nlm.nih.gov/protein/XP_044915523.1","ryanodine receptor 3")</f>
        <v>ryanodine receptor 3</v>
      </c>
      <c r="J3502">
        <v>7745.19</v>
      </c>
      <c r="K3502" t="s">
        <v>22</v>
      </c>
      <c r="L3502">
        <v>76</v>
      </c>
      <c r="M3502">
        <v>12.58</v>
      </c>
      <c r="N3502">
        <v>76.23</v>
      </c>
      <c r="O3502" t="s">
        <v>19</v>
      </c>
      <c r="P3502" t="s">
        <v>1320</v>
      </c>
      <c r="Q3502" t="s">
        <v>19</v>
      </c>
      <c r="R3502" t="str">
        <f>HYPERLINK("https://cfpub.epa.gov/ecotox/explore.cfm?ncbi=9685","Explore in ECOTOX")</f>
        <v>Explore in ECOTOX</v>
      </c>
    </row>
    <row r="3503" spans="1:18" x14ac:dyDescent="0.45">
      <c r="A3503" t="s">
        <v>1265</v>
      </c>
      <c r="B3503">
        <v>8</v>
      </c>
      <c r="C3503" t="str">
        <f>HYPERLINK("http://www.ncbi.nlm.nih.gov/protein/XP_058149837.1","XP_058149837.1")</f>
        <v>XP_058149837.1</v>
      </c>
      <c r="D3503">
        <v>55881</v>
      </c>
      <c r="E3503" t="str">
        <f>HYPERLINK("http://www.ncbi.nlm.nih.gov/Taxonomy/Browser/wwwtax.cgi?mode=Info&amp;id=9361&amp;lvl=3&amp;lin=f&amp;keep=1&amp;srchmode=1&amp;unlock","9361")</f>
        <v>9361</v>
      </c>
      <c r="F3503" t="s">
        <v>96</v>
      </c>
      <c r="G3503" t="str">
        <f>HYPERLINK("http://www.ncbi.nlm.nih.gov/Taxonomy/Browser/wwwtax.cgi?mode=Info&amp;id=9361&amp;lvl=3&amp;lin=f&amp;keep=1&amp;srchmode=1&amp;unlock","Dasypus novemcinctus")</f>
        <v>Dasypus novemcinctus</v>
      </c>
      <c r="H3503" t="s">
        <v>545</v>
      </c>
      <c r="I3503" t="str">
        <f>HYPERLINK("http://www.ncbi.nlm.nih.gov/protein/XP_058149837.1","ryanodine receptor 3 isoform X2")</f>
        <v>ryanodine receptor 3 isoform X2</v>
      </c>
      <c r="J3503">
        <v>7744.81</v>
      </c>
      <c r="K3503" t="s">
        <v>22</v>
      </c>
      <c r="L3503">
        <v>76</v>
      </c>
      <c r="M3503">
        <v>12.58</v>
      </c>
      <c r="N3503">
        <v>76.22</v>
      </c>
      <c r="O3503" t="s">
        <v>19</v>
      </c>
      <c r="P3503" t="s">
        <v>1320</v>
      </c>
      <c r="Q3503" t="s">
        <v>19</v>
      </c>
      <c r="R3503" t="str">
        <f>HYPERLINK("https://cfpub.epa.gov/ecotox/explore.cfm?ncbi=9361","Explore in ECOTOX")</f>
        <v>Explore in ECOTOX</v>
      </c>
    </row>
    <row r="3504" spans="1:18" x14ac:dyDescent="0.45">
      <c r="A3504" t="s">
        <v>1265</v>
      </c>
      <c r="B3504">
        <v>8</v>
      </c>
      <c r="C3504" t="str">
        <f>HYPERLINK("http://www.ncbi.nlm.nih.gov/protein/XP_042131829.1","XP_042131829.1")</f>
        <v>XP_042131829.1</v>
      </c>
      <c r="D3504">
        <v>54287</v>
      </c>
      <c r="E3504" t="str">
        <f>HYPERLINK("http://www.ncbi.nlm.nih.gov/Taxonomy/Browser/wwwtax.cgi?mode=Info&amp;id=230844&amp;lvl=3&amp;lin=f&amp;keep=1&amp;srchmode=1&amp;unlock","230844")</f>
        <v>230844</v>
      </c>
      <c r="F3504" t="s">
        <v>96</v>
      </c>
      <c r="G3504" t="str">
        <f>HYPERLINK("http://www.ncbi.nlm.nih.gov/Taxonomy/Browser/wwwtax.cgi?mode=Info&amp;id=230844&amp;lvl=3&amp;lin=f&amp;keep=1&amp;srchmode=1&amp;unlock","Peromyscus maniculatus bairdii")</f>
        <v>Peromyscus maniculatus bairdii</v>
      </c>
      <c r="H3504" t="s">
        <v>253</v>
      </c>
      <c r="I3504" t="str">
        <f>HYPERLINK("http://www.ncbi.nlm.nih.gov/protein/XP_042131829.1","ryanodine receptor 3")</f>
        <v>ryanodine receptor 3</v>
      </c>
      <c r="J3504">
        <v>7744.42</v>
      </c>
      <c r="K3504" t="s">
        <v>22</v>
      </c>
      <c r="L3504">
        <v>76</v>
      </c>
      <c r="M3504">
        <v>12.58</v>
      </c>
      <c r="N3504">
        <v>76.22</v>
      </c>
      <c r="O3504" t="s">
        <v>19</v>
      </c>
      <c r="P3504" t="s">
        <v>1320</v>
      </c>
      <c r="Q3504" t="s">
        <v>19</v>
      </c>
      <c r="R3504" t="str">
        <f>HYPERLINK("https://cfpub.epa.gov/ecotox/explore.cfm?ncbi=230844","Explore in ECOTOX")</f>
        <v>Explore in ECOTOX</v>
      </c>
    </row>
    <row r="3505" spans="1:18" x14ac:dyDescent="0.45">
      <c r="A3505" t="s">
        <v>1265</v>
      </c>
      <c r="B3505">
        <v>8</v>
      </c>
      <c r="C3505" t="str">
        <f>HYPERLINK("http://www.ncbi.nlm.nih.gov/protein/XP_052503030.1","XP_052503030.1")</f>
        <v>XP_052503030.1</v>
      </c>
      <c r="D3505">
        <v>29021</v>
      </c>
      <c r="E3505" t="str">
        <f>HYPERLINK("http://www.ncbi.nlm.nih.gov/Taxonomy/Browser/wwwtax.cgi?mode=Info&amp;id=37181&amp;lvl=3&amp;lin=f&amp;keep=1&amp;srchmode=1&amp;unlock","37181")</f>
        <v>37181</v>
      </c>
      <c r="F3505" t="s">
        <v>96</v>
      </c>
      <c r="G3505" t="str">
        <f>HYPERLINK("http://www.ncbi.nlm.nih.gov/Taxonomy/Browser/wwwtax.cgi?mode=Info&amp;id=37181&amp;lvl=3&amp;lin=f&amp;keep=1&amp;srchmode=1&amp;unlock","Budorcas taxicolor")</f>
        <v>Budorcas taxicolor</v>
      </c>
      <c r="H3505" t="s">
        <v>394</v>
      </c>
      <c r="I3505" t="str">
        <f>HYPERLINK("http://www.ncbi.nlm.nih.gov/protein/XP_052503030.1","ryanodine receptor 3")</f>
        <v>ryanodine receptor 3</v>
      </c>
      <c r="J3505">
        <v>7744.42</v>
      </c>
      <c r="K3505" t="s">
        <v>22</v>
      </c>
      <c r="L3505">
        <v>76</v>
      </c>
      <c r="M3505">
        <v>12.58</v>
      </c>
      <c r="N3505">
        <v>76.22</v>
      </c>
      <c r="O3505" t="s">
        <v>19</v>
      </c>
      <c r="P3505" t="s">
        <v>1320</v>
      </c>
      <c r="Q3505" t="s">
        <v>19</v>
      </c>
      <c r="R3505" t="str">
        <f>HYPERLINK("https://cfpub.epa.gov/ecotox/explore.cfm?ncbi=37181","Explore in ECOTOX")</f>
        <v>Explore in ECOTOX</v>
      </c>
    </row>
    <row r="3506" spans="1:18" x14ac:dyDescent="0.45">
      <c r="A3506" t="s">
        <v>1265</v>
      </c>
      <c r="B3506">
        <v>8</v>
      </c>
      <c r="C3506" t="str">
        <f>HYPERLINK("http://www.ncbi.nlm.nih.gov/protein/XP_025329120.3","XP_025329120.3")</f>
        <v>XP_025329120.3</v>
      </c>
      <c r="D3506">
        <v>74773</v>
      </c>
      <c r="E3506" t="str">
        <f>HYPERLINK("http://www.ncbi.nlm.nih.gov/Taxonomy/Browser/wwwtax.cgi?mode=Info&amp;id=286419&amp;lvl=3&amp;lin=f&amp;keep=1&amp;srchmode=1&amp;unlock","286419")</f>
        <v>286419</v>
      </c>
      <c r="F3506" t="s">
        <v>96</v>
      </c>
      <c r="G3506" t="str">
        <f>HYPERLINK("http://www.ncbi.nlm.nih.gov/Taxonomy/Browser/wwwtax.cgi?mode=Info&amp;id=286419&amp;lvl=3&amp;lin=f&amp;keep=1&amp;srchmode=1&amp;unlock","Canis lupus dingo")</f>
        <v>Canis lupus dingo</v>
      </c>
      <c r="H3506" t="s">
        <v>259</v>
      </c>
      <c r="I3506" t="str">
        <f>HYPERLINK("http://www.ncbi.nlm.nih.gov/protein/XP_025329120.3","ryanodine receptor 3 isoform X1")</f>
        <v>ryanodine receptor 3 isoform X1</v>
      </c>
      <c r="J3506">
        <v>7744.04</v>
      </c>
      <c r="K3506" t="s">
        <v>22</v>
      </c>
      <c r="L3506">
        <v>76</v>
      </c>
      <c r="M3506">
        <v>12.58</v>
      </c>
      <c r="N3506">
        <v>76.209999999999994</v>
      </c>
      <c r="O3506" t="s">
        <v>19</v>
      </c>
      <c r="P3506" t="s">
        <v>1320</v>
      </c>
      <c r="Q3506" t="s">
        <v>19</v>
      </c>
      <c r="R3506" t="str">
        <f>HYPERLINK("https://cfpub.epa.gov/ecotox/explore.cfm?ncbi=286419","Explore in ECOTOX")</f>
        <v>Explore in ECOTOX</v>
      </c>
    </row>
    <row r="3507" spans="1:18" x14ac:dyDescent="0.45">
      <c r="A3507" t="s">
        <v>1265</v>
      </c>
      <c r="B3507">
        <v>8</v>
      </c>
      <c r="C3507" t="str">
        <f>HYPERLINK("http://www.ncbi.nlm.nih.gov/protein/XP_041599565.1","XP_041599565.1")</f>
        <v>XP_041599565.1</v>
      </c>
      <c r="D3507">
        <v>52976</v>
      </c>
      <c r="E3507" t="str">
        <f>HYPERLINK("http://www.ncbi.nlm.nih.gov/Taxonomy/Browser/wwwtax.cgi?mode=Info&amp;id=494514&amp;lvl=3&amp;lin=f&amp;keep=1&amp;srchmode=1&amp;unlock","494514")</f>
        <v>494514</v>
      </c>
      <c r="F3507" t="s">
        <v>96</v>
      </c>
      <c r="G3507" t="str">
        <f>HYPERLINK("http://www.ncbi.nlm.nih.gov/Taxonomy/Browser/wwwtax.cgi?mode=Info&amp;id=494514&amp;lvl=3&amp;lin=f&amp;keep=1&amp;srchmode=1&amp;unlock","Vulpes lagopus")</f>
        <v>Vulpes lagopus</v>
      </c>
      <c r="H3507" t="s">
        <v>244</v>
      </c>
      <c r="I3507" t="str">
        <f>HYPERLINK("http://www.ncbi.nlm.nih.gov/protein/XP_041599565.1","ryanodine receptor 3 isoform X4")</f>
        <v>ryanodine receptor 3 isoform X4</v>
      </c>
      <c r="J3507">
        <v>7744.04</v>
      </c>
      <c r="K3507" t="s">
        <v>22</v>
      </c>
      <c r="L3507">
        <v>76</v>
      </c>
      <c r="M3507">
        <v>12.58</v>
      </c>
      <c r="N3507">
        <v>76.209999999999994</v>
      </c>
      <c r="O3507" t="s">
        <v>19</v>
      </c>
      <c r="P3507" t="s">
        <v>1320</v>
      </c>
      <c r="Q3507" t="s">
        <v>19</v>
      </c>
      <c r="R3507" t="str">
        <f>HYPERLINK("https://cfpub.epa.gov/ecotox/explore.cfm?ncbi=494514","Explore in ECOTOX")</f>
        <v>Explore in ECOTOX</v>
      </c>
    </row>
    <row r="3508" spans="1:18" x14ac:dyDescent="0.45">
      <c r="A3508" t="s">
        <v>1265</v>
      </c>
      <c r="B3508">
        <v>8</v>
      </c>
      <c r="C3508" t="str">
        <f>HYPERLINK("http://www.ncbi.nlm.nih.gov/protein/XP_031807885.1","XP_031807885.1")</f>
        <v>XP_031807885.1</v>
      </c>
      <c r="D3508">
        <v>46296</v>
      </c>
      <c r="E3508" t="str">
        <f>HYPERLINK("http://www.ncbi.nlm.nih.gov/Taxonomy/Browser/wwwtax.cgi?mode=Info&amp;id=9305&amp;lvl=3&amp;lin=f&amp;keep=1&amp;srchmode=1&amp;unlock","9305")</f>
        <v>9305</v>
      </c>
      <c r="F3508" t="s">
        <v>96</v>
      </c>
      <c r="G3508" t="str">
        <f>HYPERLINK("http://www.ncbi.nlm.nih.gov/Taxonomy/Browser/wwwtax.cgi?mode=Info&amp;id=9305&amp;lvl=3&amp;lin=f&amp;keep=1&amp;srchmode=1&amp;unlock","Sarcophilus harrisii")</f>
        <v>Sarcophilus harrisii</v>
      </c>
      <c r="H3508" t="s">
        <v>580</v>
      </c>
      <c r="I3508" t="str">
        <f>HYPERLINK("http://www.ncbi.nlm.nih.gov/protein/XP_031807885.1","ryanodine receptor 3 isoform X2")</f>
        <v>ryanodine receptor 3 isoform X2</v>
      </c>
      <c r="J3508">
        <v>7743.65</v>
      </c>
      <c r="K3508" t="s">
        <v>22</v>
      </c>
      <c r="L3508">
        <v>76</v>
      </c>
      <c r="M3508">
        <v>12.58</v>
      </c>
      <c r="N3508">
        <v>76.209999999999994</v>
      </c>
      <c r="O3508" t="s">
        <v>19</v>
      </c>
      <c r="P3508" t="s">
        <v>1320</v>
      </c>
      <c r="Q3508" t="s">
        <v>19</v>
      </c>
      <c r="R3508" t="str">
        <f>HYPERLINK("https://cfpub.epa.gov/ecotox/explore.cfm?ncbi=9305","Explore in ECOTOX")</f>
        <v>Explore in ECOTOX</v>
      </c>
    </row>
    <row r="3509" spans="1:18" x14ac:dyDescent="0.45">
      <c r="A3509" t="s">
        <v>1265</v>
      </c>
      <c r="B3509">
        <v>8</v>
      </c>
      <c r="C3509" t="str">
        <f>HYPERLINK("http://www.ncbi.nlm.nih.gov/protein/XP_061468787.1","XP_061468787.1")</f>
        <v>XP_061468787.1</v>
      </c>
      <c r="D3509">
        <v>58517</v>
      </c>
      <c r="E3509" t="str">
        <f>HYPERLINK("http://www.ncbi.nlm.nih.gov/Taxonomy/Browser/wwwtax.cgi?mode=Info&amp;id=261503&amp;lvl=3&amp;lin=f&amp;keep=1&amp;srchmode=1&amp;unlock","261503")</f>
        <v>261503</v>
      </c>
      <c r="F3509" t="s">
        <v>192</v>
      </c>
      <c r="G3509" t="str">
        <f>HYPERLINK("http://www.ncbi.nlm.nih.gov/Taxonomy/Browser/wwwtax.cgi?mode=Info&amp;id=261503&amp;lvl=3&amp;lin=f&amp;keep=1&amp;srchmode=1&amp;unlock","Rhineura floridana")</f>
        <v>Rhineura floridana</v>
      </c>
      <c r="H3509" t="s">
        <v>233</v>
      </c>
      <c r="I3509" t="str">
        <f>HYPERLINK("http://www.ncbi.nlm.nih.gov/protein/XP_061468787.1","ryanodine receptor 3")</f>
        <v>ryanodine receptor 3</v>
      </c>
      <c r="J3509">
        <v>7743.27</v>
      </c>
      <c r="K3509" t="s">
        <v>19</v>
      </c>
      <c r="L3509">
        <v>76</v>
      </c>
      <c r="M3509">
        <v>12.58</v>
      </c>
      <c r="N3509">
        <v>76.209999999999994</v>
      </c>
      <c r="O3509" t="s">
        <v>19</v>
      </c>
      <c r="P3509" t="s">
        <v>1320</v>
      </c>
      <c r="Q3509" t="s">
        <v>19</v>
      </c>
      <c r="R3509" t="str">
        <f>HYPERLINK("https://cfpub.epa.gov/ecotox/explore.cfm?ncbi=261503","Explore in ECOTOX")</f>
        <v>Explore in ECOTOX</v>
      </c>
    </row>
    <row r="3510" spans="1:18" x14ac:dyDescent="0.45">
      <c r="A3510" t="s">
        <v>1265</v>
      </c>
      <c r="B3510">
        <v>8</v>
      </c>
      <c r="C3510" t="str">
        <f>HYPERLINK("http://www.ncbi.nlm.nih.gov/protein/XP_015328590.2","XP_015328590.2")</f>
        <v>XP_015328590.2</v>
      </c>
      <c r="D3510">
        <v>140462</v>
      </c>
      <c r="E3510" t="str">
        <f>HYPERLINK("http://www.ncbi.nlm.nih.gov/Taxonomy/Browser/wwwtax.cgi?mode=Info&amp;id=9913&amp;lvl=3&amp;lin=f&amp;keep=1&amp;srchmode=1&amp;unlock","9913")</f>
        <v>9913</v>
      </c>
      <c r="F3510" t="s">
        <v>96</v>
      </c>
      <c r="G3510" t="str">
        <f>HYPERLINK("http://www.ncbi.nlm.nih.gov/Taxonomy/Browser/wwwtax.cgi?mode=Info&amp;id=9913&amp;lvl=3&amp;lin=f&amp;keep=1&amp;srchmode=1&amp;unlock","Bos taurus")</f>
        <v>Bos taurus</v>
      </c>
      <c r="H3510" t="s">
        <v>464</v>
      </c>
      <c r="I3510" t="str">
        <f>HYPERLINK("http://www.ncbi.nlm.nih.gov/protein/XP_015328590.2","ryanodine receptor 3")</f>
        <v>ryanodine receptor 3</v>
      </c>
      <c r="J3510">
        <v>7743.27</v>
      </c>
      <c r="K3510" t="s">
        <v>22</v>
      </c>
      <c r="L3510">
        <v>76</v>
      </c>
      <c r="M3510">
        <v>12.58</v>
      </c>
      <c r="N3510">
        <v>76.209999999999994</v>
      </c>
      <c r="O3510" t="s">
        <v>19</v>
      </c>
      <c r="P3510" t="s">
        <v>1320</v>
      </c>
      <c r="Q3510" t="s">
        <v>19</v>
      </c>
      <c r="R3510" t="str">
        <f>HYPERLINK("https://cfpub.epa.gov/ecotox/explore.cfm?ncbi=9913","Explore in ECOTOX")</f>
        <v>Explore in ECOTOX</v>
      </c>
    </row>
    <row r="3511" spans="1:18" x14ac:dyDescent="0.45">
      <c r="A3511" t="s">
        <v>1265</v>
      </c>
      <c r="B3511">
        <v>8</v>
      </c>
      <c r="C3511" t="str">
        <f>HYPERLINK("http://www.ncbi.nlm.nih.gov/protein/XP_043775248.1","XP_043775248.1")</f>
        <v>XP_043775248.1</v>
      </c>
      <c r="D3511">
        <v>58386</v>
      </c>
      <c r="E3511" t="str">
        <f>HYPERLINK("http://www.ncbi.nlm.nih.gov/Taxonomy/Browser/wwwtax.cgi?mode=Info&amp;id=9860&amp;lvl=3&amp;lin=f&amp;keep=1&amp;srchmode=1&amp;unlock","9860")</f>
        <v>9860</v>
      </c>
      <c r="F3511" t="s">
        <v>96</v>
      </c>
      <c r="G3511" t="str">
        <f>HYPERLINK("http://www.ncbi.nlm.nih.gov/Taxonomy/Browser/wwwtax.cgi?mode=Info&amp;id=9860&amp;lvl=3&amp;lin=f&amp;keep=1&amp;srchmode=1&amp;unlock","Cervus elaphus")</f>
        <v>Cervus elaphus</v>
      </c>
      <c r="H3511" t="s">
        <v>576</v>
      </c>
      <c r="I3511" t="str">
        <f>HYPERLINK("http://www.ncbi.nlm.nih.gov/protein/XP_043775248.1","ryanodine receptor 3 isoform X12")</f>
        <v>ryanodine receptor 3 isoform X12</v>
      </c>
      <c r="J3511">
        <v>7743.27</v>
      </c>
      <c r="K3511" t="s">
        <v>22</v>
      </c>
      <c r="L3511">
        <v>76</v>
      </c>
      <c r="M3511">
        <v>12.58</v>
      </c>
      <c r="N3511">
        <v>76.209999999999994</v>
      </c>
      <c r="O3511" t="s">
        <v>19</v>
      </c>
      <c r="P3511" t="s">
        <v>1320</v>
      </c>
      <c r="Q3511" t="s">
        <v>19</v>
      </c>
      <c r="R3511" t="str">
        <f>HYPERLINK("https://cfpub.epa.gov/ecotox/explore.cfm?ncbi=9860","Explore in ECOTOX")</f>
        <v>Explore in ECOTOX</v>
      </c>
    </row>
    <row r="3512" spans="1:18" x14ac:dyDescent="0.45">
      <c r="A3512" t="s">
        <v>1265</v>
      </c>
      <c r="B3512">
        <v>8</v>
      </c>
      <c r="C3512" t="str">
        <f>HYPERLINK("http://www.ncbi.nlm.nih.gov/protein/XP_052037634.1","XP_052037634.1")</f>
        <v>XP_052037634.1</v>
      </c>
      <c r="D3512">
        <v>46958</v>
      </c>
      <c r="E3512" t="str">
        <f>HYPERLINK("http://www.ncbi.nlm.nih.gov/Taxonomy/Browser/wwwtax.cgi?mode=Info&amp;id=10129&amp;lvl=3&amp;lin=f&amp;keep=1&amp;srchmode=1&amp;unlock","10129")</f>
        <v>10129</v>
      </c>
      <c r="F3512" t="s">
        <v>96</v>
      </c>
      <c r="G3512" t="str">
        <f>HYPERLINK("http://www.ncbi.nlm.nih.gov/Taxonomy/Browser/wwwtax.cgi?mode=Info&amp;id=10129&amp;lvl=3&amp;lin=f&amp;keep=1&amp;srchmode=1&amp;unlock","Apodemus sylvaticus")</f>
        <v>Apodemus sylvaticus</v>
      </c>
      <c r="H3512" t="s">
        <v>380</v>
      </c>
      <c r="I3512" t="str">
        <f>HYPERLINK("http://www.ncbi.nlm.nih.gov/protein/XP_052037634.1","LOW QUALITY PROTEIN: ryanodine receptor 3")</f>
        <v>LOW QUALITY PROTEIN: ryanodine receptor 3</v>
      </c>
      <c r="J3512">
        <v>7742.88</v>
      </c>
      <c r="K3512" t="s">
        <v>22</v>
      </c>
      <c r="L3512">
        <v>76</v>
      </c>
      <c r="M3512">
        <v>12.58</v>
      </c>
      <c r="N3512">
        <v>76.2</v>
      </c>
      <c r="O3512" t="s">
        <v>19</v>
      </c>
      <c r="P3512" t="s">
        <v>1320</v>
      </c>
      <c r="Q3512" t="s">
        <v>19</v>
      </c>
      <c r="R3512" t="str">
        <f>HYPERLINK("https://cfpub.epa.gov/ecotox/explore.cfm?ncbi=10129","Explore in ECOTOX")</f>
        <v>Explore in ECOTOX</v>
      </c>
    </row>
    <row r="3513" spans="1:18" x14ac:dyDescent="0.45">
      <c r="A3513" t="s">
        <v>1265</v>
      </c>
      <c r="B3513">
        <v>8</v>
      </c>
      <c r="C3513" t="str">
        <f>HYPERLINK("http://www.ncbi.nlm.nih.gov/protein/XP_043327318.1","XP_043327318.1")</f>
        <v>XP_043327318.1</v>
      </c>
      <c r="D3513">
        <v>56212</v>
      </c>
      <c r="E3513" t="str">
        <f>HYPERLINK("http://www.ncbi.nlm.nih.gov/Taxonomy/Browser/wwwtax.cgi?mode=Info&amp;id=1574408&amp;lvl=3&amp;lin=f&amp;keep=1&amp;srchmode=1&amp;unlock","1574408")</f>
        <v>1574408</v>
      </c>
      <c r="F3513" t="s">
        <v>96</v>
      </c>
      <c r="G3513" t="str">
        <f>HYPERLINK("http://www.ncbi.nlm.nih.gov/Taxonomy/Browser/wwwtax.cgi?mode=Info&amp;id=1574408&amp;lvl=3&amp;lin=f&amp;keep=1&amp;srchmode=1&amp;unlock","Cervus canadensis")</f>
        <v>Cervus canadensis</v>
      </c>
      <c r="H3513" t="s">
        <v>614</v>
      </c>
      <c r="I3513" t="str">
        <f>HYPERLINK("http://www.ncbi.nlm.nih.gov/protein/XP_043327318.1","ryanodine receptor 3 isoform X7")</f>
        <v>ryanodine receptor 3 isoform X7</v>
      </c>
      <c r="J3513">
        <v>7742.11</v>
      </c>
      <c r="K3513" t="s">
        <v>22</v>
      </c>
      <c r="L3513">
        <v>76</v>
      </c>
      <c r="M3513">
        <v>12.58</v>
      </c>
      <c r="N3513">
        <v>76.2</v>
      </c>
      <c r="O3513" t="s">
        <v>19</v>
      </c>
      <c r="P3513" t="s">
        <v>1320</v>
      </c>
      <c r="Q3513" t="s">
        <v>19</v>
      </c>
      <c r="R3513" t="str">
        <f>HYPERLINK("https://cfpub.epa.gov/ecotox/explore.cfm?ncbi=1574408","Explore in ECOTOX")</f>
        <v>Explore in ECOTOX</v>
      </c>
    </row>
    <row r="3514" spans="1:18" x14ac:dyDescent="0.45">
      <c r="A3514" t="s">
        <v>1265</v>
      </c>
      <c r="B3514">
        <v>8</v>
      </c>
      <c r="C3514" t="str">
        <f>HYPERLINK("http://www.ncbi.nlm.nih.gov/protein/XP_027735120.1","XP_027735120.1")</f>
        <v>XP_027735120.1</v>
      </c>
      <c r="D3514">
        <v>34052</v>
      </c>
      <c r="E3514" t="str">
        <f>HYPERLINK("http://www.ncbi.nlm.nih.gov/Taxonomy/Browser/wwwtax.cgi?mode=Info&amp;id=164674&amp;lvl=3&amp;lin=f&amp;keep=1&amp;srchmode=1&amp;unlock","164674")</f>
        <v>164674</v>
      </c>
      <c r="F3514" t="s">
        <v>241</v>
      </c>
      <c r="G3514" t="str">
        <f>HYPERLINK("http://www.ncbi.nlm.nih.gov/Taxonomy/Browser/wwwtax.cgi?mode=Info&amp;id=164674&amp;lvl=3&amp;lin=f&amp;keep=1&amp;srchmode=1&amp;unlock","Empidonax traillii")</f>
        <v>Empidonax traillii</v>
      </c>
      <c r="H3514" t="s">
        <v>695</v>
      </c>
      <c r="I3514" t="str">
        <f>HYPERLINK("http://www.ncbi.nlm.nih.gov/protein/XP_027735120.1","ryanodine receptor 3")</f>
        <v>ryanodine receptor 3</v>
      </c>
      <c r="J3514">
        <v>7741.73</v>
      </c>
      <c r="K3514" t="s">
        <v>22</v>
      </c>
      <c r="L3514">
        <v>76</v>
      </c>
      <c r="M3514">
        <v>12.58</v>
      </c>
      <c r="N3514">
        <v>76.19</v>
      </c>
      <c r="O3514" t="s">
        <v>19</v>
      </c>
      <c r="P3514" t="s">
        <v>1320</v>
      </c>
      <c r="Q3514" t="s">
        <v>19</v>
      </c>
      <c r="R3514" t="str">
        <f>HYPERLINK("https://cfpub.epa.gov/ecotox/explore.cfm?ncbi=164674","Explore in ECOTOX")</f>
        <v>Explore in ECOTOX</v>
      </c>
    </row>
    <row r="3515" spans="1:18" x14ac:dyDescent="0.45">
      <c r="A3515" t="s">
        <v>1265</v>
      </c>
      <c r="B3515">
        <v>8</v>
      </c>
      <c r="C3515" t="str">
        <f>HYPERLINK("http://www.ncbi.nlm.nih.gov/protein/XP_040601940.1","XP_040601940.1")</f>
        <v>XP_040601940.1</v>
      </c>
      <c r="D3515">
        <v>54468</v>
      </c>
      <c r="E3515" t="str">
        <f>HYPERLINK("http://www.ncbi.nlm.nih.gov/Taxonomy/Browser/wwwtax.cgi?mode=Info&amp;id=10036&amp;lvl=3&amp;lin=f&amp;keep=1&amp;srchmode=1&amp;unlock","10036")</f>
        <v>10036</v>
      </c>
      <c r="F3515" t="s">
        <v>96</v>
      </c>
      <c r="G3515" t="str">
        <f>HYPERLINK("http://www.ncbi.nlm.nih.gov/Taxonomy/Browser/wwwtax.cgi?mode=Info&amp;id=10036&amp;lvl=3&amp;lin=f&amp;keep=1&amp;srchmode=1&amp;unlock","Mesocricetus auratus")</f>
        <v>Mesocricetus auratus</v>
      </c>
      <c r="H3515" t="s">
        <v>285</v>
      </c>
      <c r="I3515" t="str">
        <f>HYPERLINK("http://www.ncbi.nlm.nih.gov/protein/XP_040601940.1","ryanodine receptor 3 isoform X1")</f>
        <v>ryanodine receptor 3 isoform X1</v>
      </c>
      <c r="J3515">
        <v>7741.73</v>
      </c>
      <c r="K3515" t="s">
        <v>22</v>
      </c>
      <c r="L3515">
        <v>76</v>
      </c>
      <c r="M3515">
        <v>12.58</v>
      </c>
      <c r="N3515">
        <v>76.19</v>
      </c>
      <c r="O3515" t="s">
        <v>19</v>
      </c>
      <c r="P3515" t="s">
        <v>1320</v>
      </c>
      <c r="Q3515" t="s">
        <v>19</v>
      </c>
      <c r="R3515" t="str">
        <f>HYPERLINK("https://cfpub.epa.gov/ecotox/explore.cfm?ncbi=10036","Explore in ECOTOX")</f>
        <v>Explore in ECOTOX</v>
      </c>
    </row>
    <row r="3516" spans="1:18" x14ac:dyDescent="0.45">
      <c r="A3516" t="s">
        <v>1265</v>
      </c>
      <c r="B3516">
        <v>8</v>
      </c>
      <c r="C3516" t="str">
        <f>HYPERLINK("http://www.ncbi.nlm.nih.gov/protein/XP_051039744.1","XP_051039744.1")</f>
        <v>XP_051039744.1</v>
      </c>
      <c r="D3516">
        <v>56582</v>
      </c>
      <c r="E3516" t="str">
        <f>HYPERLINK("http://www.ncbi.nlm.nih.gov/Taxonomy/Browser/wwwtax.cgi?mode=Info&amp;id=109678&amp;lvl=3&amp;lin=f&amp;keep=1&amp;srchmode=1&amp;unlock","109678")</f>
        <v>109678</v>
      </c>
      <c r="F3516" t="s">
        <v>96</v>
      </c>
      <c r="G3516" t="str">
        <f>HYPERLINK("http://www.ncbi.nlm.nih.gov/Taxonomy/Browser/wwwtax.cgi?mode=Info&amp;id=109678&amp;lvl=3&amp;lin=f&amp;keep=1&amp;srchmode=1&amp;unlock","Phodopus roborovskii")</f>
        <v>Phodopus roborovskii</v>
      </c>
      <c r="H3516" t="s">
        <v>320</v>
      </c>
      <c r="I3516" t="str">
        <f>HYPERLINK("http://www.ncbi.nlm.nih.gov/protein/XP_051039744.1","ryanodine receptor 3")</f>
        <v>ryanodine receptor 3</v>
      </c>
      <c r="J3516">
        <v>7741.34</v>
      </c>
      <c r="K3516" t="s">
        <v>22</v>
      </c>
      <c r="L3516">
        <v>76</v>
      </c>
      <c r="M3516">
        <v>12.58</v>
      </c>
      <c r="N3516">
        <v>76.19</v>
      </c>
      <c r="O3516" t="s">
        <v>19</v>
      </c>
      <c r="P3516" t="s">
        <v>1320</v>
      </c>
      <c r="Q3516" t="s">
        <v>19</v>
      </c>
      <c r="R3516" t="str">
        <f>HYPERLINK("https://cfpub.epa.gov/ecotox/explore.cfm?ncbi=109678","Explore in ECOTOX")</f>
        <v>Explore in ECOTOX</v>
      </c>
    </row>
    <row r="3517" spans="1:18" x14ac:dyDescent="0.45">
      <c r="A3517" t="s">
        <v>1265</v>
      </c>
      <c r="B3517">
        <v>8</v>
      </c>
      <c r="C3517" t="str">
        <f>HYPERLINK("http://www.ncbi.nlm.nih.gov/protein/XP_061286650.1","XP_061286650.1")</f>
        <v>XP_061286650.1</v>
      </c>
      <c r="D3517">
        <v>60537</v>
      </c>
      <c r="E3517" t="str">
        <f>HYPERLINK("http://www.ncbi.nlm.nih.gov/Taxonomy/Browser/wwwtax.cgi?mode=Info&amp;id=9906&amp;lvl=3&amp;lin=f&amp;keep=1&amp;srchmode=1&amp;unlock","9906")</f>
        <v>9906</v>
      </c>
      <c r="F3517" t="s">
        <v>96</v>
      </c>
      <c r="G3517" t="str">
        <f>HYPERLINK("http://www.ncbi.nlm.nih.gov/Taxonomy/Browser/wwwtax.cgi?mode=Info&amp;id=9906&amp;lvl=3&amp;lin=f&amp;keep=1&amp;srchmode=1&amp;unlock","Bos javanicus")</f>
        <v>Bos javanicus</v>
      </c>
      <c r="H3517" t="s">
        <v>467</v>
      </c>
      <c r="I3517" t="str">
        <f>HYPERLINK("http://www.ncbi.nlm.nih.gov/protein/XP_061286650.1","ryanodine receptor 3")</f>
        <v>ryanodine receptor 3</v>
      </c>
      <c r="J3517">
        <v>7740.96</v>
      </c>
      <c r="K3517" t="s">
        <v>22</v>
      </c>
      <c r="L3517">
        <v>76</v>
      </c>
      <c r="M3517">
        <v>12.58</v>
      </c>
      <c r="N3517">
        <v>76.180000000000007</v>
      </c>
      <c r="O3517" t="s">
        <v>19</v>
      </c>
      <c r="P3517" t="s">
        <v>1320</v>
      </c>
      <c r="Q3517" t="s">
        <v>19</v>
      </c>
      <c r="R3517" t="str">
        <f>HYPERLINK("https://cfpub.epa.gov/ecotox/explore.cfm?ncbi=9906","Explore in ECOTOX")</f>
        <v>Explore in ECOTOX</v>
      </c>
    </row>
    <row r="3518" spans="1:18" x14ac:dyDescent="0.45">
      <c r="A3518" t="s">
        <v>1265</v>
      </c>
      <c r="B3518">
        <v>8</v>
      </c>
      <c r="C3518" t="str">
        <f>HYPERLINK("http://www.ncbi.nlm.nih.gov/protein/XP_040476360.1","XP_040476360.1")</f>
        <v>XP_040476360.1</v>
      </c>
      <c r="D3518">
        <v>41722</v>
      </c>
      <c r="E3518" t="str">
        <f>HYPERLINK("http://www.ncbi.nlm.nih.gov/Taxonomy/Browser/wwwtax.cgi?mode=Info&amp;id=29073&amp;lvl=3&amp;lin=f&amp;keep=1&amp;srchmode=1&amp;unlock","29073")</f>
        <v>29073</v>
      </c>
      <c r="F3518" t="s">
        <v>96</v>
      </c>
      <c r="G3518" t="str">
        <f>HYPERLINK("http://www.ncbi.nlm.nih.gov/Taxonomy/Browser/wwwtax.cgi?mode=Info&amp;id=29073&amp;lvl=3&amp;lin=f&amp;keep=1&amp;srchmode=1&amp;unlock","Ursus maritimus")</f>
        <v>Ursus maritimus</v>
      </c>
      <c r="H3518" t="s">
        <v>352</v>
      </c>
      <c r="I3518" t="str">
        <f>HYPERLINK("http://www.ncbi.nlm.nih.gov/protein/XP_040476360.1","LOW QUALITY PROTEIN: ryanodine receptor 3")</f>
        <v>LOW QUALITY PROTEIN: ryanodine receptor 3</v>
      </c>
      <c r="J3518">
        <v>7740.19</v>
      </c>
      <c r="K3518" t="s">
        <v>22</v>
      </c>
      <c r="L3518">
        <v>76</v>
      </c>
      <c r="M3518">
        <v>12.58</v>
      </c>
      <c r="N3518">
        <v>76.180000000000007</v>
      </c>
      <c r="O3518" t="s">
        <v>19</v>
      </c>
      <c r="P3518" t="s">
        <v>1320</v>
      </c>
      <c r="Q3518" t="s">
        <v>19</v>
      </c>
      <c r="R3518" t="str">
        <f>HYPERLINK("https://cfpub.epa.gov/ecotox/explore.cfm?ncbi=29073","Explore in ECOTOX")</f>
        <v>Explore in ECOTOX</v>
      </c>
    </row>
    <row r="3519" spans="1:18" x14ac:dyDescent="0.45">
      <c r="A3519" t="s">
        <v>1265</v>
      </c>
      <c r="B3519">
        <v>8</v>
      </c>
      <c r="C3519" t="str">
        <f>HYPERLINK("http://www.ncbi.nlm.nih.gov/protein/XP_031227210.1","XP_031227210.1")</f>
        <v>XP_031227210.1</v>
      </c>
      <c r="D3519">
        <v>54526</v>
      </c>
      <c r="E3519" t="str">
        <f>HYPERLINK("http://www.ncbi.nlm.nih.gov/Taxonomy/Browser/wwwtax.cgi?mode=Info&amp;id=35658&amp;lvl=3&amp;lin=f&amp;keep=1&amp;srchmode=1&amp;unlock","35658")</f>
        <v>35658</v>
      </c>
      <c r="F3519" t="s">
        <v>96</v>
      </c>
      <c r="G3519" t="str">
        <f>HYPERLINK("http://www.ncbi.nlm.nih.gov/Taxonomy/Browser/wwwtax.cgi?mode=Info&amp;id=35658&amp;lvl=3&amp;lin=f&amp;keep=1&amp;srchmode=1&amp;unlock","Mastomys coucha")</f>
        <v>Mastomys coucha</v>
      </c>
      <c r="H3519" t="s">
        <v>287</v>
      </c>
      <c r="I3519" t="str">
        <f>HYPERLINK("http://www.ncbi.nlm.nih.gov/protein/XP_031227210.1","ryanodine receptor 3 isoform X2")</f>
        <v>ryanodine receptor 3 isoform X2</v>
      </c>
      <c r="J3519">
        <v>7740.19</v>
      </c>
      <c r="K3519" t="s">
        <v>22</v>
      </c>
      <c r="L3519">
        <v>76</v>
      </c>
      <c r="M3519">
        <v>12.58</v>
      </c>
      <c r="N3519">
        <v>76.180000000000007</v>
      </c>
      <c r="O3519" t="s">
        <v>19</v>
      </c>
      <c r="P3519" t="s">
        <v>1320</v>
      </c>
      <c r="Q3519" t="s">
        <v>19</v>
      </c>
      <c r="R3519" t="str">
        <f>HYPERLINK("https://cfpub.epa.gov/ecotox/explore.cfm?ncbi=35658","Explore in ECOTOX")</f>
        <v>Explore in ECOTOX</v>
      </c>
    </row>
    <row r="3520" spans="1:18" x14ac:dyDescent="0.45">
      <c r="A3520" t="s">
        <v>1265</v>
      </c>
      <c r="B3520">
        <v>8</v>
      </c>
      <c r="C3520" t="str">
        <f>HYPERLINK("http://www.ncbi.nlm.nih.gov/protein/XP_044781183.2","XP_044781183.2")</f>
        <v>XP_044781183.2</v>
      </c>
      <c r="D3520">
        <v>76377</v>
      </c>
      <c r="E3520" t="str">
        <f>HYPERLINK("http://www.ncbi.nlm.nih.gov/Taxonomy/Browser/wwwtax.cgi?mode=Info&amp;id=89462&amp;lvl=3&amp;lin=f&amp;keep=1&amp;srchmode=1&amp;unlock","89462")</f>
        <v>89462</v>
      </c>
      <c r="F3520" t="s">
        <v>96</v>
      </c>
      <c r="G3520" t="str">
        <f>HYPERLINK("http://www.ncbi.nlm.nih.gov/Taxonomy/Browser/wwwtax.cgi?mode=Info&amp;id=89462&amp;lvl=3&amp;lin=f&amp;keep=1&amp;srchmode=1&amp;unlock","Bubalus bubalis")</f>
        <v>Bubalus bubalis</v>
      </c>
      <c r="H3520" t="s">
        <v>374</v>
      </c>
      <c r="I3520" t="str">
        <f>HYPERLINK("http://www.ncbi.nlm.nih.gov/protein/XP_044781183.2","ryanodine receptor 3")</f>
        <v>ryanodine receptor 3</v>
      </c>
      <c r="J3520">
        <v>7739.8</v>
      </c>
      <c r="K3520" t="s">
        <v>22</v>
      </c>
      <c r="L3520">
        <v>76</v>
      </c>
      <c r="M3520">
        <v>12.58</v>
      </c>
      <c r="N3520">
        <v>76.17</v>
      </c>
      <c r="O3520" t="s">
        <v>19</v>
      </c>
      <c r="P3520" t="s">
        <v>1320</v>
      </c>
      <c r="Q3520" t="s">
        <v>19</v>
      </c>
      <c r="R3520" t="str">
        <f>HYPERLINK("https://cfpub.epa.gov/ecotox/explore.cfm?ncbi=89462","Explore in ECOTOX")</f>
        <v>Explore in ECOTOX</v>
      </c>
    </row>
    <row r="3521" spans="1:18" x14ac:dyDescent="0.45">
      <c r="A3521" t="s">
        <v>1265</v>
      </c>
      <c r="B3521">
        <v>8</v>
      </c>
      <c r="C3521" t="str">
        <f>HYPERLINK("http://www.ncbi.nlm.nih.gov/protein/XP_041265443.1","XP_041265443.1")</f>
        <v>XP_041265443.1</v>
      </c>
      <c r="D3521">
        <v>32404</v>
      </c>
      <c r="E3521" t="str">
        <f>HYPERLINK("http://www.ncbi.nlm.nih.gov/Taxonomy/Browser/wwwtax.cgi?mode=Info&amp;id=356909&amp;lvl=3&amp;lin=f&amp;keep=1&amp;srchmode=1&amp;unlock","356909")</f>
        <v>356909</v>
      </c>
      <c r="F3521" t="s">
        <v>241</v>
      </c>
      <c r="G3521" t="str">
        <f>HYPERLINK("http://www.ncbi.nlm.nih.gov/Taxonomy/Browser/wwwtax.cgi?mode=Info&amp;id=356909&amp;lvl=3&amp;lin=f&amp;keep=1&amp;srchmode=1&amp;unlock","Onychostruthus taczanowskii")</f>
        <v>Onychostruthus taczanowskii</v>
      </c>
      <c r="H3521" t="s">
        <v>582</v>
      </c>
      <c r="I3521" t="str">
        <f>HYPERLINK("http://www.ncbi.nlm.nih.gov/protein/XP_041265443.1","ryanodine receptor 3 isoform X1")</f>
        <v>ryanodine receptor 3 isoform X1</v>
      </c>
      <c r="J3521">
        <v>7739.42</v>
      </c>
      <c r="K3521" t="s">
        <v>22</v>
      </c>
      <c r="L3521">
        <v>76</v>
      </c>
      <c r="M3521">
        <v>12.58</v>
      </c>
      <c r="N3521">
        <v>76.17</v>
      </c>
      <c r="O3521" t="s">
        <v>19</v>
      </c>
      <c r="P3521" t="s">
        <v>1320</v>
      </c>
      <c r="Q3521" t="s">
        <v>19</v>
      </c>
      <c r="R3521" t="str">
        <f>HYPERLINK("https://cfpub.epa.gov/ecotox/explore.cfm?ncbi=356909","Explore in ECOTOX")</f>
        <v>Explore in ECOTOX</v>
      </c>
    </row>
    <row r="3522" spans="1:18" x14ac:dyDescent="0.45">
      <c r="A3522" t="s">
        <v>1265</v>
      </c>
      <c r="B3522">
        <v>8</v>
      </c>
      <c r="C3522" t="str">
        <f>HYPERLINK("http://www.ncbi.nlm.nih.gov/protein/XP_036912036.1","XP_036912036.1")</f>
        <v>XP_036912036.1</v>
      </c>
      <c r="D3522">
        <v>42744</v>
      </c>
      <c r="E3522" t="str">
        <f>HYPERLINK("http://www.ncbi.nlm.nih.gov/Taxonomy/Browser/wwwtax.cgi?mode=Info&amp;id=192404&amp;lvl=3&amp;lin=f&amp;keep=1&amp;srchmode=1&amp;unlock","192404")</f>
        <v>192404</v>
      </c>
      <c r="F3522" t="s">
        <v>96</v>
      </c>
      <c r="G3522" t="str">
        <f>HYPERLINK("http://www.ncbi.nlm.nih.gov/Taxonomy/Browser/wwwtax.cgi?mode=Info&amp;id=192404&amp;lvl=3&amp;lin=f&amp;keep=1&amp;srchmode=1&amp;unlock","Sturnira hondurensis")</f>
        <v>Sturnira hondurensis</v>
      </c>
      <c r="H3522" t="s">
        <v>672</v>
      </c>
      <c r="I3522" t="str">
        <f>HYPERLINK("http://www.ncbi.nlm.nih.gov/protein/XP_036912036.1","ryanodine receptor 3")</f>
        <v>ryanodine receptor 3</v>
      </c>
      <c r="J3522">
        <v>7739.42</v>
      </c>
      <c r="K3522" t="s">
        <v>22</v>
      </c>
      <c r="L3522">
        <v>76</v>
      </c>
      <c r="M3522">
        <v>12.58</v>
      </c>
      <c r="N3522">
        <v>76.17</v>
      </c>
      <c r="O3522" t="s">
        <v>19</v>
      </c>
      <c r="P3522" t="s">
        <v>1320</v>
      </c>
      <c r="Q3522" t="s">
        <v>19</v>
      </c>
      <c r="R3522" t="str">
        <f>HYPERLINK("https://cfpub.epa.gov/ecotox/explore.cfm?ncbi=192404","Explore in ECOTOX")</f>
        <v>Explore in ECOTOX</v>
      </c>
    </row>
    <row r="3523" spans="1:18" x14ac:dyDescent="0.45">
      <c r="A3523" t="s">
        <v>1265</v>
      </c>
      <c r="B3523">
        <v>8</v>
      </c>
      <c r="C3523" t="str">
        <f>HYPERLINK("http://www.ncbi.nlm.nih.gov/protein/XP_059039390.1","XP_059039390.1")</f>
        <v>XP_059039390.1</v>
      </c>
      <c r="D3523">
        <v>56651</v>
      </c>
      <c r="E3523" t="str">
        <f>HYPERLINK("http://www.ncbi.nlm.nih.gov/Taxonomy/Browser/wwwtax.cgi?mode=Info&amp;id=9666&amp;lvl=3&amp;lin=f&amp;keep=1&amp;srchmode=1&amp;unlock","9666")</f>
        <v>9666</v>
      </c>
      <c r="F3523" t="s">
        <v>96</v>
      </c>
      <c r="G3523" t="str">
        <f>HYPERLINK("http://www.ncbi.nlm.nih.gov/Taxonomy/Browser/wwwtax.cgi?mode=Info&amp;id=9666&amp;lvl=3&amp;lin=f&amp;keep=1&amp;srchmode=1&amp;unlock","Mustela lutreola")</f>
        <v>Mustela lutreola</v>
      </c>
      <c r="H3523" t="s">
        <v>539</v>
      </c>
      <c r="I3523" t="str">
        <f>HYPERLINK("http://www.ncbi.nlm.nih.gov/protein/XP_059039390.1","ryanodine receptor 3")</f>
        <v>ryanodine receptor 3</v>
      </c>
      <c r="J3523">
        <v>7739.42</v>
      </c>
      <c r="K3523" t="s">
        <v>22</v>
      </c>
      <c r="L3523">
        <v>76</v>
      </c>
      <c r="M3523">
        <v>12.58</v>
      </c>
      <c r="N3523">
        <v>76.17</v>
      </c>
      <c r="O3523" t="s">
        <v>19</v>
      </c>
      <c r="P3523" t="s">
        <v>1320</v>
      </c>
      <c r="Q3523" t="s">
        <v>19</v>
      </c>
      <c r="R3523" t="str">
        <f>HYPERLINK("https://cfpub.epa.gov/ecotox/explore.cfm?ncbi=9666","Explore in ECOTOX")</f>
        <v>Explore in ECOTOX</v>
      </c>
    </row>
    <row r="3524" spans="1:18" x14ac:dyDescent="0.45">
      <c r="A3524" t="s">
        <v>1265</v>
      </c>
      <c r="B3524">
        <v>8</v>
      </c>
      <c r="C3524" t="str">
        <f>HYPERLINK("http://www.ncbi.nlm.nih.gov/protein/XP_060118604.1","XP_060118604.1")</f>
        <v>XP_060118604.1</v>
      </c>
      <c r="D3524">
        <v>35418</v>
      </c>
      <c r="E3524" t="str">
        <f>HYPERLINK("http://www.ncbi.nlm.nih.gov/Taxonomy/Browser/wwwtax.cgi?mode=Info&amp;id=13085&amp;lvl=3&amp;lin=f&amp;keep=1&amp;srchmode=1&amp;unlock","13085")</f>
        <v>13085</v>
      </c>
      <c r="F3524" t="s">
        <v>192</v>
      </c>
      <c r="G3524" t="str">
        <f>HYPERLINK("http://www.ncbi.nlm.nih.gov/Taxonomy/Browser/wwwtax.cgi?mode=Info&amp;id=13085&amp;lvl=3&amp;lin=f&amp;keep=1&amp;srchmode=1&amp;unlock","Heteronotia binoei")</f>
        <v>Heteronotia binoei</v>
      </c>
      <c r="H3524" t="s">
        <v>220</v>
      </c>
      <c r="I3524" t="str">
        <f>HYPERLINK("http://www.ncbi.nlm.nih.gov/protein/XP_060118604.1","ryanodine receptor 3")</f>
        <v>ryanodine receptor 3</v>
      </c>
      <c r="J3524">
        <v>7739.42</v>
      </c>
      <c r="K3524" t="s">
        <v>22</v>
      </c>
      <c r="L3524">
        <v>76</v>
      </c>
      <c r="M3524">
        <v>12.58</v>
      </c>
      <c r="N3524">
        <v>76.17</v>
      </c>
      <c r="O3524" t="s">
        <v>19</v>
      </c>
      <c r="P3524" t="s">
        <v>1320</v>
      </c>
      <c r="Q3524" t="s">
        <v>19</v>
      </c>
      <c r="R3524" t="str">
        <f>HYPERLINK("https://cfpub.epa.gov/ecotox/explore.cfm?ncbi=13085","Explore in ECOTOX")</f>
        <v>Explore in ECOTOX</v>
      </c>
    </row>
    <row r="3525" spans="1:18" x14ac:dyDescent="0.45">
      <c r="A3525" t="s">
        <v>1265</v>
      </c>
      <c r="B3525">
        <v>8</v>
      </c>
      <c r="C3525" t="str">
        <f>HYPERLINK("http://www.ncbi.nlm.nih.gov/protein/XP_010842475.1","XP_010842475.1")</f>
        <v>XP_010842475.1</v>
      </c>
      <c r="D3525">
        <v>35575</v>
      </c>
      <c r="E3525" t="str">
        <f>HYPERLINK("http://www.ncbi.nlm.nih.gov/Taxonomy/Browser/wwwtax.cgi?mode=Info&amp;id=43346&amp;lvl=3&amp;lin=f&amp;keep=1&amp;srchmode=1&amp;unlock","43346")</f>
        <v>43346</v>
      </c>
      <c r="F3525" t="s">
        <v>96</v>
      </c>
      <c r="G3525" t="str">
        <f>HYPERLINK("http://www.ncbi.nlm.nih.gov/Taxonomy/Browser/wwwtax.cgi?mode=Info&amp;id=43346&amp;lvl=3&amp;lin=f&amp;keep=1&amp;srchmode=1&amp;unlock","Bison bison bison")</f>
        <v>Bison bison bison</v>
      </c>
      <c r="H3525" t="s">
        <v>372</v>
      </c>
      <c r="I3525" t="str">
        <f>HYPERLINK("http://www.ncbi.nlm.nih.gov/protein/XP_010842475.1","PREDICTED: ryanodine receptor 3")</f>
        <v>PREDICTED: ryanodine receptor 3</v>
      </c>
      <c r="J3525">
        <v>7739.03</v>
      </c>
      <c r="K3525" t="s">
        <v>22</v>
      </c>
      <c r="L3525">
        <v>76</v>
      </c>
      <c r="M3525">
        <v>12.58</v>
      </c>
      <c r="N3525">
        <v>76.17</v>
      </c>
      <c r="O3525" t="s">
        <v>19</v>
      </c>
      <c r="P3525" t="s">
        <v>1320</v>
      </c>
      <c r="Q3525" t="s">
        <v>19</v>
      </c>
      <c r="R3525" t="str">
        <f>HYPERLINK("https://cfpub.epa.gov/ecotox/explore.cfm?ncbi=43346","Explore in ECOTOX")</f>
        <v>Explore in ECOTOX</v>
      </c>
    </row>
    <row r="3526" spans="1:18" x14ac:dyDescent="0.45">
      <c r="A3526" t="s">
        <v>1265</v>
      </c>
      <c r="B3526">
        <v>8</v>
      </c>
      <c r="C3526" t="str">
        <f>HYPERLINK("http://www.ncbi.nlm.nih.gov/protein/XP_054490380.1","XP_054490380.1")</f>
        <v>XP_054490380.1</v>
      </c>
      <c r="D3526">
        <v>41278</v>
      </c>
      <c r="E3526" t="str">
        <f>HYPERLINK("http://www.ncbi.nlm.nih.gov/Taxonomy/Browser/wwwtax.cgi?mode=Info&amp;id=39638&amp;lvl=3&amp;lin=f&amp;keep=1&amp;srchmode=1&amp;unlock","39638")</f>
        <v>39638</v>
      </c>
      <c r="F3526" t="s">
        <v>241</v>
      </c>
      <c r="G3526" t="str">
        <f>HYPERLINK("http://www.ncbi.nlm.nih.gov/Taxonomy/Browser/wwwtax.cgi?mode=Info&amp;id=39638&amp;lvl=3&amp;lin=f&amp;keep=1&amp;srchmode=1&amp;unlock","Agelaius phoeniceus")</f>
        <v>Agelaius phoeniceus</v>
      </c>
      <c r="H3526" t="s">
        <v>579</v>
      </c>
      <c r="I3526" t="str">
        <f>HYPERLINK("http://www.ncbi.nlm.nih.gov/protein/XP_054490380.1","ryanodine receptor 3")</f>
        <v>ryanodine receptor 3</v>
      </c>
      <c r="J3526">
        <v>7739.03</v>
      </c>
      <c r="K3526" t="s">
        <v>22</v>
      </c>
      <c r="L3526">
        <v>76</v>
      </c>
      <c r="M3526">
        <v>12.58</v>
      </c>
      <c r="N3526">
        <v>76.17</v>
      </c>
      <c r="O3526" t="s">
        <v>19</v>
      </c>
      <c r="P3526" t="s">
        <v>1320</v>
      </c>
      <c r="Q3526" t="s">
        <v>19</v>
      </c>
      <c r="R3526" t="str">
        <f>HYPERLINK("https://cfpub.epa.gov/ecotox/explore.cfm?ncbi=39638","Explore in ECOTOX")</f>
        <v>Explore in ECOTOX</v>
      </c>
    </row>
    <row r="3527" spans="1:18" x14ac:dyDescent="0.45">
      <c r="A3527" t="s">
        <v>1265</v>
      </c>
      <c r="B3527">
        <v>8</v>
      </c>
      <c r="C3527" t="str">
        <f>HYPERLINK("http://www.ncbi.nlm.nih.gov/protein/XP_032918186.1","XP_032918186.1")</f>
        <v>XP_032918186.1</v>
      </c>
      <c r="D3527">
        <v>36262</v>
      </c>
      <c r="E3527" t="str">
        <f>HYPERLINK("http://www.ncbi.nlm.nih.gov/Taxonomy/Browser/wwwtax.cgi?mode=Info&amp;id=91951&amp;lvl=3&amp;lin=f&amp;keep=1&amp;srchmode=1&amp;unlock","91951")</f>
        <v>91951</v>
      </c>
      <c r="F3527" t="s">
        <v>241</v>
      </c>
      <c r="G3527" t="str">
        <f>HYPERLINK("http://www.ncbi.nlm.nih.gov/Taxonomy/Browser/wwwtax.cgi?mode=Info&amp;id=91951&amp;lvl=3&amp;lin=f&amp;keep=1&amp;srchmode=1&amp;unlock","Catharus ustulatus")</f>
        <v>Catharus ustulatus</v>
      </c>
      <c r="H3527" t="s">
        <v>551</v>
      </c>
      <c r="I3527" t="str">
        <f>HYPERLINK("http://www.ncbi.nlm.nih.gov/protein/XP_032918186.1","ryanodine receptor 3 isoform X12")</f>
        <v>ryanodine receptor 3 isoform X12</v>
      </c>
      <c r="J3527">
        <v>7739.03</v>
      </c>
      <c r="K3527" t="s">
        <v>22</v>
      </c>
      <c r="L3527">
        <v>76</v>
      </c>
      <c r="M3527">
        <v>12.58</v>
      </c>
      <c r="N3527">
        <v>76.17</v>
      </c>
      <c r="O3527" t="s">
        <v>19</v>
      </c>
      <c r="P3527" t="s">
        <v>1320</v>
      </c>
      <c r="Q3527" t="s">
        <v>19</v>
      </c>
      <c r="R3527" t="str">
        <f>HYPERLINK("https://cfpub.epa.gov/ecotox/explore.cfm?ncbi=91951","Explore in ECOTOX")</f>
        <v>Explore in ECOTOX</v>
      </c>
    </row>
    <row r="3528" spans="1:18" x14ac:dyDescent="0.45">
      <c r="A3528" t="s">
        <v>1265</v>
      </c>
      <c r="B3528">
        <v>8</v>
      </c>
      <c r="C3528" t="str">
        <f>HYPERLINK("http://www.ncbi.nlm.nih.gov/protein/XP_040825114.1","XP_040825114.1")</f>
        <v>XP_040825114.1</v>
      </c>
      <c r="D3528">
        <v>42449</v>
      </c>
      <c r="E3528" t="str">
        <f>HYPERLINK("http://www.ncbi.nlm.nih.gov/Taxonomy/Browser/wwwtax.cgi?mode=Info&amp;id=130825&amp;lvl=3&amp;lin=f&amp;keep=1&amp;srchmode=1&amp;unlock","130825")</f>
        <v>130825</v>
      </c>
      <c r="F3528" t="s">
        <v>96</v>
      </c>
      <c r="G3528" t="str">
        <f>HYPERLINK("http://www.ncbi.nlm.nih.gov/Taxonomy/Browser/wwwtax.cgi?mode=Info&amp;id=130825&amp;lvl=3&amp;lin=f&amp;keep=1&amp;srchmode=1&amp;unlock","Ochotona curzoniae")</f>
        <v>Ochotona curzoniae</v>
      </c>
      <c r="H3528" t="s">
        <v>354</v>
      </c>
      <c r="I3528" t="str">
        <f>HYPERLINK("http://www.ncbi.nlm.nih.gov/protein/XP_040825114.1","ryanodine receptor 3 isoform X2")</f>
        <v>ryanodine receptor 3 isoform X2</v>
      </c>
      <c r="J3528">
        <v>7738.65</v>
      </c>
      <c r="K3528" t="s">
        <v>22</v>
      </c>
      <c r="L3528">
        <v>76</v>
      </c>
      <c r="M3528">
        <v>12.58</v>
      </c>
      <c r="N3528">
        <v>76.16</v>
      </c>
      <c r="O3528" t="s">
        <v>19</v>
      </c>
      <c r="P3528" t="s">
        <v>1320</v>
      </c>
      <c r="Q3528" t="s">
        <v>19</v>
      </c>
      <c r="R3528" t="str">
        <f>HYPERLINK("https://cfpub.epa.gov/ecotox/explore.cfm?ncbi=130825","Explore in ECOTOX")</f>
        <v>Explore in ECOTOX</v>
      </c>
    </row>
    <row r="3529" spans="1:18" x14ac:dyDescent="0.45">
      <c r="A3529" t="s">
        <v>1265</v>
      </c>
      <c r="B3529">
        <v>8</v>
      </c>
      <c r="C3529" t="str">
        <f>HYPERLINK("http://www.ncbi.nlm.nih.gov/protein/XP_039560952.1","XP_039560952.1")</f>
        <v>XP_039560952.1</v>
      </c>
      <c r="D3529">
        <v>39382</v>
      </c>
      <c r="E3529" t="str">
        <f>HYPERLINK("http://www.ncbi.nlm.nih.gov/Taxonomy/Browser/wwwtax.cgi?mode=Info&amp;id=9160&amp;lvl=3&amp;lin=f&amp;keep=1&amp;srchmode=1&amp;unlock","9160")</f>
        <v>9160</v>
      </c>
      <c r="F3529" t="s">
        <v>241</v>
      </c>
      <c r="G3529" t="str">
        <f>HYPERLINK("http://www.ncbi.nlm.nih.gov/Taxonomy/Browser/wwwtax.cgi?mode=Info&amp;id=9160&amp;lvl=3&amp;lin=f&amp;keep=1&amp;srchmode=1&amp;unlock","Passer montanus")</f>
        <v>Passer montanus</v>
      </c>
      <c r="H3529" t="s">
        <v>554</v>
      </c>
      <c r="I3529" t="str">
        <f>HYPERLINK("http://www.ncbi.nlm.nih.gov/protein/XP_039560952.1","ryanodine receptor 3 isoform X4")</f>
        <v>ryanodine receptor 3 isoform X4</v>
      </c>
      <c r="J3529">
        <v>7738.65</v>
      </c>
      <c r="K3529" t="s">
        <v>22</v>
      </c>
      <c r="L3529">
        <v>76</v>
      </c>
      <c r="M3529">
        <v>12.58</v>
      </c>
      <c r="N3529">
        <v>76.16</v>
      </c>
      <c r="O3529" t="s">
        <v>19</v>
      </c>
      <c r="P3529" t="s">
        <v>1320</v>
      </c>
      <c r="Q3529" t="s">
        <v>19</v>
      </c>
      <c r="R3529" t="str">
        <f>HYPERLINK("https://cfpub.epa.gov/ecotox/explore.cfm?ncbi=9160","Explore in ECOTOX")</f>
        <v>Explore in ECOTOX</v>
      </c>
    </row>
    <row r="3530" spans="1:18" x14ac:dyDescent="0.45">
      <c r="A3530" t="s">
        <v>1265</v>
      </c>
      <c r="B3530">
        <v>8</v>
      </c>
      <c r="C3530" t="str">
        <f>HYPERLINK("http://www.ncbi.nlm.nih.gov/protein/XP_038187318.2","XP_038187318.2")</f>
        <v>XP_038187318.2</v>
      </c>
      <c r="D3530">
        <v>40891</v>
      </c>
      <c r="E3530" t="str">
        <f>HYPERLINK("http://www.ncbi.nlm.nih.gov/Taxonomy/Browser/wwwtax.cgi?mode=Info&amp;id=1047088&amp;lvl=3&amp;lin=f&amp;keep=1&amp;srchmode=1&amp;unlock","1047088")</f>
        <v>1047088</v>
      </c>
      <c r="F3530" t="s">
        <v>96</v>
      </c>
      <c r="G3530" t="str">
        <f>HYPERLINK("http://www.ncbi.nlm.nih.gov/Taxonomy/Browser/wwwtax.cgi?mode=Info&amp;id=1047088&amp;lvl=3&amp;lin=f&amp;keep=1&amp;srchmode=1&amp;unlock","Arvicola amphibius")</f>
        <v>Arvicola amphibius</v>
      </c>
      <c r="H3530" t="s">
        <v>338</v>
      </c>
      <c r="I3530" t="str">
        <f>HYPERLINK("http://www.ncbi.nlm.nih.gov/protein/XP_038187318.2","ryanodine receptor 3")</f>
        <v>ryanodine receptor 3</v>
      </c>
      <c r="J3530">
        <v>7737.87</v>
      </c>
      <c r="K3530" t="s">
        <v>22</v>
      </c>
      <c r="L3530">
        <v>76</v>
      </c>
      <c r="M3530">
        <v>12.58</v>
      </c>
      <c r="N3530">
        <v>76.150000000000006</v>
      </c>
      <c r="O3530" t="s">
        <v>19</v>
      </c>
      <c r="P3530" t="s">
        <v>1320</v>
      </c>
      <c r="Q3530" t="s">
        <v>19</v>
      </c>
      <c r="R3530" t="str">
        <f>HYPERLINK("https://cfpub.epa.gov/ecotox/explore.cfm?ncbi=1047088","Explore in ECOTOX")</f>
        <v>Explore in ECOTOX</v>
      </c>
    </row>
    <row r="3531" spans="1:18" x14ac:dyDescent="0.45">
      <c r="A3531" t="s">
        <v>1265</v>
      </c>
      <c r="B3531">
        <v>8</v>
      </c>
      <c r="C3531" t="str">
        <f>HYPERLINK("http://www.ncbi.nlm.nih.gov/protein/XP_014121935.1","XP_014121935.1")</f>
        <v>XP_014121935.1</v>
      </c>
      <c r="D3531">
        <v>26792</v>
      </c>
      <c r="E3531" t="str">
        <f>HYPERLINK("http://www.ncbi.nlm.nih.gov/Taxonomy/Browser/wwwtax.cgi?mode=Info&amp;id=44394&amp;lvl=3&amp;lin=f&amp;keep=1&amp;srchmode=1&amp;unlock","44394")</f>
        <v>44394</v>
      </c>
      <c r="F3531" t="s">
        <v>241</v>
      </c>
      <c r="G3531" t="str">
        <f>HYPERLINK("http://www.ncbi.nlm.nih.gov/Taxonomy/Browser/wwwtax.cgi?mode=Info&amp;id=44394&amp;lvl=3&amp;lin=f&amp;keep=1&amp;srchmode=1&amp;unlock","Zonotrichia albicollis")</f>
        <v>Zonotrichia albicollis</v>
      </c>
      <c r="H3531" t="s">
        <v>544</v>
      </c>
      <c r="I3531" t="str">
        <f>HYPERLINK("http://www.ncbi.nlm.nih.gov/protein/XP_014121935.1","ryanodine receptor 3 isoform X6")</f>
        <v>ryanodine receptor 3 isoform X6</v>
      </c>
      <c r="J3531">
        <v>7737.49</v>
      </c>
      <c r="K3531" t="s">
        <v>19</v>
      </c>
      <c r="L3531">
        <v>76</v>
      </c>
      <c r="M3531">
        <v>12.58</v>
      </c>
      <c r="N3531">
        <v>76.150000000000006</v>
      </c>
      <c r="O3531" t="s">
        <v>19</v>
      </c>
      <c r="P3531" t="s">
        <v>1320</v>
      </c>
      <c r="Q3531" t="s">
        <v>19</v>
      </c>
      <c r="R3531" t="str">
        <f>HYPERLINK("https://cfpub.epa.gov/ecotox/explore.cfm?ncbi=44394","Explore in ECOTOX")</f>
        <v>Explore in ECOTOX</v>
      </c>
    </row>
    <row r="3532" spans="1:18" x14ac:dyDescent="0.45">
      <c r="A3532" t="s">
        <v>1265</v>
      </c>
      <c r="B3532">
        <v>8</v>
      </c>
      <c r="C3532" t="str">
        <f>HYPERLINK("http://www.ncbi.nlm.nih.gov/protein/XP_004687628.1","XP_004687628.1")</f>
        <v>XP_004687628.1</v>
      </c>
      <c r="D3532">
        <v>29270</v>
      </c>
      <c r="E3532" t="str">
        <f>HYPERLINK("http://www.ncbi.nlm.nih.gov/Taxonomy/Browser/wwwtax.cgi?mode=Info&amp;id=143302&amp;lvl=3&amp;lin=f&amp;keep=1&amp;srchmode=1&amp;unlock","143302")</f>
        <v>143302</v>
      </c>
      <c r="F3532" t="s">
        <v>96</v>
      </c>
      <c r="G3532" t="str">
        <f>HYPERLINK("http://www.ncbi.nlm.nih.gov/Taxonomy/Browser/wwwtax.cgi?mode=Info&amp;id=143302&amp;lvl=3&amp;lin=f&amp;keep=1&amp;srchmode=1&amp;unlock","Condylura cristata")</f>
        <v>Condylura cristata</v>
      </c>
      <c r="H3532" t="s">
        <v>608</v>
      </c>
      <c r="I3532" t="str">
        <f>HYPERLINK("http://www.ncbi.nlm.nih.gov/protein/XP_004687628.1","PREDICTED: ryanodine receptor 3")</f>
        <v>PREDICTED: ryanodine receptor 3</v>
      </c>
      <c r="J3532">
        <v>7737.49</v>
      </c>
      <c r="K3532" t="s">
        <v>22</v>
      </c>
      <c r="L3532">
        <v>76</v>
      </c>
      <c r="M3532">
        <v>12.58</v>
      </c>
      <c r="N3532">
        <v>76.150000000000006</v>
      </c>
      <c r="O3532" t="s">
        <v>19</v>
      </c>
      <c r="P3532" t="s">
        <v>1320</v>
      </c>
      <c r="Q3532" t="s">
        <v>19</v>
      </c>
      <c r="R3532" t="str">
        <f>HYPERLINK("https://cfpub.epa.gov/ecotox/explore.cfm?ncbi=143302","Explore in ECOTOX")</f>
        <v>Explore in ECOTOX</v>
      </c>
    </row>
    <row r="3533" spans="1:18" x14ac:dyDescent="0.45">
      <c r="A3533" t="s">
        <v>1265</v>
      </c>
      <c r="B3533">
        <v>8</v>
      </c>
      <c r="C3533" t="str">
        <f>HYPERLINK("http://www.ncbi.nlm.nih.gov/protein/XP_039103189.1","XP_039103189.1")</f>
        <v>XP_039103189.1</v>
      </c>
      <c r="D3533">
        <v>41464</v>
      </c>
      <c r="E3533" t="str">
        <f>HYPERLINK("http://www.ncbi.nlm.nih.gov/Taxonomy/Browser/wwwtax.cgi?mode=Info&amp;id=95912&amp;lvl=3&amp;lin=f&amp;keep=1&amp;srchmode=1&amp;unlock","95912")</f>
        <v>95912</v>
      </c>
      <c r="F3533" t="s">
        <v>96</v>
      </c>
      <c r="G3533" t="str">
        <f>HYPERLINK("http://www.ncbi.nlm.nih.gov/Taxonomy/Browser/wwwtax.cgi?mode=Info&amp;id=95912&amp;lvl=3&amp;lin=f&amp;keep=1&amp;srchmode=1&amp;unlock","Hyaena hyaena")</f>
        <v>Hyaena hyaena</v>
      </c>
      <c r="H3533" t="s">
        <v>452</v>
      </c>
      <c r="I3533" t="str">
        <f>HYPERLINK("http://www.ncbi.nlm.nih.gov/protein/XP_039103189.1","ryanodine receptor 3")</f>
        <v>ryanodine receptor 3</v>
      </c>
      <c r="J3533">
        <v>7737.1</v>
      </c>
      <c r="K3533" t="s">
        <v>22</v>
      </c>
      <c r="L3533">
        <v>76</v>
      </c>
      <c r="M3533">
        <v>12.58</v>
      </c>
      <c r="N3533">
        <v>76.150000000000006</v>
      </c>
      <c r="O3533" t="s">
        <v>19</v>
      </c>
      <c r="P3533" t="s">
        <v>1320</v>
      </c>
      <c r="Q3533" t="s">
        <v>19</v>
      </c>
      <c r="R3533" t="str">
        <f>HYPERLINK("https://cfpub.epa.gov/ecotox/explore.cfm?ncbi=95912","Explore in ECOTOX")</f>
        <v>Explore in ECOTOX</v>
      </c>
    </row>
    <row r="3534" spans="1:18" x14ac:dyDescent="0.45">
      <c r="A3534" t="s">
        <v>1265</v>
      </c>
      <c r="B3534">
        <v>8</v>
      </c>
      <c r="C3534" t="str">
        <f>HYPERLINK("http://www.ncbi.nlm.nih.gov/protein/XP_010389646.3","XP_010389646.3")</f>
        <v>XP_010389646.3</v>
      </c>
      <c r="D3534">
        <v>36909</v>
      </c>
      <c r="E3534" t="str">
        <f>HYPERLINK("http://www.ncbi.nlm.nih.gov/Taxonomy/Browser/wwwtax.cgi?mode=Info&amp;id=932674&amp;lvl=3&amp;lin=f&amp;keep=1&amp;srchmode=1&amp;unlock","932674")</f>
        <v>932674</v>
      </c>
      <c r="F3534" t="s">
        <v>241</v>
      </c>
      <c r="G3534" t="str">
        <f>HYPERLINK("http://www.ncbi.nlm.nih.gov/Taxonomy/Browser/wwwtax.cgi?mode=Info&amp;id=932674&amp;lvl=3&amp;lin=f&amp;keep=1&amp;srchmode=1&amp;unlock","Corvus cornix cornix")</f>
        <v>Corvus cornix cornix</v>
      </c>
      <c r="H3534" t="s">
        <v>520</v>
      </c>
      <c r="I3534" t="str">
        <f>HYPERLINK("http://www.ncbi.nlm.nih.gov/protein/XP_010389646.3","ryanodine receptor 3 isoform X10")</f>
        <v>ryanodine receptor 3 isoform X10</v>
      </c>
      <c r="J3534">
        <v>7736.33</v>
      </c>
      <c r="K3534" t="s">
        <v>22</v>
      </c>
      <c r="L3534">
        <v>76</v>
      </c>
      <c r="M3534">
        <v>12.58</v>
      </c>
      <c r="N3534">
        <v>76.14</v>
      </c>
      <c r="O3534" t="s">
        <v>19</v>
      </c>
      <c r="P3534" t="s">
        <v>1320</v>
      </c>
      <c r="Q3534" t="s">
        <v>19</v>
      </c>
      <c r="R3534" t="str">
        <f>HYPERLINK("https://cfpub.epa.gov/ecotox/explore.cfm?ncbi=932674","Explore in ECOTOX")</f>
        <v>Explore in ECOTOX</v>
      </c>
    </row>
    <row r="3535" spans="1:18" x14ac:dyDescent="0.45">
      <c r="A3535" t="s">
        <v>1265</v>
      </c>
      <c r="B3535">
        <v>8</v>
      </c>
      <c r="C3535" t="str">
        <f>HYPERLINK("http://www.ncbi.nlm.nih.gov/protein/XP_058440646.1","XP_058440646.1")</f>
        <v>XP_058440646.1</v>
      </c>
      <c r="D3535">
        <v>143547</v>
      </c>
      <c r="E3535" t="str">
        <f>HYPERLINK("http://www.ncbi.nlm.nih.gov/Taxonomy/Browser/wwwtax.cgi?mode=Info&amp;id=9995&amp;lvl=3&amp;lin=f&amp;keep=1&amp;srchmode=1&amp;unlock","9995")</f>
        <v>9995</v>
      </c>
      <c r="F3535" t="s">
        <v>96</v>
      </c>
      <c r="G3535" t="str">
        <f>HYPERLINK("http://www.ncbi.nlm.nih.gov/Taxonomy/Browser/wwwtax.cgi?mode=Info&amp;id=9995&amp;lvl=3&amp;lin=f&amp;keep=1&amp;srchmode=1&amp;unlock","Marmota monax")</f>
        <v>Marmota monax</v>
      </c>
      <c r="H3535" t="s">
        <v>529</v>
      </c>
      <c r="I3535" t="str">
        <f>HYPERLINK("http://www.ncbi.nlm.nih.gov/protein/XP_058440646.1","ryanodine receptor 3")</f>
        <v>ryanodine receptor 3</v>
      </c>
      <c r="J3535">
        <v>7735.95</v>
      </c>
      <c r="K3535" t="s">
        <v>22</v>
      </c>
      <c r="L3535">
        <v>76</v>
      </c>
      <c r="M3535">
        <v>12.58</v>
      </c>
      <c r="N3535">
        <v>76.14</v>
      </c>
      <c r="O3535" t="s">
        <v>19</v>
      </c>
      <c r="P3535" t="s">
        <v>1320</v>
      </c>
      <c r="Q3535" t="s">
        <v>19</v>
      </c>
      <c r="R3535" t="str">
        <f>HYPERLINK("https://cfpub.epa.gov/ecotox/explore.cfm?ncbi=9995","Explore in ECOTOX")</f>
        <v>Explore in ECOTOX</v>
      </c>
    </row>
    <row r="3536" spans="1:18" x14ac:dyDescent="0.45">
      <c r="A3536" t="s">
        <v>1265</v>
      </c>
      <c r="B3536">
        <v>8</v>
      </c>
      <c r="C3536" t="str">
        <f>HYPERLINK("http://www.ncbi.nlm.nih.gov/protein/XP_045671738.1","XP_045671738.1")</f>
        <v>XP_045671738.1</v>
      </c>
      <c r="D3536">
        <v>46324</v>
      </c>
      <c r="E3536" t="str">
        <f>HYPERLINK("http://www.ncbi.nlm.nih.gov/Taxonomy/Browser/wwwtax.cgi?mode=Info&amp;id=9643&amp;lvl=3&amp;lin=f&amp;keep=1&amp;srchmode=1&amp;unlock","9643")</f>
        <v>9643</v>
      </c>
      <c r="F3536" t="s">
        <v>96</v>
      </c>
      <c r="G3536" t="str">
        <f>HYPERLINK("http://www.ncbi.nlm.nih.gov/Taxonomy/Browser/wwwtax.cgi?mode=Info&amp;id=9643&amp;lvl=3&amp;lin=f&amp;keep=1&amp;srchmode=1&amp;unlock","Ursus americanus")</f>
        <v>Ursus americanus</v>
      </c>
      <c r="H3536" t="s">
        <v>281</v>
      </c>
      <c r="I3536" t="str">
        <f>HYPERLINK("http://www.ncbi.nlm.nih.gov/protein/XP_045671738.1","LOW QUALITY PROTEIN: ryanodine receptor 3")</f>
        <v>LOW QUALITY PROTEIN: ryanodine receptor 3</v>
      </c>
      <c r="J3536">
        <v>7735.18</v>
      </c>
      <c r="K3536" t="s">
        <v>22</v>
      </c>
      <c r="L3536">
        <v>76</v>
      </c>
      <c r="M3536">
        <v>12.58</v>
      </c>
      <c r="N3536">
        <v>76.13</v>
      </c>
      <c r="O3536" t="s">
        <v>19</v>
      </c>
      <c r="P3536" t="s">
        <v>1320</v>
      </c>
      <c r="Q3536" t="s">
        <v>19</v>
      </c>
      <c r="R3536" t="str">
        <f>HYPERLINK("https://cfpub.epa.gov/ecotox/explore.cfm?ncbi=9643","Explore in ECOTOX")</f>
        <v>Explore in ECOTOX</v>
      </c>
    </row>
    <row r="3537" spans="1:18" x14ac:dyDescent="0.45">
      <c r="A3537" t="s">
        <v>1265</v>
      </c>
      <c r="B3537">
        <v>8</v>
      </c>
      <c r="C3537" t="str">
        <f>HYPERLINK("http://www.ncbi.nlm.nih.gov/protein/XP_021143223.1","XP_021143223.1")</f>
        <v>XP_021143223.1</v>
      </c>
      <c r="D3537">
        <v>69178</v>
      </c>
      <c r="E3537" t="str">
        <f>HYPERLINK("http://www.ncbi.nlm.nih.gov/Taxonomy/Browser/wwwtax.cgi?mode=Info&amp;id=8932&amp;lvl=3&amp;lin=f&amp;keep=1&amp;srchmode=1&amp;unlock","8932")</f>
        <v>8932</v>
      </c>
      <c r="F3537" t="s">
        <v>241</v>
      </c>
      <c r="G3537" t="str">
        <f>HYPERLINK("http://www.ncbi.nlm.nih.gov/Taxonomy/Browser/wwwtax.cgi?mode=Info&amp;id=8932&amp;lvl=3&amp;lin=f&amp;keep=1&amp;srchmode=1&amp;unlock","Columba livia")</f>
        <v>Columba livia</v>
      </c>
      <c r="H3537" t="s">
        <v>271</v>
      </c>
      <c r="I3537" t="str">
        <f>HYPERLINK("http://www.ncbi.nlm.nih.gov/protein/XP_021143223.1","LOW QUALITY PROTEIN: ryanodine receptor 3")</f>
        <v>LOW QUALITY PROTEIN: ryanodine receptor 3</v>
      </c>
      <c r="J3537">
        <v>7735.18</v>
      </c>
      <c r="K3537" t="s">
        <v>22</v>
      </c>
      <c r="L3537">
        <v>76</v>
      </c>
      <c r="M3537">
        <v>12.58</v>
      </c>
      <c r="N3537">
        <v>76.13</v>
      </c>
      <c r="O3537" t="s">
        <v>19</v>
      </c>
      <c r="P3537" t="s">
        <v>1320</v>
      </c>
      <c r="Q3537" t="s">
        <v>19</v>
      </c>
      <c r="R3537" t="str">
        <f>HYPERLINK("https://cfpub.epa.gov/ecotox/explore.cfm?ncbi=8932","Explore in ECOTOX")</f>
        <v>Explore in ECOTOX</v>
      </c>
    </row>
    <row r="3538" spans="1:18" x14ac:dyDescent="0.45">
      <c r="A3538" t="s">
        <v>1265</v>
      </c>
      <c r="B3538">
        <v>8</v>
      </c>
      <c r="C3538" t="str">
        <f>HYPERLINK("http://www.ncbi.nlm.nih.gov/protein/XP_040082946.1","XP_040082946.1")</f>
        <v>XP_040082946.1</v>
      </c>
      <c r="D3538">
        <v>44055</v>
      </c>
      <c r="E3538" t="str">
        <f>HYPERLINK("http://www.ncbi.nlm.nih.gov/Taxonomy/Browser/wwwtax.cgi?mode=Info&amp;id=59534&amp;lvl=3&amp;lin=f&amp;keep=1&amp;srchmode=1&amp;unlock","59534")</f>
        <v>59534</v>
      </c>
      <c r="F3538" t="s">
        <v>96</v>
      </c>
      <c r="G3538" t="str">
        <f>HYPERLINK("http://www.ncbi.nlm.nih.gov/Taxonomy/Browser/wwwtax.cgi?mode=Info&amp;id=59534&amp;lvl=3&amp;lin=f&amp;keep=1&amp;srchmode=1&amp;unlock","Oryx dammah")</f>
        <v>Oryx dammah</v>
      </c>
      <c r="H3538" t="s">
        <v>373</v>
      </c>
      <c r="I3538" t="str">
        <f>HYPERLINK("http://www.ncbi.nlm.nih.gov/protein/XP_040082946.1","ryanodine receptor 3")</f>
        <v>ryanodine receptor 3</v>
      </c>
      <c r="J3538">
        <v>7734.41</v>
      </c>
      <c r="K3538" t="s">
        <v>22</v>
      </c>
      <c r="L3538">
        <v>76</v>
      </c>
      <c r="M3538">
        <v>12.58</v>
      </c>
      <c r="N3538">
        <v>76.12</v>
      </c>
      <c r="O3538" t="s">
        <v>19</v>
      </c>
      <c r="P3538" t="s">
        <v>1320</v>
      </c>
      <c r="Q3538" t="s">
        <v>19</v>
      </c>
      <c r="R3538" t="str">
        <f>HYPERLINK("https://cfpub.epa.gov/ecotox/explore.cfm?ncbi=59534","Explore in ECOTOX")</f>
        <v>Explore in ECOTOX</v>
      </c>
    </row>
    <row r="3539" spans="1:18" x14ac:dyDescent="0.45">
      <c r="A3539" t="s">
        <v>1265</v>
      </c>
      <c r="B3539">
        <v>8</v>
      </c>
      <c r="C3539" t="str">
        <f>HYPERLINK("http://www.ncbi.nlm.nih.gov/protein/XP_029456052.1","XP_029456052.1")</f>
        <v>XP_029456052.1</v>
      </c>
      <c r="D3539">
        <v>49321</v>
      </c>
      <c r="E3539" t="str">
        <f>HYPERLINK("http://www.ncbi.nlm.nih.gov/Taxonomy/Browser/wwwtax.cgi?mode=Info&amp;id=194408&amp;lvl=3&amp;lin=f&amp;keep=1&amp;srchmode=1&amp;unlock","194408")</f>
        <v>194408</v>
      </c>
      <c r="F3539" t="s">
        <v>177</v>
      </c>
      <c r="G3539" t="str">
        <f>HYPERLINK("http://www.ncbi.nlm.nih.gov/Taxonomy/Browser/wwwtax.cgi?mode=Info&amp;id=194408&amp;lvl=3&amp;lin=f&amp;keep=1&amp;srchmode=1&amp;unlock","Rhinatrema bivittatum")</f>
        <v>Rhinatrema bivittatum</v>
      </c>
      <c r="H3539" t="s">
        <v>339</v>
      </c>
      <c r="I3539" t="str">
        <f>HYPERLINK("http://www.ncbi.nlm.nih.gov/protein/XP_029456052.1","LOW QUALITY PROTEIN: ryanodine receptor 3")</f>
        <v>LOW QUALITY PROTEIN: ryanodine receptor 3</v>
      </c>
      <c r="J3539">
        <v>7733.64</v>
      </c>
      <c r="K3539" t="s">
        <v>22</v>
      </c>
      <c r="L3539">
        <v>76</v>
      </c>
      <c r="M3539">
        <v>12.58</v>
      </c>
      <c r="N3539">
        <v>76.11</v>
      </c>
      <c r="O3539" t="s">
        <v>19</v>
      </c>
      <c r="P3539" t="s">
        <v>1320</v>
      </c>
      <c r="Q3539" t="s">
        <v>19</v>
      </c>
      <c r="R3539" t="str">
        <f>HYPERLINK("https://cfpub.epa.gov/ecotox/explore.cfm?ncbi=194408","Explore in ECOTOX")</f>
        <v>Explore in ECOTOX</v>
      </c>
    </row>
    <row r="3540" spans="1:18" x14ac:dyDescent="0.45">
      <c r="A3540" t="s">
        <v>1265</v>
      </c>
      <c r="B3540">
        <v>8</v>
      </c>
      <c r="C3540" t="str">
        <f>HYPERLINK("http://www.ncbi.nlm.nih.gov/protein/XP_058594280.1","XP_058594280.1")</f>
        <v>XP_058594280.1</v>
      </c>
      <c r="D3540">
        <v>63007</v>
      </c>
      <c r="E3540" t="str">
        <f>HYPERLINK("http://www.ncbi.nlm.nih.gov/Taxonomy/Browser/wwwtax.cgi?mode=Info&amp;id=61452&amp;lvl=3&amp;lin=f&amp;keep=1&amp;srchmode=1&amp;unlock","61452")</f>
        <v>61452</v>
      </c>
      <c r="F3540" t="s">
        <v>96</v>
      </c>
      <c r="G3540" t="str">
        <f>HYPERLINK("http://www.ncbi.nlm.nih.gov/Taxonomy/Browser/wwwtax.cgi?mode=Info&amp;id=61452&amp;lvl=3&amp;lin=f&amp;keep=1&amp;srchmode=1&amp;unlock","Neofelis nebulosa")</f>
        <v>Neofelis nebulosa</v>
      </c>
      <c r="H3540" t="s">
        <v>309</v>
      </c>
      <c r="I3540" t="str">
        <f>HYPERLINK("http://www.ncbi.nlm.nih.gov/protein/XP_058594280.1","LOW QUALITY PROTEIN: ryanodine receptor 3")</f>
        <v>LOW QUALITY PROTEIN: ryanodine receptor 3</v>
      </c>
      <c r="J3540">
        <v>7733.25</v>
      </c>
      <c r="K3540" t="s">
        <v>22</v>
      </c>
      <c r="L3540">
        <v>76</v>
      </c>
      <c r="M3540">
        <v>12.58</v>
      </c>
      <c r="N3540">
        <v>76.11</v>
      </c>
      <c r="O3540" t="s">
        <v>19</v>
      </c>
      <c r="P3540" t="s">
        <v>1320</v>
      </c>
      <c r="Q3540" t="s">
        <v>19</v>
      </c>
      <c r="R3540" t="str">
        <f>HYPERLINK("https://cfpub.epa.gov/ecotox/explore.cfm?ncbi=61452","Explore in ECOTOX")</f>
        <v>Explore in ECOTOX</v>
      </c>
    </row>
    <row r="3541" spans="1:18" x14ac:dyDescent="0.45">
      <c r="A3541" t="s">
        <v>1265</v>
      </c>
      <c r="B3541">
        <v>8</v>
      </c>
      <c r="C3541" t="str">
        <f>HYPERLINK("http://www.ncbi.nlm.nih.gov/protein/XP_057881686.1","XP_057881686.1")</f>
        <v>XP_057881686.1</v>
      </c>
      <c r="D3541">
        <v>27661</v>
      </c>
      <c r="E3541" t="str">
        <f>HYPERLINK("http://www.ncbi.nlm.nih.gov/Taxonomy/Browser/wwwtax.cgi?mode=Info&amp;id=44398&amp;lvl=3&amp;lin=f&amp;keep=1&amp;srchmode=1&amp;unlock","44398")</f>
        <v>44398</v>
      </c>
      <c r="F3541" t="s">
        <v>241</v>
      </c>
      <c r="G3541" t="str">
        <f>HYPERLINK("http://www.ncbi.nlm.nih.gov/Taxonomy/Browser/wwwtax.cgi?mode=Info&amp;id=44398&amp;lvl=3&amp;lin=f&amp;keep=1&amp;srchmode=1&amp;unlock","Melospiza georgiana")</f>
        <v>Melospiza georgiana</v>
      </c>
      <c r="H3541" t="s">
        <v>435</v>
      </c>
      <c r="I3541" t="str">
        <f>HYPERLINK("http://www.ncbi.nlm.nih.gov/protein/XP_057881686.1","ryanodine receptor 3")</f>
        <v>ryanodine receptor 3</v>
      </c>
      <c r="J3541">
        <v>7733.25</v>
      </c>
      <c r="K3541" t="s">
        <v>22</v>
      </c>
      <c r="L3541">
        <v>76</v>
      </c>
      <c r="M3541">
        <v>12.58</v>
      </c>
      <c r="N3541">
        <v>76.11</v>
      </c>
      <c r="O3541" t="s">
        <v>19</v>
      </c>
      <c r="P3541" t="s">
        <v>1320</v>
      </c>
      <c r="Q3541" t="s">
        <v>19</v>
      </c>
      <c r="R3541" t="str">
        <f>HYPERLINK("https://cfpub.epa.gov/ecotox/explore.cfm?ncbi=44398","Explore in ECOTOX")</f>
        <v>Explore in ECOTOX</v>
      </c>
    </row>
    <row r="3542" spans="1:18" x14ac:dyDescent="0.45">
      <c r="A3542" t="s">
        <v>1265</v>
      </c>
      <c r="B3542">
        <v>8</v>
      </c>
      <c r="C3542" t="str">
        <f>HYPERLINK("http://www.ncbi.nlm.nih.gov/protein/XP_038962734.1","XP_038962734.1")</f>
        <v>XP_038962734.1</v>
      </c>
      <c r="D3542">
        <v>158759</v>
      </c>
      <c r="E3542" t="str">
        <f>HYPERLINK("http://www.ncbi.nlm.nih.gov/Taxonomy/Browser/wwwtax.cgi?mode=Info&amp;id=10116&amp;lvl=3&amp;lin=f&amp;keep=1&amp;srchmode=1&amp;unlock","10116")</f>
        <v>10116</v>
      </c>
      <c r="F3542" t="s">
        <v>96</v>
      </c>
      <c r="G3542" t="str">
        <f>HYPERLINK("http://www.ncbi.nlm.nih.gov/Taxonomy/Browser/wwwtax.cgi?mode=Info&amp;id=10116&amp;lvl=3&amp;lin=f&amp;keep=1&amp;srchmode=1&amp;unlock","Rattus norvegicus")</f>
        <v>Rattus norvegicus</v>
      </c>
      <c r="H3542" t="s">
        <v>295</v>
      </c>
      <c r="I3542" t="str">
        <f>HYPERLINK("http://www.ncbi.nlm.nih.gov/protein/XP_038962734.1","LOW QUALITY PROTEIN: ryanodine receptor 3")</f>
        <v>LOW QUALITY PROTEIN: ryanodine receptor 3</v>
      </c>
      <c r="J3542">
        <v>7732.87</v>
      </c>
      <c r="K3542" t="s">
        <v>22</v>
      </c>
      <c r="L3542">
        <v>76</v>
      </c>
      <c r="M3542">
        <v>12.58</v>
      </c>
      <c r="N3542">
        <v>76.099999999999994</v>
      </c>
      <c r="O3542" t="s">
        <v>19</v>
      </c>
      <c r="P3542" t="s">
        <v>1320</v>
      </c>
      <c r="Q3542" t="s">
        <v>19</v>
      </c>
      <c r="R3542" t="str">
        <f>HYPERLINK("https://cfpub.epa.gov/ecotox/explore.cfm?ncbi=10116","Explore in ECOTOX")</f>
        <v>Explore in ECOTOX</v>
      </c>
    </row>
    <row r="3543" spans="1:18" x14ac:dyDescent="0.45">
      <c r="A3543" t="s">
        <v>1265</v>
      </c>
      <c r="B3543">
        <v>8</v>
      </c>
      <c r="C3543" t="str">
        <f>HYPERLINK("http://www.ncbi.nlm.nih.gov/protein/XP_059114904.1","XP_059114904.1")</f>
        <v>XP_059114904.1</v>
      </c>
      <c r="D3543">
        <v>38859</v>
      </c>
      <c r="E3543" t="str">
        <f>HYPERLINK("http://www.ncbi.nlm.nih.gov/Taxonomy/Browser/wwwtax.cgi?mode=Info&amp;id=42410&amp;lvl=3&amp;lin=f&amp;keep=1&amp;srchmode=1&amp;unlock","42410")</f>
        <v>42410</v>
      </c>
      <c r="F3543" t="s">
        <v>96</v>
      </c>
      <c r="G3543" t="str">
        <f>HYPERLINK("http://www.ncbi.nlm.nih.gov/Taxonomy/Browser/wwwtax.cgi?mode=Info&amp;id=42410&amp;lvl=3&amp;lin=f&amp;keep=1&amp;srchmode=1&amp;unlock","Peromyscus eremicus")</f>
        <v>Peromyscus eremicus</v>
      </c>
      <c r="H3543" t="s">
        <v>308</v>
      </c>
      <c r="I3543" t="str">
        <f>HYPERLINK("http://www.ncbi.nlm.nih.gov/protein/XP_059114904.1","ryanodine receptor 3")</f>
        <v>ryanodine receptor 3</v>
      </c>
      <c r="J3543">
        <v>7732.48</v>
      </c>
      <c r="K3543" t="s">
        <v>22</v>
      </c>
      <c r="L3543">
        <v>76</v>
      </c>
      <c r="M3543">
        <v>12.58</v>
      </c>
      <c r="N3543">
        <v>76.099999999999994</v>
      </c>
      <c r="O3543" t="s">
        <v>19</v>
      </c>
      <c r="P3543" t="s">
        <v>1320</v>
      </c>
      <c r="Q3543" t="s">
        <v>19</v>
      </c>
      <c r="R3543" t="str">
        <f>HYPERLINK("https://cfpub.epa.gov/ecotox/explore.cfm?ncbi=42410","Explore in ECOTOX")</f>
        <v>Explore in ECOTOX</v>
      </c>
    </row>
    <row r="3544" spans="1:18" x14ac:dyDescent="0.45">
      <c r="A3544" t="s">
        <v>1265</v>
      </c>
      <c r="B3544">
        <v>8</v>
      </c>
      <c r="C3544" t="str">
        <f>HYPERLINK("http://www.ncbi.nlm.nih.gov/protein/XP_054369595.1","XP_054369595.1")</f>
        <v>XP_054369595.1</v>
      </c>
      <c r="D3544">
        <v>45739</v>
      </c>
      <c r="E3544" t="str">
        <f>HYPERLINK("http://www.ncbi.nlm.nih.gov/Taxonomy/Browser/wwwtax.cgi?mode=Info&amp;id=9716&amp;lvl=3&amp;lin=f&amp;keep=1&amp;srchmode=1&amp;unlock","9716")</f>
        <v>9716</v>
      </c>
      <c r="F3544" t="s">
        <v>96</v>
      </c>
      <c r="G3544" t="str">
        <f>HYPERLINK("http://www.ncbi.nlm.nih.gov/Taxonomy/Browser/wwwtax.cgi?mode=Info&amp;id=9716&amp;lvl=3&amp;lin=f&amp;keep=1&amp;srchmode=1&amp;unlock","Mirounga angustirostris")</f>
        <v>Mirounga angustirostris</v>
      </c>
      <c r="H3544" t="s">
        <v>750</v>
      </c>
      <c r="I3544" t="str">
        <f>HYPERLINK("http://www.ncbi.nlm.nih.gov/protein/XP_054369595.1","ryanodine receptor 3")</f>
        <v>ryanodine receptor 3</v>
      </c>
      <c r="J3544">
        <v>7732.1</v>
      </c>
      <c r="K3544" t="s">
        <v>22</v>
      </c>
      <c r="L3544">
        <v>76</v>
      </c>
      <c r="M3544">
        <v>12.58</v>
      </c>
      <c r="N3544">
        <v>76.099999999999994</v>
      </c>
      <c r="O3544" t="s">
        <v>19</v>
      </c>
      <c r="P3544" t="s">
        <v>1320</v>
      </c>
      <c r="Q3544" t="s">
        <v>19</v>
      </c>
      <c r="R3544" t="str">
        <f>HYPERLINK("https://cfpub.epa.gov/ecotox/explore.cfm?ncbi=9716","Explore in ECOTOX")</f>
        <v>Explore in ECOTOX</v>
      </c>
    </row>
    <row r="3545" spans="1:18" x14ac:dyDescent="0.45">
      <c r="A3545" t="s">
        <v>1265</v>
      </c>
      <c r="B3545">
        <v>8</v>
      </c>
      <c r="C3545" t="str">
        <f>HYPERLINK("http://www.ncbi.nlm.nih.gov/protein/XP_060031163.1","XP_060031163.1")</f>
        <v>XP_060031163.1</v>
      </c>
      <c r="D3545">
        <v>51727</v>
      </c>
      <c r="E3545" t="str">
        <f>HYPERLINK("http://www.ncbi.nlm.nih.gov/Taxonomy/Browser/wwwtax.cgi?mode=Info&amp;id=9365&amp;lvl=3&amp;lin=f&amp;keep=1&amp;srchmode=1&amp;unlock","9365")</f>
        <v>9365</v>
      </c>
      <c r="F3545" t="s">
        <v>96</v>
      </c>
      <c r="G3545" t="str">
        <f>HYPERLINK("http://www.ncbi.nlm.nih.gov/Taxonomy/Browser/wwwtax.cgi?mode=Info&amp;id=9365&amp;lvl=3&amp;lin=f&amp;keep=1&amp;srchmode=1&amp;unlock","Erinaceus europaeus")</f>
        <v>Erinaceus europaeus</v>
      </c>
      <c r="H3545" t="s">
        <v>483</v>
      </c>
      <c r="I3545" t="str">
        <f>HYPERLINK("http://www.ncbi.nlm.nih.gov/protein/XP_060031163.1","ryanodine receptor 3")</f>
        <v>ryanodine receptor 3</v>
      </c>
      <c r="J3545">
        <v>7732.1</v>
      </c>
      <c r="K3545" t="s">
        <v>22</v>
      </c>
      <c r="L3545">
        <v>76</v>
      </c>
      <c r="M3545">
        <v>12.58</v>
      </c>
      <c r="N3545">
        <v>76.099999999999994</v>
      </c>
      <c r="O3545" t="s">
        <v>19</v>
      </c>
      <c r="P3545" t="s">
        <v>1320</v>
      </c>
      <c r="Q3545" t="s">
        <v>19</v>
      </c>
      <c r="R3545" t="str">
        <f>HYPERLINK("https://cfpub.epa.gov/ecotox/explore.cfm?ncbi=9365","Explore in ECOTOX")</f>
        <v>Explore in ECOTOX</v>
      </c>
    </row>
    <row r="3546" spans="1:18" x14ac:dyDescent="0.45">
      <c r="A3546" t="s">
        <v>1265</v>
      </c>
      <c r="B3546">
        <v>8</v>
      </c>
      <c r="C3546" t="str">
        <f>HYPERLINK("http://www.ncbi.nlm.nih.gov/protein/XP_054371000.1","XP_054371000.1")</f>
        <v>XP_054371000.1</v>
      </c>
      <c r="D3546">
        <v>44512</v>
      </c>
      <c r="E3546" t="str">
        <f>HYPERLINK("http://www.ncbi.nlm.nih.gov/Taxonomy/Browser/wwwtax.cgi?mode=Info&amp;id=84834&amp;lvl=3&amp;lin=f&amp;keep=1&amp;srchmode=1&amp;unlock","84834")</f>
        <v>84834</v>
      </c>
      <c r="F3546" t="s">
        <v>241</v>
      </c>
      <c r="G3546" t="str">
        <f>HYPERLINK("http://www.ncbi.nlm.nih.gov/Taxonomy/Browser/wwwtax.cgi?mode=Info&amp;id=84834&amp;lvl=3&amp;lin=f&amp;keep=1&amp;srchmode=1&amp;unlock","Molothrus ater")</f>
        <v>Molothrus ater</v>
      </c>
      <c r="H3546" t="s">
        <v>570</v>
      </c>
      <c r="I3546" t="str">
        <f>HYPERLINK("http://www.ncbi.nlm.nih.gov/protein/XP_054371000.1","LOW QUALITY PROTEIN: ryanodine receptor 3")</f>
        <v>LOW QUALITY PROTEIN: ryanodine receptor 3</v>
      </c>
      <c r="J3546">
        <v>7731.33</v>
      </c>
      <c r="K3546" t="s">
        <v>22</v>
      </c>
      <c r="L3546">
        <v>76</v>
      </c>
      <c r="M3546">
        <v>12.58</v>
      </c>
      <c r="N3546">
        <v>76.09</v>
      </c>
      <c r="O3546" t="s">
        <v>19</v>
      </c>
      <c r="P3546" t="s">
        <v>1320</v>
      </c>
      <c r="Q3546" t="s">
        <v>19</v>
      </c>
      <c r="R3546" t="str">
        <f>HYPERLINK("https://cfpub.epa.gov/ecotox/explore.cfm?ncbi=84834","Explore in ECOTOX")</f>
        <v>Explore in ECOTOX</v>
      </c>
    </row>
    <row r="3547" spans="1:18" x14ac:dyDescent="0.45">
      <c r="A3547" t="s">
        <v>1265</v>
      </c>
      <c r="B3547">
        <v>8</v>
      </c>
      <c r="C3547" t="str">
        <f>HYPERLINK("http://www.ncbi.nlm.nih.gov/protein/XP_045011929.1","XP_045011929.1")</f>
        <v>XP_045011929.1</v>
      </c>
      <c r="D3547">
        <v>45184</v>
      </c>
      <c r="E3547" t="str">
        <f>HYPERLINK("http://www.ncbi.nlm.nih.gov/Taxonomy/Browser/wwwtax.cgi?mode=Info&amp;id=51337&amp;lvl=3&amp;lin=f&amp;keep=1&amp;srchmode=1&amp;unlock","51337")</f>
        <v>51337</v>
      </c>
      <c r="F3547" t="s">
        <v>96</v>
      </c>
      <c r="G3547" t="str">
        <f>HYPERLINK("http://www.ncbi.nlm.nih.gov/Taxonomy/Browser/wwwtax.cgi?mode=Info&amp;id=51337&amp;lvl=3&amp;lin=f&amp;keep=1&amp;srchmode=1&amp;unlock","Jaculus jaculus")</f>
        <v>Jaculus jaculus</v>
      </c>
      <c r="H3547" t="s">
        <v>258</v>
      </c>
      <c r="I3547" t="str">
        <f>HYPERLINK("http://www.ncbi.nlm.nih.gov/protein/XP_045011929.1","ryanodine receptor 3 isoform X6")</f>
        <v>ryanodine receptor 3 isoform X6</v>
      </c>
      <c r="J3547">
        <v>7730.94</v>
      </c>
      <c r="K3547" t="s">
        <v>19</v>
      </c>
      <c r="L3547">
        <v>76</v>
      </c>
      <c r="M3547">
        <v>12.58</v>
      </c>
      <c r="N3547">
        <v>76.09</v>
      </c>
      <c r="O3547" t="s">
        <v>19</v>
      </c>
      <c r="P3547" t="s">
        <v>1320</v>
      </c>
      <c r="Q3547" t="s">
        <v>19</v>
      </c>
      <c r="R3547" t="str">
        <f>HYPERLINK("https://cfpub.epa.gov/ecotox/explore.cfm?ncbi=51337","Explore in ECOTOX")</f>
        <v>Explore in ECOTOX</v>
      </c>
    </row>
    <row r="3548" spans="1:18" x14ac:dyDescent="0.45">
      <c r="A3548" t="s">
        <v>1265</v>
      </c>
      <c r="B3548">
        <v>8</v>
      </c>
      <c r="C3548" t="str">
        <f>HYPERLINK("http://www.ncbi.nlm.nih.gov/protein/XP_009930125.1","XP_009930125.1")</f>
        <v>XP_009930125.1</v>
      </c>
      <c r="D3548">
        <v>27858</v>
      </c>
      <c r="E3548" t="str">
        <f>HYPERLINK("http://www.ncbi.nlm.nih.gov/Taxonomy/Browser/wwwtax.cgi?mode=Info&amp;id=30419&amp;lvl=3&amp;lin=f&amp;keep=1&amp;srchmode=1&amp;unlock","30419")</f>
        <v>30419</v>
      </c>
      <c r="F3548" t="s">
        <v>241</v>
      </c>
      <c r="G3548" t="str">
        <f>HYPERLINK("http://www.ncbi.nlm.nih.gov/Taxonomy/Browser/wwwtax.cgi?mode=Info&amp;id=30419&amp;lvl=3&amp;lin=f&amp;keep=1&amp;srchmode=1&amp;unlock","Opisthocomus hoazin")</f>
        <v>Opisthocomus hoazin</v>
      </c>
      <c r="H3548" t="s">
        <v>346</v>
      </c>
      <c r="I3548" t="str">
        <f>HYPERLINK("http://www.ncbi.nlm.nih.gov/protein/XP_009930125.1","PREDICTED: ryanodine receptor 3")</f>
        <v>PREDICTED: ryanodine receptor 3</v>
      </c>
      <c r="J3548">
        <v>7730.94</v>
      </c>
      <c r="K3548" t="s">
        <v>22</v>
      </c>
      <c r="L3548">
        <v>76</v>
      </c>
      <c r="M3548">
        <v>12.58</v>
      </c>
      <c r="N3548">
        <v>76.09</v>
      </c>
      <c r="O3548" t="s">
        <v>19</v>
      </c>
      <c r="P3548" t="s">
        <v>1320</v>
      </c>
      <c r="Q3548" t="s">
        <v>19</v>
      </c>
      <c r="R3548" t="str">
        <f>HYPERLINK("https://cfpub.epa.gov/ecotox/explore.cfm?ncbi=30419","Explore in ECOTOX")</f>
        <v>Explore in ECOTOX</v>
      </c>
    </row>
    <row r="3549" spans="1:18" x14ac:dyDescent="0.45">
      <c r="A3549" t="s">
        <v>1265</v>
      </c>
      <c r="B3549">
        <v>8</v>
      </c>
      <c r="C3549" t="str">
        <f>HYPERLINK("http://www.ncbi.nlm.nih.gov/protein/XP_030130384.3","XP_030130384.3")</f>
        <v>XP_030130384.3</v>
      </c>
      <c r="D3549">
        <v>43980</v>
      </c>
      <c r="E3549" t="str">
        <f>HYPERLINK("http://www.ncbi.nlm.nih.gov/Taxonomy/Browser/wwwtax.cgi?mode=Info&amp;id=59729&amp;lvl=3&amp;lin=f&amp;keep=1&amp;srchmode=1&amp;unlock","59729")</f>
        <v>59729</v>
      </c>
      <c r="F3549" t="s">
        <v>241</v>
      </c>
      <c r="G3549" t="str">
        <f>HYPERLINK("http://www.ncbi.nlm.nih.gov/Taxonomy/Browser/wwwtax.cgi?mode=Info&amp;id=59729&amp;lvl=3&amp;lin=f&amp;keep=1&amp;srchmode=1&amp;unlock","Taeniopygia guttata")</f>
        <v>Taeniopygia guttata</v>
      </c>
      <c r="H3549" t="s">
        <v>563</v>
      </c>
      <c r="I3549" t="str">
        <f>HYPERLINK("http://www.ncbi.nlm.nih.gov/protein/XP_030130384.3","ryanodine receptor 3 isoform X10")</f>
        <v>ryanodine receptor 3 isoform X10</v>
      </c>
      <c r="J3549">
        <v>7730.94</v>
      </c>
      <c r="K3549" t="s">
        <v>22</v>
      </c>
      <c r="L3549">
        <v>76</v>
      </c>
      <c r="M3549">
        <v>12.58</v>
      </c>
      <c r="N3549">
        <v>76.09</v>
      </c>
      <c r="O3549" t="s">
        <v>19</v>
      </c>
      <c r="P3549" t="s">
        <v>1320</v>
      </c>
      <c r="Q3549" t="s">
        <v>19</v>
      </c>
      <c r="R3549" t="str">
        <f>HYPERLINK("https://cfpub.epa.gov/ecotox/explore.cfm?ncbi=59729","Explore in ECOTOX")</f>
        <v>Explore in ECOTOX</v>
      </c>
    </row>
    <row r="3550" spans="1:18" x14ac:dyDescent="0.45">
      <c r="A3550" t="s">
        <v>1265</v>
      </c>
      <c r="B3550">
        <v>8</v>
      </c>
      <c r="C3550" t="str">
        <f>HYPERLINK("http://www.ncbi.nlm.nih.gov/protein/XP_017909258.1","XP_017909258.1")</f>
        <v>XP_017909258.1</v>
      </c>
      <c r="D3550">
        <v>69243</v>
      </c>
      <c r="E3550" t="str">
        <f>HYPERLINK("http://www.ncbi.nlm.nih.gov/Taxonomy/Browser/wwwtax.cgi?mode=Info&amp;id=9925&amp;lvl=3&amp;lin=f&amp;keep=1&amp;srchmode=1&amp;unlock","9925")</f>
        <v>9925</v>
      </c>
      <c r="F3550" t="s">
        <v>96</v>
      </c>
      <c r="G3550" t="str">
        <f>HYPERLINK("http://www.ncbi.nlm.nih.gov/Taxonomy/Browser/wwwtax.cgi?mode=Info&amp;id=9925&amp;lvl=3&amp;lin=f&amp;keep=1&amp;srchmode=1&amp;unlock","Capra hircus")</f>
        <v>Capra hircus</v>
      </c>
      <c r="H3550" t="s">
        <v>368</v>
      </c>
      <c r="I3550" t="str">
        <f>HYPERLINK("http://www.ncbi.nlm.nih.gov/protein/XP_017909258.1","PREDICTED: ryanodine receptor 3")</f>
        <v>PREDICTED: ryanodine receptor 3</v>
      </c>
      <c r="J3550">
        <v>7730.17</v>
      </c>
      <c r="K3550" t="s">
        <v>22</v>
      </c>
      <c r="L3550">
        <v>76</v>
      </c>
      <c r="M3550">
        <v>12.58</v>
      </c>
      <c r="N3550">
        <v>76.08</v>
      </c>
      <c r="O3550" t="s">
        <v>19</v>
      </c>
      <c r="P3550" t="s">
        <v>1320</v>
      </c>
      <c r="Q3550" t="s">
        <v>19</v>
      </c>
      <c r="R3550" t="str">
        <f>HYPERLINK("https://cfpub.epa.gov/ecotox/explore.cfm?ncbi=9925","Explore in ECOTOX")</f>
        <v>Explore in ECOTOX</v>
      </c>
    </row>
    <row r="3551" spans="1:18" x14ac:dyDescent="0.45">
      <c r="A3551" t="s">
        <v>1265</v>
      </c>
      <c r="B3551">
        <v>8</v>
      </c>
      <c r="C3551" t="str">
        <f>HYPERLINK("http://www.ncbi.nlm.nih.gov/protein/XP_007938712.1","XP_007938712.1")</f>
        <v>XP_007938712.1</v>
      </c>
      <c r="D3551">
        <v>19002</v>
      </c>
      <c r="E3551" t="str">
        <f>HYPERLINK("http://www.ncbi.nlm.nih.gov/Taxonomy/Browser/wwwtax.cgi?mode=Info&amp;id=1230840&amp;lvl=3&amp;lin=f&amp;keep=1&amp;srchmode=1&amp;unlock","1230840")</f>
        <v>1230840</v>
      </c>
      <c r="F3551" t="s">
        <v>96</v>
      </c>
      <c r="G3551" t="str">
        <f>HYPERLINK("http://www.ncbi.nlm.nih.gov/Taxonomy/Browser/wwwtax.cgi?mode=Info&amp;id=1230840&amp;lvl=3&amp;lin=f&amp;keep=1&amp;srchmode=1&amp;unlock","Orycteropus afer afer")</f>
        <v>Orycteropus afer afer</v>
      </c>
      <c r="H3551" t="s">
        <v>469</v>
      </c>
      <c r="I3551" t="str">
        <f>HYPERLINK("http://www.ncbi.nlm.nih.gov/protein/XP_007938712.1","ryanodine receptor 3")</f>
        <v>ryanodine receptor 3</v>
      </c>
      <c r="J3551">
        <v>7730.17</v>
      </c>
      <c r="K3551" t="s">
        <v>22</v>
      </c>
      <c r="L3551">
        <v>76</v>
      </c>
      <c r="M3551">
        <v>12.58</v>
      </c>
      <c r="N3551">
        <v>76.08</v>
      </c>
      <c r="O3551" t="s">
        <v>19</v>
      </c>
      <c r="P3551" t="s">
        <v>1320</v>
      </c>
      <c r="Q3551" t="s">
        <v>19</v>
      </c>
      <c r="R3551" t="str">
        <f>HYPERLINK("https://cfpub.epa.gov/ecotox/explore.cfm?ncbi=1230840","Explore in ECOTOX")</f>
        <v>Explore in ECOTOX</v>
      </c>
    </row>
    <row r="3552" spans="1:18" x14ac:dyDescent="0.45">
      <c r="A3552" t="s">
        <v>1265</v>
      </c>
      <c r="B3552">
        <v>8</v>
      </c>
      <c r="C3552" t="str">
        <f>HYPERLINK("http://www.ncbi.nlm.nih.gov/protein/XP_030806164.1","XP_030806164.1")</f>
        <v>XP_030806164.1</v>
      </c>
      <c r="D3552">
        <v>28938</v>
      </c>
      <c r="E3552" t="str">
        <f>HYPERLINK("http://www.ncbi.nlm.nih.gov/Taxonomy/Browser/wwwtax.cgi?mode=Info&amp;id=87175&amp;lvl=3&amp;lin=f&amp;keep=1&amp;srchmode=1&amp;unlock","87175")</f>
        <v>87175</v>
      </c>
      <c r="F3552" t="s">
        <v>241</v>
      </c>
      <c r="G3552" t="str">
        <f>HYPERLINK("http://www.ncbi.nlm.nih.gov/Taxonomy/Browser/wwwtax.cgi?mode=Info&amp;id=87175&amp;lvl=3&amp;lin=f&amp;keep=1&amp;srchmode=1&amp;unlock","Camarhynchus parvulus")</f>
        <v>Camarhynchus parvulus</v>
      </c>
      <c r="H3552" t="s">
        <v>561</v>
      </c>
      <c r="I3552" t="str">
        <f>HYPERLINK("http://www.ncbi.nlm.nih.gov/protein/XP_030806164.1","ryanodine receptor 3")</f>
        <v>ryanodine receptor 3</v>
      </c>
      <c r="J3552">
        <v>7729.4</v>
      </c>
      <c r="K3552" t="s">
        <v>22</v>
      </c>
      <c r="L3552">
        <v>76</v>
      </c>
      <c r="M3552">
        <v>12.58</v>
      </c>
      <c r="N3552">
        <v>76.069999999999993</v>
      </c>
      <c r="O3552" t="s">
        <v>19</v>
      </c>
      <c r="P3552" t="s">
        <v>1320</v>
      </c>
      <c r="Q3552" t="s">
        <v>19</v>
      </c>
      <c r="R3552" t="str">
        <f>HYPERLINK("https://cfpub.epa.gov/ecotox/explore.cfm?ncbi=87175","Explore in ECOTOX")</f>
        <v>Explore in ECOTOX</v>
      </c>
    </row>
    <row r="3553" spans="1:18" x14ac:dyDescent="0.45">
      <c r="A3553" t="s">
        <v>1265</v>
      </c>
      <c r="B3553">
        <v>8</v>
      </c>
      <c r="C3553" t="str">
        <f>HYPERLINK("http://www.ncbi.nlm.nih.gov/protein/XP_017597430.1","XP_017597430.1")</f>
        <v>XP_017597430.1</v>
      </c>
      <c r="D3553">
        <v>43090</v>
      </c>
      <c r="E3553" t="str">
        <f>HYPERLINK("http://www.ncbi.nlm.nih.gov/Taxonomy/Browser/wwwtax.cgi?mode=Info&amp;id=85066&amp;lvl=3&amp;lin=f&amp;keep=1&amp;srchmode=1&amp;unlock","85066")</f>
        <v>85066</v>
      </c>
      <c r="F3553" t="s">
        <v>241</v>
      </c>
      <c r="G3553" t="str">
        <f>HYPERLINK("http://www.ncbi.nlm.nih.gov/Taxonomy/Browser/wwwtax.cgi?mode=Info&amp;id=85066&amp;lvl=3&amp;lin=f&amp;keep=1&amp;srchmode=1&amp;unlock","Corvus brachyrhynchos")</f>
        <v>Corvus brachyrhynchos</v>
      </c>
      <c r="H3553" t="s">
        <v>734</v>
      </c>
      <c r="I3553" t="str">
        <f>HYPERLINK("http://www.ncbi.nlm.nih.gov/protein/XP_017597430.1","PREDICTED: ryanodine receptor 3 isoform X11")</f>
        <v>PREDICTED: ryanodine receptor 3 isoform X11</v>
      </c>
      <c r="J3553">
        <v>7728.63</v>
      </c>
      <c r="K3553" t="s">
        <v>22</v>
      </c>
      <c r="L3553">
        <v>76</v>
      </c>
      <c r="M3553">
        <v>12.58</v>
      </c>
      <c r="N3553">
        <v>76.06</v>
      </c>
      <c r="O3553" t="s">
        <v>19</v>
      </c>
      <c r="P3553" t="s">
        <v>1320</v>
      </c>
      <c r="Q3553" t="s">
        <v>19</v>
      </c>
      <c r="R3553" t="str">
        <f>HYPERLINK("https://cfpub.epa.gov/ecotox/explore.cfm?ncbi=85066","Explore in ECOTOX")</f>
        <v>Explore in ECOTOX</v>
      </c>
    </row>
    <row r="3554" spans="1:18" x14ac:dyDescent="0.45">
      <c r="A3554" t="s">
        <v>1265</v>
      </c>
      <c r="B3554">
        <v>8</v>
      </c>
      <c r="C3554" t="str">
        <f>HYPERLINK("http://www.ncbi.nlm.nih.gov/protein/XP_023956876.1","XP_023956876.1")</f>
        <v>XP_023956876.1</v>
      </c>
      <c r="D3554">
        <v>57095</v>
      </c>
      <c r="E3554" t="str">
        <f>HYPERLINK("http://www.ncbi.nlm.nih.gov/Taxonomy/Browser/wwwtax.cgi?mode=Info&amp;id=8478&amp;lvl=3&amp;lin=f&amp;keep=1&amp;srchmode=1&amp;unlock","8478")</f>
        <v>8478</v>
      </c>
      <c r="F3554" t="s">
        <v>203</v>
      </c>
      <c r="G3554" t="str">
        <f>HYPERLINK("http://www.ncbi.nlm.nih.gov/Taxonomy/Browser/wwwtax.cgi?mode=Info&amp;id=8478&amp;lvl=3&amp;lin=f&amp;keep=1&amp;srchmode=1&amp;unlock","Chrysemys picta bellii")</f>
        <v>Chrysemys picta bellii</v>
      </c>
      <c r="H3554" t="s">
        <v>326</v>
      </c>
      <c r="I3554" t="str">
        <f>HYPERLINK("http://www.ncbi.nlm.nih.gov/protein/XP_023956876.1","LOW QUALITY PROTEIN: ryanodine receptor 3")</f>
        <v>LOW QUALITY PROTEIN: ryanodine receptor 3</v>
      </c>
      <c r="J3554">
        <v>7728.24</v>
      </c>
      <c r="K3554" t="s">
        <v>22</v>
      </c>
      <c r="L3554">
        <v>76</v>
      </c>
      <c r="M3554">
        <v>12.58</v>
      </c>
      <c r="N3554">
        <v>76.06</v>
      </c>
      <c r="O3554" t="s">
        <v>19</v>
      </c>
      <c r="P3554" t="s">
        <v>1320</v>
      </c>
      <c r="Q3554" t="s">
        <v>19</v>
      </c>
      <c r="R3554" t="str">
        <f>HYPERLINK("https://cfpub.epa.gov/ecotox/explore.cfm?ncbi=8478","Explore in ECOTOX")</f>
        <v>Explore in ECOTOX</v>
      </c>
    </row>
    <row r="3555" spans="1:18" x14ac:dyDescent="0.45">
      <c r="A3555" t="s">
        <v>1265</v>
      </c>
      <c r="B3555">
        <v>8</v>
      </c>
      <c r="C3555" t="str">
        <f>HYPERLINK("http://www.ncbi.nlm.nih.gov/protein/XP_032199073.1","XP_032199073.1")</f>
        <v>XP_032199073.1</v>
      </c>
      <c r="D3555">
        <v>60709</v>
      </c>
      <c r="E3555" t="str">
        <f>HYPERLINK("http://www.ncbi.nlm.nih.gov/Taxonomy/Browser/wwwtax.cgi?mode=Info&amp;id=36723&amp;lvl=3&amp;lin=f&amp;keep=1&amp;srchmode=1&amp;unlock","36723")</f>
        <v>36723</v>
      </c>
      <c r="F3555" t="s">
        <v>96</v>
      </c>
      <c r="G3555" t="str">
        <f>HYPERLINK("http://www.ncbi.nlm.nih.gov/Taxonomy/Browser/wwwtax.cgi?mode=Info&amp;id=36723&amp;lvl=3&amp;lin=f&amp;keep=1&amp;srchmode=1&amp;unlock","Mustela erminea")</f>
        <v>Mustela erminea</v>
      </c>
      <c r="H3555" t="s">
        <v>530</v>
      </c>
      <c r="I3555" t="str">
        <f>HYPERLINK("http://www.ncbi.nlm.nih.gov/protein/XP_032199073.1","ryanodine receptor 3")</f>
        <v>ryanodine receptor 3</v>
      </c>
      <c r="J3555">
        <v>7727.86</v>
      </c>
      <c r="K3555" t="s">
        <v>22</v>
      </c>
      <c r="L3555">
        <v>76</v>
      </c>
      <c r="M3555">
        <v>12.58</v>
      </c>
      <c r="N3555">
        <v>76.06</v>
      </c>
      <c r="O3555" t="s">
        <v>19</v>
      </c>
      <c r="P3555" t="s">
        <v>1320</v>
      </c>
      <c r="Q3555" t="s">
        <v>19</v>
      </c>
      <c r="R3555" t="str">
        <f>HYPERLINK("https://cfpub.epa.gov/ecotox/explore.cfm?ncbi=36723","Explore in ECOTOX")</f>
        <v>Explore in ECOTOX</v>
      </c>
    </row>
    <row r="3556" spans="1:18" x14ac:dyDescent="0.45">
      <c r="A3556" t="s">
        <v>1265</v>
      </c>
      <c r="B3556">
        <v>8</v>
      </c>
      <c r="C3556" t="str">
        <f>HYPERLINK("http://www.ncbi.nlm.nih.gov/protein/XP_025854130.1","XP_025854130.1")</f>
        <v>XP_025854130.1</v>
      </c>
      <c r="D3556">
        <v>38509</v>
      </c>
      <c r="E3556" t="str">
        <f>HYPERLINK("http://www.ncbi.nlm.nih.gov/Taxonomy/Browser/wwwtax.cgi?mode=Info&amp;id=9627&amp;lvl=3&amp;lin=f&amp;keep=1&amp;srchmode=1&amp;unlock","9627")</f>
        <v>9627</v>
      </c>
      <c r="F3556" t="s">
        <v>96</v>
      </c>
      <c r="G3556" t="str">
        <f>HYPERLINK("http://www.ncbi.nlm.nih.gov/Taxonomy/Browser/wwwtax.cgi?mode=Info&amp;id=9627&amp;lvl=3&amp;lin=f&amp;keep=1&amp;srchmode=1&amp;unlock","Vulpes vulpes")</f>
        <v>Vulpes vulpes</v>
      </c>
      <c r="H3556" t="s">
        <v>330</v>
      </c>
      <c r="I3556" t="str">
        <f>HYPERLINK("http://www.ncbi.nlm.nih.gov/protein/XP_025854130.1","ryanodine receptor 3")</f>
        <v>ryanodine receptor 3</v>
      </c>
      <c r="J3556">
        <v>7727.86</v>
      </c>
      <c r="K3556" t="s">
        <v>22</v>
      </c>
      <c r="L3556">
        <v>76</v>
      </c>
      <c r="M3556">
        <v>12.58</v>
      </c>
      <c r="N3556">
        <v>76.06</v>
      </c>
      <c r="O3556" t="s">
        <v>19</v>
      </c>
      <c r="P3556" t="s">
        <v>1320</v>
      </c>
      <c r="Q3556" t="s">
        <v>19</v>
      </c>
      <c r="R3556" t="str">
        <f>HYPERLINK("https://cfpub.epa.gov/ecotox/explore.cfm?ncbi=9627","Explore in ECOTOX")</f>
        <v>Explore in ECOTOX</v>
      </c>
    </row>
    <row r="3557" spans="1:18" x14ac:dyDescent="0.45">
      <c r="A3557" t="s">
        <v>1265</v>
      </c>
      <c r="B3557">
        <v>8</v>
      </c>
      <c r="C3557" t="str">
        <f>HYPERLINK("http://www.ncbi.nlm.nih.gov/protein/XP_041903520.1","XP_041903520.1")</f>
        <v>XP_041903520.1</v>
      </c>
      <c r="D3557">
        <v>41339</v>
      </c>
      <c r="E3557" t="str">
        <f>HYPERLINK("http://www.ncbi.nlm.nih.gov/Taxonomy/Browser/wwwtax.cgi?mode=Info&amp;id=68294&amp;lvl=3&amp;lin=f&amp;keep=1&amp;srchmode=1&amp;unlock","68294")</f>
        <v>68294</v>
      </c>
      <c r="F3557" t="s">
        <v>241</v>
      </c>
      <c r="G3557" t="str">
        <f>HYPERLINK("http://www.ncbi.nlm.nih.gov/Taxonomy/Browser/wwwtax.cgi?mode=Info&amp;id=68294&amp;lvl=3&amp;lin=f&amp;keep=1&amp;srchmode=1&amp;unlock","Corvus kubaryi")</f>
        <v>Corvus kubaryi</v>
      </c>
      <c r="H3557" t="s">
        <v>543</v>
      </c>
      <c r="I3557" t="str">
        <f>HYPERLINK("http://www.ncbi.nlm.nih.gov/protein/XP_041903520.1","ryanodine receptor 3 isoform X13")</f>
        <v>ryanodine receptor 3 isoform X13</v>
      </c>
      <c r="J3557">
        <v>7727.86</v>
      </c>
      <c r="K3557" t="s">
        <v>22</v>
      </c>
      <c r="L3557">
        <v>76</v>
      </c>
      <c r="M3557">
        <v>12.58</v>
      </c>
      <c r="N3557">
        <v>76.06</v>
      </c>
      <c r="O3557" t="s">
        <v>19</v>
      </c>
      <c r="P3557" t="s">
        <v>1320</v>
      </c>
      <c r="Q3557" t="s">
        <v>19</v>
      </c>
      <c r="R3557" t="str">
        <f>HYPERLINK("https://cfpub.epa.gov/ecotox/explore.cfm?ncbi=68294","Explore in ECOTOX")</f>
        <v>Explore in ECOTOX</v>
      </c>
    </row>
    <row r="3558" spans="1:18" x14ac:dyDescent="0.45">
      <c r="A3558" t="s">
        <v>1265</v>
      </c>
      <c r="B3558">
        <v>8</v>
      </c>
      <c r="C3558" t="str">
        <f>HYPERLINK("http://www.ncbi.nlm.nih.gov/protein/XP_061014229.1","XP_061014229.1")</f>
        <v>XP_061014229.1</v>
      </c>
      <c r="D3558">
        <v>48826</v>
      </c>
      <c r="E3558" t="str">
        <f>HYPERLINK("http://www.ncbi.nlm.nih.gov/Taxonomy/Browser/wwwtax.cgi?mode=Info&amp;id=30532&amp;lvl=3&amp;lin=f&amp;keep=1&amp;srchmode=1&amp;unlock","30532")</f>
        <v>30532</v>
      </c>
      <c r="F3558" t="s">
        <v>96</v>
      </c>
      <c r="G3558" t="str">
        <f>HYPERLINK("http://www.ncbi.nlm.nih.gov/Taxonomy/Browser/wwwtax.cgi?mode=Info&amp;id=30532&amp;lvl=3&amp;lin=f&amp;keep=1&amp;srchmode=1&amp;unlock","Dama dama")</f>
        <v>Dama dama</v>
      </c>
      <c r="H3558" t="s">
        <v>364</v>
      </c>
      <c r="I3558" t="str">
        <f>HYPERLINK("http://www.ncbi.nlm.nih.gov/protein/XP_061014229.1","ryanodine receptor 3")</f>
        <v>ryanodine receptor 3</v>
      </c>
      <c r="J3558">
        <v>7727.86</v>
      </c>
      <c r="K3558" t="s">
        <v>22</v>
      </c>
      <c r="L3558">
        <v>76</v>
      </c>
      <c r="M3558">
        <v>12.58</v>
      </c>
      <c r="N3558">
        <v>76.06</v>
      </c>
      <c r="O3558" t="s">
        <v>19</v>
      </c>
      <c r="P3558" t="s">
        <v>1320</v>
      </c>
      <c r="Q3558" t="s">
        <v>19</v>
      </c>
      <c r="R3558" t="str">
        <f>HYPERLINK("https://cfpub.epa.gov/ecotox/explore.cfm?ncbi=30532","Explore in ECOTOX")</f>
        <v>Explore in ECOTOX</v>
      </c>
    </row>
    <row r="3559" spans="1:18" x14ac:dyDescent="0.45">
      <c r="A3559" t="s">
        <v>1265</v>
      </c>
      <c r="B3559">
        <v>8</v>
      </c>
      <c r="C3559" t="str">
        <f>HYPERLINK("http://www.ncbi.nlm.nih.gov/protein/XP_041315857.1","XP_041315857.1")</f>
        <v>XP_041315857.1</v>
      </c>
      <c r="D3559">
        <v>32675</v>
      </c>
      <c r="E3559" t="str">
        <f>HYPERLINK("http://www.ncbi.nlm.nih.gov/Taxonomy/Browser/wwwtax.cgi?mode=Info&amp;id=221976&amp;lvl=3&amp;lin=f&amp;keep=1&amp;srchmode=1&amp;unlock","221976")</f>
        <v>221976</v>
      </c>
      <c r="F3559" t="s">
        <v>241</v>
      </c>
      <c r="G3559" t="str">
        <f>HYPERLINK("http://www.ncbi.nlm.nih.gov/Taxonomy/Browser/wwwtax.cgi?mode=Info&amp;id=221976&amp;lvl=3&amp;lin=f&amp;keep=1&amp;srchmode=1&amp;unlock","Pyrgilauda ruficollis")</f>
        <v>Pyrgilauda ruficollis</v>
      </c>
      <c r="H3559" t="s">
        <v>577</v>
      </c>
      <c r="I3559" t="str">
        <f>HYPERLINK("http://www.ncbi.nlm.nih.gov/protein/XP_041315857.1","ryanodine receptor 3 isoform X1")</f>
        <v>ryanodine receptor 3 isoform X1</v>
      </c>
      <c r="J3559">
        <v>7727.09</v>
      </c>
      <c r="K3559" t="s">
        <v>22</v>
      </c>
      <c r="L3559">
        <v>76</v>
      </c>
      <c r="M3559">
        <v>12.58</v>
      </c>
      <c r="N3559">
        <v>76.05</v>
      </c>
      <c r="O3559" t="s">
        <v>19</v>
      </c>
      <c r="P3559" t="s">
        <v>1320</v>
      </c>
      <c r="Q3559" t="s">
        <v>19</v>
      </c>
      <c r="R3559" t="str">
        <f>HYPERLINK("https://cfpub.epa.gov/ecotox/explore.cfm?ncbi=221976","Explore in ECOTOX")</f>
        <v>Explore in ECOTOX</v>
      </c>
    </row>
    <row r="3560" spans="1:18" x14ac:dyDescent="0.45">
      <c r="A3560" t="s">
        <v>1265</v>
      </c>
      <c r="B3560">
        <v>8</v>
      </c>
      <c r="C3560" t="str">
        <f>HYPERLINK("http://www.ncbi.nlm.nih.gov/protein/XP_054556198.1","XP_054556198.1")</f>
        <v>XP_054556198.1</v>
      </c>
      <c r="D3560">
        <v>46938</v>
      </c>
      <c r="E3560" t="str">
        <f>HYPERLINK("http://www.ncbi.nlm.nih.gov/Taxonomy/Browser/wwwtax.cgi?mode=Info&amp;id=50954&amp;lvl=3&amp;lin=f&amp;keep=1&amp;srchmode=1&amp;unlock","50954")</f>
        <v>50954</v>
      </c>
      <c r="F3560" t="s">
        <v>96</v>
      </c>
      <c r="G3560" t="str">
        <f>HYPERLINK("http://www.ncbi.nlm.nih.gov/Taxonomy/Browser/wwwtax.cgi?mode=Info&amp;id=50954&amp;lvl=3&amp;lin=f&amp;keep=1&amp;srchmode=1&amp;unlock","Talpa occidentalis")</f>
        <v>Talpa occidentalis</v>
      </c>
      <c r="H3560" t="s">
        <v>552</v>
      </c>
      <c r="I3560" t="str">
        <f>HYPERLINK("http://www.ncbi.nlm.nih.gov/protein/XP_054556198.1","ryanodine receptor 3")</f>
        <v>ryanodine receptor 3</v>
      </c>
      <c r="J3560">
        <v>7726.7</v>
      </c>
      <c r="K3560" t="s">
        <v>22</v>
      </c>
      <c r="L3560">
        <v>76</v>
      </c>
      <c r="M3560">
        <v>12.58</v>
      </c>
      <c r="N3560">
        <v>76.040000000000006</v>
      </c>
      <c r="O3560" t="s">
        <v>19</v>
      </c>
      <c r="P3560" t="s">
        <v>1320</v>
      </c>
      <c r="Q3560" t="s">
        <v>19</v>
      </c>
      <c r="R3560" t="str">
        <f>HYPERLINK("https://cfpub.epa.gov/ecotox/explore.cfm?ncbi=50954","Explore in ECOTOX")</f>
        <v>Explore in ECOTOX</v>
      </c>
    </row>
    <row r="3561" spans="1:18" x14ac:dyDescent="0.45">
      <c r="A3561" t="s">
        <v>1265</v>
      </c>
      <c r="B3561">
        <v>8</v>
      </c>
      <c r="C3561" t="str">
        <f>HYPERLINK("http://www.ncbi.nlm.nih.gov/protein/XP_045380144.1","XP_045380144.1")</f>
        <v>XP_045380144.1</v>
      </c>
      <c r="D3561">
        <v>45071</v>
      </c>
      <c r="E3561" t="str">
        <f>HYPERLINK("http://www.ncbi.nlm.nih.gov/Taxonomy/Browser/wwwtax.cgi?mode=Info&amp;id=9837&amp;lvl=3&amp;lin=f&amp;keep=1&amp;srchmode=1&amp;unlock","9837")</f>
        <v>9837</v>
      </c>
      <c r="F3561" t="s">
        <v>96</v>
      </c>
      <c r="G3561" t="str">
        <f>HYPERLINK("http://www.ncbi.nlm.nih.gov/Taxonomy/Browser/wwwtax.cgi?mode=Info&amp;id=9837&amp;lvl=3&amp;lin=f&amp;keep=1&amp;srchmode=1&amp;unlock","Camelus bactrianus")</f>
        <v>Camelus bactrianus</v>
      </c>
      <c r="H3561" t="s">
        <v>486</v>
      </c>
      <c r="I3561" t="str">
        <f>HYPERLINK("http://www.ncbi.nlm.nih.gov/protein/XP_045380144.1","ryanodine receptor 3 isoform X17")</f>
        <v>ryanodine receptor 3 isoform X17</v>
      </c>
      <c r="J3561">
        <v>7726.7</v>
      </c>
      <c r="K3561" t="s">
        <v>22</v>
      </c>
      <c r="L3561">
        <v>76</v>
      </c>
      <c r="M3561">
        <v>12.58</v>
      </c>
      <c r="N3561">
        <v>76.040000000000006</v>
      </c>
      <c r="O3561" t="s">
        <v>19</v>
      </c>
      <c r="P3561" t="s">
        <v>1320</v>
      </c>
      <c r="Q3561" t="s">
        <v>19</v>
      </c>
      <c r="R3561" t="str">
        <f>HYPERLINK("https://cfpub.epa.gov/ecotox/explore.cfm?ncbi=9837","Explore in ECOTOX")</f>
        <v>Explore in ECOTOX</v>
      </c>
    </row>
    <row r="3562" spans="1:18" x14ac:dyDescent="0.45">
      <c r="A3562" t="s">
        <v>1265</v>
      </c>
      <c r="B3562">
        <v>8</v>
      </c>
      <c r="C3562" t="str">
        <f>HYPERLINK("http://www.ncbi.nlm.nih.gov/protein/XP_014105246.1","XP_014105246.1")</f>
        <v>XP_014105246.1</v>
      </c>
      <c r="D3562">
        <v>27658</v>
      </c>
      <c r="E3562" t="str">
        <f>HYPERLINK("http://www.ncbi.nlm.nih.gov/Taxonomy/Browser/wwwtax.cgi?mode=Info&amp;id=181119&amp;lvl=3&amp;lin=f&amp;keep=1&amp;srchmode=1&amp;unlock","181119")</f>
        <v>181119</v>
      </c>
      <c r="F3562" t="s">
        <v>241</v>
      </c>
      <c r="G3562" t="str">
        <f>HYPERLINK("http://www.ncbi.nlm.nih.gov/Taxonomy/Browser/wwwtax.cgi?mode=Info&amp;id=181119&amp;lvl=3&amp;lin=f&amp;keep=1&amp;srchmode=1&amp;unlock","Pseudopodoces humilis")</f>
        <v>Pseudopodoces humilis</v>
      </c>
      <c r="H3562" t="s">
        <v>567</v>
      </c>
      <c r="I3562" t="str">
        <f>HYPERLINK("http://www.ncbi.nlm.nih.gov/protein/XP_014105246.1","PREDICTED: ryanodine receptor 3 isoform X2")</f>
        <v>PREDICTED: ryanodine receptor 3 isoform X2</v>
      </c>
      <c r="J3562">
        <v>7726.32</v>
      </c>
      <c r="K3562" t="s">
        <v>22</v>
      </c>
      <c r="L3562">
        <v>76</v>
      </c>
      <c r="M3562">
        <v>12.58</v>
      </c>
      <c r="N3562">
        <v>76.040000000000006</v>
      </c>
      <c r="O3562" t="s">
        <v>19</v>
      </c>
      <c r="P3562" t="s">
        <v>1320</v>
      </c>
      <c r="Q3562" t="s">
        <v>19</v>
      </c>
      <c r="R3562" t="str">
        <f>HYPERLINK("https://cfpub.epa.gov/ecotox/explore.cfm?ncbi=181119","Explore in ECOTOX")</f>
        <v>Explore in ECOTOX</v>
      </c>
    </row>
    <row r="3563" spans="1:18" x14ac:dyDescent="0.45">
      <c r="A3563" t="s">
        <v>1265</v>
      </c>
      <c r="B3563">
        <v>8</v>
      </c>
      <c r="C3563" t="str">
        <f>HYPERLINK("http://www.ncbi.nlm.nih.gov/protein/XP_059330618.1","XP_059330618.1")</f>
        <v>XP_059330618.1</v>
      </c>
      <c r="D3563">
        <v>28293</v>
      </c>
      <c r="E3563" t="str">
        <f>HYPERLINK("http://www.ncbi.nlm.nih.gov/Taxonomy/Browser/wwwtax.cgi?mode=Info&amp;id=2857394&amp;lvl=3&amp;lin=f&amp;keep=1&amp;srchmode=1&amp;unlock","2857394")</f>
        <v>2857394</v>
      </c>
      <c r="F3563" t="s">
        <v>241</v>
      </c>
      <c r="G3563" t="str">
        <f>HYPERLINK("http://www.ncbi.nlm.nih.gov/Taxonomy/Browser/wwwtax.cgi?mode=Info&amp;id=2857394&amp;lvl=3&amp;lin=f&amp;keep=1&amp;srchmode=1&amp;unlock","Ammospiza nelsoni")</f>
        <v>Ammospiza nelsoni</v>
      </c>
      <c r="H3563" t="s">
        <v>435</v>
      </c>
      <c r="I3563" t="str">
        <f>HYPERLINK("http://www.ncbi.nlm.nih.gov/protein/XP_059330618.1","ryanodine receptor 3")</f>
        <v>ryanodine receptor 3</v>
      </c>
      <c r="J3563">
        <v>7726.32</v>
      </c>
      <c r="K3563" t="s">
        <v>22</v>
      </c>
      <c r="L3563">
        <v>76</v>
      </c>
      <c r="M3563">
        <v>12.58</v>
      </c>
      <c r="N3563">
        <v>76.040000000000006</v>
      </c>
      <c r="O3563" t="s">
        <v>19</v>
      </c>
      <c r="P3563" t="s">
        <v>1320</v>
      </c>
      <c r="Q3563" t="s">
        <v>19</v>
      </c>
      <c r="R3563" t="str">
        <f>HYPERLINK("https://cfpub.epa.gov/ecotox/explore.cfm?ncbi=2857394","Explore in ECOTOX")</f>
        <v>Explore in ECOTOX</v>
      </c>
    </row>
    <row r="3564" spans="1:18" x14ac:dyDescent="0.45">
      <c r="A3564" t="s">
        <v>1265</v>
      </c>
      <c r="B3564">
        <v>8</v>
      </c>
      <c r="C3564" t="str">
        <f>HYPERLINK("http://www.ncbi.nlm.nih.gov/protein/XP_060227649.1","XP_060227649.1")</f>
        <v>XP_060227649.1</v>
      </c>
      <c r="D3564">
        <v>71751</v>
      </c>
      <c r="E3564" t="str">
        <f>HYPERLINK("http://www.ncbi.nlm.nih.gov/Taxonomy/Browser/wwwtax.cgi?mode=Info&amp;id=10047&amp;lvl=3&amp;lin=f&amp;keep=1&amp;srchmode=1&amp;unlock","10047")</f>
        <v>10047</v>
      </c>
      <c r="F3564" t="s">
        <v>96</v>
      </c>
      <c r="G3564" t="str">
        <f>HYPERLINK("http://www.ncbi.nlm.nih.gov/Taxonomy/Browser/wwwtax.cgi?mode=Info&amp;id=10047&amp;lvl=3&amp;lin=f&amp;keep=1&amp;srchmode=1&amp;unlock","Meriones unguiculatus")</f>
        <v>Meriones unguiculatus</v>
      </c>
      <c r="H3564" t="s">
        <v>323</v>
      </c>
      <c r="I3564" t="str">
        <f>HYPERLINK("http://www.ncbi.nlm.nih.gov/protein/XP_060227649.1","ryanodine receptor 3")</f>
        <v>ryanodine receptor 3</v>
      </c>
      <c r="J3564">
        <v>7725.93</v>
      </c>
      <c r="K3564" t="s">
        <v>22</v>
      </c>
      <c r="L3564">
        <v>76</v>
      </c>
      <c r="M3564">
        <v>12.58</v>
      </c>
      <c r="N3564">
        <v>76.040000000000006</v>
      </c>
      <c r="O3564" t="s">
        <v>19</v>
      </c>
      <c r="P3564" t="s">
        <v>1320</v>
      </c>
      <c r="Q3564" t="s">
        <v>19</v>
      </c>
      <c r="R3564" t="str">
        <f>HYPERLINK("https://cfpub.epa.gov/ecotox/explore.cfm?ncbi=10047","Explore in ECOTOX")</f>
        <v>Explore in ECOTOX</v>
      </c>
    </row>
    <row r="3565" spans="1:18" x14ac:dyDescent="0.45">
      <c r="A3565" t="s">
        <v>1265</v>
      </c>
      <c r="B3565">
        <v>8</v>
      </c>
      <c r="C3565" t="str">
        <f>HYPERLINK("http://www.ncbi.nlm.nih.gov/protein/XP_032477612.1","XP_032477612.1")</f>
        <v>XP_032477612.1</v>
      </c>
      <c r="D3565">
        <v>52383</v>
      </c>
      <c r="E3565" t="str">
        <f>HYPERLINK("http://www.ncbi.nlm.nih.gov/Taxonomy/Browser/wwwtax.cgi?mode=Info&amp;id=42100&amp;lvl=3&amp;lin=f&amp;keep=1&amp;srchmode=1&amp;unlock","42100")</f>
        <v>42100</v>
      </c>
      <c r="F3565" t="s">
        <v>96</v>
      </c>
      <c r="G3565" t="str">
        <f>HYPERLINK("http://www.ncbi.nlm.nih.gov/Taxonomy/Browser/wwwtax.cgi?mode=Info&amp;id=42100&amp;lvl=3&amp;lin=f&amp;keep=1&amp;srchmode=1&amp;unlock","Phocoena sinus")</f>
        <v>Phocoena sinus</v>
      </c>
      <c r="H3565" t="s">
        <v>630</v>
      </c>
      <c r="I3565" t="str">
        <f>HYPERLINK("http://www.ncbi.nlm.nih.gov/protein/XP_032477612.1","ryanodine receptor 3")</f>
        <v>ryanodine receptor 3</v>
      </c>
      <c r="J3565">
        <v>7725.93</v>
      </c>
      <c r="K3565" t="s">
        <v>22</v>
      </c>
      <c r="L3565">
        <v>76</v>
      </c>
      <c r="M3565">
        <v>12.58</v>
      </c>
      <c r="N3565">
        <v>76.040000000000006</v>
      </c>
      <c r="O3565" t="s">
        <v>19</v>
      </c>
      <c r="P3565" t="s">
        <v>1320</v>
      </c>
      <c r="Q3565" t="s">
        <v>19</v>
      </c>
      <c r="R3565" t="str">
        <f>HYPERLINK("https://cfpub.epa.gov/ecotox/explore.cfm?ncbi=42100","Explore in ECOTOX")</f>
        <v>Explore in ECOTOX</v>
      </c>
    </row>
    <row r="3566" spans="1:18" x14ac:dyDescent="0.45">
      <c r="A3566" t="s">
        <v>1265</v>
      </c>
      <c r="B3566">
        <v>8</v>
      </c>
      <c r="C3566" t="str">
        <f>HYPERLINK("http://www.ncbi.nlm.nih.gov/protein/XP_051000288.1","XP_051000288.1")</f>
        <v>XP_051000288.1</v>
      </c>
      <c r="D3566">
        <v>33464</v>
      </c>
      <c r="E3566" t="str">
        <f>HYPERLINK("http://www.ncbi.nlm.nih.gov/Taxonomy/Browser/wwwtax.cgi?mode=Info&amp;id=60746&amp;lvl=3&amp;lin=f&amp;keep=1&amp;srchmode=1&amp;unlock","60746")</f>
        <v>60746</v>
      </c>
      <c r="F3566" t="s">
        <v>96</v>
      </c>
      <c r="G3566" t="str">
        <f>HYPERLINK("http://www.ncbi.nlm.nih.gov/Taxonomy/Browser/wwwtax.cgi?mode=Info&amp;id=60746&amp;lvl=3&amp;lin=f&amp;keep=1&amp;srchmode=1&amp;unlock","Acomys russatus")</f>
        <v>Acomys russatus</v>
      </c>
      <c r="H3566" t="s">
        <v>291</v>
      </c>
      <c r="I3566" t="str">
        <f>HYPERLINK("http://www.ncbi.nlm.nih.gov/protein/XP_051000288.1","LOW QUALITY PROTEIN: ryanodine receptor 3")</f>
        <v>LOW QUALITY PROTEIN: ryanodine receptor 3</v>
      </c>
      <c r="J3566">
        <v>7725.55</v>
      </c>
      <c r="K3566" t="s">
        <v>22</v>
      </c>
      <c r="L3566">
        <v>76</v>
      </c>
      <c r="M3566">
        <v>12.58</v>
      </c>
      <c r="N3566">
        <v>76.03</v>
      </c>
      <c r="O3566" t="s">
        <v>19</v>
      </c>
      <c r="P3566" t="s">
        <v>1320</v>
      </c>
      <c r="Q3566" t="s">
        <v>19</v>
      </c>
      <c r="R3566" t="str">
        <f>HYPERLINK("https://cfpub.epa.gov/ecotox/explore.cfm?ncbi=60746","Explore in ECOTOX")</f>
        <v>Explore in ECOTOX</v>
      </c>
    </row>
    <row r="3567" spans="1:18" x14ac:dyDescent="0.45">
      <c r="A3567" t="s">
        <v>1265</v>
      </c>
      <c r="B3567">
        <v>8</v>
      </c>
      <c r="C3567" t="str">
        <f>HYPERLINK("http://www.ncbi.nlm.nih.gov/protein/XP_027725717.1","XP_027725717.1")</f>
        <v>XP_027725717.1</v>
      </c>
      <c r="D3567">
        <v>42743</v>
      </c>
      <c r="E3567" t="str">
        <f>HYPERLINK("http://www.ncbi.nlm.nih.gov/Taxonomy/Browser/wwwtax.cgi?mode=Info&amp;id=29139&amp;lvl=3&amp;lin=f&amp;keep=1&amp;srchmode=1&amp;unlock","29139")</f>
        <v>29139</v>
      </c>
      <c r="F3567" t="s">
        <v>96</v>
      </c>
      <c r="G3567" t="str">
        <f>HYPERLINK("http://www.ncbi.nlm.nih.gov/Taxonomy/Browser/wwwtax.cgi?mode=Info&amp;id=29139&amp;lvl=3&amp;lin=f&amp;keep=1&amp;srchmode=1&amp;unlock","Vombatus ursinus")</f>
        <v>Vombatus ursinus</v>
      </c>
      <c r="H3567" t="s">
        <v>748</v>
      </c>
      <c r="I3567" t="str">
        <f>HYPERLINK("http://www.ncbi.nlm.nih.gov/protein/XP_027725717.1","ryanodine receptor 3")</f>
        <v>ryanodine receptor 3</v>
      </c>
      <c r="J3567">
        <v>7725.16</v>
      </c>
      <c r="K3567" t="s">
        <v>22</v>
      </c>
      <c r="L3567">
        <v>76</v>
      </c>
      <c r="M3567">
        <v>12.58</v>
      </c>
      <c r="N3567">
        <v>76.03</v>
      </c>
      <c r="O3567" t="s">
        <v>19</v>
      </c>
      <c r="P3567" t="s">
        <v>1320</v>
      </c>
      <c r="Q3567" t="s">
        <v>19</v>
      </c>
      <c r="R3567" t="str">
        <f>HYPERLINK("https://cfpub.epa.gov/ecotox/explore.cfm?ncbi=29139","Explore in ECOTOX")</f>
        <v>Explore in ECOTOX</v>
      </c>
    </row>
    <row r="3568" spans="1:18" x14ac:dyDescent="0.45">
      <c r="A3568" t="s">
        <v>1265</v>
      </c>
      <c r="B3568">
        <v>8</v>
      </c>
      <c r="C3568" t="str">
        <f>HYPERLINK("http://www.ncbi.nlm.nih.gov/protein/XP_048162913.1","XP_048162913.1")</f>
        <v>XP_048162913.1</v>
      </c>
      <c r="D3568">
        <v>43175</v>
      </c>
      <c r="E3568" t="str">
        <f>HYPERLINK("http://www.ncbi.nlm.nih.gov/Taxonomy/Browser/wwwtax.cgi?mode=Info&amp;id=134902&amp;lvl=3&amp;lin=f&amp;keep=1&amp;srchmode=1&amp;unlock","134902")</f>
        <v>134902</v>
      </c>
      <c r="F3568" t="s">
        <v>241</v>
      </c>
      <c r="G3568" t="str">
        <f>HYPERLINK("http://www.ncbi.nlm.nih.gov/Taxonomy/Browser/wwwtax.cgi?mode=Info&amp;id=134902&amp;lvl=3&amp;lin=f&amp;keep=1&amp;srchmode=1&amp;unlock","Corvus hawaiiensis")</f>
        <v>Corvus hawaiiensis</v>
      </c>
      <c r="H3568" t="s">
        <v>542</v>
      </c>
      <c r="I3568" t="str">
        <f>HYPERLINK("http://www.ncbi.nlm.nih.gov/protein/XP_048162913.1","ryanodine receptor 3 isoform X11")</f>
        <v>ryanodine receptor 3 isoform X11</v>
      </c>
      <c r="J3568">
        <v>7725.16</v>
      </c>
      <c r="K3568" t="s">
        <v>22</v>
      </c>
      <c r="L3568">
        <v>76</v>
      </c>
      <c r="M3568">
        <v>12.58</v>
      </c>
      <c r="N3568">
        <v>76.03</v>
      </c>
      <c r="O3568" t="s">
        <v>19</v>
      </c>
      <c r="P3568" t="s">
        <v>1320</v>
      </c>
      <c r="Q3568" t="s">
        <v>19</v>
      </c>
      <c r="R3568" t="str">
        <f>HYPERLINK("https://cfpub.epa.gov/ecotox/explore.cfm?ncbi=134902","Explore in ECOTOX")</f>
        <v>Explore in ECOTOX</v>
      </c>
    </row>
    <row r="3569" spans="1:18" x14ac:dyDescent="0.45">
      <c r="A3569" t="s">
        <v>1265</v>
      </c>
      <c r="B3569">
        <v>8</v>
      </c>
      <c r="C3569" t="str">
        <f>HYPERLINK("http://www.ncbi.nlm.nih.gov/protein/XP_026704710.1","XP_026704710.1")</f>
        <v>XP_026704710.1</v>
      </c>
      <c r="D3569">
        <v>27798</v>
      </c>
      <c r="E3569" t="str">
        <f>HYPERLINK("http://www.ncbi.nlm.nih.gov/Taxonomy/Browser/wwwtax.cgi?mode=Info&amp;id=194338&amp;lvl=3&amp;lin=f&amp;keep=1&amp;srchmode=1&amp;unlock","194338")</f>
        <v>194338</v>
      </c>
      <c r="F3569" t="s">
        <v>241</v>
      </c>
      <c r="G3569" t="str">
        <f>HYPERLINK("http://www.ncbi.nlm.nih.gov/Taxonomy/Browser/wwwtax.cgi?mode=Info&amp;id=194338&amp;lvl=3&amp;lin=f&amp;keep=1&amp;srchmode=1&amp;unlock","Athene cunicularia")</f>
        <v>Athene cunicularia</v>
      </c>
      <c r="H3569" t="s">
        <v>571</v>
      </c>
      <c r="I3569" t="str">
        <f>HYPERLINK("http://www.ncbi.nlm.nih.gov/protein/XP_026704710.1","ryanodine receptor 3")</f>
        <v>ryanodine receptor 3</v>
      </c>
      <c r="J3569">
        <v>7724.78</v>
      </c>
      <c r="K3569" t="s">
        <v>22</v>
      </c>
      <c r="L3569">
        <v>76</v>
      </c>
      <c r="M3569">
        <v>12.58</v>
      </c>
      <c r="N3569">
        <v>76.03</v>
      </c>
      <c r="O3569" t="s">
        <v>19</v>
      </c>
      <c r="P3569" t="s">
        <v>1320</v>
      </c>
      <c r="Q3569" t="s">
        <v>19</v>
      </c>
      <c r="R3569" t="str">
        <f>HYPERLINK("https://cfpub.epa.gov/ecotox/explore.cfm?ncbi=194338","Explore in ECOTOX")</f>
        <v>Explore in ECOTOX</v>
      </c>
    </row>
    <row r="3570" spans="1:18" x14ac:dyDescent="0.45">
      <c r="A3570" t="s">
        <v>1265</v>
      </c>
      <c r="B3570">
        <v>8</v>
      </c>
      <c r="C3570" t="str">
        <f>HYPERLINK("http://www.ncbi.nlm.nih.gov/protein/CAI9710721.1","CAI9710721.1")</f>
        <v>CAI9710721.1</v>
      </c>
      <c r="D3570">
        <v>54675</v>
      </c>
      <c r="E3570" t="str">
        <f>HYPERLINK("http://www.ncbi.nlm.nih.gov/Taxonomy/Browser/wwwtax.cgi?mode=Info&amp;id=3082113&amp;lvl=3&amp;lin=f&amp;keep=1&amp;srchmode=1&amp;unlock","3082113")</f>
        <v>3082113</v>
      </c>
      <c r="F3570" t="s">
        <v>96</v>
      </c>
      <c r="G3570" t="str">
        <f>HYPERLINK("http://www.ncbi.nlm.nih.gov/Taxonomy/Browser/wwwtax.cgi?mode=Info&amp;id=3082113&amp;lvl=3&amp;lin=f&amp;keep=1&amp;srchmode=1&amp;unlock","Rangifer tarandus platyrhynchus")</f>
        <v>Rangifer tarandus platyrhynchus</v>
      </c>
      <c r="H3570" t="s">
        <v>398</v>
      </c>
      <c r="I3570" t="str">
        <f>HYPERLINK("http://www.ncbi.nlm.nih.gov/protein/CAI9710721.1","unnamed protein product, partial")</f>
        <v>unnamed protein product, partial</v>
      </c>
      <c r="J3570">
        <v>7724.78</v>
      </c>
      <c r="K3570" t="s">
        <v>22</v>
      </c>
      <c r="L3570">
        <v>76</v>
      </c>
      <c r="M3570">
        <v>12.58</v>
      </c>
      <c r="N3570">
        <v>76.03</v>
      </c>
      <c r="O3570" t="s">
        <v>19</v>
      </c>
      <c r="P3570" t="s">
        <v>1320</v>
      </c>
      <c r="Q3570" t="s">
        <v>19</v>
      </c>
      <c r="R3570" t="str">
        <f>HYPERLINK("https://cfpub.epa.gov/ecotox/explore.cfm?ncbi=3082113","Explore in ECOTOX")</f>
        <v>Explore in ECOTOX</v>
      </c>
    </row>
    <row r="3571" spans="1:18" x14ac:dyDescent="0.45">
      <c r="A3571" t="s">
        <v>1265</v>
      </c>
      <c r="B3571">
        <v>8</v>
      </c>
      <c r="C3571" t="str">
        <f>HYPERLINK("http://www.ncbi.nlm.nih.gov/protein/XP_016016286.2","XP_016016286.2")</f>
        <v>XP_016016286.2</v>
      </c>
      <c r="D3571">
        <v>117129</v>
      </c>
      <c r="E3571" t="str">
        <f>HYPERLINK("http://www.ncbi.nlm.nih.gov/Taxonomy/Browser/wwwtax.cgi?mode=Info&amp;id=9407&amp;lvl=3&amp;lin=f&amp;keep=1&amp;srchmode=1&amp;unlock","9407")</f>
        <v>9407</v>
      </c>
      <c r="F3571" t="s">
        <v>96</v>
      </c>
      <c r="G3571" t="str">
        <f>HYPERLINK("http://www.ncbi.nlm.nih.gov/Taxonomy/Browser/wwwtax.cgi?mode=Info&amp;id=9407&amp;lvl=3&amp;lin=f&amp;keep=1&amp;srchmode=1&amp;unlock","Rousettus aegyptiacus")</f>
        <v>Rousettus aegyptiacus</v>
      </c>
      <c r="H3571" t="s">
        <v>611</v>
      </c>
      <c r="I3571" t="str">
        <f>HYPERLINK("http://www.ncbi.nlm.nih.gov/protein/XP_016016286.2","ryanodine receptor 3")</f>
        <v>ryanodine receptor 3</v>
      </c>
      <c r="J3571">
        <v>7724.78</v>
      </c>
      <c r="K3571" t="s">
        <v>22</v>
      </c>
      <c r="L3571">
        <v>76</v>
      </c>
      <c r="M3571">
        <v>12.58</v>
      </c>
      <c r="N3571">
        <v>76.03</v>
      </c>
      <c r="O3571" t="s">
        <v>19</v>
      </c>
      <c r="P3571" t="s">
        <v>1320</v>
      </c>
      <c r="Q3571" t="s">
        <v>19</v>
      </c>
      <c r="R3571" t="str">
        <f>HYPERLINK("https://cfpub.epa.gov/ecotox/explore.cfm?ncbi=9407","Explore in ECOTOX")</f>
        <v>Explore in ECOTOX</v>
      </c>
    </row>
    <row r="3572" spans="1:18" x14ac:dyDescent="0.45">
      <c r="A3572" t="s">
        <v>1265</v>
      </c>
      <c r="B3572">
        <v>8</v>
      </c>
      <c r="C3572" t="str">
        <f>HYPERLINK("http://www.ncbi.nlm.nih.gov/protein/XP_021394939.1","XP_021394939.1")</f>
        <v>XP_021394939.1</v>
      </c>
      <c r="D3572">
        <v>43823</v>
      </c>
      <c r="E3572" t="str">
        <f>HYPERLINK("http://www.ncbi.nlm.nih.gov/Taxonomy/Browser/wwwtax.cgi?mode=Info&amp;id=299123&amp;lvl=3&amp;lin=f&amp;keep=1&amp;srchmode=1&amp;unlock","299123")</f>
        <v>299123</v>
      </c>
      <c r="F3572" t="s">
        <v>241</v>
      </c>
      <c r="G3572" t="str">
        <f>HYPERLINK("http://www.ncbi.nlm.nih.gov/Taxonomy/Browser/wwwtax.cgi?mode=Info&amp;id=299123&amp;lvl=3&amp;lin=f&amp;keep=1&amp;srchmode=1&amp;unlock","Lonchura striata domestica")</f>
        <v>Lonchura striata domestica</v>
      </c>
      <c r="H3572" t="s">
        <v>566</v>
      </c>
      <c r="I3572" t="str">
        <f>HYPERLINK("http://www.ncbi.nlm.nih.gov/protein/XP_021394939.1","ryanodine receptor 3 isoform X2")</f>
        <v>ryanodine receptor 3 isoform X2</v>
      </c>
      <c r="J3572">
        <v>7724.39</v>
      </c>
      <c r="K3572" t="s">
        <v>22</v>
      </c>
      <c r="L3572">
        <v>76</v>
      </c>
      <c r="M3572">
        <v>12.58</v>
      </c>
      <c r="N3572">
        <v>76.02</v>
      </c>
      <c r="O3572" t="s">
        <v>19</v>
      </c>
      <c r="P3572" t="s">
        <v>1320</v>
      </c>
      <c r="Q3572" t="s">
        <v>19</v>
      </c>
      <c r="R3572" t="str">
        <f>HYPERLINK("https://cfpub.epa.gov/ecotox/explore.cfm?ncbi=299123","Explore in ECOTOX")</f>
        <v>Explore in ECOTOX</v>
      </c>
    </row>
    <row r="3573" spans="1:18" x14ac:dyDescent="0.45">
      <c r="A3573" t="s">
        <v>1265</v>
      </c>
      <c r="B3573">
        <v>8</v>
      </c>
      <c r="C3573" t="str">
        <f>HYPERLINK("http://www.ncbi.nlm.nih.gov/protein/XP_017655619.1","XP_017655619.1")</f>
        <v>XP_017655619.1</v>
      </c>
      <c r="D3573">
        <v>49440</v>
      </c>
      <c r="E3573" t="str">
        <f>HYPERLINK("http://www.ncbi.nlm.nih.gov/Taxonomy/Browser/wwwtax.cgi?mode=Info&amp;id=1026970&amp;lvl=3&amp;lin=f&amp;keep=1&amp;srchmode=1&amp;unlock","1026970")</f>
        <v>1026970</v>
      </c>
      <c r="F3573" t="s">
        <v>96</v>
      </c>
      <c r="G3573" t="str">
        <f>HYPERLINK("http://www.ncbi.nlm.nih.gov/Taxonomy/Browser/wwwtax.cgi?mode=Info&amp;id=1026970&amp;lvl=3&amp;lin=f&amp;keep=1&amp;srchmode=1&amp;unlock","Nannospalax galili")</f>
        <v>Nannospalax galili</v>
      </c>
      <c r="H3573" t="s">
        <v>744</v>
      </c>
      <c r="I3573" t="str">
        <f>HYPERLINK("http://www.ncbi.nlm.nih.gov/protein/XP_017655619.1","ryanodine receptor 3")</f>
        <v>ryanodine receptor 3</v>
      </c>
      <c r="J3573">
        <v>7724.39</v>
      </c>
      <c r="K3573" t="s">
        <v>22</v>
      </c>
      <c r="L3573">
        <v>76</v>
      </c>
      <c r="M3573">
        <v>12.58</v>
      </c>
      <c r="N3573">
        <v>76.02</v>
      </c>
      <c r="O3573" t="s">
        <v>19</v>
      </c>
      <c r="P3573" t="s">
        <v>1320</v>
      </c>
      <c r="Q3573" t="s">
        <v>19</v>
      </c>
      <c r="R3573" t="str">
        <f>HYPERLINK("https://cfpub.epa.gov/ecotox/explore.cfm?ncbi=1026970","Explore in ECOTOX")</f>
        <v>Explore in ECOTOX</v>
      </c>
    </row>
    <row r="3574" spans="1:18" x14ac:dyDescent="0.45">
      <c r="A3574" t="s">
        <v>1265</v>
      </c>
      <c r="B3574">
        <v>8</v>
      </c>
      <c r="C3574" t="str">
        <f>HYPERLINK("http://www.ncbi.nlm.nih.gov/protein/XP_035887266.1","XP_035887266.1")</f>
        <v>XP_035887266.1</v>
      </c>
      <c r="D3574">
        <v>107581</v>
      </c>
      <c r="E3574" t="str">
        <f>HYPERLINK("http://www.ncbi.nlm.nih.gov/Taxonomy/Browser/wwwtax.cgi?mode=Info&amp;id=89673&amp;lvl=3&amp;lin=f&amp;keep=1&amp;srchmode=1&amp;unlock","89673")</f>
        <v>89673</v>
      </c>
      <c r="F3574" t="s">
        <v>96</v>
      </c>
      <c r="G3574" t="str">
        <f>HYPERLINK("http://www.ncbi.nlm.nih.gov/Taxonomy/Browser/wwwtax.cgi?mode=Info&amp;id=89673&amp;lvl=3&amp;lin=f&amp;keep=1&amp;srchmode=1&amp;unlock","Phyllostomus discolor")</f>
        <v>Phyllostomus discolor</v>
      </c>
      <c r="H3574" t="s">
        <v>475</v>
      </c>
      <c r="I3574" t="str">
        <f>HYPERLINK("http://www.ncbi.nlm.nih.gov/protein/XP_035887266.1","LOW QUALITY PROTEIN: ryanodine receptor 3")</f>
        <v>LOW QUALITY PROTEIN: ryanodine receptor 3</v>
      </c>
      <c r="J3574">
        <v>7724.01</v>
      </c>
      <c r="K3574" t="s">
        <v>22</v>
      </c>
      <c r="L3574">
        <v>76</v>
      </c>
      <c r="M3574">
        <v>12.58</v>
      </c>
      <c r="N3574">
        <v>76.02</v>
      </c>
      <c r="O3574" t="s">
        <v>19</v>
      </c>
      <c r="P3574" t="s">
        <v>1320</v>
      </c>
      <c r="Q3574" t="s">
        <v>19</v>
      </c>
      <c r="R3574" t="str">
        <f>HYPERLINK("https://cfpub.epa.gov/ecotox/explore.cfm?ncbi=89673","Explore in ECOTOX")</f>
        <v>Explore in ECOTOX</v>
      </c>
    </row>
    <row r="3575" spans="1:18" x14ac:dyDescent="0.45">
      <c r="A3575" t="s">
        <v>1265</v>
      </c>
      <c r="B3575">
        <v>8</v>
      </c>
      <c r="C3575" t="str">
        <f>HYPERLINK("http://www.ncbi.nlm.nih.gov/protein/XP_029092853.1","XP_029092853.1")</f>
        <v>XP_029092853.1</v>
      </c>
      <c r="D3575">
        <v>65828</v>
      </c>
      <c r="E3575" t="str">
        <f>HYPERLINK("http://www.ncbi.nlm.nih.gov/Taxonomy/Browser/wwwtax.cgi?mode=Info&amp;id=40151&amp;lvl=3&amp;lin=f&amp;keep=1&amp;srchmode=1&amp;unlock","40151")</f>
        <v>40151</v>
      </c>
      <c r="F3575" t="s">
        <v>96</v>
      </c>
      <c r="G3575" t="str">
        <f>HYPERLINK("http://www.ncbi.nlm.nih.gov/Taxonomy/Browser/wwwtax.cgi?mode=Info&amp;id=40151&amp;lvl=3&amp;lin=f&amp;keep=1&amp;srchmode=1&amp;unlock","Monodon monoceros")</f>
        <v>Monodon monoceros</v>
      </c>
      <c r="H3575" t="s">
        <v>591</v>
      </c>
      <c r="I3575" t="str">
        <f>HYPERLINK("http://www.ncbi.nlm.nih.gov/protein/XP_029092853.1","ryanodine receptor 3 isoform X1")</f>
        <v>ryanodine receptor 3 isoform X1</v>
      </c>
      <c r="J3575">
        <v>7724.01</v>
      </c>
      <c r="K3575" t="s">
        <v>22</v>
      </c>
      <c r="L3575">
        <v>76</v>
      </c>
      <c r="M3575">
        <v>12.58</v>
      </c>
      <c r="N3575">
        <v>76.02</v>
      </c>
      <c r="O3575" t="s">
        <v>19</v>
      </c>
      <c r="P3575" t="s">
        <v>1320</v>
      </c>
      <c r="Q3575" t="s">
        <v>19</v>
      </c>
      <c r="R3575" t="str">
        <f>HYPERLINK("https://cfpub.epa.gov/ecotox/explore.cfm?ncbi=40151","Explore in ECOTOX")</f>
        <v>Explore in ECOTOX</v>
      </c>
    </row>
    <row r="3576" spans="1:18" x14ac:dyDescent="0.45">
      <c r="A3576" t="s">
        <v>1265</v>
      </c>
      <c r="B3576">
        <v>8</v>
      </c>
      <c r="C3576" t="str">
        <f>HYPERLINK("http://www.ncbi.nlm.nih.gov/protein/XP_058522099.1","XP_058522099.1")</f>
        <v>XP_058522099.1</v>
      </c>
      <c r="D3576">
        <v>40366</v>
      </c>
      <c r="E3576" t="str">
        <f>HYPERLINK("http://www.ncbi.nlm.nih.gov/Taxonomy/Browser/wwwtax.cgi?mode=Info&amp;id=9978&amp;lvl=3&amp;lin=f&amp;keep=1&amp;srchmode=1&amp;unlock","9978")</f>
        <v>9978</v>
      </c>
      <c r="F3576" t="s">
        <v>96</v>
      </c>
      <c r="G3576" t="str">
        <f>HYPERLINK("http://www.ncbi.nlm.nih.gov/Taxonomy/Browser/wwwtax.cgi?mode=Info&amp;id=9978&amp;lvl=3&amp;lin=f&amp;keep=1&amp;srchmode=1&amp;unlock","Ochotona princeps")</f>
        <v>Ochotona princeps</v>
      </c>
      <c r="H3576" t="s">
        <v>358</v>
      </c>
      <c r="I3576" t="str">
        <f>HYPERLINK("http://www.ncbi.nlm.nih.gov/protein/XP_058522099.1","ryanodine receptor 3")</f>
        <v>ryanodine receptor 3</v>
      </c>
      <c r="J3576">
        <v>7724.01</v>
      </c>
      <c r="K3576" t="s">
        <v>22</v>
      </c>
      <c r="L3576">
        <v>76</v>
      </c>
      <c r="M3576">
        <v>12.58</v>
      </c>
      <c r="N3576">
        <v>76.02</v>
      </c>
      <c r="O3576" t="s">
        <v>19</v>
      </c>
      <c r="P3576" t="s">
        <v>1320</v>
      </c>
      <c r="Q3576" t="s">
        <v>19</v>
      </c>
      <c r="R3576" t="str">
        <f>HYPERLINK("https://cfpub.epa.gov/ecotox/explore.cfm?ncbi=9978","Explore in ECOTOX")</f>
        <v>Explore in ECOTOX</v>
      </c>
    </row>
    <row r="3577" spans="1:18" x14ac:dyDescent="0.45">
      <c r="A3577" t="s">
        <v>1265</v>
      </c>
      <c r="B3577">
        <v>8</v>
      </c>
      <c r="C3577" t="str">
        <f>HYPERLINK("http://www.ncbi.nlm.nih.gov/protein/XP_059858230.1","XP_059858230.1")</f>
        <v>XP_059858230.1</v>
      </c>
      <c r="D3577">
        <v>41088</v>
      </c>
      <c r="E3577" t="str">
        <f>HYPERLINK("http://www.ncbi.nlm.nih.gov/Taxonomy/Browser/wwwtax.cgi?mode=Info&amp;id=9728&amp;lvl=3&amp;lin=f&amp;keep=1&amp;srchmode=1&amp;unlock","9728")</f>
        <v>9728</v>
      </c>
      <c r="F3577" t="s">
        <v>96</v>
      </c>
      <c r="G3577" t="str">
        <f>HYPERLINK("http://www.ncbi.nlm.nih.gov/Taxonomy/Browser/wwwtax.cgi?mode=Info&amp;id=9728&amp;lvl=3&amp;lin=f&amp;keep=1&amp;srchmode=1&amp;unlock","Delphinus delphis")</f>
        <v>Delphinus delphis</v>
      </c>
      <c r="H3577" t="s">
        <v>590</v>
      </c>
      <c r="I3577" t="str">
        <f>HYPERLINK("http://www.ncbi.nlm.nih.gov/protein/XP_059858230.1","ryanodine receptor 3")</f>
        <v>ryanodine receptor 3</v>
      </c>
      <c r="J3577">
        <v>7724.01</v>
      </c>
      <c r="K3577" t="s">
        <v>22</v>
      </c>
      <c r="L3577">
        <v>76</v>
      </c>
      <c r="M3577">
        <v>12.58</v>
      </c>
      <c r="N3577">
        <v>76.02</v>
      </c>
      <c r="O3577" t="s">
        <v>19</v>
      </c>
      <c r="P3577" t="s">
        <v>1320</v>
      </c>
      <c r="Q3577" t="s">
        <v>19</v>
      </c>
      <c r="R3577" t="str">
        <f>HYPERLINK("https://cfpub.epa.gov/ecotox/explore.cfm?ncbi=9728","Explore in ECOTOX")</f>
        <v>Explore in ECOTOX</v>
      </c>
    </row>
    <row r="3578" spans="1:18" x14ac:dyDescent="0.45">
      <c r="A3578" t="s">
        <v>1265</v>
      </c>
      <c r="B3578">
        <v>8</v>
      </c>
      <c r="C3578" t="str">
        <f>HYPERLINK("http://www.ncbi.nlm.nih.gov/protein/XP_059704203.1","XP_059704203.1")</f>
        <v>XP_059704203.1</v>
      </c>
      <c r="D3578">
        <v>38239</v>
      </c>
      <c r="E3578" t="str">
        <f>HYPERLINK("http://www.ncbi.nlm.nih.gov/Taxonomy/Browser/wwwtax.cgi?mode=Info&amp;id=30427&amp;lvl=3&amp;lin=f&amp;keep=1&amp;srchmode=1&amp;unlock","30427")</f>
        <v>30427</v>
      </c>
      <c r="F3578" t="s">
        <v>241</v>
      </c>
      <c r="G3578" t="str">
        <f>HYPERLINK("http://www.ncbi.nlm.nih.gov/Taxonomy/Browser/wwwtax.cgi?mode=Info&amp;id=30427&amp;lvl=3&amp;lin=f&amp;keep=1&amp;srchmode=1&amp;unlock","Haemorhous mexicanus")</f>
        <v>Haemorhous mexicanus</v>
      </c>
      <c r="H3578" t="s">
        <v>729</v>
      </c>
      <c r="I3578" t="str">
        <f>HYPERLINK("http://www.ncbi.nlm.nih.gov/protein/XP_059704203.1","ryanodine receptor 3")</f>
        <v>ryanodine receptor 3</v>
      </c>
      <c r="J3578">
        <v>7723.62</v>
      </c>
      <c r="K3578" t="s">
        <v>22</v>
      </c>
      <c r="L3578">
        <v>76</v>
      </c>
      <c r="M3578">
        <v>12.58</v>
      </c>
      <c r="N3578">
        <v>76.010000000000005</v>
      </c>
      <c r="O3578" t="s">
        <v>19</v>
      </c>
      <c r="P3578" t="s">
        <v>1320</v>
      </c>
      <c r="Q3578" t="s">
        <v>19</v>
      </c>
      <c r="R3578" t="str">
        <f>HYPERLINK("https://cfpub.epa.gov/ecotox/explore.cfm?ncbi=30427","Explore in ECOTOX")</f>
        <v>Explore in ECOTOX</v>
      </c>
    </row>
    <row r="3579" spans="1:18" x14ac:dyDescent="0.45">
      <c r="A3579" t="s">
        <v>1265</v>
      </c>
      <c r="B3579">
        <v>8</v>
      </c>
      <c r="C3579" t="str">
        <f>HYPERLINK("http://www.ncbi.nlm.nih.gov/protein/XP_054131520.1","XP_054131520.1")</f>
        <v>XP_054131520.1</v>
      </c>
      <c r="D3579">
        <v>27149</v>
      </c>
      <c r="E3579" t="str">
        <f>HYPERLINK("http://www.ncbi.nlm.nih.gov/Taxonomy/Browser/wwwtax.cgi?mode=Info&amp;id=40204&amp;lvl=3&amp;lin=f&amp;keep=1&amp;srchmode=1&amp;unlock","40204")</f>
        <v>40204</v>
      </c>
      <c r="F3579" t="s">
        <v>241</v>
      </c>
      <c r="G3579" t="str">
        <f>HYPERLINK("http://www.ncbi.nlm.nih.gov/Taxonomy/Browser/wwwtax.cgi?mode=Info&amp;id=40204&amp;lvl=3&amp;lin=f&amp;keep=1&amp;srchmode=1&amp;unlock","Melozone crissalis")</f>
        <v>Melozone crissalis</v>
      </c>
      <c r="H3579" t="s">
        <v>516</v>
      </c>
      <c r="I3579" t="str">
        <f>HYPERLINK("http://www.ncbi.nlm.nih.gov/protein/XP_054131520.1","ryanodine receptor 3")</f>
        <v>ryanodine receptor 3</v>
      </c>
      <c r="J3579">
        <v>7722.47</v>
      </c>
      <c r="K3579" t="s">
        <v>22</v>
      </c>
      <c r="L3579">
        <v>76</v>
      </c>
      <c r="M3579">
        <v>12.58</v>
      </c>
      <c r="N3579">
        <v>76</v>
      </c>
      <c r="O3579" t="s">
        <v>19</v>
      </c>
      <c r="P3579" t="s">
        <v>1320</v>
      </c>
      <c r="Q3579" t="s">
        <v>19</v>
      </c>
      <c r="R3579" t="str">
        <f>HYPERLINK("https://cfpub.epa.gov/ecotox/explore.cfm?ncbi=40204","Explore in ECOTOX")</f>
        <v>Explore in ECOTOX</v>
      </c>
    </row>
    <row r="3580" spans="1:18" x14ac:dyDescent="0.45">
      <c r="A3580" t="s">
        <v>1265</v>
      </c>
      <c r="B3580">
        <v>8</v>
      </c>
      <c r="C3580" t="str">
        <f>HYPERLINK("http://www.ncbi.nlm.nih.gov/protein/XP_032273122.1","XP_032273122.1")</f>
        <v>XP_032273122.1</v>
      </c>
      <c r="D3580">
        <v>45680</v>
      </c>
      <c r="E3580" t="str">
        <f>HYPERLINK("http://www.ncbi.nlm.nih.gov/Taxonomy/Browser/wwwtax.cgi?mode=Info&amp;id=9720&amp;lvl=3&amp;lin=f&amp;keep=1&amp;srchmode=1&amp;unlock","9720")</f>
        <v>9720</v>
      </c>
      <c r="F3580" t="s">
        <v>96</v>
      </c>
      <c r="G3580" t="str">
        <f>HYPERLINK("http://www.ncbi.nlm.nih.gov/Taxonomy/Browser/wwwtax.cgi?mode=Info&amp;id=9720&amp;lvl=3&amp;lin=f&amp;keep=1&amp;srchmode=1&amp;unlock","Phoca vitulina")</f>
        <v>Phoca vitulina</v>
      </c>
      <c r="H3580" t="s">
        <v>337</v>
      </c>
      <c r="I3580" t="str">
        <f>HYPERLINK("http://www.ncbi.nlm.nih.gov/protein/XP_032273122.1","ryanodine receptor 3")</f>
        <v>ryanodine receptor 3</v>
      </c>
      <c r="J3580">
        <v>7722.08</v>
      </c>
      <c r="K3580" t="s">
        <v>22</v>
      </c>
      <c r="L3580">
        <v>76</v>
      </c>
      <c r="M3580">
        <v>12.58</v>
      </c>
      <c r="N3580">
        <v>76</v>
      </c>
      <c r="O3580" t="s">
        <v>19</v>
      </c>
      <c r="P3580" t="s">
        <v>1320</v>
      </c>
      <c r="Q3580" t="s">
        <v>19</v>
      </c>
      <c r="R3580" t="str">
        <f>HYPERLINK("https://cfpub.epa.gov/ecotox/explore.cfm?ncbi=9720","Explore in ECOTOX")</f>
        <v>Explore in ECOTOX</v>
      </c>
    </row>
    <row r="3581" spans="1:18" x14ac:dyDescent="0.45">
      <c r="A3581" t="s">
        <v>1265</v>
      </c>
      <c r="B3581">
        <v>8</v>
      </c>
      <c r="C3581" t="str">
        <f>HYPERLINK("http://www.ncbi.nlm.nih.gov/protein/XP_048340243.1","XP_048340243.1")</f>
        <v>XP_048340243.1</v>
      </c>
      <c r="D3581">
        <v>38376</v>
      </c>
      <c r="E3581" t="str">
        <f>HYPERLINK("http://www.ncbi.nlm.nih.gov/Taxonomy/Browser/wwwtax.cgi?mode=Info&amp;id=933632&amp;lvl=3&amp;lin=f&amp;keep=1&amp;srchmode=1&amp;unlock","933632")</f>
        <v>933632</v>
      </c>
      <c r="F3581" t="s">
        <v>192</v>
      </c>
      <c r="G3581" t="str">
        <f>HYPERLINK("http://www.ncbi.nlm.nih.gov/Taxonomy/Browser/wwwtax.cgi?mode=Info&amp;id=933632&amp;lvl=3&amp;lin=f&amp;keep=1&amp;srchmode=1&amp;unlock","Sphaerodactylus townsendi")</f>
        <v>Sphaerodactylus townsendi</v>
      </c>
      <c r="H3581" t="s">
        <v>255</v>
      </c>
      <c r="I3581" t="str">
        <f>HYPERLINK("http://www.ncbi.nlm.nih.gov/protein/XP_048340243.1","ryanodine receptor 3")</f>
        <v>ryanodine receptor 3</v>
      </c>
      <c r="J3581">
        <v>7720.54</v>
      </c>
      <c r="K3581" t="s">
        <v>22</v>
      </c>
      <c r="L3581">
        <v>76</v>
      </c>
      <c r="M3581">
        <v>12.58</v>
      </c>
      <c r="N3581">
        <v>75.98</v>
      </c>
      <c r="O3581" t="s">
        <v>19</v>
      </c>
      <c r="P3581" t="s">
        <v>1320</v>
      </c>
      <c r="Q3581" t="s">
        <v>19</v>
      </c>
      <c r="R3581" t="str">
        <f>HYPERLINK("https://cfpub.epa.gov/ecotox/explore.cfm?ncbi=933632","Explore in ECOTOX")</f>
        <v>Explore in ECOTOX</v>
      </c>
    </row>
    <row r="3582" spans="1:18" x14ac:dyDescent="0.45">
      <c r="A3582" t="s">
        <v>1265</v>
      </c>
      <c r="B3582">
        <v>8</v>
      </c>
      <c r="C3582" t="str">
        <f>HYPERLINK("http://www.ncbi.nlm.nih.gov/protein/XP_053925035.1","XP_053925035.1")</f>
        <v>XP_053925035.1</v>
      </c>
      <c r="D3582">
        <v>57483</v>
      </c>
      <c r="E3582" t="str">
        <f>HYPERLINK("http://www.ncbi.nlm.nih.gov/Taxonomy/Browser/wwwtax.cgi?mode=Info&amp;id=55661&amp;lvl=3&amp;lin=f&amp;keep=1&amp;srchmode=1&amp;unlock","55661")</f>
        <v>55661</v>
      </c>
      <c r="F3582" t="s">
        <v>241</v>
      </c>
      <c r="G3582" t="str">
        <f>HYPERLINK("http://www.ncbi.nlm.nih.gov/Taxonomy/Browser/wwwtax.cgi?mode=Info&amp;id=55661&amp;lvl=3&amp;lin=f&amp;keep=1&amp;srchmode=1&amp;unlock","Cuculus canorus")</f>
        <v>Cuculus canorus</v>
      </c>
      <c r="H3582" t="s">
        <v>299</v>
      </c>
      <c r="I3582" t="str">
        <f>HYPERLINK("http://www.ncbi.nlm.nih.gov/protein/XP_053925035.1","ryanodine receptor 3 isoform X5")</f>
        <v>ryanodine receptor 3 isoform X5</v>
      </c>
      <c r="J3582">
        <v>7720.16</v>
      </c>
      <c r="K3582" t="s">
        <v>22</v>
      </c>
      <c r="L3582">
        <v>76</v>
      </c>
      <c r="M3582">
        <v>12.58</v>
      </c>
      <c r="N3582">
        <v>75.98</v>
      </c>
      <c r="O3582" t="s">
        <v>19</v>
      </c>
      <c r="P3582" t="s">
        <v>1320</v>
      </c>
      <c r="Q3582" t="s">
        <v>19</v>
      </c>
      <c r="R3582" t="str">
        <f>HYPERLINK("https://cfpub.epa.gov/ecotox/explore.cfm?ncbi=55661","Explore in ECOTOX")</f>
        <v>Explore in ECOTOX</v>
      </c>
    </row>
    <row r="3583" spans="1:18" x14ac:dyDescent="0.45">
      <c r="A3583" t="s">
        <v>1265</v>
      </c>
      <c r="B3583">
        <v>8</v>
      </c>
      <c r="C3583" t="str">
        <f>HYPERLINK("http://www.ncbi.nlm.nih.gov/protein/XP_015451341.1","XP_015451341.1")</f>
        <v>XP_015451341.1</v>
      </c>
      <c r="D3583">
        <v>59368</v>
      </c>
      <c r="E3583" t="str">
        <f>HYPERLINK("http://www.ncbi.nlm.nih.gov/Taxonomy/Browser/wwwtax.cgi?mode=Info&amp;id=9402&amp;lvl=3&amp;lin=f&amp;keep=1&amp;srchmode=1&amp;unlock","9402")</f>
        <v>9402</v>
      </c>
      <c r="F3583" t="s">
        <v>96</v>
      </c>
      <c r="G3583" t="str">
        <f>HYPERLINK("http://www.ncbi.nlm.nih.gov/Taxonomy/Browser/wwwtax.cgi?mode=Info&amp;id=9402&amp;lvl=3&amp;lin=f&amp;keep=1&amp;srchmode=1&amp;unlock","Pteropus alecto")</f>
        <v>Pteropus alecto</v>
      </c>
      <c r="H3583" t="s">
        <v>450</v>
      </c>
      <c r="I3583" t="str">
        <f>HYPERLINK("http://www.ncbi.nlm.nih.gov/protein/XP_015451341.1","ryanodine receptor 3")</f>
        <v>ryanodine receptor 3</v>
      </c>
      <c r="J3583">
        <v>7719.77</v>
      </c>
      <c r="K3583" t="s">
        <v>22</v>
      </c>
      <c r="L3583">
        <v>76</v>
      </c>
      <c r="M3583">
        <v>12.58</v>
      </c>
      <c r="N3583">
        <v>75.98</v>
      </c>
      <c r="O3583" t="s">
        <v>19</v>
      </c>
      <c r="P3583" t="s">
        <v>1320</v>
      </c>
      <c r="Q3583" t="s">
        <v>19</v>
      </c>
      <c r="R3583" t="str">
        <f>HYPERLINK("https://cfpub.epa.gov/ecotox/explore.cfm?ncbi=9402","Explore in ECOTOX")</f>
        <v>Explore in ECOTOX</v>
      </c>
    </row>
    <row r="3584" spans="1:18" x14ac:dyDescent="0.45">
      <c r="A3584" t="s">
        <v>1265</v>
      </c>
      <c r="B3584">
        <v>8</v>
      </c>
      <c r="C3584" t="str">
        <f>HYPERLINK("http://www.ncbi.nlm.nih.gov/protein/XP_053450056.1","XP_053450056.1")</f>
        <v>XP_053450056.1</v>
      </c>
      <c r="D3584">
        <v>56541</v>
      </c>
      <c r="E3584" t="str">
        <f>HYPERLINK("http://www.ncbi.nlm.nih.gov/Taxonomy/Browser/wwwtax.cgi?mode=Info&amp;id=9470&amp;lvl=3&amp;lin=f&amp;keep=1&amp;srchmode=1&amp;unlock","9470")</f>
        <v>9470</v>
      </c>
      <c r="F3584" t="s">
        <v>96</v>
      </c>
      <c r="G3584" t="str">
        <f>HYPERLINK("http://www.ncbi.nlm.nih.gov/Taxonomy/Browser/wwwtax.cgi?mode=Info&amp;id=9470&amp;lvl=3&amp;lin=f&amp;keep=1&amp;srchmode=1&amp;unlock","Nycticebus coucang")</f>
        <v>Nycticebus coucang</v>
      </c>
      <c r="H3584" t="s">
        <v>290</v>
      </c>
      <c r="I3584" t="str">
        <f>HYPERLINK("http://www.ncbi.nlm.nih.gov/protein/XP_053450056.1","ryanodine receptor 3 isoform X2")</f>
        <v>ryanodine receptor 3 isoform X2</v>
      </c>
      <c r="J3584">
        <v>7719.77</v>
      </c>
      <c r="K3584" t="s">
        <v>22</v>
      </c>
      <c r="L3584">
        <v>76</v>
      </c>
      <c r="M3584">
        <v>12.58</v>
      </c>
      <c r="N3584">
        <v>75.98</v>
      </c>
      <c r="O3584" t="s">
        <v>19</v>
      </c>
      <c r="P3584" t="s">
        <v>1320</v>
      </c>
      <c r="Q3584" t="s">
        <v>19</v>
      </c>
      <c r="R3584" t="str">
        <f>HYPERLINK("https://cfpub.epa.gov/ecotox/explore.cfm?ncbi=9470","Explore in ECOTOX")</f>
        <v>Explore in ECOTOX</v>
      </c>
    </row>
    <row r="3585" spans="1:18" x14ac:dyDescent="0.45">
      <c r="A3585" t="s">
        <v>1265</v>
      </c>
      <c r="B3585">
        <v>8</v>
      </c>
      <c r="C3585" t="str">
        <f>HYPERLINK("http://www.ncbi.nlm.nih.gov/protein/XP_006831873.1","XP_006831873.1")</f>
        <v>XP_006831873.1</v>
      </c>
      <c r="D3585">
        <v>25294</v>
      </c>
      <c r="E3585" t="str">
        <f>HYPERLINK("http://www.ncbi.nlm.nih.gov/Taxonomy/Browser/wwwtax.cgi?mode=Info&amp;id=185453&amp;lvl=3&amp;lin=f&amp;keep=1&amp;srchmode=1&amp;unlock","185453")</f>
        <v>185453</v>
      </c>
      <c r="F3585" t="s">
        <v>96</v>
      </c>
      <c r="G3585" t="str">
        <f>HYPERLINK("http://www.ncbi.nlm.nih.gov/Taxonomy/Browser/wwwtax.cgi?mode=Info&amp;id=185453&amp;lvl=3&amp;lin=f&amp;keep=1&amp;srchmode=1&amp;unlock","Chrysochloris asiatica")</f>
        <v>Chrysochloris asiatica</v>
      </c>
      <c r="H3585" t="s">
        <v>494</v>
      </c>
      <c r="I3585" t="str">
        <f>HYPERLINK("http://www.ncbi.nlm.nih.gov/protein/XP_006831873.1","PREDICTED: ryanodine receptor 3")</f>
        <v>PREDICTED: ryanodine receptor 3</v>
      </c>
      <c r="J3585">
        <v>7719.39</v>
      </c>
      <c r="K3585" t="s">
        <v>22</v>
      </c>
      <c r="L3585">
        <v>76</v>
      </c>
      <c r="M3585">
        <v>12.58</v>
      </c>
      <c r="N3585">
        <v>75.97</v>
      </c>
      <c r="O3585" t="s">
        <v>19</v>
      </c>
      <c r="P3585" t="s">
        <v>1320</v>
      </c>
      <c r="Q3585" t="s">
        <v>19</v>
      </c>
      <c r="R3585" t="str">
        <f>HYPERLINK("https://cfpub.epa.gov/ecotox/explore.cfm?ncbi=185453","Explore in ECOTOX")</f>
        <v>Explore in ECOTOX</v>
      </c>
    </row>
    <row r="3586" spans="1:18" x14ac:dyDescent="0.45">
      <c r="A3586" t="s">
        <v>1265</v>
      </c>
      <c r="B3586">
        <v>8</v>
      </c>
      <c r="C3586" t="str">
        <f>HYPERLINK("http://www.ncbi.nlm.nih.gov/protein/XP_034517097.1","XP_034517097.1")</f>
        <v>XP_034517097.1</v>
      </c>
      <c r="D3586">
        <v>71767</v>
      </c>
      <c r="E3586" t="str">
        <f>HYPERLINK("http://www.ncbi.nlm.nih.gov/Taxonomy/Browser/wwwtax.cgi?mode=Info&amp;id=9646&amp;lvl=3&amp;lin=f&amp;keep=1&amp;srchmode=1&amp;unlock","9646")</f>
        <v>9646</v>
      </c>
      <c r="F3586" t="s">
        <v>96</v>
      </c>
      <c r="G3586" t="str">
        <f>HYPERLINK("http://www.ncbi.nlm.nih.gov/Taxonomy/Browser/wwwtax.cgi?mode=Info&amp;id=9646&amp;lvl=3&amp;lin=f&amp;keep=1&amp;srchmode=1&amp;unlock","Ailuropoda melanoleuca")</f>
        <v>Ailuropoda melanoleuca</v>
      </c>
      <c r="H3586" t="s">
        <v>476</v>
      </c>
      <c r="I3586" t="str">
        <f>HYPERLINK("http://www.ncbi.nlm.nih.gov/protein/XP_034517097.1","ryanodine receptor 3")</f>
        <v>ryanodine receptor 3</v>
      </c>
      <c r="J3586">
        <v>7717.84</v>
      </c>
      <c r="K3586" t="s">
        <v>22</v>
      </c>
      <c r="L3586">
        <v>76</v>
      </c>
      <c r="M3586">
        <v>12.58</v>
      </c>
      <c r="N3586">
        <v>75.959999999999994</v>
      </c>
      <c r="O3586" t="s">
        <v>19</v>
      </c>
      <c r="P3586" t="s">
        <v>1320</v>
      </c>
      <c r="Q3586" t="s">
        <v>19</v>
      </c>
      <c r="R3586" t="str">
        <f>HYPERLINK("https://cfpub.epa.gov/ecotox/explore.cfm?ncbi=9646","Explore in ECOTOX")</f>
        <v>Explore in ECOTOX</v>
      </c>
    </row>
    <row r="3587" spans="1:18" x14ac:dyDescent="0.45">
      <c r="A3587" t="s">
        <v>1265</v>
      </c>
      <c r="B3587">
        <v>8</v>
      </c>
      <c r="C3587" t="str">
        <f>HYPERLINK("http://www.ncbi.nlm.nih.gov/protein/XP_016847140.1","XP_016847140.1")</f>
        <v>XP_016847140.1</v>
      </c>
      <c r="D3587">
        <v>35714</v>
      </c>
      <c r="E3587" t="str">
        <f>HYPERLINK("http://www.ncbi.nlm.nih.gov/Taxonomy/Browser/wwwtax.cgi?mode=Info&amp;id=28377&amp;lvl=3&amp;lin=f&amp;keep=1&amp;srchmode=1&amp;unlock","28377")</f>
        <v>28377</v>
      </c>
      <c r="F3587" t="s">
        <v>192</v>
      </c>
      <c r="G3587" t="str">
        <f>HYPERLINK("http://www.ncbi.nlm.nih.gov/Taxonomy/Browser/wwwtax.cgi?mode=Info&amp;id=28377&amp;lvl=3&amp;lin=f&amp;keep=1&amp;srchmode=1&amp;unlock","Anolis carolinensis")</f>
        <v>Anolis carolinensis</v>
      </c>
      <c r="H3587" t="s">
        <v>194</v>
      </c>
      <c r="I3587" t="str">
        <f>HYPERLINK("http://www.ncbi.nlm.nih.gov/protein/XP_016847140.1","PREDICTED: LOW QUALITY PROTEIN: ryanodine receptor 3")</f>
        <v>PREDICTED: LOW QUALITY PROTEIN: ryanodine receptor 3</v>
      </c>
      <c r="J3587">
        <v>7715.92</v>
      </c>
      <c r="K3587" t="s">
        <v>22</v>
      </c>
      <c r="L3587">
        <v>76</v>
      </c>
      <c r="M3587">
        <v>12.58</v>
      </c>
      <c r="N3587">
        <v>75.94</v>
      </c>
      <c r="O3587" t="s">
        <v>19</v>
      </c>
      <c r="P3587" t="s">
        <v>1320</v>
      </c>
      <c r="Q3587" t="s">
        <v>19</v>
      </c>
      <c r="R3587" t="str">
        <f>HYPERLINK("https://cfpub.epa.gov/ecotox/explore.cfm?ncbi=28377","Explore in ECOTOX")</f>
        <v>Explore in ECOTOX</v>
      </c>
    </row>
    <row r="3588" spans="1:18" x14ac:dyDescent="0.45">
      <c r="A3588" t="s">
        <v>1265</v>
      </c>
      <c r="B3588">
        <v>8</v>
      </c>
      <c r="C3588" t="str">
        <f>HYPERLINK("http://www.ncbi.nlm.nih.gov/protein/XP_019608431.1","XP_019608431.1")</f>
        <v>XP_019608431.1</v>
      </c>
      <c r="D3588">
        <v>44859</v>
      </c>
      <c r="E3588" t="str">
        <f>HYPERLINK("http://www.ncbi.nlm.nih.gov/Taxonomy/Browser/wwwtax.cgi?mode=Info&amp;id=89399&amp;lvl=3&amp;lin=f&amp;keep=1&amp;srchmode=1&amp;unlock","89399")</f>
        <v>89399</v>
      </c>
      <c r="F3588" t="s">
        <v>96</v>
      </c>
      <c r="G3588" t="str">
        <f>HYPERLINK("http://www.ncbi.nlm.nih.gov/Taxonomy/Browser/wwwtax.cgi?mode=Info&amp;id=89399&amp;lvl=3&amp;lin=f&amp;keep=1&amp;srchmode=1&amp;unlock","Rhinolophus sinicus")</f>
        <v>Rhinolophus sinicus</v>
      </c>
      <c r="H3588" t="s">
        <v>383</v>
      </c>
      <c r="I3588" t="str">
        <f>HYPERLINK("http://www.ncbi.nlm.nih.gov/protein/XP_019608431.1","PREDICTED: ryanodine receptor 3 isoform X1")</f>
        <v>PREDICTED: ryanodine receptor 3 isoform X1</v>
      </c>
      <c r="J3588">
        <v>7715.15</v>
      </c>
      <c r="K3588" t="s">
        <v>22</v>
      </c>
      <c r="L3588">
        <v>76</v>
      </c>
      <c r="M3588">
        <v>12.58</v>
      </c>
      <c r="N3588">
        <v>75.930000000000007</v>
      </c>
      <c r="O3588" t="s">
        <v>19</v>
      </c>
      <c r="P3588" t="s">
        <v>1320</v>
      </c>
      <c r="Q3588" t="s">
        <v>19</v>
      </c>
      <c r="R3588" t="str">
        <f>HYPERLINK("https://cfpub.epa.gov/ecotox/explore.cfm?ncbi=89399","Explore in ECOTOX")</f>
        <v>Explore in ECOTOX</v>
      </c>
    </row>
    <row r="3589" spans="1:18" x14ac:dyDescent="0.45">
      <c r="A3589" t="s">
        <v>1265</v>
      </c>
      <c r="B3589">
        <v>8</v>
      </c>
      <c r="C3589" t="str">
        <f>HYPERLINK("http://www.ncbi.nlm.nih.gov/protein/XP_055667406.1","XP_055667406.1")</f>
        <v>XP_055667406.1</v>
      </c>
      <c r="D3589">
        <v>42171</v>
      </c>
      <c r="E3589" t="str">
        <f>HYPERLINK("http://www.ncbi.nlm.nih.gov/Taxonomy/Browser/wwwtax.cgi?mode=Info&amp;id=8954&amp;lvl=3&amp;lin=f&amp;keep=1&amp;srchmode=1&amp;unlock","8954")</f>
        <v>8954</v>
      </c>
      <c r="F3589" t="s">
        <v>241</v>
      </c>
      <c r="G3589" t="str">
        <f>HYPERLINK("http://www.ncbi.nlm.nih.gov/Taxonomy/Browser/wwwtax.cgi?mode=Info&amp;id=8954&amp;lvl=3&amp;lin=f&amp;keep=1&amp;srchmode=1&amp;unlock","Falco peregrinus")</f>
        <v>Falco peregrinus</v>
      </c>
      <c r="H3589" t="s">
        <v>267</v>
      </c>
      <c r="I3589" t="str">
        <f>HYPERLINK("http://www.ncbi.nlm.nih.gov/protein/XP_055667406.1","ryanodine receptor 3")</f>
        <v>ryanodine receptor 3</v>
      </c>
      <c r="J3589">
        <v>7715.15</v>
      </c>
      <c r="K3589" t="s">
        <v>22</v>
      </c>
      <c r="L3589">
        <v>76</v>
      </c>
      <c r="M3589">
        <v>12.58</v>
      </c>
      <c r="N3589">
        <v>75.930000000000007</v>
      </c>
      <c r="O3589" t="s">
        <v>19</v>
      </c>
      <c r="P3589" t="s">
        <v>1320</v>
      </c>
      <c r="Q3589" t="s">
        <v>19</v>
      </c>
      <c r="R3589" t="str">
        <f>HYPERLINK("https://cfpub.epa.gov/ecotox/explore.cfm?ncbi=8954","Explore in ECOTOX")</f>
        <v>Explore in ECOTOX</v>
      </c>
    </row>
    <row r="3590" spans="1:18" x14ac:dyDescent="0.45">
      <c r="A3590" t="s">
        <v>1265</v>
      </c>
      <c r="B3590">
        <v>8</v>
      </c>
      <c r="C3590" t="str">
        <f>HYPERLINK("http://www.ncbi.nlm.nih.gov/protein/XP_032963589.1","XP_032963589.1")</f>
        <v>XP_032963589.1</v>
      </c>
      <c r="D3590">
        <v>90577</v>
      </c>
      <c r="E3590" t="str">
        <f>HYPERLINK("http://www.ncbi.nlm.nih.gov/Taxonomy/Browser/wwwtax.cgi?mode=Info&amp;id=59479&amp;lvl=3&amp;lin=f&amp;keep=1&amp;srchmode=1&amp;unlock","59479")</f>
        <v>59479</v>
      </c>
      <c r="F3590" t="s">
        <v>96</v>
      </c>
      <c r="G3590" t="str">
        <f>HYPERLINK("http://www.ncbi.nlm.nih.gov/Taxonomy/Browser/wwwtax.cgi?mode=Info&amp;id=59479&amp;lvl=3&amp;lin=f&amp;keep=1&amp;srchmode=1&amp;unlock","Rhinolophus ferrumequinum")</f>
        <v>Rhinolophus ferrumequinum</v>
      </c>
      <c r="H3590" t="s">
        <v>322</v>
      </c>
      <c r="I3590" t="str">
        <f>HYPERLINK("http://www.ncbi.nlm.nih.gov/protein/XP_032963589.1","ryanodine receptor 3")</f>
        <v>ryanodine receptor 3</v>
      </c>
      <c r="J3590">
        <v>7714.76</v>
      </c>
      <c r="K3590" t="s">
        <v>22</v>
      </c>
      <c r="L3590">
        <v>76</v>
      </c>
      <c r="M3590">
        <v>12.58</v>
      </c>
      <c r="N3590">
        <v>75.930000000000007</v>
      </c>
      <c r="O3590" t="s">
        <v>19</v>
      </c>
      <c r="P3590" t="s">
        <v>1320</v>
      </c>
      <c r="Q3590" t="s">
        <v>19</v>
      </c>
      <c r="R3590" t="str">
        <f>HYPERLINK("https://cfpub.epa.gov/ecotox/explore.cfm?ncbi=59479","Explore in ECOTOX")</f>
        <v>Explore in ECOTOX</v>
      </c>
    </row>
    <row r="3591" spans="1:18" x14ac:dyDescent="0.45">
      <c r="A3591" t="s">
        <v>1265</v>
      </c>
      <c r="B3591">
        <v>8</v>
      </c>
      <c r="C3591" t="str">
        <f>HYPERLINK("http://www.ncbi.nlm.nih.gov/protein/XP_014724698.1","XP_014724698.1")</f>
        <v>XP_014724698.1</v>
      </c>
      <c r="D3591">
        <v>26794</v>
      </c>
      <c r="E3591" t="str">
        <f>HYPERLINK("http://www.ncbi.nlm.nih.gov/Taxonomy/Browser/wwwtax.cgi?mode=Info&amp;id=9172&amp;lvl=3&amp;lin=f&amp;keep=1&amp;srchmode=1&amp;unlock","9172")</f>
        <v>9172</v>
      </c>
      <c r="F3591" t="s">
        <v>241</v>
      </c>
      <c r="G3591" t="str">
        <f>HYPERLINK("http://www.ncbi.nlm.nih.gov/Taxonomy/Browser/wwwtax.cgi?mode=Info&amp;id=9172&amp;lvl=3&amp;lin=f&amp;keep=1&amp;srchmode=1&amp;unlock","Sturnus vulgaris")</f>
        <v>Sturnus vulgaris</v>
      </c>
      <c r="H3591" t="s">
        <v>588</v>
      </c>
      <c r="I3591" t="str">
        <f>HYPERLINK("http://www.ncbi.nlm.nih.gov/protein/XP_014724698.1","PREDICTED: ryanodine receptor 3")</f>
        <v>PREDICTED: ryanodine receptor 3</v>
      </c>
      <c r="J3591">
        <v>7714.76</v>
      </c>
      <c r="K3591" t="s">
        <v>22</v>
      </c>
      <c r="L3591">
        <v>76</v>
      </c>
      <c r="M3591">
        <v>12.58</v>
      </c>
      <c r="N3591">
        <v>75.930000000000007</v>
      </c>
      <c r="O3591" t="s">
        <v>19</v>
      </c>
      <c r="P3591" t="s">
        <v>1320</v>
      </c>
      <c r="Q3591" t="s">
        <v>19</v>
      </c>
      <c r="R3591" t="str">
        <f>HYPERLINK("https://cfpub.epa.gov/ecotox/explore.cfm?ncbi=9172","Explore in ECOTOX")</f>
        <v>Explore in ECOTOX</v>
      </c>
    </row>
    <row r="3592" spans="1:18" x14ac:dyDescent="0.45">
      <c r="A3592" t="s">
        <v>1265</v>
      </c>
      <c r="B3592">
        <v>8</v>
      </c>
      <c r="C3592" t="str">
        <f>HYPERLINK("http://www.ncbi.nlm.nih.gov/protein/XP_035302943.1","XP_035302943.1")</f>
        <v>XP_035302943.1</v>
      </c>
      <c r="D3592">
        <v>138095</v>
      </c>
      <c r="E3592" t="str">
        <f>HYPERLINK("http://www.ncbi.nlm.nih.gov/Taxonomy/Browser/wwwtax.cgi?mode=Info&amp;id=10029&amp;lvl=3&amp;lin=f&amp;keep=1&amp;srchmode=1&amp;unlock","10029")</f>
        <v>10029</v>
      </c>
      <c r="F3592" t="s">
        <v>96</v>
      </c>
      <c r="G3592" t="str">
        <f>HYPERLINK("http://www.ncbi.nlm.nih.gov/Taxonomy/Browser/wwwtax.cgi?mode=Info&amp;id=10029&amp;lvl=3&amp;lin=f&amp;keep=1&amp;srchmode=1&amp;unlock","Cricetulus griseus")</f>
        <v>Cricetulus griseus</v>
      </c>
      <c r="H3592" t="s">
        <v>360</v>
      </c>
      <c r="I3592" t="str">
        <f>HYPERLINK("http://www.ncbi.nlm.nih.gov/protein/XP_035302943.1","LOW QUALITY PROTEIN: ryanodine receptor 3 isoform X2")</f>
        <v>LOW QUALITY PROTEIN: ryanodine receptor 3 isoform X2</v>
      </c>
      <c r="J3592">
        <v>7714.38</v>
      </c>
      <c r="K3592" t="s">
        <v>22</v>
      </c>
      <c r="L3592">
        <v>76</v>
      </c>
      <c r="M3592">
        <v>12.58</v>
      </c>
      <c r="N3592">
        <v>75.92</v>
      </c>
      <c r="O3592" t="s">
        <v>19</v>
      </c>
      <c r="P3592" t="s">
        <v>1320</v>
      </c>
      <c r="Q3592" t="s">
        <v>19</v>
      </c>
      <c r="R3592" t="str">
        <f>HYPERLINK("https://cfpub.epa.gov/ecotox/explore.cfm?ncbi=10029","Explore in ECOTOX")</f>
        <v>Explore in ECOTOX</v>
      </c>
    </row>
    <row r="3593" spans="1:18" x14ac:dyDescent="0.45">
      <c r="A3593" t="s">
        <v>1265</v>
      </c>
      <c r="B3593">
        <v>8</v>
      </c>
      <c r="C3593" t="str">
        <f>HYPERLINK("http://www.ncbi.nlm.nih.gov/protein/XP_004409092.1","XP_004409092.1")</f>
        <v>XP_004409092.1</v>
      </c>
      <c r="D3593">
        <v>31383</v>
      </c>
      <c r="E3593" t="str">
        <f>HYPERLINK("http://www.ncbi.nlm.nih.gov/Taxonomy/Browser/wwwtax.cgi?mode=Info&amp;id=9708&amp;lvl=3&amp;lin=f&amp;keep=1&amp;srchmode=1&amp;unlock","9708")</f>
        <v>9708</v>
      </c>
      <c r="F3593" t="s">
        <v>96</v>
      </c>
      <c r="G3593" t="str">
        <f>HYPERLINK("http://www.ncbi.nlm.nih.gov/Taxonomy/Browser/wwwtax.cgi?mode=Info&amp;id=9708&amp;lvl=3&amp;lin=f&amp;keep=1&amp;srchmode=1&amp;unlock","Odobenus rosmarus divergens")</f>
        <v>Odobenus rosmarus divergens</v>
      </c>
      <c r="H3593" t="s">
        <v>751</v>
      </c>
      <c r="I3593" t="str">
        <f>HYPERLINK("http://www.ncbi.nlm.nih.gov/protein/XP_004409092.1","PREDICTED: ryanodine receptor 3")</f>
        <v>PREDICTED: ryanodine receptor 3</v>
      </c>
      <c r="J3593">
        <v>7714.38</v>
      </c>
      <c r="K3593" t="s">
        <v>22</v>
      </c>
      <c r="L3593">
        <v>76</v>
      </c>
      <c r="M3593">
        <v>12.58</v>
      </c>
      <c r="N3593">
        <v>75.92</v>
      </c>
      <c r="O3593" t="s">
        <v>19</v>
      </c>
      <c r="P3593" t="s">
        <v>1320</v>
      </c>
      <c r="Q3593" t="s">
        <v>19</v>
      </c>
      <c r="R3593" t="str">
        <f>HYPERLINK("https://cfpub.epa.gov/ecotox/explore.cfm?ncbi=9708","Explore in ECOTOX")</f>
        <v>Explore in ECOTOX</v>
      </c>
    </row>
    <row r="3594" spans="1:18" x14ac:dyDescent="0.45">
      <c r="A3594" t="s">
        <v>1265</v>
      </c>
      <c r="B3594">
        <v>8</v>
      </c>
      <c r="C3594" t="str">
        <f>HYPERLINK("http://www.ncbi.nlm.nih.gov/protein/XP_037995084.1","XP_037995084.1")</f>
        <v>XP_037995084.1</v>
      </c>
      <c r="D3594">
        <v>42237</v>
      </c>
      <c r="E3594" t="str">
        <f>HYPERLINK("http://www.ncbi.nlm.nih.gov/Taxonomy/Browser/wwwtax.cgi?mode=Info&amp;id=1094192&amp;lvl=3&amp;lin=f&amp;keep=1&amp;srchmode=1&amp;unlock","1094192")</f>
        <v>1094192</v>
      </c>
      <c r="F3594" t="s">
        <v>241</v>
      </c>
      <c r="G3594" t="str">
        <f>HYPERLINK("http://www.ncbi.nlm.nih.gov/Taxonomy/Browser/wwwtax.cgi?mode=Info&amp;id=1094192&amp;lvl=3&amp;lin=f&amp;keep=1&amp;srchmode=1&amp;unlock","Motacilla alba alba")</f>
        <v>Motacilla alba alba</v>
      </c>
      <c r="H3594" t="s">
        <v>558</v>
      </c>
      <c r="I3594" t="str">
        <f>HYPERLINK("http://www.ncbi.nlm.nih.gov/protein/XP_037995084.1","ryanodine receptor 3 isoform X5")</f>
        <v>ryanodine receptor 3 isoform X5</v>
      </c>
      <c r="J3594">
        <v>7713.99</v>
      </c>
      <c r="K3594" t="s">
        <v>22</v>
      </c>
      <c r="L3594">
        <v>76</v>
      </c>
      <c r="M3594">
        <v>12.58</v>
      </c>
      <c r="N3594">
        <v>75.92</v>
      </c>
      <c r="O3594" t="s">
        <v>19</v>
      </c>
      <c r="P3594" t="s">
        <v>1320</v>
      </c>
      <c r="Q3594" t="s">
        <v>19</v>
      </c>
      <c r="R3594" t="str">
        <f>HYPERLINK("https://cfpub.epa.gov/ecotox/explore.cfm?ncbi=1094192","Explore in ECOTOX")</f>
        <v>Explore in ECOTOX</v>
      </c>
    </row>
    <row r="3595" spans="1:18" x14ac:dyDescent="0.45">
      <c r="A3595" t="s">
        <v>1265</v>
      </c>
      <c r="B3595">
        <v>8</v>
      </c>
      <c r="C3595" t="str">
        <f>HYPERLINK("http://www.ncbi.nlm.nih.gov/protein/XP_037250808.1","XP_037250808.1")</f>
        <v>XP_037250808.1</v>
      </c>
      <c r="D3595">
        <v>41451</v>
      </c>
      <c r="E3595" t="str">
        <f>HYPERLINK("http://www.ncbi.nlm.nih.gov/Taxonomy/Browser/wwwtax.cgi?mode=Info&amp;id=120794&amp;lvl=3&amp;lin=f&amp;keep=1&amp;srchmode=1&amp;unlock","120794")</f>
        <v>120794</v>
      </c>
      <c r="F3595" t="s">
        <v>241</v>
      </c>
      <c r="G3595" t="str">
        <f>HYPERLINK("http://www.ncbi.nlm.nih.gov/Taxonomy/Browser/wwwtax.cgi?mode=Info&amp;id=120794&amp;lvl=3&amp;lin=f&amp;keep=1&amp;srchmode=1&amp;unlock","Falco rusticolus")</f>
        <v>Falco rusticolus</v>
      </c>
      <c r="H3595" t="s">
        <v>263</v>
      </c>
      <c r="I3595" t="str">
        <f>HYPERLINK("http://www.ncbi.nlm.nih.gov/protein/XP_037250808.1","ryanodine receptor 3")</f>
        <v>ryanodine receptor 3</v>
      </c>
      <c r="J3595">
        <v>7713.22</v>
      </c>
      <c r="K3595" t="s">
        <v>22</v>
      </c>
      <c r="L3595">
        <v>76</v>
      </c>
      <c r="M3595">
        <v>12.58</v>
      </c>
      <c r="N3595">
        <v>75.91</v>
      </c>
      <c r="O3595" t="s">
        <v>19</v>
      </c>
      <c r="P3595" t="s">
        <v>1320</v>
      </c>
      <c r="Q3595" t="s">
        <v>19</v>
      </c>
      <c r="R3595" t="str">
        <f>HYPERLINK("https://cfpub.epa.gov/ecotox/explore.cfm?ncbi=120794","Explore in ECOTOX")</f>
        <v>Explore in ECOTOX</v>
      </c>
    </row>
    <row r="3596" spans="1:18" x14ac:dyDescent="0.45">
      <c r="A3596" t="s">
        <v>1265</v>
      </c>
      <c r="B3596">
        <v>8</v>
      </c>
      <c r="C3596" t="str">
        <f>HYPERLINK("http://www.ncbi.nlm.nih.gov/protein/XP_050653545.1","XP_050653545.1")</f>
        <v>XP_050653545.1</v>
      </c>
      <c r="D3596">
        <v>62468</v>
      </c>
      <c r="E3596" t="str">
        <f>HYPERLINK("http://www.ncbi.nlm.nih.gov/Taxonomy/Browser/wwwtax.cgi?mode=Info&amp;id=257877&amp;lvl=3&amp;lin=f&amp;keep=1&amp;srchmode=1&amp;unlock","257877")</f>
        <v>257877</v>
      </c>
      <c r="F3596" t="s">
        <v>96</v>
      </c>
      <c r="G3596" t="str">
        <f>HYPERLINK("http://www.ncbi.nlm.nih.gov/Taxonomy/Browser/wwwtax.cgi?mode=Info&amp;id=257877&amp;lvl=3&amp;lin=f&amp;keep=1&amp;srchmode=1&amp;unlock","Macaca thibetana thibetana")</f>
        <v>Macaca thibetana thibetana</v>
      </c>
      <c r="H3596" t="s">
        <v>329</v>
      </c>
      <c r="I3596" t="str">
        <f>HYPERLINK("http://www.ncbi.nlm.nih.gov/protein/XP_050653545.1","ryanodine receptor 3")</f>
        <v>ryanodine receptor 3</v>
      </c>
      <c r="J3596">
        <v>7713.22</v>
      </c>
      <c r="K3596" t="s">
        <v>19</v>
      </c>
      <c r="L3596">
        <v>76</v>
      </c>
      <c r="M3596">
        <v>12.58</v>
      </c>
      <c r="N3596">
        <v>75.91</v>
      </c>
      <c r="O3596" t="s">
        <v>19</v>
      </c>
      <c r="P3596" t="s">
        <v>1320</v>
      </c>
      <c r="Q3596" t="s">
        <v>19</v>
      </c>
      <c r="R3596" t="str">
        <f>HYPERLINK("https://cfpub.epa.gov/ecotox/explore.cfm?ncbi=257877","Explore in ECOTOX")</f>
        <v>Explore in ECOTOX</v>
      </c>
    </row>
    <row r="3597" spans="1:18" x14ac:dyDescent="0.45">
      <c r="A3597" t="s">
        <v>1265</v>
      </c>
      <c r="B3597">
        <v>8</v>
      </c>
      <c r="C3597" t="str">
        <f>HYPERLINK("http://www.ncbi.nlm.nih.gov/protein/XP_027498132.1","XP_027498132.1")</f>
        <v>XP_027498132.1</v>
      </c>
      <c r="D3597">
        <v>39234</v>
      </c>
      <c r="E3597" t="str">
        <f>HYPERLINK("http://www.ncbi.nlm.nih.gov/Taxonomy/Browser/wwwtax.cgi?mode=Info&amp;id=415028&amp;lvl=3&amp;lin=f&amp;keep=1&amp;srchmode=1&amp;unlock","415028")</f>
        <v>415028</v>
      </c>
      <c r="F3597" t="s">
        <v>241</v>
      </c>
      <c r="G3597" t="str">
        <f>HYPERLINK("http://www.ncbi.nlm.nih.gov/Taxonomy/Browser/wwwtax.cgi?mode=Info&amp;id=415028&amp;lvl=3&amp;lin=f&amp;keep=1&amp;srchmode=1&amp;unlock","Corapipo altera")</f>
        <v>Corapipo altera</v>
      </c>
      <c r="H3597" t="s">
        <v>252</v>
      </c>
      <c r="I3597" t="str">
        <f>HYPERLINK("http://www.ncbi.nlm.nih.gov/protein/XP_027498132.1","ryanodine receptor 3 isoform X4")</f>
        <v>ryanodine receptor 3 isoform X4</v>
      </c>
      <c r="J3597">
        <v>7712.84</v>
      </c>
      <c r="K3597" t="s">
        <v>22</v>
      </c>
      <c r="L3597">
        <v>76</v>
      </c>
      <c r="M3597">
        <v>12.58</v>
      </c>
      <c r="N3597">
        <v>75.91</v>
      </c>
      <c r="O3597" t="s">
        <v>19</v>
      </c>
      <c r="P3597" t="s">
        <v>1320</v>
      </c>
      <c r="Q3597" t="s">
        <v>19</v>
      </c>
      <c r="R3597" t="str">
        <f>HYPERLINK("https://cfpub.epa.gov/ecotox/explore.cfm?ncbi=415028","Explore in ECOTOX")</f>
        <v>Explore in ECOTOX</v>
      </c>
    </row>
    <row r="3598" spans="1:18" x14ac:dyDescent="0.45">
      <c r="A3598" t="s">
        <v>1265</v>
      </c>
      <c r="B3598">
        <v>8</v>
      </c>
      <c r="C3598" t="str">
        <f>HYPERLINK("http://www.ncbi.nlm.nih.gov/protein/XP_005381224.1","XP_005381224.1")</f>
        <v>XP_005381224.1</v>
      </c>
      <c r="D3598">
        <v>45557</v>
      </c>
      <c r="E3598" t="str">
        <f>HYPERLINK("http://www.ncbi.nlm.nih.gov/Taxonomy/Browser/wwwtax.cgi?mode=Info&amp;id=34839&amp;lvl=3&amp;lin=f&amp;keep=1&amp;srchmode=1&amp;unlock","34839")</f>
        <v>34839</v>
      </c>
      <c r="F3598" t="s">
        <v>96</v>
      </c>
      <c r="G3598" t="str">
        <f>HYPERLINK("http://www.ncbi.nlm.nih.gov/Taxonomy/Browser/wwwtax.cgi?mode=Info&amp;id=34839&amp;lvl=3&amp;lin=f&amp;keep=1&amp;srchmode=1&amp;unlock","Chinchilla lanigera")</f>
        <v>Chinchilla lanigera</v>
      </c>
      <c r="H3598" t="s">
        <v>568</v>
      </c>
      <c r="I3598" t="str">
        <f>HYPERLINK("http://www.ncbi.nlm.nih.gov/protein/XP_005381224.1","PREDICTED: ryanodine receptor 3")</f>
        <v>PREDICTED: ryanodine receptor 3</v>
      </c>
      <c r="J3598">
        <v>7712.84</v>
      </c>
      <c r="K3598" t="s">
        <v>22</v>
      </c>
      <c r="L3598">
        <v>76</v>
      </c>
      <c r="M3598">
        <v>12.58</v>
      </c>
      <c r="N3598">
        <v>75.91</v>
      </c>
      <c r="O3598" t="s">
        <v>19</v>
      </c>
      <c r="P3598" t="s">
        <v>1320</v>
      </c>
      <c r="Q3598" t="s">
        <v>19</v>
      </c>
      <c r="R3598" t="str">
        <f>HYPERLINK("https://cfpub.epa.gov/ecotox/explore.cfm?ncbi=34839","Explore in ECOTOX")</f>
        <v>Explore in ECOTOX</v>
      </c>
    </row>
    <row r="3599" spans="1:18" x14ac:dyDescent="0.45">
      <c r="A3599" t="s">
        <v>1265</v>
      </c>
      <c r="B3599">
        <v>8</v>
      </c>
      <c r="C3599" t="str">
        <f>HYPERLINK("http://www.ncbi.nlm.nih.gov/protein/XP_055291529.1","XP_055291529.1")</f>
        <v>XP_055291529.1</v>
      </c>
      <c r="D3599">
        <v>45816</v>
      </c>
      <c r="E3599" t="str">
        <f>HYPERLINK("http://www.ncbi.nlm.nih.gov/Taxonomy/Browser/wwwtax.cgi?mode=Info&amp;id=68408&amp;lvl=3&amp;lin=f&amp;keep=1&amp;srchmode=1&amp;unlock","68408")</f>
        <v>68408</v>
      </c>
      <c r="F3599" t="s">
        <v>96</v>
      </c>
      <c r="G3599" t="str">
        <f>HYPERLINK("http://www.ncbi.nlm.nih.gov/Taxonomy/Browser/wwwtax.cgi?mode=Info&amp;id=68408&amp;lvl=3&amp;lin=f&amp;keep=1&amp;srchmode=1&amp;unlock","Moschus berezovskii")</f>
        <v>Moschus berezovskii</v>
      </c>
      <c r="H3599" t="s">
        <v>369</v>
      </c>
      <c r="I3599" t="str">
        <f>HYPERLINK("http://www.ncbi.nlm.nih.gov/protein/XP_055291529.1","ryanodine receptor 3 isoform X4")</f>
        <v>ryanodine receptor 3 isoform X4</v>
      </c>
      <c r="J3599">
        <v>7712.45</v>
      </c>
      <c r="K3599" t="s">
        <v>22</v>
      </c>
      <c r="L3599">
        <v>76</v>
      </c>
      <c r="M3599">
        <v>12.58</v>
      </c>
      <c r="N3599">
        <v>75.900000000000006</v>
      </c>
      <c r="O3599" t="s">
        <v>19</v>
      </c>
      <c r="P3599" t="s">
        <v>1320</v>
      </c>
      <c r="Q3599" t="s">
        <v>19</v>
      </c>
      <c r="R3599" t="str">
        <f>HYPERLINK("https://cfpub.epa.gov/ecotox/explore.cfm?ncbi=68408","Explore in ECOTOX")</f>
        <v>Explore in ECOTOX</v>
      </c>
    </row>
    <row r="3600" spans="1:18" x14ac:dyDescent="0.45">
      <c r="A3600" t="s">
        <v>1265</v>
      </c>
      <c r="B3600">
        <v>8</v>
      </c>
      <c r="C3600" t="str">
        <f>HYPERLINK("http://www.ncbi.nlm.nih.gov/protein/XP_020141528.1","XP_020141528.1")</f>
        <v>XP_020141528.1</v>
      </c>
      <c r="D3600">
        <v>60039</v>
      </c>
      <c r="E3600" t="str">
        <f>HYPERLINK("http://www.ncbi.nlm.nih.gov/Taxonomy/Browser/wwwtax.cgi?mode=Info&amp;id=30608&amp;lvl=3&amp;lin=f&amp;keep=1&amp;srchmode=1&amp;unlock","30608")</f>
        <v>30608</v>
      </c>
      <c r="F3600" t="s">
        <v>96</v>
      </c>
      <c r="G3600" t="str">
        <f>HYPERLINK("http://www.ncbi.nlm.nih.gov/Taxonomy/Browser/wwwtax.cgi?mode=Info&amp;id=30608&amp;lvl=3&amp;lin=f&amp;keep=1&amp;srchmode=1&amp;unlock","Microcebus murinus")</f>
        <v>Microcebus murinus</v>
      </c>
      <c r="H3600" t="s">
        <v>334</v>
      </c>
      <c r="I3600" t="str">
        <f>HYPERLINK("http://www.ncbi.nlm.nih.gov/protein/XP_020141528.1","ryanodine receptor 3")</f>
        <v>ryanodine receptor 3</v>
      </c>
      <c r="J3600">
        <v>7712.45</v>
      </c>
      <c r="K3600" t="s">
        <v>22</v>
      </c>
      <c r="L3600">
        <v>76</v>
      </c>
      <c r="M3600">
        <v>12.58</v>
      </c>
      <c r="N3600">
        <v>75.900000000000006</v>
      </c>
      <c r="O3600" t="s">
        <v>19</v>
      </c>
      <c r="P3600" t="s">
        <v>1320</v>
      </c>
      <c r="Q3600" t="s">
        <v>19</v>
      </c>
      <c r="R3600" t="str">
        <f>HYPERLINK("https://cfpub.epa.gov/ecotox/explore.cfm?ncbi=30608","Explore in ECOTOX")</f>
        <v>Explore in ECOTOX</v>
      </c>
    </row>
    <row r="3601" spans="1:18" x14ac:dyDescent="0.45">
      <c r="A3601" t="s">
        <v>1265</v>
      </c>
      <c r="B3601">
        <v>8</v>
      </c>
      <c r="C3601" t="str">
        <f>HYPERLINK("http://www.ncbi.nlm.nih.gov/protein/XP_056202497.1","XP_056202497.1")</f>
        <v>XP_056202497.1</v>
      </c>
      <c r="D3601">
        <v>41514</v>
      </c>
      <c r="E3601" t="str">
        <f>HYPERLINK("http://www.ncbi.nlm.nih.gov/Taxonomy/Browser/wwwtax.cgi?mode=Info&amp;id=345155&amp;lvl=3&amp;lin=f&amp;keep=1&amp;srchmode=1&amp;unlock","345155")</f>
        <v>345155</v>
      </c>
      <c r="F3601" t="s">
        <v>241</v>
      </c>
      <c r="G3601" t="str">
        <f>HYPERLINK("http://www.ncbi.nlm.nih.gov/Taxonomy/Browser/wwwtax.cgi?mode=Info&amp;id=345155&amp;lvl=3&amp;lin=f&amp;keep=1&amp;srchmode=1&amp;unlock","Falco biarmicus")</f>
        <v>Falco biarmicus</v>
      </c>
      <c r="H3601" t="s">
        <v>264</v>
      </c>
      <c r="I3601" t="str">
        <f>HYPERLINK("http://www.ncbi.nlm.nih.gov/protein/XP_056202497.1","ryanodine receptor 3")</f>
        <v>ryanodine receptor 3</v>
      </c>
      <c r="J3601">
        <v>7712.45</v>
      </c>
      <c r="K3601" t="s">
        <v>22</v>
      </c>
      <c r="L3601">
        <v>76</v>
      </c>
      <c r="M3601">
        <v>12.58</v>
      </c>
      <c r="N3601">
        <v>75.900000000000006</v>
      </c>
      <c r="O3601" t="s">
        <v>19</v>
      </c>
      <c r="P3601" t="s">
        <v>1320</v>
      </c>
      <c r="Q3601" t="s">
        <v>19</v>
      </c>
      <c r="R3601" t="str">
        <f>HYPERLINK("https://cfpub.epa.gov/ecotox/explore.cfm?ncbi=345155","Explore in ECOTOX")</f>
        <v>Explore in ECOTOX</v>
      </c>
    </row>
    <row r="3602" spans="1:18" x14ac:dyDescent="0.45">
      <c r="A3602" t="s">
        <v>1265</v>
      </c>
      <c r="B3602">
        <v>8</v>
      </c>
      <c r="C3602" t="str">
        <f>HYPERLINK("http://www.ncbi.nlm.nih.gov/protein/XP_040457197.1","XP_040457197.1")</f>
        <v>XP_040457197.1</v>
      </c>
      <c r="D3602">
        <v>41477</v>
      </c>
      <c r="E3602" t="str">
        <f>HYPERLINK("http://www.ncbi.nlm.nih.gov/Taxonomy/Browser/wwwtax.cgi?mode=Info&amp;id=148594&amp;lvl=3&amp;lin=f&amp;keep=1&amp;srchmode=1&amp;unlock","148594")</f>
        <v>148594</v>
      </c>
      <c r="F3602" t="s">
        <v>241</v>
      </c>
      <c r="G3602" t="str">
        <f>HYPERLINK("http://www.ncbi.nlm.nih.gov/Taxonomy/Browser/wwwtax.cgi?mode=Info&amp;id=148594&amp;lvl=3&amp;lin=f&amp;keep=1&amp;srchmode=1&amp;unlock","Falco naumanni")</f>
        <v>Falco naumanni</v>
      </c>
      <c r="H3602" t="s">
        <v>257</v>
      </c>
      <c r="I3602" t="str">
        <f>HYPERLINK("http://www.ncbi.nlm.nih.gov/protein/XP_040457197.1","ryanodine receptor 3")</f>
        <v>ryanodine receptor 3</v>
      </c>
      <c r="J3602">
        <v>7712.07</v>
      </c>
      <c r="K3602" t="s">
        <v>22</v>
      </c>
      <c r="L3602">
        <v>76</v>
      </c>
      <c r="M3602">
        <v>12.58</v>
      </c>
      <c r="N3602">
        <v>75.900000000000006</v>
      </c>
      <c r="O3602" t="s">
        <v>19</v>
      </c>
      <c r="P3602" t="s">
        <v>1320</v>
      </c>
      <c r="Q3602" t="s">
        <v>19</v>
      </c>
      <c r="R3602" t="str">
        <f>HYPERLINK("https://cfpub.epa.gov/ecotox/explore.cfm?ncbi=148594","Explore in ECOTOX")</f>
        <v>Explore in ECOTOX</v>
      </c>
    </row>
    <row r="3603" spans="1:18" x14ac:dyDescent="0.45">
      <c r="A3603" t="s">
        <v>1265</v>
      </c>
      <c r="B3603">
        <v>8</v>
      </c>
      <c r="C3603" t="str">
        <f>HYPERLINK("http://www.ncbi.nlm.nih.gov/protein/XP_055572362.1","XP_055572362.1")</f>
        <v>XP_055572362.1</v>
      </c>
      <c r="D3603">
        <v>43129</v>
      </c>
      <c r="E3603" t="str">
        <f>HYPERLINK("http://www.ncbi.nlm.nih.gov/Taxonomy/Browser/wwwtax.cgi?mode=Info&amp;id=345164&amp;lvl=3&amp;lin=f&amp;keep=1&amp;srchmode=1&amp;unlock","345164")</f>
        <v>345164</v>
      </c>
      <c r="F3603" t="s">
        <v>241</v>
      </c>
      <c r="G3603" t="str">
        <f>HYPERLINK("http://www.ncbi.nlm.nih.gov/Taxonomy/Browser/wwwtax.cgi?mode=Info&amp;id=345164&amp;lvl=3&amp;lin=f&amp;keep=1&amp;srchmode=1&amp;unlock","Falco cherrug")</f>
        <v>Falco cherrug</v>
      </c>
      <c r="H3603" t="s">
        <v>265</v>
      </c>
      <c r="I3603" t="str">
        <f>HYPERLINK("http://www.ncbi.nlm.nih.gov/protein/XP_055572362.1","ryanodine receptor 3")</f>
        <v>ryanodine receptor 3</v>
      </c>
      <c r="J3603">
        <v>7712.07</v>
      </c>
      <c r="K3603" t="s">
        <v>22</v>
      </c>
      <c r="L3603">
        <v>76</v>
      </c>
      <c r="M3603">
        <v>12.58</v>
      </c>
      <c r="N3603">
        <v>75.900000000000006</v>
      </c>
      <c r="O3603" t="s">
        <v>19</v>
      </c>
      <c r="P3603" t="s">
        <v>1320</v>
      </c>
      <c r="Q3603" t="s">
        <v>19</v>
      </c>
      <c r="R3603" t="str">
        <f>HYPERLINK("https://cfpub.epa.gov/ecotox/explore.cfm?ncbi=345164","Explore in ECOTOX")</f>
        <v>Explore in ECOTOX</v>
      </c>
    </row>
    <row r="3604" spans="1:18" x14ac:dyDescent="0.45">
      <c r="A3604" t="s">
        <v>1265</v>
      </c>
      <c r="B3604">
        <v>8</v>
      </c>
      <c r="C3604" t="str">
        <f>HYPERLINK("http://www.ncbi.nlm.nih.gov/protein/XP_061037439.1","XP_061037439.1")</f>
        <v>XP_061037439.1</v>
      </c>
      <c r="D3604">
        <v>43123</v>
      </c>
      <c r="E3604" t="str">
        <f>HYPERLINK("http://www.ncbi.nlm.nih.gov/Taxonomy/Browser/wwwtax.cgi?mode=Info&amp;id=27606&amp;lvl=3&amp;lin=f&amp;keep=1&amp;srchmode=1&amp;unlock","27606")</f>
        <v>27606</v>
      </c>
      <c r="F3604" t="s">
        <v>96</v>
      </c>
      <c r="G3604" t="str">
        <f>HYPERLINK("http://www.ncbi.nlm.nih.gov/Taxonomy/Browser/wwwtax.cgi?mode=Info&amp;id=27606&amp;lvl=3&amp;lin=f&amp;keep=1&amp;srchmode=1&amp;unlock","Eubalaena glacialis")</f>
        <v>Eubalaena glacialis</v>
      </c>
      <c r="H3604" t="s">
        <v>484</v>
      </c>
      <c r="I3604" t="str">
        <f>HYPERLINK("http://www.ncbi.nlm.nih.gov/protein/XP_061037439.1","ryanodine receptor 3")</f>
        <v>ryanodine receptor 3</v>
      </c>
      <c r="J3604">
        <v>7711.3</v>
      </c>
      <c r="K3604" t="s">
        <v>22</v>
      </c>
      <c r="L3604">
        <v>76</v>
      </c>
      <c r="M3604">
        <v>12.58</v>
      </c>
      <c r="N3604">
        <v>75.89</v>
      </c>
      <c r="O3604" t="s">
        <v>19</v>
      </c>
      <c r="P3604" t="s">
        <v>1320</v>
      </c>
      <c r="Q3604" t="s">
        <v>19</v>
      </c>
      <c r="R3604" t="str">
        <f>HYPERLINK("https://cfpub.epa.gov/ecotox/explore.cfm?ncbi=27606","Explore in ECOTOX")</f>
        <v>Explore in ECOTOX</v>
      </c>
    </row>
    <row r="3605" spans="1:18" x14ac:dyDescent="0.45">
      <c r="A3605" t="s">
        <v>1265</v>
      </c>
      <c r="B3605">
        <v>8</v>
      </c>
      <c r="C3605" t="str">
        <f>HYPERLINK("http://www.ncbi.nlm.nih.gov/protein/XP_016154103.1","XP_016154103.1")</f>
        <v>XP_016154103.1</v>
      </c>
      <c r="D3605">
        <v>26783</v>
      </c>
      <c r="E3605" t="str">
        <f>HYPERLINK("http://www.ncbi.nlm.nih.gov/Taxonomy/Browser/wwwtax.cgi?mode=Info&amp;id=59894&amp;lvl=3&amp;lin=f&amp;keep=1&amp;srchmode=1&amp;unlock","59894")</f>
        <v>59894</v>
      </c>
      <c r="F3605" t="s">
        <v>241</v>
      </c>
      <c r="G3605" t="str">
        <f>HYPERLINK("http://www.ncbi.nlm.nih.gov/Taxonomy/Browser/wwwtax.cgi?mode=Info&amp;id=59894&amp;lvl=3&amp;lin=f&amp;keep=1&amp;srchmode=1&amp;unlock","Ficedula albicollis")</f>
        <v>Ficedula albicollis</v>
      </c>
      <c r="H3605" t="s">
        <v>602</v>
      </c>
      <c r="I3605" t="str">
        <f>HYPERLINK("http://www.ncbi.nlm.nih.gov/protein/XP_016154103.1","PREDICTED: ryanodine receptor 3")</f>
        <v>PREDICTED: ryanodine receptor 3</v>
      </c>
      <c r="J3605">
        <v>7711.3</v>
      </c>
      <c r="K3605" t="s">
        <v>22</v>
      </c>
      <c r="L3605">
        <v>76</v>
      </c>
      <c r="M3605">
        <v>12.58</v>
      </c>
      <c r="N3605">
        <v>75.89</v>
      </c>
      <c r="O3605" t="s">
        <v>19</v>
      </c>
      <c r="P3605" t="s">
        <v>1320</v>
      </c>
      <c r="Q3605" t="s">
        <v>19</v>
      </c>
      <c r="R3605" t="str">
        <f>HYPERLINK("https://cfpub.epa.gov/ecotox/explore.cfm?ncbi=59894","Explore in ECOTOX")</f>
        <v>Explore in ECOTOX</v>
      </c>
    </row>
    <row r="3606" spans="1:18" x14ac:dyDescent="0.45">
      <c r="A3606" t="s">
        <v>1265</v>
      </c>
      <c r="B3606">
        <v>8</v>
      </c>
      <c r="C3606" t="str">
        <f>HYPERLINK("http://www.ncbi.nlm.nih.gov/protein/XP_045678186.1","XP_045678186.1")</f>
        <v>XP_045678186.1</v>
      </c>
      <c r="D3606">
        <v>45466</v>
      </c>
      <c r="E3606" t="str">
        <f>HYPERLINK("http://www.ncbi.nlm.nih.gov/Taxonomy/Browser/wwwtax.cgi?mode=Info&amp;id=9423&amp;lvl=3&amp;lin=f&amp;keep=1&amp;srchmode=1&amp;unlock","9423")</f>
        <v>9423</v>
      </c>
      <c r="F3606" t="s">
        <v>96</v>
      </c>
      <c r="G3606" t="str">
        <f>HYPERLINK("http://www.ncbi.nlm.nih.gov/Taxonomy/Browser/wwwtax.cgi?mode=Info&amp;id=9423&amp;lvl=3&amp;lin=f&amp;keep=1&amp;srchmode=1&amp;unlock","Phyllostomus hastatus")</f>
        <v>Phyllostomus hastatus</v>
      </c>
      <c r="H3606" t="s">
        <v>448</v>
      </c>
      <c r="I3606" t="str">
        <f>HYPERLINK("http://www.ncbi.nlm.nih.gov/protein/XP_045678186.1","ryanodine receptor 3")</f>
        <v>ryanodine receptor 3</v>
      </c>
      <c r="J3606">
        <v>7710.91</v>
      </c>
      <c r="K3606" t="s">
        <v>22</v>
      </c>
      <c r="L3606">
        <v>76</v>
      </c>
      <c r="M3606">
        <v>12.58</v>
      </c>
      <c r="N3606">
        <v>75.89</v>
      </c>
      <c r="O3606" t="s">
        <v>19</v>
      </c>
      <c r="P3606" t="s">
        <v>1320</v>
      </c>
      <c r="Q3606" t="s">
        <v>19</v>
      </c>
      <c r="R3606" t="str">
        <f>HYPERLINK("https://cfpub.epa.gov/ecotox/explore.cfm?ncbi=9423","Explore in ECOTOX")</f>
        <v>Explore in ECOTOX</v>
      </c>
    </row>
    <row r="3607" spans="1:18" x14ac:dyDescent="0.45">
      <c r="A3607" t="s">
        <v>1265</v>
      </c>
      <c r="B3607">
        <v>8</v>
      </c>
      <c r="C3607" t="str">
        <f>HYPERLINK("http://www.ncbi.nlm.nih.gov/protein/XP_044248391.2","XP_044248391.2")</f>
        <v>XP_044248391.2</v>
      </c>
      <c r="D3607">
        <v>57563</v>
      </c>
      <c r="E3607" t="str">
        <f>HYPERLINK("http://www.ncbi.nlm.nih.gov/Taxonomy/Browser/wwwtax.cgi?mode=Info&amp;id=9644&amp;lvl=3&amp;lin=f&amp;keep=1&amp;srchmode=1&amp;unlock","9644")</f>
        <v>9644</v>
      </c>
      <c r="F3607" t="s">
        <v>96</v>
      </c>
      <c r="G3607" t="str">
        <f>HYPERLINK("http://www.ncbi.nlm.nih.gov/Taxonomy/Browser/wwwtax.cgi?mode=Info&amp;id=9644&amp;lvl=3&amp;lin=f&amp;keep=1&amp;srchmode=1&amp;unlock","Ursus arctos")</f>
        <v>Ursus arctos</v>
      </c>
      <c r="H3607" t="s">
        <v>277</v>
      </c>
      <c r="I3607" t="str">
        <f>HYPERLINK("http://www.ncbi.nlm.nih.gov/protein/XP_044248391.2","ryanodine receptor 3")</f>
        <v>ryanodine receptor 3</v>
      </c>
      <c r="J3607">
        <v>7710.91</v>
      </c>
      <c r="K3607" t="s">
        <v>22</v>
      </c>
      <c r="L3607">
        <v>76</v>
      </c>
      <c r="M3607">
        <v>12.58</v>
      </c>
      <c r="N3607">
        <v>75.89</v>
      </c>
      <c r="O3607" t="s">
        <v>19</v>
      </c>
      <c r="P3607" t="s">
        <v>1320</v>
      </c>
      <c r="Q3607" t="s">
        <v>19</v>
      </c>
      <c r="R3607" t="str">
        <f>HYPERLINK("https://cfpub.epa.gov/ecotox/explore.cfm?ncbi=9644","Explore in ECOTOX")</f>
        <v>Explore in ECOTOX</v>
      </c>
    </row>
    <row r="3608" spans="1:18" x14ac:dyDescent="0.45">
      <c r="A3608" t="s">
        <v>1265</v>
      </c>
      <c r="B3608">
        <v>8</v>
      </c>
      <c r="C3608" t="str">
        <f>HYPERLINK("http://www.ncbi.nlm.nih.gov/protein/XP_045399605.1","XP_045399605.1")</f>
        <v>XP_045399605.1</v>
      </c>
      <c r="D3608">
        <v>45772</v>
      </c>
      <c r="E3608" t="str">
        <f>HYPERLINK("http://www.ncbi.nlm.nih.gov/Taxonomy/Browser/wwwtax.cgi?mode=Info&amp;id=9447&amp;lvl=3&amp;lin=f&amp;keep=1&amp;srchmode=1&amp;unlock","9447")</f>
        <v>9447</v>
      </c>
      <c r="F3608" t="s">
        <v>96</v>
      </c>
      <c r="G3608" t="str">
        <f>HYPERLINK("http://www.ncbi.nlm.nih.gov/Taxonomy/Browser/wwwtax.cgi?mode=Info&amp;id=9447&amp;lvl=3&amp;lin=f&amp;keep=1&amp;srchmode=1&amp;unlock","Lemur catta")</f>
        <v>Lemur catta</v>
      </c>
      <c r="H3608" t="s">
        <v>249</v>
      </c>
      <c r="I3608" t="str">
        <f>HYPERLINK("http://www.ncbi.nlm.nih.gov/protein/XP_045399605.1","ryanodine receptor 3")</f>
        <v>ryanodine receptor 3</v>
      </c>
      <c r="J3608">
        <v>7709.37</v>
      </c>
      <c r="K3608" t="s">
        <v>22</v>
      </c>
      <c r="L3608">
        <v>76</v>
      </c>
      <c r="M3608">
        <v>12.58</v>
      </c>
      <c r="N3608">
        <v>75.87</v>
      </c>
      <c r="O3608" t="s">
        <v>19</v>
      </c>
      <c r="P3608" t="s">
        <v>1320</v>
      </c>
      <c r="Q3608" t="s">
        <v>19</v>
      </c>
      <c r="R3608" t="str">
        <f>HYPERLINK("https://cfpub.epa.gov/ecotox/explore.cfm?ncbi=9447","Explore in ECOTOX")</f>
        <v>Explore in ECOTOX</v>
      </c>
    </row>
    <row r="3609" spans="1:18" x14ac:dyDescent="0.45">
      <c r="A3609" t="s">
        <v>1265</v>
      </c>
      <c r="B3609">
        <v>8</v>
      </c>
      <c r="C3609" t="str">
        <f>HYPERLINK("http://www.ncbi.nlm.nih.gov/protein/XP_050192511.1","XP_050192511.1")</f>
        <v>XP_050192511.1</v>
      </c>
      <c r="D3609">
        <v>35686</v>
      </c>
      <c r="E3609" t="str">
        <f>HYPERLINK("http://www.ncbi.nlm.nih.gov/Taxonomy/Browser/wwwtax.cgi?mode=Info&amp;id=478635&amp;lvl=3&amp;lin=f&amp;keep=1&amp;srchmode=1&amp;unlock","478635")</f>
        <v>478635</v>
      </c>
      <c r="F3609" t="s">
        <v>241</v>
      </c>
      <c r="G3609" t="str">
        <f>HYPERLINK("http://www.ncbi.nlm.nih.gov/Taxonomy/Browser/wwwtax.cgi?mode=Info&amp;id=478635&amp;lvl=3&amp;lin=f&amp;keep=1&amp;srchmode=1&amp;unlock","Myiozetetes cayanensis")</f>
        <v>Myiozetetes cayanensis</v>
      </c>
      <c r="H3609" t="s">
        <v>435</v>
      </c>
      <c r="I3609" t="str">
        <f>HYPERLINK("http://www.ncbi.nlm.nih.gov/protein/XP_050192511.1","LOW QUALITY PROTEIN: ryanodine receptor 3")</f>
        <v>LOW QUALITY PROTEIN: ryanodine receptor 3</v>
      </c>
      <c r="J3609">
        <v>7708.98</v>
      </c>
      <c r="K3609" t="s">
        <v>22</v>
      </c>
      <c r="L3609">
        <v>76</v>
      </c>
      <c r="M3609">
        <v>12.58</v>
      </c>
      <c r="N3609">
        <v>75.87</v>
      </c>
      <c r="O3609" t="s">
        <v>19</v>
      </c>
      <c r="P3609" t="s">
        <v>1320</v>
      </c>
      <c r="Q3609" t="s">
        <v>19</v>
      </c>
      <c r="R3609" t="str">
        <f>HYPERLINK("https://cfpub.epa.gov/ecotox/explore.cfm?ncbi=478635","Explore in ECOTOX")</f>
        <v>Explore in ECOTOX</v>
      </c>
    </row>
    <row r="3610" spans="1:18" x14ac:dyDescent="0.45">
      <c r="A3610" t="s">
        <v>1265</v>
      </c>
      <c r="B3610">
        <v>8</v>
      </c>
      <c r="C3610" t="str">
        <f>HYPERLINK("http://www.ncbi.nlm.nih.gov/protein/XP_023414540.1","XP_023414540.1")</f>
        <v>XP_023414540.1</v>
      </c>
      <c r="D3610">
        <v>41939</v>
      </c>
      <c r="E3610" t="str">
        <f>HYPERLINK("http://www.ncbi.nlm.nih.gov/Taxonomy/Browser/wwwtax.cgi?mode=Info&amp;id=9785&amp;lvl=3&amp;lin=f&amp;keep=1&amp;srchmode=1&amp;unlock","9785")</f>
        <v>9785</v>
      </c>
      <c r="F3610" t="s">
        <v>96</v>
      </c>
      <c r="G3610" t="str">
        <f>HYPERLINK("http://www.ncbi.nlm.nih.gov/Taxonomy/Browser/wwwtax.cgi?mode=Info&amp;id=9785&amp;lvl=3&amp;lin=f&amp;keep=1&amp;srchmode=1&amp;unlock","Loxodonta africana")</f>
        <v>Loxodonta africana</v>
      </c>
      <c r="H3610" t="s">
        <v>749</v>
      </c>
      <c r="I3610" t="str">
        <f>HYPERLINK("http://www.ncbi.nlm.nih.gov/protein/XP_023414540.1","LOW QUALITY PROTEIN: ryanodine receptor 3")</f>
        <v>LOW QUALITY PROTEIN: ryanodine receptor 3</v>
      </c>
      <c r="J3610">
        <v>7708.21</v>
      </c>
      <c r="K3610" t="s">
        <v>22</v>
      </c>
      <c r="L3610">
        <v>76</v>
      </c>
      <c r="M3610">
        <v>12.58</v>
      </c>
      <c r="N3610">
        <v>75.86</v>
      </c>
      <c r="O3610" t="s">
        <v>19</v>
      </c>
      <c r="P3610" t="s">
        <v>1320</v>
      </c>
      <c r="Q3610" t="s">
        <v>19</v>
      </c>
      <c r="R3610" t="str">
        <f>HYPERLINK("https://cfpub.epa.gov/ecotox/explore.cfm?ncbi=9785","Explore in ECOTOX")</f>
        <v>Explore in ECOTOX</v>
      </c>
    </row>
    <row r="3611" spans="1:18" x14ac:dyDescent="0.45">
      <c r="A3611" t="s">
        <v>1265</v>
      </c>
      <c r="B3611">
        <v>8</v>
      </c>
      <c r="C3611" t="str">
        <f>HYPERLINK("http://www.ncbi.nlm.nih.gov/protein/XP_027975230.1","XP_027975230.1")</f>
        <v>XP_027975230.1</v>
      </c>
      <c r="D3611">
        <v>40115</v>
      </c>
      <c r="E3611" t="str">
        <f>HYPERLINK("http://www.ncbi.nlm.nih.gov/Taxonomy/Browser/wwwtax.cgi?mode=Info&amp;id=34886&amp;lvl=3&amp;lin=f&amp;keep=1&amp;srchmode=1&amp;unlock","34886")</f>
        <v>34886</v>
      </c>
      <c r="F3611" t="s">
        <v>96</v>
      </c>
      <c r="G3611" t="str">
        <f>HYPERLINK("http://www.ncbi.nlm.nih.gov/Taxonomy/Browser/wwwtax.cgi?mode=Info&amp;id=34886&amp;lvl=3&amp;lin=f&amp;keep=1&amp;srchmode=1&amp;unlock","Eumetopias jubatus")</f>
        <v>Eumetopias jubatus</v>
      </c>
      <c r="H3611" t="s">
        <v>405</v>
      </c>
      <c r="I3611" t="str">
        <f>HYPERLINK("http://www.ncbi.nlm.nih.gov/protein/XP_027975230.1","ryanodine receptor 3")</f>
        <v>ryanodine receptor 3</v>
      </c>
      <c r="J3611">
        <v>7708.21</v>
      </c>
      <c r="K3611" t="s">
        <v>22</v>
      </c>
      <c r="L3611">
        <v>76</v>
      </c>
      <c r="M3611">
        <v>12.58</v>
      </c>
      <c r="N3611">
        <v>75.86</v>
      </c>
      <c r="O3611" t="s">
        <v>19</v>
      </c>
      <c r="P3611" t="s">
        <v>1320</v>
      </c>
      <c r="Q3611" t="s">
        <v>19</v>
      </c>
      <c r="R3611" t="str">
        <f>HYPERLINK("https://cfpub.epa.gov/ecotox/explore.cfm?ncbi=34886","Explore in ECOTOX")</f>
        <v>Explore in ECOTOX</v>
      </c>
    </row>
    <row r="3612" spans="1:18" x14ac:dyDescent="0.45">
      <c r="A3612" t="s">
        <v>1265</v>
      </c>
      <c r="B3612">
        <v>8</v>
      </c>
      <c r="C3612" t="str">
        <f>HYPERLINK("http://www.ncbi.nlm.nih.gov/protein/XP_054571611.1","XP_054571611.1")</f>
        <v>XP_054571611.1</v>
      </c>
      <c r="D3612">
        <v>39080</v>
      </c>
      <c r="E3612" t="str">
        <f>HYPERLINK("http://www.ncbi.nlm.nih.gov/Taxonomy/Browser/wwwtax.cgi?mode=Info&amp;id=29078&amp;lvl=3&amp;lin=f&amp;keep=1&amp;srchmode=1&amp;unlock","29078")</f>
        <v>29078</v>
      </c>
      <c r="F3612" t="s">
        <v>96</v>
      </c>
      <c r="G3612" t="str">
        <f>HYPERLINK("http://www.ncbi.nlm.nih.gov/Taxonomy/Browser/wwwtax.cgi?mode=Info&amp;id=29078&amp;lvl=3&amp;lin=f&amp;keep=1&amp;srchmode=1&amp;unlock","Eptesicus fuscus")</f>
        <v>Eptesicus fuscus</v>
      </c>
      <c r="H3612" t="s">
        <v>617</v>
      </c>
      <c r="I3612" t="str">
        <f>HYPERLINK("http://www.ncbi.nlm.nih.gov/protein/XP_054571611.1","ryanodine receptor 3")</f>
        <v>ryanodine receptor 3</v>
      </c>
      <c r="J3612">
        <v>7707.83</v>
      </c>
      <c r="K3612" t="s">
        <v>22</v>
      </c>
      <c r="L3612">
        <v>76</v>
      </c>
      <c r="M3612">
        <v>12.58</v>
      </c>
      <c r="N3612">
        <v>75.86</v>
      </c>
      <c r="O3612" t="s">
        <v>19</v>
      </c>
      <c r="P3612" t="s">
        <v>1320</v>
      </c>
      <c r="Q3612" t="s">
        <v>19</v>
      </c>
      <c r="R3612" t="str">
        <f>HYPERLINK("https://cfpub.epa.gov/ecotox/explore.cfm?ncbi=29078","Explore in ECOTOX")</f>
        <v>Explore in ECOTOX</v>
      </c>
    </row>
    <row r="3613" spans="1:18" x14ac:dyDescent="0.45">
      <c r="A3613" t="s">
        <v>1265</v>
      </c>
      <c r="B3613">
        <v>8</v>
      </c>
      <c r="C3613" t="str">
        <f>HYPERLINK("http://www.ncbi.nlm.nih.gov/protein/XP_027572808.1","XP_027572808.1")</f>
        <v>XP_027572808.1</v>
      </c>
      <c r="D3613">
        <v>35877</v>
      </c>
      <c r="E3613" t="str">
        <f>HYPERLINK("http://www.ncbi.nlm.nih.gov/Taxonomy/Browser/wwwtax.cgi?mode=Info&amp;id=649802&amp;lvl=3&amp;lin=f&amp;keep=1&amp;srchmode=1&amp;unlock","649802")</f>
        <v>649802</v>
      </c>
      <c r="F3613" t="s">
        <v>241</v>
      </c>
      <c r="G3613" t="str">
        <f>HYPERLINK("http://www.ncbi.nlm.nih.gov/Taxonomy/Browser/wwwtax.cgi?mode=Info&amp;id=649802&amp;lvl=3&amp;lin=f&amp;keep=1&amp;srchmode=1&amp;unlock","Pipra filicauda")</f>
        <v>Pipra filicauda</v>
      </c>
      <c r="H3613" t="s">
        <v>711</v>
      </c>
      <c r="I3613" t="str">
        <f>HYPERLINK("http://www.ncbi.nlm.nih.gov/protein/XP_027572808.1","ryanodine receptor 3")</f>
        <v>ryanodine receptor 3</v>
      </c>
      <c r="J3613">
        <v>7707.06</v>
      </c>
      <c r="K3613" t="s">
        <v>22</v>
      </c>
      <c r="L3613">
        <v>76</v>
      </c>
      <c r="M3613">
        <v>12.58</v>
      </c>
      <c r="N3613">
        <v>75.849999999999994</v>
      </c>
      <c r="O3613" t="s">
        <v>19</v>
      </c>
      <c r="P3613" t="s">
        <v>1320</v>
      </c>
      <c r="Q3613" t="s">
        <v>19</v>
      </c>
      <c r="R3613" t="str">
        <f>HYPERLINK("https://cfpub.epa.gov/ecotox/explore.cfm?ncbi=649802","Explore in ECOTOX")</f>
        <v>Explore in ECOTOX</v>
      </c>
    </row>
    <row r="3614" spans="1:18" x14ac:dyDescent="0.45">
      <c r="A3614" t="s">
        <v>1265</v>
      </c>
      <c r="B3614">
        <v>8</v>
      </c>
      <c r="C3614" t="str">
        <f>HYPERLINK("http://www.ncbi.nlm.nih.gov/protein/XP_011844521.1","XP_011844521.1")</f>
        <v>XP_011844521.1</v>
      </c>
      <c r="D3614">
        <v>38461</v>
      </c>
      <c r="E3614" t="str">
        <f>HYPERLINK("http://www.ncbi.nlm.nih.gov/Taxonomy/Browser/wwwtax.cgi?mode=Info&amp;id=9568&amp;lvl=3&amp;lin=f&amp;keep=1&amp;srchmode=1&amp;unlock","9568")</f>
        <v>9568</v>
      </c>
      <c r="F3614" t="s">
        <v>96</v>
      </c>
      <c r="G3614" t="str">
        <f>HYPERLINK("http://www.ncbi.nlm.nih.gov/Taxonomy/Browser/wwwtax.cgi?mode=Info&amp;id=9568&amp;lvl=3&amp;lin=f&amp;keep=1&amp;srchmode=1&amp;unlock","Mandrillus leucophaeus")</f>
        <v>Mandrillus leucophaeus</v>
      </c>
      <c r="H3614" t="s">
        <v>739</v>
      </c>
      <c r="I3614" t="str">
        <f>HYPERLINK("http://www.ncbi.nlm.nih.gov/protein/XP_011844521.1","PREDICTED: ryanodine receptor 3")</f>
        <v>PREDICTED: ryanodine receptor 3</v>
      </c>
      <c r="J3614">
        <v>7706.67</v>
      </c>
      <c r="K3614" t="s">
        <v>22</v>
      </c>
      <c r="L3614">
        <v>76</v>
      </c>
      <c r="M3614">
        <v>12.58</v>
      </c>
      <c r="N3614">
        <v>75.849999999999994</v>
      </c>
      <c r="O3614" t="s">
        <v>19</v>
      </c>
      <c r="P3614" t="s">
        <v>1320</v>
      </c>
      <c r="Q3614" t="s">
        <v>19</v>
      </c>
      <c r="R3614" t="str">
        <f>HYPERLINK("https://cfpub.epa.gov/ecotox/explore.cfm?ncbi=9568","Explore in ECOTOX")</f>
        <v>Explore in ECOTOX</v>
      </c>
    </row>
    <row r="3615" spans="1:18" x14ac:dyDescent="0.45">
      <c r="A3615" t="s">
        <v>1265</v>
      </c>
      <c r="B3615">
        <v>8</v>
      </c>
      <c r="C3615" t="str">
        <f>HYPERLINK("http://www.ncbi.nlm.nih.gov/protein/XP_053784412.1","XP_053784412.1")</f>
        <v>XP_053784412.1</v>
      </c>
      <c r="D3615">
        <v>52085</v>
      </c>
      <c r="E3615" t="str">
        <f>HYPERLINK("http://www.ncbi.nlm.nih.gov/Taxonomy/Browser/wwwtax.cgi?mode=Info&amp;id=9430&amp;lvl=3&amp;lin=f&amp;keep=1&amp;srchmode=1&amp;unlock","9430")</f>
        <v>9430</v>
      </c>
      <c r="F3615" t="s">
        <v>96</v>
      </c>
      <c r="G3615" t="str">
        <f>HYPERLINK("http://www.ncbi.nlm.nih.gov/Taxonomy/Browser/wwwtax.cgi?mode=Info&amp;id=9430&amp;lvl=3&amp;lin=f&amp;keep=1&amp;srchmode=1&amp;unlock","Desmodus rotundus")</f>
        <v>Desmodus rotundus</v>
      </c>
      <c r="H3615" t="s">
        <v>607</v>
      </c>
      <c r="I3615" t="str">
        <f>HYPERLINK("http://www.ncbi.nlm.nih.gov/protein/XP_053784412.1","ryanodine receptor 3")</f>
        <v>ryanodine receptor 3</v>
      </c>
      <c r="J3615">
        <v>7705.9</v>
      </c>
      <c r="K3615" t="s">
        <v>22</v>
      </c>
      <c r="L3615">
        <v>76</v>
      </c>
      <c r="M3615">
        <v>12.58</v>
      </c>
      <c r="N3615">
        <v>75.84</v>
      </c>
      <c r="O3615" t="s">
        <v>19</v>
      </c>
      <c r="P3615" t="s">
        <v>1320</v>
      </c>
      <c r="Q3615" t="s">
        <v>19</v>
      </c>
      <c r="R3615" t="str">
        <f>HYPERLINK("https://cfpub.epa.gov/ecotox/explore.cfm?ncbi=9430","Explore in ECOTOX")</f>
        <v>Explore in ECOTOX</v>
      </c>
    </row>
    <row r="3616" spans="1:18" x14ac:dyDescent="0.45">
      <c r="A3616" t="s">
        <v>1265</v>
      </c>
      <c r="B3616">
        <v>8</v>
      </c>
      <c r="C3616" t="str">
        <f>HYPERLINK("http://www.ncbi.nlm.nih.gov/protein/XP_010006044.1","XP_010006044.1")</f>
        <v>XP_010006044.1</v>
      </c>
      <c r="D3616">
        <v>29247</v>
      </c>
      <c r="E3616" t="str">
        <f>HYPERLINK("http://www.ncbi.nlm.nih.gov/Taxonomy/Browser/wwwtax.cgi?mode=Info&amp;id=8897&amp;lvl=3&amp;lin=f&amp;keep=1&amp;srchmode=1&amp;unlock","8897")</f>
        <v>8897</v>
      </c>
      <c r="F3616" t="s">
        <v>241</v>
      </c>
      <c r="G3616" t="str">
        <f>HYPERLINK("http://www.ncbi.nlm.nih.gov/Taxonomy/Browser/wwwtax.cgi?mode=Info&amp;id=8897&amp;lvl=3&amp;lin=f&amp;keep=1&amp;srchmode=1&amp;unlock","Chaetura pelagica")</f>
        <v>Chaetura pelagica</v>
      </c>
      <c r="H3616" t="s">
        <v>384</v>
      </c>
      <c r="I3616" t="str">
        <f>HYPERLINK("http://www.ncbi.nlm.nih.gov/protein/XP_010006044.1","PREDICTED: ryanodine receptor 3")</f>
        <v>PREDICTED: ryanodine receptor 3</v>
      </c>
      <c r="J3616">
        <v>7705.13</v>
      </c>
      <c r="K3616" t="s">
        <v>22</v>
      </c>
      <c r="L3616">
        <v>76</v>
      </c>
      <c r="M3616">
        <v>12.58</v>
      </c>
      <c r="N3616">
        <v>75.83</v>
      </c>
      <c r="O3616" t="s">
        <v>19</v>
      </c>
      <c r="P3616" t="s">
        <v>1320</v>
      </c>
      <c r="Q3616" t="s">
        <v>19</v>
      </c>
      <c r="R3616" t="str">
        <f>HYPERLINK("https://cfpub.epa.gov/ecotox/explore.cfm?ncbi=8897","Explore in ECOTOX")</f>
        <v>Explore in ECOTOX</v>
      </c>
    </row>
    <row r="3617" spans="1:18" x14ac:dyDescent="0.45">
      <c r="A3617" t="s">
        <v>1265</v>
      </c>
      <c r="B3617">
        <v>8</v>
      </c>
      <c r="C3617" t="str">
        <f>HYPERLINK("http://www.ncbi.nlm.nih.gov/protein/XP_057398117.1","XP_057398117.1")</f>
        <v>XP_057398117.1</v>
      </c>
      <c r="D3617">
        <v>54190</v>
      </c>
      <c r="E3617" t="str">
        <f>HYPERLINK("http://www.ncbi.nlm.nih.gov/Taxonomy/Browser/wwwtax.cgi?mode=Info&amp;id=9767&amp;lvl=3&amp;lin=f&amp;keep=1&amp;srchmode=1&amp;unlock","9767")</f>
        <v>9767</v>
      </c>
      <c r="F3617" t="s">
        <v>96</v>
      </c>
      <c r="G3617" t="str">
        <f>HYPERLINK("http://www.ncbi.nlm.nih.gov/Taxonomy/Browser/wwwtax.cgi?mode=Info&amp;id=9767&amp;lvl=3&amp;lin=f&amp;keep=1&amp;srchmode=1&amp;unlock","Balaenoptera acutorostrata")</f>
        <v>Balaenoptera acutorostrata</v>
      </c>
      <c r="H3617" t="s">
        <v>689</v>
      </c>
      <c r="I3617" t="str">
        <f>HYPERLINK("http://www.ncbi.nlm.nih.gov/protein/XP_057398117.1","ryanodine receptor 3")</f>
        <v>ryanodine receptor 3</v>
      </c>
      <c r="J3617">
        <v>7704.75</v>
      </c>
      <c r="K3617" t="s">
        <v>22</v>
      </c>
      <c r="L3617">
        <v>76</v>
      </c>
      <c r="M3617">
        <v>12.58</v>
      </c>
      <c r="N3617">
        <v>75.83</v>
      </c>
      <c r="O3617" t="s">
        <v>19</v>
      </c>
      <c r="P3617" t="s">
        <v>1320</v>
      </c>
      <c r="Q3617" t="s">
        <v>19</v>
      </c>
      <c r="R3617" t="str">
        <f>HYPERLINK("https://cfpub.epa.gov/ecotox/explore.cfm?ncbi=9767","Explore in ECOTOX")</f>
        <v>Explore in ECOTOX</v>
      </c>
    </row>
    <row r="3618" spans="1:18" x14ac:dyDescent="0.45">
      <c r="A3618" t="s">
        <v>1265</v>
      </c>
      <c r="B3618">
        <v>8</v>
      </c>
      <c r="C3618" t="str">
        <f>HYPERLINK("http://www.ncbi.nlm.nih.gov/protein/XP_012661754.1","XP_012661754.1")</f>
        <v>XP_012661754.1</v>
      </c>
      <c r="D3618">
        <v>33148</v>
      </c>
      <c r="E3618" t="str">
        <f>HYPERLINK("http://www.ncbi.nlm.nih.gov/Taxonomy/Browser/wwwtax.cgi?mode=Info&amp;id=30611&amp;lvl=3&amp;lin=f&amp;keep=1&amp;srchmode=1&amp;unlock","30611")</f>
        <v>30611</v>
      </c>
      <c r="F3618" t="s">
        <v>96</v>
      </c>
      <c r="G3618" t="str">
        <f>HYPERLINK("http://www.ncbi.nlm.nih.gov/Taxonomy/Browser/wwwtax.cgi?mode=Info&amp;id=30611&amp;lvl=3&amp;lin=f&amp;keep=1&amp;srchmode=1&amp;unlock","Otolemur garnettii")</f>
        <v>Otolemur garnettii</v>
      </c>
      <c r="H3618" t="s">
        <v>439</v>
      </c>
      <c r="I3618" t="str">
        <f>HYPERLINK("http://www.ncbi.nlm.nih.gov/protein/XP_012661754.1","ryanodine receptor 3")</f>
        <v>ryanodine receptor 3</v>
      </c>
      <c r="J3618">
        <v>7703.98</v>
      </c>
      <c r="K3618" t="s">
        <v>22</v>
      </c>
      <c r="L3618">
        <v>76</v>
      </c>
      <c r="M3618">
        <v>12.58</v>
      </c>
      <c r="N3618">
        <v>75.819999999999993</v>
      </c>
      <c r="O3618" t="s">
        <v>19</v>
      </c>
      <c r="P3618" t="s">
        <v>1320</v>
      </c>
      <c r="Q3618" t="s">
        <v>19</v>
      </c>
      <c r="R3618" t="str">
        <f>HYPERLINK("https://cfpub.epa.gov/ecotox/explore.cfm?ncbi=30611","Explore in ECOTOX")</f>
        <v>Explore in ECOTOX</v>
      </c>
    </row>
    <row r="3619" spans="1:18" x14ac:dyDescent="0.45">
      <c r="A3619" t="s">
        <v>1265</v>
      </c>
      <c r="B3619">
        <v>8</v>
      </c>
      <c r="C3619" t="str">
        <f>HYPERLINK("http://www.ncbi.nlm.nih.gov/protein/XP_059952061.1","XP_059952061.1")</f>
        <v>XP_059952061.1</v>
      </c>
      <c r="D3619">
        <v>43350</v>
      </c>
      <c r="E3619" t="str">
        <f>HYPERLINK("http://www.ncbi.nlm.nih.gov/Taxonomy/Browser/wwwtax.cgi?mode=Info&amp;id=48708&amp;lvl=3&amp;lin=f&amp;keep=1&amp;srchmode=1&amp;unlock","48708")</f>
        <v>48708</v>
      </c>
      <c r="F3619" t="s">
        <v>96</v>
      </c>
      <c r="G3619" t="str">
        <f>HYPERLINK("http://www.ncbi.nlm.nih.gov/Taxonomy/Browser/wwwtax.cgi?mode=Info&amp;id=48708&amp;lvl=3&amp;lin=f&amp;keep=1&amp;srchmode=1&amp;unlock","Mesoplodon densirostris")</f>
        <v>Mesoplodon densirostris</v>
      </c>
      <c r="H3619" t="s">
        <v>597</v>
      </c>
      <c r="I3619" t="str">
        <f>HYPERLINK("http://www.ncbi.nlm.nih.gov/protein/XP_059952061.1","ryanodine receptor 3")</f>
        <v>ryanodine receptor 3</v>
      </c>
      <c r="J3619">
        <v>7703.59</v>
      </c>
      <c r="K3619" t="s">
        <v>22</v>
      </c>
      <c r="L3619">
        <v>76</v>
      </c>
      <c r="M3619">
        <v>12.58</v>
      </c>
      <c r="N3619">
        <v>75.819999999999993</v>
      </c>
      <c r="O3619" t="s">
        <v>19</v>
      </c>
      <c r="P3619" t="s">
        <v>1320</v>
      </c>
      <c r="Q3619" t="s">
        <v>19</v>
      </c>
      <c r="R3619" t="str">
        <f>HYPERLINK("https://cfpub.epa.gov/ecotox/explore.cfm?ncbi=48708","Explore in ECOTOX")</f>
        <v>Explore in ECOTOX</v>
      </c>
    </row>
    <row r="3620" spans="1:18" x14ac:dyDescent="0.45">
      <c r="A3620" t="s">
        <v>1265</v>
      </c>
      <c r="B3620">
        <v>8</v>
      </c>
      <c r="C3620" t="str">
        <f>HYPERLINK("http://www.ncbi.nlm.nih.gov/protein/XP_039197530.1","XP_039197530.1")</f>
        <v>XP_039197530.1</v>
      </c>
      <c r="D3620">
        <v>51713</v>
      </c>
      <c r="E3620" t="str">
        <f>HYPERLINK("http://www.ncbi.nlm.nih.gov/Taxonomy/Browser/wwwtax.cgi?mode=Info&amp;id=88082&amp;lvl=3&amp;lin=f&amp;keep=1&amp;srchmode=1&amp;unlock","88082")</f>
        <v>88082</v>
      </c>
      <c r="F3620" t="s">
        <v>192</v>
      </c>
      <c r="G3620" t="str">
        <f>HYPERLINK("http://www.ncbi.nlm.nih.gov/Taxonomy/Browser/wwwtax.cgi?mode=Info&amp;id=88082&amp;lvl=3&amp;lin=f&amp;keep=1&amp;srchmode=1&amp;unlock","Crotalus tigris")</f>
        <v>Crotalus tigris</v>
      </c>
      <c r="H3620" t="s">
        <v>208</v>
      </c>
      <c r="I3620" t="str">
        <f>HYPERLINK("http://www.ncbi.nlm.nih.gov/protein/XP_039197530.1","ryanodine receptor 3 isoform X14")</f>
        <v>ryanodine receptor 3 isoform X14</v>
      </c>
      <c r="J3620">
        <v>7703.21</v>
      </c>
      <c r="K3620" t="s">
        <v>22</v>
      </c>
      <c r="L3620">
        <v>76</v>
      </c>
      <c r="M3620">
        <v>12.58</v>
      </c>
      <c r="N3620">
        <v>75.81</v>
      </c>
      <c r="O3620" t="s">
        <v>19</v>
      </c>
      <c r="P3620" t="s">
        <v>1320</v>
      </c>
      <c r="Q3620" t="s">
        <v>19</v>
      </c>
      <c r="R3620" t="str">
        <f>HYPERLINK("https://cfpub.epa.gov/ecotox/explore.cfm?ncbi=88082","Explore in ECOTOX")</f>
        <v>Explore in ECOTOX</v>
      </c>
    </row>
    <row r="3621" spans="1:18" x14ac:dyDescent="0.45">
      <c r="A3621" t="s">
        <v>1265</v>
      </c>
      <c r="B3621">
        <v>8</v>
      </c>
      <c r="C3621" t="str">
        <f>HYPERLINK("http://www.ncbi.nlm.nih.gov/protein/XP_017685216.1","XP_017685216.1")</f>
        <v>XP_017685216.1</v>
      </c>
      <c r="D3621">
        <v>36958</v>
      </c>
      <c r="E3621" t="str">
        <f>HYPERLINK("http://www.ncbi.nlm.nih.gov/Taxonomy/Browser/wwwtax.cgi?mode=Info&amp;id=321398&amp;lvl=3&amp;lin=f&amp;keep=1&amp;srchmode=1&amp;unlock","321398")</f>
        <v>321398</v>
      </c>
      <c r="F3621" t="s">
        <v>241</v>
      </c>
      <c r="G3621" t="str">
        <f>HYPERLINK("http://www.ncbi.nlm.nih.gov/Taxonomy/Browser/wwwtax.cgi?mode=Info&amp;id=321398&amp;lvl=3&amp;lin=f&amp;keep=1&amp;srchmode=1&amp;unlock","Lepidothrix coronata")</f>
        <v>Lepidothrix coronata</v>
      </c>
      <c r="H3621" t="s">
        <v>472</v>
      </c>
      <c r="I3621" t="str">
        <f>HYPERLINK("http://www.ncbi.nlm.nih.gov/protein/XP_017685216.1","PREDICTED: ryanodine receptor 3 isoform X1")</f>
        <v>PREDICTED: ryanodine receptor 3 isoform X1</v>
      </c>
      <c r="J3621">
        <v>7702.44</v>
      </c>
      <c r="K3621" t="s">
        <v>22</v>
      </c>
      <c r="L3621">
        <v>76</v>
      </c>
      <c r="M3621">
        <v>12.58</v>
      </c>
      <c r="N3621">
        <v>75.81</v>
      </c>
      <c r="O3621" t="s">
        <v>19</v>
      </c>
      <c r="P3621" t="s">
        <v>1320</v>
      </c>
      <c r="Q3621" t="s">
        <v>19</v>
      </c>
      <c r="R3621" t="str">
        <f>HYPERLINK("https://cfpub.epa.gov/ecotox/explore.cfm?ncbi=321398","Explore in ECOTOX")</f>
        <v>Explore in ECOTOX</v>
      </c>
    </row>
    <row r="3622" spans="1:18" x14ac:dyDescent="0.45">
      <c r="A3622" t="s">
        <v>1265</v>
      </c>
      <c r="B3622">
        <v>8</v>
      </c>
      <c r="C3622" t="str">
        <f>HYPERLINK("http://www.ncbi.nlm.nih.gov/protein/XP_059769686.1","XP_059769686.1")</f>
        <v>XP_059769686.1</v>
      </c>
      <c r="D3622">
        <v>50351</v>
      </c>
      <c r="E3622" t="str">
        <f>HYPERLINK("http://www.ncbi.nlm.nih.gov/Taxonomy/Browser/wwwtax.cgi?mode=Info&amp;id=2746895&amp;lvl=3&amp;lin=f&amp;keep=1&amp;srchmode=1&amp;unlock","2746895")</f>
        <v>2746895</v>
      </c>
      <c r="F3622" t="s">
        <v>96</v>
      </c>
      <c r="G3622" t="str">
        <f>HYPERLINK("http://www.ncbi.nlm.nih.gov/Taxonomy/Browser/wwwtax.cgi?mode=Info&amp;id=2746895&amp;lvl=3&amp;lin=f&amp;keep=1&amp;srchmode=1&amp;unlock","Balaenoptera ricei")</f>
        <v>Balaenoptera ricei</v>
      </c>
      <c r="H3622" t="s">
        <v>485</v>
      </c>
      <c r="I3622" t="str">
        <f>HYPERLINK("http://www.ncbi.nlm.nih.gov/protein/XP_059769686.1","ryanodine receptor 3 isoform X3")</f>
        <v>ryanodine receptor 3 isoform X3</v>
      </c>
      <c r="J3622">
        <v>7702.05</v>
      </c>
      <c r="K3622" t="s">
        <v>22</v>
      </c>
      <c r="L3622">
        <v>76</v>
      </c>
      <c r="M3622">
        <v>12.58</v>
      </c>
      <c r="N3622">
        <v>75.8</v>
      </c>
      <c r="O3622" t="s">
        <v>19</v>
      </c>
      <c r="P3622" t="s">
        <v>1320</v>
      </c>
      <c r="Q3622" t="s">
        <v>19</v>
      </c>
      <c r="R3622" t="str">
        <f>HYPERLINK("https://cfpub.epa.gov/ecotox/explore.cfm?ncbi=2746895","Explore in ECOTOX")</f>
        <v>Explore in ECOTOX</v>
      </c>
    </row>
    <row r="3623" spans="1:18" x14ac:dyDescent="0.45">
      <c r="A3623" t="s">
        <v>1265</v>
      </c>
      <c r="B3623">
        <v>8</v>
      </c>
      <c r="C3623" t="str">
        <f>HYPERLINK("http://www.ncbi.nlm.nih.gov/protein/XP_023783701.1","XP_023783701.1")</f>
        <v>XP_023783701.1</v>
      </c>
      <c r="D3623">
        <v>31627</v>
      </c>
      <c r="E3623" t="str">
        <f>HYPERLINK("http://www.ncbi.nlm.nih.gov/Taxonomy/Browser/wwwtax.cgi?mode=Info&amp;id=156563&amp;lvl=3&amp;lin=f&amp;keep=1&amp;srchmode=1&amp;unlock","156563")</f>
        <v>156563</v>
      </c>
      <c r="F3623" t="s">
        <v>241</v>
      </c>
      <c r="G3623" t="str">
        <f>HYPERLINK("http://www.ncbi.nlm.nih.gov/Taxonomy/Browser/wwwtax.cgi?mode=Info&amp;id=156563&amp;lvl=3&amp;lin=f&amp;keep=1&amp;srchmode=1&amp;unlock","Cyanistes caeruleus")</f>
        <v>Cyanistes caeruleus</v>
      </c>
      <c r="H3623" t="s">
        <v>738</v>
      </c>
      <c r="I3623" t="str">
        <f>HYPERLINK("http://www.ncbi.nlm.nih.gov/protein/XP_023783701.1","ryanodine receptor 3")</f>
        <v>ryanodine receptor 3</v>
      </c>
      <c r="J3623">
        <v>7700.9</v>
      </c>
      <c r="K3623" t="s">
        <v>22</v>
      </c>
      <c r="L3623">
        <v>76</v>
      </c>
      <c r="M3623">
        <v>12.58</v>
      </c>
      <c r="N3623">
        <v>75.790000000000006</v>
      </c>
      <c r="O3623" t="s">
        <v>19</v>
      </c>
      <c r="P3623" t="s">
        <v>1320</v>
      </c>
      <c r="Q3623" t="s">
        <v>19</v>
      </c>
      <c r="R3623" t="str">
        <f>HYPERLINK("https://cfpub.epa.gov/ecotox/explore.cfm?ncbi=156563","Explore in ECOTOX")</f>
        <v>Explore in ECOTOX</v>
      </c>
    </row>
    <row r="3624" spans="1:18" x14ac:dyDescent="0.45">
      <c r="A3624" t="s">
        <v>1265</v>
      </c>
      <c r="B3624">
        <v>8</v>
      </c>
      <c r="C3624" t="str">
        <f>HYPERLINK("http://www.ncbi.nlm.nih.gov/protein/XP_051647726.1","XP_051647726.1")</f>
        <v>XP_051647726.1</v>
      </c>
      <c r="D3624">
        <v>44983</v>
      </c>
      <c r="E3624" t="str">
        <f>HYPERLINK("http://www.ncbi.nlm.nih.gov/Taxonomy/Browser/wwwtax.cgi?mode=Info&amp;id=415023&amp;lvl=3&amp;lin=f&amp;keep=1&amp;srchmode=1&amp;unlock","415023")</f>
        <v>415023</v>
      </c>
      <c r="F3624" t="s">
        <v>241</v>
      </c>
      <c r="G3624" t="str">
        <f>HYPERLINK("http://www.ncbi.nlm.nih.gov/Taxonomy/Browser/wwwtax.cgi?mode=Info&amp;id=415023&amp;lvl=3&amp;lin=f&amp;keep=1&amp;srchmode=1&amp;unlock","Manacus candei")</f>
        <v>Manacus candei</v>
      </c>
      <c r="H3624" t="s">
        <v>278</v>
      </c>
      <c r="I3624" t="str">
        <f>HYPERLINK("http://www.ncbi.nlm.nih.gov/protein/XP_051647726.1","ryanodine receptor 3 isoform X4")</f>
        <v>ryanodine receptor 3 isoform X4</v>
      </c>
      <c r="J3624">
        <v>7700.51</v>
      </c>
      <c r="K3624" t="s">
        <v>22</v>
      </c>
      <c r="L3624">
        <v>76</v>
      </c>
      <c r="M3624">
        <v>12.58</v>
      </c>
      <c r="N3624">
        <v>75.790000000000006</v>
      </c>
      <c r="O3624" t="s">
        <v>19</v>
      </c>
      <c r="P3624" t="s">
        <v>1320</v>
      </c>
      <c r="Q3624" t="s">
        <v>19</v>
      </c>
      <c r="R3624" t="str">
        <f>HYPERLINK("https://cfpub.epa.gov/ecotox/explore.cfm?ncbi=415023","Explore in ECOTOX")</f>
        <v>Explore in ECOTOX</v>
      </c>
    </row>
    <row r="3625" spans="1:18" x14ac:dyDescent="0.45">
      <c r="A3625" t="s">
        <v>1265</v>
      </c>
      <c r="B3625">
        <v>8</v>
      </c>
      <c r="C3625" t="str">
        <f>HYPERLINK("http://www.ncbi.nlm.nih.gov/protein/XP_037060987.1","XP_037060987.1")</f>
        <v>XP_037060987.1</v>
      </c>
      <c r="D3625">
        <v>48587</v>
      </c>
      <c r="E3625" t="str">
        <f>HYPERLINK("http://www.ncbi.nlm.nih.gov/Taxonomy/Browser/wwwtax.cgi?mode=Info&amp;id=10041&amp;lvl=3&amp;lin=f&amp;keep=1&amp;srchmode=1&amp;unlock","10041")</f>
        <v>10041</v>
      </c>
      <c r="F3625" t="s">
        <v>96</v>
      </c>
      <c r="G3625" t="str">
        <f>HYPERLINK("http://www.ncbi.nlm.nih.gov/Taxonomy/Browser/wwwtax.cgi?mode=Info&amp;id=10041&amp;lvl=3&amp;lin=f&amp;keep=1&amp;srchmode=1&amp;unlock","Peromyscus leucopus")</f>
        <v>Peromyscus leucopus</v>
      </c>
      <c r="H3625" t="s">
        <v>280</v>
      </c>
      <c r="I3625" t="str">
        <f>HYPERLINK("http://www.ncbi.nlm.nih.gov/protein/XP_037060987.1","LOW QUALITY PROTEIN: ryanodine receptor 3, partial")</f>
        <v>LOW QUALITY PROTEIN: ryanodine receptor 3, partial</v>
      </c>
      <c r="J3625">
        <v>7700.13</v>
      </c>
      <c r="K3625" t="s">
        <v>22</v>
      </c>
      <c r="L3625">
        <v>76</v>
      </c>
      <c r="M3625">
        <v>12.58</v>
      </c>
      <c r="N3625">
        <v>75.78</v>
      </c>
      <c r="O3625" t="s">
        <v>19</v>
      </c>
      <c r="P3625" t="s">
        <v>1320</v>
      </c>
      <c r="Q3625" t="s">
        <v>19</v>
      </c>
      <c r="R3625" t="str">
        <f>HYPERLINK("https://cfpub.epa.gov/ecotox/explore.cfm?ncbi=10041","Explore in ECOTOX")</f>
        <v>Explore in ECOTOX</v>
      </c>
    </row>
    <row r="3626" spans="1:18" x14ac:dyDescent="0.45">
      <c r="A3626" t="s">
        <v>1265</v>
      </c>
      <c r="B3626">
        <v>8</v>
      </c>
      <c r="C3626" t="str">
        <f>HYPERLINK("http://www.ncbi.nlm.nih.gov/protein/XP_031968815.1","XP_031968815.1")</f>
        <v>XP_031968815.1</v>
      </c>
      <c r="D3626">
        <v>56759</v>
      </c>
      <c r="E3626" t="str">
        <f>HYPERLINK("http://www.ncbi.nlm.nih.gov/Taxonomy/Browser/wwwtax.cgi?mode=Info&amp;id=1196302&amp;lvl=3&amp;lin=f&amp;keep=1&amp;srchmode=1&amp;unlock","1196302")</f>
        <v>1196302</v>
      </c>
      <c r="F3626" t="s">
        <v>241</v>
      </c>
      <c r="G3626" t="str">
        <f>HYPERLINK("http://www.ncbi.nlm.nih.gov/Taxonomy/Browser/wwwtax.cgi?mode=Info&amp;id=1196302&amp;lvl=3&amp;lin=f&amp;keep=1&amp;srchmode=1&amp;unlock","Corvus moneduloides")</f>
        <v>Corvus moneduloides</v>
      </c>
      <c r="H3626" t="s">
        <v>506</v>
      </c>
      <c r="I3626" t="str">
        <f>HYPERLINK("http://www.ncbi.nlm.nih.gov/protein/XP_031968815.1","LOW QUALITY PROTEIN: ryanodine receptor 3")</f>
        <v>LOW QUALITY PROTEIN: ryanodine receptor 3</v>
      </c>
      <c r="J3626">
        <v>7699.35</v>
      </c>
      <c r="K3626" t="s">
        <v>22</v>
      </c>
      <c r="L3626">
        <v>76</v>
      </c>
      <c r="M3626">
        <v>12.58</v>
      </c>
      <c r="N3626">
        <v>75.78</v>
      </c>
      <c r="O3626" t="s">
        <v>19</v>
      </c>
      <c r="P3626" t="s">
        <v>1320</v>
      </c>
      <c r="Q3626" t="s">
        <v>19</v>
      </c>
      <c r="R3626" t="str">
        <f>HYPERLINK("https://cfpub.epa.gov/ecotox/explore.cfm?ncbi=1196302","Explore in ECOTOX")</f>
        <v>Explore in ECOTOX</v>
      </c>
    </row>
    <row r="3627" spans="1:18" x14ac:dyDescent="0.45">
      <c r="A3627" t="s">
        <v>1265</v>
      </c>
      <c r="B3627">
        <v>8</v>
      </c>
      <c r="C3627" t="str">
        <f>HYPERLINK("http://www.ncbi.nlm.nih.gov/protein/XP_059228095.1","XP_059228095.1")</f>
        <v>XP_059228095.1</v>
      </c>
      <c r="D3627">
        <v>47519</v>
      </c>
      <c r="E3627" t="str">
        <f>HYPERLINK("http://www.ncbi.nlm.nih.gov/Taxonomy/Browser/wwwtax.cgi?mode=Info&amp;id=77151&amp;lvl=3&amp;lin=f&amp;keep=1&amp;srchmode=1&amp;unlock","77151")</f>
        <v>77151</v>
      </c>
      <c r="F3627" t="s">
        <v>96</v>
      </c>
      <c r="G3627" t="str">
        <f>HYPERLINK("http://www.ncbi.nlm.nih.gov/Taxonomy/Browser/wwwtax.cgi?mode=Info&amp;id=77151&amp;lvl=3&amp;lin=f&amp;keep=1&amp;srchmode=1&amp;unlock","Mustela nigripes")</f>
        <v>Mustela nigripes</v>
      </c>
      <c r="H3627" t="s">
        <v>534</v>
      </c>
      <c r="I3627" t="str">
        <f>HYPERLINK("http://www.ncbi.nlm.nih.gov/protein/XP_059228095.1","LOW QUALITY PROTEIN: ryanodine receptor 3")</f>
        <v>LOW QUALITY PROTEIN: ryanodine receptor 3</v>
      </c>
      <c r="J3627">
        <v>7698.97</v>
      </c>
      <c r="K3627" t="s">
        <v>22</v>
      </c>
      <c r="L3627">
        <v>76</v>
      </c>
      <c r="M3627">
        <v>12.58</v>
      </c>
      <c r="N3627">
        <v>75.77</v>
      </c>
      <c r="O3627" t="s">
        <v>19</v>
      </c>
      <c r="P3627" t="s">
        <v>1320</v>
      </c>
      <c r="Q3627" t="s">
        <v>19</v>
      </c>
      <c r="R3627" t="str">
        <f>HYPERLINK("https://cfpub.epa.gov/ecotox/explore.cfm?ncbi=77151","Explore in ECOTOX")</f>
        <v>Explore in ECOTOX</v>
      </c>
    </row>
    <row r="3628" spans="1:18" x14ac:dyDescent="0.45">
      <c r="A3628" t="s">
        <v>1265</v>
      </c>
      <c r="B3628">
        <v>8</v>
      </c>
      <c r="C3628" t="str">
        <f>HYPERLINK("http://www.ncbi.nlm.nih.gov/protein/XP_022377801.1","XP_022377801.1")</f>
        <v>XP_022377801.1</v>
      </c>
      <c r="D3628">
        <v>36593</v>
      </c>
      <c r="E3628" t="str">
        <f>HYPERLINK("http://www.ncbi.nlm.nih.gov/Taxonomy/Browser/wwwtax.cgi?mode=Info&amp;id=391180&amp;lvl=3&amp;lin=f&amp;keep=1&amp;srchmode=1&amp;unlock","391180")</f>
        <v>391180</v>
      </c>
      <c r="F3628" t="s">
        <v>96</v>
      </c>
      <c r="G3628" t="str">
        <f>HYPERLINK("http://www.ncbi.nlm.nih.gov/Taxonomy/Browser/wwwtax.cgi?mode=Info&amp;id=391180&amp;lvl=3&amp;lin=f&amp;keep=1&amp;srchmode=1&amp;unlock","Enhydra lutris kenyoni")</f>
        <v>Enhydra lutris kenyoni</v>
      </c>
      <c r="H3628" t="s">
        <v>601</v>
      </c>
      <c r="I3628" t="str">
        <f>HYPERLINK("http://www.ncbi.nlm.nih.gov/protein/XP_022377801.1","ryanodine receptor 3")</f>
        <v>ryanodine receptor 3</v>
      </c>
      <c r="J3628">
        <v>7697.81</v>
      </c>
      <c r="K3628" t="s">
        <v>22</v>
      </c>
      <c r="L3628">
        <v>76</v>
      </c>
      <c r="M3628">
        <v>12.58</v>
      </c>
      <c r="N3628">
        <v>75.760000000000005</v>
      </c>
      <c r="O3628" t="s">
        <v>19</v>
      </c>
      <c r="P3628" t="s">
        <v>1320</v>
      </c>
      <c r="Q3628" t="s">
        <v>19</v>
      </c>
      <c r="R3628" t="str">
        <f>HYPERLINK("https://cfpub.epa.gov/ecotox/explore.cfm?ncbi=391180","Explore in ECOTOX")</f>
        <v>Explore in ECOTOX</v>
      </c>
    </row>
    <row r="3629" spans="1:18" x14ac:dyDescent="0.45">
      <c r="A3629" t="s">
        <v>1265</v>
      </c>
      <c r="B3629">
        <v>8</v>
      </c>
      <c r="C3629" t="str">
        <f>HYPERLINK("http://www.ncbi.nlm.nih.gov/protein/XP_021097495.1","XP_021097495.1")</f>
        <v>XP_021097495.1</v>
      </c>
      <c r="D3629">
        <v>82862</v>
      </c>
      <c r="E3629" t="str">
        <f>HYPERLINK("http://www.ncbi.nlm.nih.gov/Taxonomy/Browser/wwwtax.cgi?mode=Info&amp;id=10181&amp;lvl=3&amp;lin=f&amp;keep=1&amp;srchmode=1&amp;unlock","10181")</f>
        <v>10181</v>
      </c>
      <c r="F3629" t="s">
        <v>96</v>
      </c>
      <c r="G3629" t="str">
        <f>HYPERLINK("http://www.ncbi.nlm.nih.gov/Taxonomy/Browser/wwwtax.cgi?mode=Info&amp;id=10181&amp;lvl=3&amp;lin=f&amp;keep=1&amp;srchmode=1&amp;unlock","Heterocephalus glaber")</f>
        <v>Heterocephalus glaber</v>
      </c>
      <c r="H3629" t="s">
        <v>421</v>
      </c>
      <c r="I3629" t="str">
        <f>HYPERLINK("http://www.ncbi.nlm.nih.gov/protein/XP_021097495.1","ryanodine receptor 3")</f>
        <v>ryanodine receptor 3</v>
      </c>
      <c r="J3629">
        <v>7697.81</v>
      </c>
      <c r="K3629" t="s">
        <v>22</v>
      </c>
      <c r="L3629">
        <v>76</v>
      </c>
      <c r="M3629">
        <v>12.58</v>
      </c>
      <c r="N3629">
        <v>75.760000000000005</v>
      </c>
      <c r="O3629" t="s">
        <v>19</v>
      </c>
      <c r="P3629" t="s">
        <v>1320</v>
      </c>
      <c r="Q3629" t="s">
        <v>19</v>
      </c>
      <c r="R3629" t="str">
        <f>HYPERLINK("https://cfpub.epa.gov/ecotox/explore.cfm?ncbi=10181","Explore in ECOTOX")</f>
        <v>Explore in ECOTOX</v>
      </c>
    </row>
    <row r="3630" spans="1:18" x14ac:dyDescent="0.45">
      <c r="A3630" t="s">
        <v>1265</v>
      </c>
      <c r="B3630">
        <v>8</v>
      </c>
      <c r="C3630" t="str">
        <f>HYPERLINK("http://www.ncbi.nlm.nih.gov/protein/TRZ26211.1","TRZ26211.1")</f>
        <v>TRZ26211.1</v>
      </c>
      <c r="D3630">
        <v>22654</v>
      </c>
      <c r="E3630" t="str">
        <f>HYPERLINK("http://www.ncbi.nlm.nih.gov/Taxonomy/Browser/wwwtax.cgi?mode=Info&amp;id=364589&amp;lvl=3&amp;lin=f&amp;keep=1&amp;srchmode=1&amp;unlock","364589")</f>
        <v>364589</v>
      </c>
      <c r="F3630" t="s">
        <v>241</v>
      </c>
      <c r="G3630" t="str">
        <f>HYPERLINK("http://www.ncbi.nlm.nih.gov/Taxonomy/Browser/wwwtax.cgi?mode=Info&amp;id=364589&amp;lvl=3&amp;lin=f&amp;keep=1&amp;srchmode=1&amp;unlock","Zosterops borbonicus")</f>
        <v>Zosterops borbonicus</v>
      </c>
      <c r="H3630" t="s">
        <v>670</v>
      </c>
      <c r="I3630" t="str">
        <f>HYPERLINK("http://www.ncbi.nlm.nih.gov/protein/TRZ26211.1","hypothetical protein HGM15179_000823")</f>
        <v>hypothetical protein HGM15179_000823</v>
      </c>
      <c r="J3630">
        <v>7697.43</v>
      </c>
      <c r="K3630" t="s">
        <v>22</v>
      </c>
      <c r="L3630">
        <v>76</v>
      </c>
      <c r="M3630">
        <v>12.58</v>
      </c>
      <c r="N3630">
        <v>75.760000000000005</v>
      </c>
      <c r="O3630" t="s">
        <v>19</v>
      </c>
      <c r="P3630" t="s">
        <v>1320</v>
      </c>
      <c r="Q3630" t="s">
        <v>19</v>
      </c>
      <c r="R3630" t="str">
        <f>HYPERLINK("https://cfpub.epa.gov/ecotox/explore.cfm?ncbi=364589","Explore in ECOTOX")</f>
        <v>Explore in ECOTOX</v>
      </c>
    </row>
    <row r="3631" spans="1:18" x14ac:dyDescent="0.45">
      <c r="A3631" t="s">
        <v>1265</v>
      </c>
      <c r="B3631">
        <v>8</v>
      </c>
      <c r="C3631" t="str">
        <f>HYPERLINK("http://www.ncbi.nlm.nih.gov/protein/XP_047395249.1","XP_047395249.1")</f>
        <v>XP_047395249.1</v>
      </c>
      <c r="D3631">
        <v>75123</v>
      </c>
      <c r="E3631" t="str">
        <f>HYPERLINK("http://www.ncbi.nlm.nih.gov/Taxonomy/Browser/wwwtax.cgi?mode=Info&amp;id=30640&amp;lvl=3&amp;lin=f&amp;keep=1&amp;srchmode=1&amp;unlock","30640")</f>
        <v>30640</v>
      </c>
      <c r="F3631" t="s">
        <v>96</v>
      </c>
      <c r="G3631" t="str">
        <f>HYPERLINK("http://www.ncbi.nlm.nih.gov/Taxonomy/Browser/wwwtax.cgi?mode=Info&amp;id=30640&amp;lvl=3&amp;lin=f&amp;keep=1&amp;srchmode=1&amp;unlock","Sciurus carolinensis")</f>
        <v>Sciurus carolinensis</v>
      </c>
      <c r="H3631" t="s">
        <v>526</v>
      </c>
      <c r="I3631" t="str">
        <f>HYPERLINK("http://www.ncbi.nlm.nih.gov/protein/XP_047395249.1","ryanodine receptor 3")</f>
        <v>ryanodine receptor 3</v>
      </c>
      <c r="J3631">
        <v>7697.04</v>
      </c>
      <c r="K3631" t="s">
        <v>22</v>
      </c>
      <c r="L3631">
        <v>76</v>
      </c>
      <c r="M3631">
        <v>12.58</v>
      </c>
      <c r="N3631">
        <v>75.75</v>
      </c>
      <c r="O3631" t="s">
        <v>19</v>
      </c>
      <c r="P3631" t="s">
        <v>1320</v>
      </c>
      <c r="Q3631" t="s">
        <v>19</v>
      </c>
      <c r="R3631" t="str">
        <f>HYPERLINK("https://cfpub.epa.gov/ecotox/explore.cfm?ncbi=30640","Explore in ECOTOX")</f>
        <v>Explore in ECOTOX</v>
      </c>
    </row>
    <row r="3632" spans="1:18" x14ac:dyDescent="0.45">
      <c r="A3632" t="s">
        <v>1265</v>
      </c>
      <c r="B3632">
        <v>8</v>
      </c>
      <c r="C3632" t="str">
        <f>HYPERLINK("http://www.ncbi.nlm.nih.gov/protein/XP_036699818.1","XP_036699818.1")</f>
        <v>XP_036699818.1</v>
      </c>
      <c r="D3632">
        <v>52583</v>
      </c>
      <c r="E3632" t="str">
        <f>HYPERLINK("http://www.ncbi.nlm.nih.gov/Taxonomy/Browser/wwwtax.cgi?mode=Info&amp;id=9771&amp;lvl=3&amp;lin=f&amp;keep=1&amp;srchmode=1&amp;unlock","9771")</f>
        <v>9771</v>
      </c>
      <c r="F3632" t="s">
        <v>96</v>
      </c>
      <c r="G3632" t="str">
        <f>HYPERLINK("http://www.ncbi.nlm.nih.gov/Taxonomy/Browser/wwwtax.cgi?mode=Info&amp;id=9771&amp;lvl=3&amp;lin=f&amp;keep=1&amp;srchmode=1&amp;unlock","Balaenoptera musculus")</f>
        <v>Balaenoptera musculus</v>
      </c>
      <c r="H3632" t="s">
        <v>482</v>
      </c>
      <c r="I3632" t="str">
        <f>HYPERLINK("http://www.ncbi.nlm.nih.gov/protein/XP_036699818.1","ryanodine receptor 3")</f>
        <v>ryanodine receptor 3</v>
      </c>
      <c r="J3632">
        <v>7696.27</v>
      </c>
      <c r="K3632" t="s">
        <v>22</v>
      </c>
      <c r="L3632">
        <v>76</v>
      </c>
      <c r="M3632">
        <v>12.58</v>
      </c>
      <c r="N3632">
        <v>75.739999999999995</v>
      </c>
      <c r="O3632" t="s">
        <v>19</v>
      </c>
      <c r="P3632" t="s">
        <v>1320</v>
      </c>
      <c r="Q3632" t="s">
        <v>19</v>
      </c>
      <c r="R3632" t="str">
        <f>HYPERLINK("https://cfpub.epa.gov/ecotox/explore.cfm?ncbi=9771","Explore in ECOTOX")</f>
        <v>Explore in ECOTOX</v>
      </c>
    </row>
    <row r="3633" spans="1:18" x14ac:dyDescent="0.45">
      <c r="A3633" t="s">
        <v>1265</v>
      </c>
      <c r="B3633">
        <v>8</v>
      </c>
      <c r="C3633" t="str">
        <f>HYPERLINK("http://www.ncbi.nlm.nih.gov/protein/CAA69029.1","CAA69029.1")</f>
        <v>CAA69029.1</v>
      </c>
      <c r="D3633">
        <v>44674</v>
      </c>
      <c r="E3633" t="str">
        <f>HYPERLINK("http://www.ncbi.nlm.nih.gov/Taxonomy/Browser/wwwtax.cgi?mode=Info&amp;id=452646&amp;lvl=3&amp;lin=f&amp;keep=1&amp;srchmode=1&amp;unlock","452646")</f>
        <v>452646</v>
      </c>
      <c r="F3633" t="s">
        <v>96</v>
      </c>
      <c r="G3633" t="str">
        <f>HYPERLINK("http://www.ncbi.nlm.nih.gov/Taxonomy/Browser/wwwtax.cgi?mode=Info&amp;id=452646&amp;lvl=3&amp;lin=f&amp;keep=1&amp;srchmode=1&amp;unlock","Neogale vison")</f>
        <v>Neogale vison</v>
      </c>
      <c r="H3633" t="s">
        <v>557</v>
      </c>
      <c r="I3633" t="str">
        <f>HYPERLINK("http://www.ncbi.nlm.nih.gov/protein/CAA69029.1","ryanodine receptor type 3")</f>
        <v>ryanodine receptor type 3</v>
      </c>
      <c r="J3633">
        <v>7695.89</v>
      </c>
      <c r="K3633" t="s">
        <v>22</v>
      </c>
      <c r="L3633">
        <v>76</v>
      </c>
      <c r="M3633">
        <v>12.58</v>
      </c>
      <c r="N3633">
        <v>75.739999999999995</v>
      </c>
      <c r="O3633" t="s">
        <v>19</v>
      </c>
      <c r="P3633" t="s">
        <v>1320</v>
      </c>
      <c r="Q3633" t="s">
        <v>19</v>
      </c>
      <c r="R3633" t="str">
        <f>HYPERLINK("https://cfpub.epa.gov/ecotox/explore.cfm?ncbi=452646","Explore in ECOTOX")</f>
        <v>Explore in ECOTOX</v>
      </c>
    </row>
    <row r="3634" spans="1:18" x14ac:dyDescent="0.45">
      <c r="A3634" t="s">
        <v>1265</v>
      </c>
      <c r="B3634">
        <v>8</v>
      </c>
      <c r="C3634" t="str">
        <f>HYPERLINK("http://www.ncbi.nlm.nih.gov/protein/XP_056348717.1","XP_056348717.1")</f>
        <v>XP_056348717.1</v>
      </c>
      <c r="D3634">
        <v>34711</v>
      </c>
      <c r="E3634" t="str">
        <f>HYPERLINK("http://www.ncbi.nlm.nih.gov/Taxonomy/Browser/wwwtax.cgi?mode=Info&amp;id=2939378&amp;lvl=3&amp;lin=f&amp;keep=1&amp;srchmode=1&amp;unlock","2939378")</f>
        <v>2939378</v>
      </c>
      <c r="F3634" t="s">
        <v>241</v>
      </c>
      <c r="G3634" t="str">
        <f>HYPERLINK("http://www.ncbi.nlm.nih.gov/Taxonomy/Browser/wwwtax.cgi?mode=Info&amp;id=2939378&amp;lvl=3&amp;lin=f&amp;keep=1&amp;srchmode=1&amp;unlock","Oenanthe melanoleuca")</f>
        <v>Oenanthe melanoleuca</v>
      </c>
      <c r="H3634" t="s">
        <v>598</v>
      </c>
      <c r="I3634" t="str">
        <f>HYPERLINK("http://www.ncbi.nlm.nih.gov/protein/XP_056348717.1","ryanodine receptor 3")</f>
        <v>ryanodine receptor 3</v>
      </c>
      <c r="J3634">
        <v>7695.89</v>
      </c>
      <c r="K3634" t="s">
        <v>22</v>
      </c>
      <c r="L3634">
        <v>76</v>
      </c>
      <c r="M3634">
        <v>12.58</v>
      </c>
      <c r="N3634">
        <v>75.739999999999995</v>
      </c>
      <c r="O3634" t="s">
        <v>19</v>
      </c>
      <c r="P3634" t="s">
        <v>1320</v>
      </c>
      <c r="Q3634" t="s">
        <v>19</v>
      </c>
      <c r="R3634" t="str">
        <f>HYPERLINK("https://cfpub.epa.gov/ecotox/explore.cfm?ncbi=2939378","Explore in ECOTOX")</f>
        <v>Explore in ECOTOX</v>
      </c>
    </row>
    <row r="3635" spans="1:18" x14ac:dyDescent="0.45">
      <c r="A3635" t="s">
        <v>1265</v>
      </c>
      <c r="B3635">
        <v>8</v>
      </c>
      <c r="C3635" t="str">
        <f>HYPERLINK("http://www.ncbi.nlm.nih.gov/protein/XP_034850776.1","XP_034850776.1")</f>
        <v>XP_034850776.1</v>
      </c>
      <c r="D3635">
        <v>64808</v>
      </c>
      <c r="E3635" t="str">
        <f>HYPERLINK("http://www.ncbi.nlm.nih.gov/Taxonomy/Browser/wwwtax.cgi?mode=Info&amp;id=9715&amp;lvl=3&amp;lin=f&amp;keep=1&amp;srchmode=1&amp;unlock","9715")</f>
        <v>9715</v>
      </c>
      <c r="F3635" t="s">
        <v>96</v>
      </c>
      <c r="G3635" t="str">
        <f>HYPERLINK("http://www.ncbi.nlm.nih.gov/Taxonomy/Browser/wwwtax.cgi?mode=Info&amp;id=9715&amp;lvl=3&amp;lin=f&amp;keep=1&amp;srchmode=1&amp;unlock","Mirounga leonina")</f>
        <v>Mirounga leonina</v>
      </c>
      <c r="H3635" t="s">
        <v>350</v>
      </c>
      <c r="I3635" t="str">
        <f>HYPERLINK("http://www.ncbi.nlm.nih.gov/protein/XP_034850776.1","ryanodine receptor 3")</f>
        <v>ryanodine receptor 3</v>
      </c>
      <c r="J3635">
        <v>7695.89</v>
      </c>
      <c r="K3635" t="s">
        <v>22</v>
      </c>
      <c r="L3635">
        <v>76</v>
      </c>
      <c r="M3635">
        <v>12.58</v>
      </c>
      <c r="N3635">
        <v>75.739999999999995</v>
      </c>
      <c r="O3635" t="s">
        <v>19</v>
      </c>
      <c r="P3635" t="s">
        <v>1320</v>
      </c>
      <c r="Q3635" t="s">
        <v>19</v>
      </c>
      <c r="R3635" t="str">
        <f>HYPERLINK("https://cfpub.epa.gov/ecotox/explore.cfm?ncbi=9715","Explore in ECOTOX")</f>
        <v>Explore in ECOTOX</v>
      </c>
    </row>
    <row r="3636" spans="1:18" x14ac:dyDescent="0.45">
      <c r="A3636" t="s">
        <v>1265</v>
      </c>
      <c r="B3636">
        <v>8</v>
      </c>
      <c r="C3636" t="str">
        <f>HYPERLINK("http://www.ncbi.nlm.nih.gov/protein/XP_036202331.1","XP_036202331.1")</f>
        <v>XP_036202331.1</v>
      </c>
      <c r="D3636">
        <v>106886</v>
      </c>
      <c r="E3636" t="str">
        <f>HYPERLINK("http://www.ncbi.nlm.nih.gov/Taxonomy/Browser/wwwtax.cgi?mode=Info&amp;id=51298&amp;lvl=3&amp;lin=f&amp;keep=1&amp;srchmode=1&amp;unlock","51298")</f>
        <v>51298</v>
      </c>
      <c r="F3636" t="s">
        <v>96</v>
      </c>
      <c r="G3636" t="str">
        <f>HYPERLINK("http://www.ncbi.nlm.nih.gov/Taxonomy/Browser/wwwtax.cgi?mode=Info&amp;id=51298&amp;lvl=3&amp;lin=f&amp;keep=1&amp;srchmode=1&amp;unlock","Myotis myotis")</f>
        <v>Myotis myotis</v>
      </c>
      <c r="H3636" t="s">
        <v>387</v>
      </c>
      <c r="I3636" t="str">
        <f>HYPERLINK("http://www.ncbi.nlm.nih.gov/protein/XP_036202331.1","ryanodine receptor 3")</f>
        <v>ryanodine receptor 3</v>
      </c>
      <c r="J3636">
        <v>7695.5</v>
      </c>
      <c r="K3636" t="s">
        <v>22</v>
      </c>
      <c r="L3636">
        <v>76</v>
      </c>
      <c r="M3636">
        <v>12.58</v>
      </c>
      <c r="N3636">
        <v>75.739999999999995</v>
      </c>
      <c r="O3636" t="s">
        <v>19</v>
      </c>
      <c r="P3636" t="s">
        <v>1320</v>
      </c>
      <c r="Q3636" t="s">
        <v>19</v>
      </c>
      <c r="R3636" t="str">
        <f>HYPERLINK("https://cfpub.epa.gov/ecotox/explore.cfm?ncbi=51298","Explore in ECOTOX")</f>
        <v>Explore in ECOTOX</v>
      </c>
    </row>
    <row r="3637" spans="1:18" x14ac:dyDescent="0.45">
      <c r="A3637" t="s">
        <v>1265</v>
      </c>
      <c r="B3637">
        <v>8</v>
      </c>
      <c r="C3637" t="str">
        <f>HYPERLINK("http://www.ncbi.nlm.nih.gov/protein/XP_054944315.1","XP_054944315.1")</f>
        <v>XP_054944315.1</v>
      </c>
      <c r="D3637">
        <v>52454</v>
      </c>
      <c r="E3637" t="str">
        <f>HYPERLINK("http://www.ncbi.nlm.nih.gov/Taxonomy/Browser/wwwtax.cgi?mode=Info&amp;id=9755&amp;lvl=3&amp;lin=f&amp;keep=1&amp;srchmode=1&amp;unlock","9755")</f>
        <v>9755</v>
      </c>
      <c r="F3637" t="s">
        <v>96</v>
      </c>
      <c r="G3637" t="str">
        <f>HYPERLINK("http://www.ncbi.nlm.nih.gov/Taxonomy/Browser/wwwtax.cgi?mode=Info&amp;id=9755&amp;lvl=3&amp;lin=f&amp;keep=1&amp;srchmode=1&amp;unlock","Physeter catodon")</f>
        <v>Physeter catodon</v>
      </c>
      <c r="H3637" t="s">
        <v>399</v>
      </c>
      <c r="I3637" t="str">
        <f>HYPERLINK("http://www.ncbi.nlm.nih.gov/protein/XP_054944315.1","ryanodine receptor 3 isoform X5")</f>
        <v>ryanodine receptor 3 isoform X5</v>
      </c>
      <c r="J3637">
        <v>7694.35</v>
      </c>
      <c r="K3637" t="s">
        <v>22</v>
      </c>
      <c r="L3637">
        <v>76</v>
      </c>
      <c r="M3637">
        <v>12.58</v>
      </c>
      <c r="N3637">
        <v>75.73</v>
      </c>
      <c r="O3637" t="s">
        <v>19</v>
      </c>
      <c r="P3637" t="s">
        <v>1320</v>
      </c>
      <c r="Q3637" t="s">
        <v>19</v>
      </c>
      <c r="R3637" t="str">
        <f>HYPERLINK("https://cfpub.epa.gov/ecotox/explore.cfm?ncbi=9755","Explore in ECOTOX")</f>
        <v>Explore in ECOTOX</v>
      </c>
    </row>
    <row r="3638" spans="1:18" x14ac:dyDescent="0.45">
      <c r="A3638" t="s">
        <v>1265</v>
      </c>
      <c r="B3638">
        <v>8</v>
      </c>
      <c r="C3638" t="str">
        <f>HYPERLINK("http://www.ncbi.nlm.nih.gov/protein/XP_014388429.1","XP_014388429.1")</f>
        <v>XP_014388429.1</v>
      </c>
      <c r="D3638">
        <v>60320</v>
      </c>
      <c r="E3638" t="str">
        <f>HYPERLINK("http://www.ncbi.nlm.nih.gov/Taxonomy/Browser/wwwtax.cgi?mode=Info&amp;id=109478&amp;lvl=3&amp;lin=f&amp;keep=1&amp;srchmode=1&amp;unlock","109478")</f>
        <v>109478</v>
      </c>
      <c r="F3638" t="s">
        <v>96</v>
      </c>
      <c r="G3638" t="str">
        <f>HYPERLINK("http://www.ncbi.nlm.nih.gov/Taxonomy/Browser/wwwtax.cgi?mode=Info&amp;id=109478&amp;lvl=3&amp;lin=f&amp;keep=1&amp;srchmode=1&amp;unlock","Myotis brandtii")</f>
        <v>Myotis brandtii</v>
      </c>
      <c r="H3638" t="s">
        <v>503</v>
      </c>
      <c r="I3638" t="str">
        <f>HYPERLINK("http://www.ncbi.nlm.nih.gov/protein/XP_014388429.1","PREDICTED: ryanodine receptor 3")</f>
        <v>PREDICTED: ryanodine receptor 3</v>
      </c>
      <c r="J3638">
        <v>7694.35</v>
      </c>
      <c r="K3638" t="s">
        <v>22</v>
      </c>
      <c r="L3638">
        <v>76</v>
      </c>
      <c r="M3638">
        <v>12.58</v>
      </c>
      <c r="N3638">
        <v>75.73</v>
      </c>
      <c r="O3638" t="s">
        <v>19</v>
      </c>
      <c r="P3638" t="s">
        <v>1320</v>
      </c>
      <c r="Q3638" t="s">
        <v>19</v>
      </c>
      <c r="R3638" t="str">
        <f>HYPERLINK("https://cfpub.epa.gov/ecotox/explore.cfm?ncbi=109478","Explore in ECOTOX")</f>
        <v>Explore in ECOTOX</v>
      </c>
    </row>
    <row r="3639" spans="1:18" x14ac:dyDescent="0.45">
      <c r="A3639" t="s">
        <v>1265</v>
      </c>
      <c r="B3639">
        <v>8</v>
      </c>
      <c r="C3639" t="str">
        <f>HYPERLINK("http://www.ncbi.nlm.nih.gov/protein/XP_053835742.1","XP_053835742.1")</f>
        <v>XP_053835742.1</v>
      </c>
      <c r="D3639">
        <v>48332</v>
      </c>
      <c r="E3639" t="str">
        <f>HYPERLINK("http://www.ncbi.nlm.nih.gov/Taxonomy/Browser/wwwtax.cgi?mode=Info&amp;id=187451&amp;lvl=3&amp;lin=f&amp;keep=1&amp;srchmode=1&amp;unlock","187451")</f>
        <v>187451</v>
      </c>
      <c r="F3639" t="s">
        <v>241</v>
      </c>
      <c r="G3639" t="str">
        <f>HYPERLINK("http://www.ncbi.nlm.nih.gov/Taxonomy/Browser/wwwtax.cgi?mode=Info&amp;id=187451&amp;lvl=3&amp;lin=f&amp;keep=1&amp;srchmode=1&amp;unlock","Vidua macroura")</f>
        <v>Vidua macroura</v>
      </c>
      <c r="H3639" t="s">
        <v>512</v>
      </c>
      <c r="I3639" t="str">
        <f>HYPERLINK("http://www.ncbi.nlm.nih.gov/protein/XP_053835742.1","ryanodine receptor 3")</f>
        <v>ryanodine receptor 3</v>
      </c>
      <c r="J3639">
        <v>7693.96</v>
      </c>
      <c r="K3639" t="s">
        <v>22</v>
      </c>
      <c r="L3639">
        <v>76</v>
      </c>
      <c r="M3639">
        <v>12.58</v>
      </c>
      <c r="N3639">
        <v>75.72</v>
      </c>
      <c r="O3639" t="s">
        <v>19</v>
      </c>
      <c r="P3639" t="s">
        <v>1320</v>
      </c>
      <c r="Q3639" t="s">
        <v>19</v>
      </c>
      <c r="R3639" t="str">
        <f>HYPERLINK("https://cfpub.epa.gov/ecotox/explore.cfm?ncbi=187451","Explore in ECOTOX")</f>
        <v>Explore in ECOTOX</v>
      </c>
    </row>
    <row r="3640" spans="1:18" x14ac:dyDescent="0.45">
      <c r="A3640" t="s">
        <v>1265</v>
      </c>
      <c r="B3640">
        <v>8</v>
      </c>
      <c r="C3640" t="str">
        <f>HYPERLINK("http://www.ncbi.nlm.nih.gov/protein/XP_017937789.1","XP_017937789.1")</f>
        <v>XP_017937789.1</v>
      </c>
      <c r="D3640">
        <v>37259</v>
      </c>
      <c r="E3640" t="str">
        <f>HYPERLINK("http://www.ncbi.nlm.nih.gov/Taxonomy/Browser/wwwtax.cgi?mode=Info&amp;id=328815&amp;lvl=3&amp;lin=f&amp;keep=1&amp;srchmode=1&amp;unlock","328815")</f>
        <v>328815</v>
      </c>
      <c r="F3640" t="s">
        <v>241</v>
      </c>
      <c r="G3640" t="str">
        <f>HYPERLINK("http://www.ncbi.nlm.nih.gov/Taxonomy/Browser/wwwtax.cgi?mode=Info&amp;id=328815&amp;lvl=3&amp;lin=f&amp;keep=1&amp;srchmode=1&amp;unlock","Manacus vitellinus")</f>
        <v>Manacus vitellinus</v>
      </c>
      <c r="H3640" t="s">
        <v>332</v>
      </c>
      <c r="I3640" t="str">
        <f>HYPERLINK("http://www.ncbi.nlm.nih.gov/protein/XP_017937789.1","ryanodine receptor 3 isoform X1")</f>
        <v>ryanodine receptor 3 isoform X1</v>
      </c>
      <c r="J3640">
        <v>7692.42</v>
      </c>
      <c r="K3640" t="s">
        <v>22</v>
      </c>
      <c r="L3640">
        <v>76</v>
      </c>
      <c r="M3640">
        <v>12.58</v>
      </c>
      <c r="N3640">
        <v>75.709999999999994</v>
      </c>
      <c r="O3640" t="s">
        <v>19</v>
      </c>
      <c r="P3640" t="s">
        <v>1320</v>
      </c>
      <c r="Q3640" t="s">
        <v>19</v>
      </c>
      <c r="R3640" t="str">
        <f>HYPERLINK("https://cfpub.epa.gov/ecotox/explore.cfm?ncbi=328815","Explore in ECOTOX")</f>
        <v>Explore in ECOTOX</v>
      </c>
    </row>
    <row r="3641" spans="1:18" x14ac:dyDescent="0.45">
      <c r="A3641" t="s">
        <v>1265</v>
      </c>
      <c r="B3641">
        <v>8</v>
      </c>
      <c r="C3641" t="str">
        <f>HYPERLINK("http://www.ncbi.nlm.nih.gov/protein/XP_058663655.1","XP_058663655.1")</f>
        <v>XP_058663655.1</v>
      </c>
      <c r="D3641">
        <v>25903</v>
      </c>
      <c r="E3641" t="str">
        <f>HYPERLINK("http://www.ncbi.nlm.nih.gov/Taxonomy/Browser/wwwtax.cgi?mode=Info&amp;id=2857398&amp;lvl=3&amp;lin=f&amp;keep=1&amp;srchmode=1&amp;unlock","2857398")</f>
        <v>2857398</v>
      </c>
      <c r="F3641" t="s">
        <v>241</v>
      </c>
      <c r="G3641" t="str">
        <f>HYPERLINK("http://www.ncbi.nlm.nih.gov/Taxonomy/Browser/wwwtax.cgi?mode=Info&amp;id=2857398&amp;lvl=3&amp;lin=f&amp;keep=1&amp;srchmode=1&amp;unlock","Ammospiza caudacuta")</f>
        <v>Ammospiza caudacuta</v>
      </c>
      <c r="H3641" t="s">
        <v>435</v>
      </c>
      <c r="I3641" t="str">
        <f>HYPERLINK("http://www.ncbi.nlm.nih.gov/protein/XP_058663655.1","ryanodine receptor 3")</f>
        <v>ryanodine receptor 3</v>
      </c>
      <c r="J3641">
        <v>7690.11</v>
      </c>
      <c r="K3641" t="s">
        <v>22</v>
      </c>
      <c r="L3641">
        <v>76</v>
      </c>
      <c r="M3641">
        <v>12.58</v>
      </c>
      <c r="N3641">
        <v>75.680000000000007</v>
      </c>
      <c r="O3641" t="s">
        <v>19</v>
      </c>
      <c r="P3641" t="s">
        <v>1320</v>
      </c>
      <c r="Q3641" t="s">
        <v>19</v>
      </c>
      <c r="R3641" t="str">
        <f>HYPERLINK("https://cfpub.epa.gov/ecotox/explore.cfm?ncbi=2857398","Explore in ECOTOX")</f>
        <v>Explore in ECOTOX</v>
      </c>
    </row>
    <row r="3642" spans="1:18" x14ac:dyDescent="0.45">
      <c r="A3642" t="s">
        <v>1265</v>
      </c>
      <c r="B3642">
        <v>8</v>
      </c>
      <c r="C3642" t="str">
        <f>HYPERLINK("http://www.ncbi.nlm.nih.gov/protein/XP_060543441.1","XP_060543441.1")</f>
        <v>XP_060543441.1</v>
      </c>
      <c r="D3642">
        <v>45202</v>
      </c>
      <c r="E3642" t="str">
        <f>HYPERLINK("http://www.ncbi.nlm.nih.gov/Taxonomy/Browser/wwwtax.cgi?mode=Info&amp;id=94885&amp;lvl=3&amp;lin=f&amp;keep=1&amp;srchmode=1&amp;unlock","94885")</f>
        <v>94885</v>
      </c>
      <c r="F3642" t="s">
        <v>192</v>
      </c>
      <c r="G3642" t="str">
        <f>HYPERLINK("http://www.ncbi.nlm.nih.gov/Taxonomy/Browser/wwwtax.cgi?mode=Info&amp;id=94885&amp;lvl=3&amp;lin=f&amp;keep=1&amp;srchmode=1&amp;unlock","Pantherophis guttatus")</f>
        <v>Pantherophis guttatus</v>
      </c>
      <c r="H3642" t="s">
        <v>272</v>
      </c>
      <c r="I3642" t="str">
        <f>HYPERLINK("http://www.ncbi.nlm.nih.gov/protein/XP_060543441.1","ryanodine receptor 3 isoform X1")</f>
        <v>ryanodine receptor 3 isoform X1</v>
      </c>
      <c r="J3642">
        <v>7689.34</v>
      </c>
      <c r="K3642" t="s">
        <v>22</v>
      </c>
      <c r="L3642">
        <v>76</v>
      </c>
      <c r="M3642">
        <v>12.58</v>
      </c>
      <c r="N3642">
        <v>75.680000000000007</v>
      </c>
      <c r="O3642" t="s">
        <v>19</v>
      </c>
      <c r="P3642" t="s">
        <v>1320</v>
      </c>
      <c r="Q3642" t="s">
        <v>19</v>
      </c>
      <c r="R3642" t="str">
        <f>HYPERLINK("https://cfpub.epa.gov/ecotox/explore.cfm?ncbi=94885","Explore in ECOTOX")</f>
        <v>Explore in ECOTOX</v>
      </c>
    </row>
    <row r="3643" spans="1:18" x14ac:dyDescent="0.45">
      <c r="A3643" t="s">
        <v>1265</v>
      </c>
      <c r="B3643">
        <v>8</v>
      </c>
      <c r="C3643" t="str">
        <f>HYPERLINK("http://www.ncbi.nlm.nih.gov/protein/XP_014332700.1","XP_014332700.1")</f>
        <v>XP_014332700.1</v>
      </c>
      <c r="D3643">
        <v>68008</v>
      </c>
      <c r="E3643" t="str">
        <f>HYPERLINK("http://www.ncbi.nlm.nih.gov/Taxonomy/Browser/wwwtax.cgi?mode=Info&amp;id=72004&amp;lvl=3&amp;lin=f&amp;keep=1&amp;srchmode=1&amp;unlock","72004")</f>
        <v>72004</v>
      </c>
      <c r="F3643" t="s">
        <v>96</v>
      </c>
      <c r="G3643" t="str">
        <f>HYPERLINK("http://www.ncbi.nlm.nih.gov/Taxonomy/Browser/wwwtax.cgi?mode=Info&amp;id=72004&amp;lvl=3&amp;lin=f&amp;keep=1&amp;srchmode=1&amp;unlock","Bos mutus")</f>
        <v>Bos mutus</v>
      </c>
      <c r="H3643" t="s">
        <v>616</v>
      </c>
      <c r="I3643" t="str">
        <f>HYPERLINK("http://www.ncbi.nlm.nih.gov/protein/XP_014332700.1","PREDICTED: ryanodine receptor 3")</f>
        <v>PREDICTED: ryanodine receptor 3</v>
      </c>
      <c r="J3643">
        <v>7688.18</v>
      </c>
      <c r="K3643" t="s">
        <v>22</v>
      </c>
      <c r="L3643">
        <v>76</v>
      </c>
      <c r="M3643">
        <v>12.58</v>
      </c>
      <c r="N3643">
        <v>75.67</v>
      </c>
      <c r="O3643" t="s">
        <v>19</v>
      </c>
      <c r="P3643" t="s">
        <v>1320</v>
      </c>
      <c r="Q3643" t="s">
        <v>19</v>
      </c>
      <c r="R3643" t="str">
        <f>HYPERLINK("https://cfpub.epa.gov/ecotox/explore.cfm?ncbi=72004","Explore in ECOTOX")</f>
        <v>Explore in ECOTOX</v>
      </c>
    </row>
    <row r="3644" spans="1:18" x14ac:dyDescent="0.45">
      <c r="A3644" t="s">
        <v>1265</v>
      </c>
      <c r="B3644">
        <v>8</v>
      </c>
      <c r="C3644" t="str">
        <f>HYPERLINK("http://www.ncbi.nlm.nih.gov/protein/XP_023608617.1","XP_023608617.1")</f>
        <v>XP_023608617.1</v>
      </c>
      <c r="D3644">
        <v>44097</v>
      </c>
      <c r="E3644" t="str">
        <f>HYPERLINK("http://www.ncbi.nlm.nih.gov/Taxonomy/Browser/wwwtax.cgi?mode=Info&amp;id=59463&amp;lvl=3&amp;lin=f&amp;keep=1&amp;srchmode=1&amp;unlock","59463")</f>
        <v>59463</v>
      </c>
      <c r="F3644" t="s">
        <v>96</v>
      </c>
      <c r="G3644" t="str">
        <f>HYPERLINK("http://www.ncbi.nlm.nih.gov/Taxonomy/Browser/wwwtax.cgi?mode=Info&amp;id=59463&amp;lvl=3&amp;lin=f&amp;keep=1&amp;srchmode=1&amp;unlock","Myotis lucifugus")</f>
        <v>Myotis lucifugus</v>
      </c>
      <c r="H3644" t="s">
        <v>505</v>
      </c>
      <c r="I3644" t="str">
        <f>HYPERLINK("http://www.ncbi.nlm.nih.gov/protein/XP_023608617.1","LOW QUALITY PROTEIN: ryanodine receptor 3")</f>
        <v>LOW QUALITY PROTEIN: ryanodine receptor 3</v>
      </c>
      <c r="J3644">
        <v>7687.41</v>
      </c>
      <c r="K3644" t="s">
        <v>22</v>
      </c>
      <c r="L3644">
        <v>76</v>
      </c>
      <c r="M3644">
        <v>12.58</v>
      </c>
      <c r="N3644">
        <v>75.66</v>
      </c>
      <c r="O3644" t="s">
        <v>19</v>
      </c>
      <c r="P3644" t="s">
        <v>1320</v>
      </c>
      <c r="Q3644" t="s">
        <v>19</v>
      </c>
      <c r="R3644" t="str">
        <f>HYPERLINK("https://cfpub.epa.gov/ecotox/explore.cfm?ncbi=59463","Explore in ECOTOX")</f>
        <v>Explore in ECOTOX</v>
      </c>
    </row>
    <row r="3645" spans="1:18" x14ac:dyDescent="0.45">
      <c r="A3645" t="s">
        <v>1265</v>
      </c>
      <c r="B3645">
        <v>8</v>
      </c>
      <c r="C3645" t="str">
        <f>HYPERLINK("http://www.ncbi.nlm.nih.gov/protein/XP_053801116.1","XP_053801116.1")</f>
        <v>XP_053801116.1</v>
      </c>
      <c r="D3645">
        <v>52025</v>
      </c>
      <c r="E3645" t="str">
        <f>HYPERLINK("http://www.ncbi.nlm.nih.gov/Taxonomy/Browser/wwwtax.cgi?mode=Info&amp;id=81927&amp;lvl=3&amp;lin=f&amp;keep=1&amp;srchmode=1&amp;unlock","81927")</f>
        <v>81927</v>
      </c>
      <c r="F3645" t="s">
        <v>241</v>
      </c>
      <c r="G3645" t="str">
        <f>HYPERLINK("http://www.ncbi.nlm.nih.gov/Taxonomy/Browser/wwwtax.cgi?mode=Info&amp;id=81927&amp;lvl=3&amp;lin=f&amp;keep=1&amp;srchmode=1&amp;unlock","Vidua chalybeata")</f>
        <v>Vidua chalybeata</v>
      </c>
      <c r="H3645" t="s">
        <v>435</v>
      </c>
      <c r="I3645" t="str">
        <f>HYPERLINK("http://www.ncbi.nlm.nih.gov/protein/XP_053801116.1","ryanodine receptor 3")</f>
        <v>ryanodine receptor 3</v>
      </c>
      <c r="J3645">
        <v>7686.64</v>
      </c>
      <c r="K3645" t="s">
        <v>22</v>
      </c>
      <c r="L3645">
        <v>76</v>
      </c>
      <c r="M3645">
        <v>12.58</v>
      </c>
      <c r="N3645">
        <v>75.650000000000006</v>
      </c>
      <c r="O3645" t="s">
        <v>19</v>
      </c>
      <c r="P3645" t="s">
        <v>1320</v>
      </c>
      <c r="Q3645" t="s">
        <v>19</v>
      </c>
      <c r="R3645" t="str">
        <f>HYPERLINK("https://cfpub.epa.gov/ecotox/explore.cfm?ncbi=81927","Explore in ECOTOX")</f>
        <v>Explore in ECOTOX</v>
      </c>
    </row>
    <row r="3646" spans="1:18" x14ac:dyDescent="0.45">
      <c r="A3646" t="s">
        <v>1265</v>
      </c>
      <c r="B3646">
        <v>8</v>
      </c>
      <c r="C3646" t="str">
        <f>HYPERLINK("http://www.ncbi.nlm.nih.gov/protein/XP_057344631.1","XP_057344631.1")</f>
        <v>XP_057344631.1</v>
      </c>
      <c r="D3646">
        <v>82449</v>
      </c>
      <c r="E3646" t="str">
        <f>HYPERLINK("http://www.ncbi.nlm.nih.gov/Taxonomy/Browser/wwwtax.cgi?mode=Info&amp;id=143292&amp;lvl=3&amp;lin=f&amp;keep=1&amp;srchmode=1&amp;unlock","143292")</f>
        <v>143292</v>
      </c>
      <c r="F3646" t="s">
        <v>96</v>
      </c>
      <c r="G3646" t="str">
        <f>HYPERLINK("http://www.ncbi.nlm.nih.gov/Taxonomy/Browser/wwwtax.cgi?mode=Info&amp;id=143292&amp;lvl=3&amp;lin=f&amp;keep=1&amp;srchmode=1&amp;unlock","Manis pentadactyla")</f>
        <v>Manis pentadactyla</v>
      </c>
      <c r="H3646" t="s">
        <v>315</v>
      </c>
      <c r="I3646" t="str">
        <f>HYPERLINK("http://www.ncbi.nlm.nih.gov/protein/XP_057344631.1","ryanodine receptor 3 isoform X4")</f>
        <v>ryanodine receptor 3 isoform X4</v>
      </c>
      <c r="J3646">
        <v>7686.64</v>
      </c>
      <c r="K3646" t="s">
        <v>22</v>
      </c>
      <c r="L3646">
        <v>76</v>
      </c>
      <c r="M3646">
        <v>12.58</v>
      </c>
      <c r="N3646">
        <v>75.650000000000006</v>
      </c>
      <c r="O3646" t="s">
        <v>19</v>
      </c>
      <c r="P3646" t="s">
        <v>1320</v>
      </c>
      <c r="Q3646" t="s">
        <v>19</v>
      </c>
      <c r="R3646" t="str">
        <f>HYPERLINK("https://cfpub.epa.gov/ecotox/explore.cfm?ncbi=143292","Explore in ECOTOX")</f>
        <v>Explore in ECOTOX</v>
      </c>
    </row>
    <row r="3647" spans="1:18" x14ac:dyDescent="0.45">
      <c r="A3647" t="s">
        <v>1265</v>
      </c>
      <c r="B3647">
        <v>8</v>
      </c>
      <c r="C3647" t="str">
        <f>HYPERLINK("http://www.ncbi.nlm.nih.gov/protein/XP_035745681.1","XP_035745681.1")</f>
        <v>XP_035745681.1</v>
      </c>
      <c r="D3647">
        <v>37444</v>
      </c>
      <c r="E3647" t="str">
        <f>HYPERLINK("http://www.ncbi.nlm.nih.gov/Taxonomy/Browser/wwwtax.cgi?mode=Info&amp;id=188379&amp;lvl=3&amp;lin=f&amp;keep=1&amp;srchmode=1&amp;unlock","188379")</f>
        <v>188379</v>
      </c>
      <c r="F3647" t="s">
        <v>241</v>
      </c>
      <c r="G3647" t="str">
        <f>HYPERLINK("http://www.ncbi.nlm.nih.gov/Taxonomy/Browser/wwwtax.cgi?mode=Info&amp;id=188379&amp;lvl=3&amp;lin=f&amp;keep=1&amp;srchmode=1&amp;unlock","Egretta garzetta")</f>
        <v>Egretta garzetta</v>
      </c>
      <c r="H3647" t="s">
        <v>743</v>
      </c>
      <c r="I3647" t="str">
        <f>HYPERLINK("http://www.ncbi.nlm.nih.gov/protein/XP_035745681.1","LOW QUALITY PROTEIN: ryanodine receptor 3")</f>
        <v>LOW QUALITY PROTEIN: ryanodine receptor 3</v>
      </c>
      <c r="J3647">
        <v>7685.87</v>
      </c>
      <c r="K3647" t="s">
        <v>22</v>
      </c>
      <c r="L3647">
        <v>76</v>
      </c>
      <c r="M3647">
        <v>12.58</v>
      </c>
      <c r="N3647">
        <v>75.64</v>
      </c>
      <c r="O3647" t="s">
        <v>19</v>
      </c>
      <c r="P3647" t="s">
        <v>1320</v>
      </c>
      <c r="Q3647" t="s">
        <v>19</v>
      </c>
      <c r="R3647" t="str">
        <f>HYPERLINK("https://cfpub.epa.gov/ecotox/explore.cfm?ncbi=188379","Explore in ECOTOX")</f>
        <v>Explore in ECOTOX</v>
      </c>
    </row>
    <row r="3648" spans="1:18" x14ac:dyDescent="0.45">
      <c r="A3648" t="s">
        <v>1265</v>
      </c>
      <c r="B3648">
        <v>8</v>
      </c>
      <c r="C3648" t="str">
        <f>HYPERLINK("http://www.ncbi.nlm.nih.gov/protein/XP_060002931.1","XP_060002931.1")</f>
        <v>XP_060002931.1</v>
      </c>
      <c r="D3648">
        <v>50311</v>
      </c>
      <c r="E3648" t="str">
        <f>HYPERLINK("http://www.ncbi.nlm.nih.gov/Taxonomy/Browser/wwwtax.cgi?mode=Info&amp;id=27610&amp;lvl=3&amp;lin=f&amp;keep=1&amp;srchmode=1&amp;unlock","27610")</f>
        <v>27610</v>
      </c>
      <c r="F3648" t="s">
        <v>96</v>
      </c>
      <c r="G3648" t="str">
        <f>HYPERLINK("http://www.ncbi.nlm.nih.gov/Taxonomy/Browser/wwwtax.cgi?mode=Info&amp;id=27610&amp;lvl=3&amp;lin=f&amp;keep=1&amp;srchmode=1&amp;unlock","Lagenorhynchus albirostris")</f>
        <v>Lagenorhynchus albirostris</v>
      </c>
      <c r="H3648" t="s">
        <v>491</v>
      </c>
      <c r="I3648" t="str">
        <f>HYPERLINK("http://www.ncbi.nlm.nih.gov/protein/XP_060002931.1","LOW QUALITY PROTEIN: ryanodine receptor 3")</f>
        <v>LOW QUALITY PROTEIN: ryanodine receptor 3</v>
      </c>
      <c r="J3648">
        <v>7685.1</v>
      </c>
      <c r="K3648" t="s">
        <v>22</v>
      </c>
      <c r="L3648">
        <v>76</v>
      </c>
      <c r="M3648">
        <v>12.58</v>
      </c>
      <c r="N3648">
        <v>75.63</v>
      </c>
      <c r="O3648" t="s">
        <v>19</v>
      </c>
      <c r="P3648" t="s">
        <v>1320</v>
      </c>
      <c r="Q3648" t="s">
        <v>19</v>
      </c>
      <c r="R3648" t="str">
        <f>HYPERLINK("https://cfpub.epa.gov/ecotox/explore.cfm?ncbi=27610","Explore in ECOTOX")</f>
        <v>Explore in ECOTOX</v>
      </c>
    </row>
    <row r="3649" spans="1:18" x14ac:dyDescent="0.45">
      <c r="A3649" t="s">
        <v>1265</v>
      </c>
      <c r="B3649">
        <v>8</v>
      </c>
      <c r="C3649" t="str">
        <f>HYPERLINK("http://www.ncbi.nlm.nih.gov/protein/XP_026559929.1","XP_026559929.1")</f>
        <v>XP_026559929.1</v>
      </c>
      <c r="D3649">
        <v>31828</v>
      </c>
      <c r="E3649" t="str">
        <f>HYPERLINK("http://www.ncbi.nlm.nih.gov/Taxonomy/Browser/wwwtax.cgi?mode=Info&amp;id=8673&amp;lvl=3&amp;lin=f&amp;keep=1&amp;srchmode=1&amp;unlock","8673")</f>
        <v>8673</v>
      </c>
      <c r="F3649" t="s">
        <v>192</v>
      </c>
      <c r="G3649" t="str">
        <f>HYPERLINK("http://www.ncbi.nlm.nih.gov/Taxonomy/Browser/wwwtax.cgi?mode=Info&amp;id=8673&amp;lvl=3&amp;lin=f&amp;keep=1&amp;srchmode=1&amp;unlock","Pseudonaja textilis")</f>
        <v>Pseudonaja textilis</v>
      </c>
      <c r="H3649" t="s">
        <v>433</v>
      </c>
      <c r="I3649" t="str">
        <f>HYPERLINK("http://www.ncbi.nlm.nih.gov/protein/XP_026559929.1","ryanodine receptor 3")</f>
        <v>ryanodine receptor 3</v>
      </c>
      <c r="J3649">
        <v>7683.56</v>
      </c>
      <c r="K3649" t="s">
        <v>22</v>
      </c>
      <c r="L3649">
        <v>76</v>
      </c>
      <c r="M3649">
        <v>12.58</v>
      </c>
      <c r="N3649">
        <v>75.62</v>
      </c>
      <c r="O3649" t="s">
        <v>19</v>
      </c>
      <c r="P3649" t="s">
        <v>1320</v>
      </c>
      <c r="Q3649" t="s">
        <v>19</v>
      </c>
      <c r="R3649" t="str">
        <f>HYPERLINK("https://cfpub.epa.gov/ecotox/explore.cfm?ncbi=8673","Explore in ECOTOX")</f>
        <v>Explore in ECOTOX</v>
      </c>
    </row>
    <row r="3650" spans="1:18" x14ac:dyDescent="0.45">
      <c r="A3650" t="s">
        <v>1265</v>
      </c>
      <c r="B3650">
        <v>8</v>
      </c>
      <c r="C3650" t="str">
        <f>HYPERLINK("http://www.ncbi.nlm.nih.gov/protein/XP_016055102.1","XP_016055102.1")</f>
        <v>XP_016055102.1</v>
      </c>
      <c r="D3650">
        <v>29868</v>
      </c>
      <c r="E3650" t="str">
        <f>HYPERLINK("http://www.ncbi.nlm.nih.gov/Taxonomy/Browser/wwwtax.cgi?mode=Info&amp;id=291302&amp;lvl=3&amp;lin=f&amp;keep=1&amp;srchmode=1&amp;unlock","291302")</f>
        <v>291302</v>
      </c>
      <c r="F3650" t="s">
        <v>96</v>
      </c>
      <c r="G3650" t="str">
        <f>HYPERLINK("http://www.ncbi.nlm.nih.gov/Taxonomy/Browser/wwwtax.cgi?mode=Info&amp;id=291302&amp;lvl=3&amp;lin=f&amp;keep=1&amp;srchmode=1&amp;unlock","Miniopterus natalensis")</f>
        <v>Miniopterus natalensis</v>
      </c>
      <c r="H3650" t="s">
        <v>387</v>
      </c>
      <c r="I3650" t="str">
        <f>HYPERLINK("http://www.ncbi.nlm.nih.gov/protein/XP_016055102.1","PREDICTED: ryanodine receptor 3")</f>
        <v>PREDICTED: ryanodine receptor 3</v>
      </c>
      <c r="J3650">
        <v>7683.18</v>
      </c>
      <c r="K3650" t="s">
        <v>22</v>
      </c>
      <c r="L3650">
        <v>76</v>
      </c>
      <c r="M3650">
        <v>12.58</v>
      </c>
      <c r="N3650">
        <v>75.62</v>
      </c>
      <c r="O3650" t="s">
        <v>19</v>
      </c>
      <c r="P3650" t="s">
        <v>1320</v>
      </c>
      <c r="Q3650" t="s">
        <v>19</v>
      </c>
      <c r="R3650" t="str">
        <f>HYPERLINK("https://cfpub.epa.gov/ecotox/explore.cfm?ncbi=291302","Explore in ECOTOX")</f>
        <v>Explore in ECOTOX</v>
      </c>
    </row>
    <row r="3651" spans="1:18" x14ac:dyDescent="0.45">
      <c r="A3651" t="s">
        <v>1265</v>
      </c>
      <c r="B3651">
        <v>8</v>
      </c>
      <c r="C3651" t="str">
        <f>HYPERLINK("http://www.ncbi.nlm.nih.gov/protein/XP_033621185.1","XP_033621185.1")</f>
        <v>XP_033621185.1</v>
      </c>
      <c r="D3651">
        <v>67680</v>
      </c>
      <c r="E3651" t="str">
        <f>HYPERLINK("http://www.ncbi.nlm.nih.gov/Taxonomy/Browser/wwwtax.cgi?mode=Info&amp;id=885580&amp;lvl=3&amp;lin=f&amp;keep=1&amp;srchmode=1&amp;unlock","885580")</f>
        <v>885580</v>
      </c>
      <c r="F3651" t="s">
        <v>96</v>
      </c>
      <c r="G3651" t="str">
        <f>HYPERLINK("http://www.ncbi.nlm.nih.gov/Taxonomy/Browser/wwwtax.cgi?mode=Info&amp;id=885580&amp;lvl=3&amp;lin=f&amp;keep=1&amp;srchmode=1&amp;unlock","Fukomys damarensis")</f>
        <v>Fukomys damarensis</v>
      </c>
      <c r="H3651" t="s">
        <v>386</v>
      </c>
      <c r="I3651" t="str">
        <f>HYPERLINK("http://www.ncbi.nlm.nih.gov/protein/XP_033621185.1","ryanodine receptor 3")</f>
        <v>ryanodine receptor 3</v>
      </c>
      <c r="J3651">
        <v>7682.41</v>
      </c>
      <c r="K3651" t="s">
        <v>22</v>
      </c>
      <c r="L3651">
        <v>76</v>
      </c>
      <c r="M3651">
        <v>12.58</v>
      </c>
      <c r="N3651">
        <v>75.61</v>
      </c>
      <c r="O3651" t="s">
        <v>19</v>
      </c>
      <c r="P3651" t="s">
        <v>1320</v>
      </c>
      <c r="Q3651" t="s">
        <v>19</v>
      </c>
      <c r="R3651" t="str">
        <f>HYPERLINK("https://cfpub.epa.gov/ecotox/explore.cfm?ncbi=885580","Explore in ECOTOX")</f>
        <v>Explore in ECOTOX</v>
      </c>
    </row>
    <row r="3652" spans="1:18" x14ac:dyDescent="0.45">
      <c r="A3652" t="s">
        <v>1265</v>
      </c>
      <c r="B3652">
        <v>8</v>
      </c>
      <c r="C3652" t="str">
        <f>HYPERLINK("http://www.ncbi.nlm.nih.gov/protein/XP_004380773.1","XP_004380773.1")</f>
        <v>XP_004380773.1</v>
      </c>
      <c r="D3652">
        <v>37488</v>
      </c>
      <c r="E3652" t="str">
        <f>HYPERLINK("http://www.ncbi.nlm.nih.gov/Taxonomy/Browser/wwwtax.cgi?mode=Info&amp;id=127582&amp;lvl=3&amp;lin=f&amp;keep=1&amp;srchmode=1&amp;unlock","127582")</f>
        <v>127582</v>
      </c>
      <c r="F3652" t="s">
        <v>96</v>
      </c>
      <c r="G3652" t="str">
        <f>HYPERLINK("http://www.ncbi.nlm.nih.gov/Taxonomy/Browser/wwwtax.cgi?mode=Info&amp;id=127582&amp;lvl=3&amp;lin=f&amp;keep=1&amp;srchmode=1&amp;unlock","Trichechus manatus latirostris")</f>
        <v>Trichechus manatus latirostris</v>
      </c>
      <c r="H3652" t="s">
        <v>515</v>
      </c>
      <c r="I3652" t="str">
        <f>HYPERLINK("http://www.ncbi.nlm.nih.gov/protein/XP_004380773.1","ryanodine receptor 3")</f>
        <v>ryanodine receptor 3</v>
      </c>
      <c r="J3652">
        <v>7681.25</v>
      </c>
      <c r="K3652" t="s">
        <v>22</v>
      </c>
      <c r="L3652">
        <v>76</v>
      </c>
      <c r="M3652">
        <v>12.58</v>
      </c>
      <c r="N3652">
        <v>75.599999999999994</v>
      </c>
      <c r="O3652" t="s">
        <v>19</v>
      </c>
      <c r="P3652" t="s">
        <v>1320</v>
      </c>
      <c r="Q3652" t="s">
        <v>19</v>
      </c>
      <c r="R3652" t="str">
        <f>HYPERLINK("https://cfpub.epa.gov/ecotox/explore.cfm?ncbi=127582","Explore in ECOTOX")</f>
        <v>Explore in ECOTOX</v>
      </c>
    </row>
    <row r="3653" spans="1:18" x14ac:dyDescent="0.45">
      <c r="A3653" t="s">
        <v>1265</v>
      </c>
      <c r="B3653">
        <v>8</v>
      </c>
      <c r="C3653" t="str">
        <f>HYPERLINK("http://www.ncbi.nlm.nih.gov/protein/XP_057231063.1","XP_057231063.1")</f>
        <v>XP_057231063.1</v>
      </c>
      <c r="D3653">
        <v>27245</v>
      </c>
      <c r="E3653" t="str">
        <f>HYPERLINK("http://www.ncbi.nlm.nih.gov/Taxonomy/Browser/wwwtax.cgi?mode=Info&amp;id=175006&amp;lvl=3&amp;lin=f&amp;keep=1&amp;srchmode=1&amp;unlock","175006")</f>
        <v>175006</v>
      </c>
      <c r="F3653" t="s">
        <v>241</v>
      </c>
      <c r="G3653" t="str">
        <f>HYPERLINK("http://www.ncbi.nlm.nih.gov/Taxonomy/Browser/wwwtax.cgi?mode=Info&amp;id=175006&amp;lvl=3&amp;lin=f&amp;keep=1&amp;srchmode=1&amp;unlock","Malurus melanocephalus")</f>
        <v>Malurus melanocephalus</v>
      </c>
      <c r="H3653" t="s">
        <v>593</v>
      </c>
      <c r="I3653" t="str">
        <f>HYPERLINK("http://www.ncbi.nlm.nih.gov/protein/XP_057231063.1","ryanodine receptor 3")</f>
        <v>ryanodine receptor 3</v>
      </c>
      <c r="J3653">
        <v>7680.09</v>
      </c>
      <c r="K3653" t="s">
        <v>22</v>
      </c>
      <c r="L3653">
        <v>76</v>
      </c>
      <c r="M3653">
        <v>12.58</v>
      </c>
      <c r="N3653">
        <v>75.59</v>
      </c>
      <c r="O3653" t="s">
        <v>19</v>
      </c>
      <c r="P3653" t="s">
        <v>1320</v>
      </c>
      <c r="Q3653" t="s">
        <v>19</v>
      </c>
      <c r="R3653" t="str">
        <f>HYPERLINK("https://cfpub.epa.gov/ecotox/explore.cfm?ncbi=175006","Explore in ECOTOX")</f>
        <v>Explore in ECOTOX</v>
      </c>
    </row>
    <row r="3654" spans="1:18" x14ac:dyDescent="0.45">
      <c r="A3654" t="s">
        <v>1265</v>
      </c>
      <c r="B3654">
        <v>8</v>
      </c>
      <c r="C3654" t="str">
        <f>HYPERLINK("http://www.ncbi.nlm.nih.gov/protein/XP_032069534.1","XP_032069534.1")</f>
        <v>XP_032069534.1</v>
      </c>
      <c r="D3654">
        <v>30930</v>
      </c>
      <c r="E3654" t="str">
        <f>HYPERLINK("http://www.ncbi.nlm.nih.gov/Taxonomy/Browser/wwwtax.cgi?mode=Info&amp;id=35005&amp;lvl=3&amp;lin=f&amp;keep=1&amp;srchmode=1&amp;unlock","35005")</f>
        <v>35005</v>
      </c>
      <c r="F3654" t="s">
        <v>192</v>
      </c>
      <c r="G3654" t="str">
        <f>HYPERLINK("http://www.ncbi.nlm.nih.gov/Taxonomy/Browser/wwwtax.cgi?mode=Info&amp;id=35005&amp;lvl=3&amp;lin=f&amp;keep=1&amp;srchmode=1&amp;unlock","Thamnophis elegans")</f>
        <v>Thamnophis elegans</v>
      </c>
      <c r="H3654" t="s">
        <v>216</v>
      </c>
      <c r="I3654" t="str">
        <f>HYPERLINK("http://www.ncbi.nlm.nih.gov/protein/XP_032069534.1","ryanodine receptor 3")</f>
        <v>ryanodine receptor 3</v>
      </c>
      <c r="J3654">
        <v>7680.09</v>
      </c>
      <c r="K3654" t="s">
        <v>22</v>
      </c>
      <c r="L3654">
        <v>76</v>
      </c>
      <c r="M3654">
        <v>12.58</v>
      </c>
      <c r="N3654">
        <v>75.59</v>
      </c>
      <c r="O3654" t="s">
        <v>19</v>
      </c>
      <c r="P3654" t="s">
        <v>1320</v>
      </c>
      <c r="Q3654" t="s">
        <v>19</v>
      </c>
      <c r="R3654" t="str">
        <f>HYPERLINK("https://cfpub.epa.gov/ecotox/explore.cfm?ncbi=35005","Explore in ECOTOX")</f>
        <v>Explore in ECOTOX</v>
      </c>
    </row>
    <row r="3655" spans="1:18" x14ac:dyDescent="0.45">
      <c r="A3655" t="s">
        <v>1265</v>
      </c>
      <c r="B3655">
        <v>8</v>
      </c>
      <c r="C3655" t="str">
        <f>HYPERLINK("http://www.ncbi.nlm.nih.gov/protein/XP_033046771.1","XP_033046771.1")</f>
        <v>XP_033046771.1</v>
      </c>
      <c r="D3655">
        <v>64511</v>
      </c>
      <c r="E3655" t="str">
        <f>HYPERLINK("http://www.ncbi.nlm.nih.gov/Taxonomy/Browser/wwwtax.cgi?mode=Info&amp;id=54180&amp;lvl=3&amp;lin=f&amp;keep=1&amp;srchmode=1&amp;unlock","54180")</f>
        <v>54180</v>
      </c>
      <c r="F3655" t="s">
        <v>96</v>
      </c>
      <c r="G3655" t="str">
        <f>HYPERLINK("http://www.ncbi.nlm.nih.gov/Taxonomy/Browser/wwwtax.cgi?mode=Info&amp;id=54180&amp;lvl=3&amp;lin=f&amp;keep=1&amp;srchmode=1&amp;unlock","Trachypithecus francoisi")</f>
        <v>Trachypithecus francoisi</v>
      </c>
      <c r="H3655" t="s">
        <v>279</v>
      </c>
      <c r="I3655" t="str">
        <f>HYPERLINK("http://www.ncbi.nlm.nih.gov/protein/XP_033046771.1","LOW QUALITY PROTEIN: ryanodine receptor 3")</f>
        <v>LOW QUALITY PROTEIN: ryanodine receptor 3</v>
      </c>
      <c r="J3655">
        <v>7678.94</v>
      </c>
      <c r="K3655" t="s">
        <v>22</v>
      </c>
      <c r="L3655">
        <v>76</v>
      </c>
      <c r="M3655">
        <v>12.58</v>
      </c>
      <c r="N3655">
        <v>75.569999999999993</v>
      </c>
      <c r="O3655" t="s">
        <v>19</v>
      </c>
      <c r="P3655" t="s">
        <v>1320</v>
      </c>
      <c r="Q3655" t="s">
        <v>19</v>
      </c>
      <c r="R3655" t="str">
        <f>HYPERLINK("https://cfpub.epa.gov/ecotox/explore.cfm?ncbi=54180","Explore in ECOTOX")</f>
        <v>Explore in ECOTOX</v>
      </c>
    </row>
    <row r="3656" spans="1:18" x14ac:dyDescent="0.45">
      <c r="A3656" t="s">
        <v>1265</v>
      </c>
      <c r="B3656">
        <v>8</v>
      </c>
      <c r="C3656" t="str">
        <f>HYPERLINK("http://www.ncbi.nlm.nih.gov/protein/XP_054421600.1","XP_054421600.1")</f>
        <v>XP_054421600.1</v>
      </c>
      <c r="D3656">
        <v>34155</v>
      </c>
      <c r="E3656" t="str">
        <f>HYPERLINK("http://www.ncbi.nlm.nih.gov/Taxonomy/Browser/wwwtax.cgi?mode=Info&amp;id=1884717&amp;lvl=3&amp;lin=f&amp;keep=1&amp;srchmode=1&amp;unlock","1884717")</f>
        <v>1884717</v>
      </c>
      <c r="F3656" t="s">
        <v>96</v>
      </c>
      <c r="G3656" t="str">
        <f>HYPERLINK("http://www.ncbi.nlm.nih.gov/Taxonomy/Browser/wwwtax.cgi?mode=Info&amp;id=1884717&amp;lvl=3&amp;lin=f&amp;keep=1&amp;srchmode=1&amp;unlock","Pteronotus parnellii mesoamericanus")</f>
        <v>Pteronotus parnellii mesoamericanus</v>
      </c>
      <c r="H3656" t="s">
        <v>395</v>
      </c>
      <c r="I3656" t="str">
        <f>HYPERLINK("http://www.ncbi.nlm.nih.gov/protein/XP_054421600.1","LOW QUALITY PROTEIN: ryanodine receptor 3")</f>
        <v>LOW QUALITY PROTEIN: ryanodine receptor 3</v>
      </c>
      <c r="J3656">
        <v>7677.78</v>
      </c>
      <c r="K3656" t="s">
        <v>22</v>
      </c>
      <c r="L3656">
        <v>76</v>
      </c>
      <c r="M3656">
        <v>12.58</v>
      </c>
      <c r="N3656">
        <v>75.56</v>
      </c>
      <c r="O3656" t="s">
        <v>19</v>
      </c>
      <c r="P3656" t="s">
        <v>1320</v>
      </c>
      <c r="Q3656" t="s">
        <v>19</v>
      </c>
      <c r="R3656" t="str">
        <f>HYPERLINK("https://cfpub.epa.gov/ecotox/explore.cfm?ncbi=1884717","Explore in ECOTOX")</f>
        <v>Explore in ECOTOX</v>
      </c>
    </row>
    <row r="3657" spans="1:18" x14ac:dyDescent="0.45">
      <c r="A3657" t="s">
        <v>1265</v>
      </c>
      <c r="B3657">
        <v>8</v>
      </c>
      <c r="C3657" t="str">
        <f>HYPERLINK("http://www.ncbi.nlm.nih.gov/protein/KAJ1103437.1","KAJ1103437.1")</f>
        <v>KAJ1103437.1</v>
      </c>
      <c r="D3657">
        <v>139820</v>
      </c>
      <c r="E3657" t="str">
        <f>HYPERLINK("http://www.ncbi.nlm.nih.gov/Taxonomy/Browser/wwwtax.cgi?mode=Info&amp;id=8319&amp;lvl=3&amp;lin=f&amp;keep=1&amp;srchmode=1&amp;unlock","8319")</f>
        <v>8319</v>
      </c>
      <c r="F3657" t="s">
        <v>177</v>
      </c>
      <c r="G3657" t="str">
        <f>HYPERLINK("http://www.ncbi.nlm.nih.gov/Taxonomy/Browser/wwwtax.cgi?mode=Info&amp;id=8319&amp;lvl=3&amp;lin=f&amp;keep=1&amp;srchmode=1&amp;unlock","Pleurodeles waltl")</f>
        <v>Pleurodeles waltl</v>
      </c>
      <c r="H3657" t="s">
        <v>182</v>
      </c>
      <c r="I3657" t="str">
        <f>HYPERLINK("http://www.ncbi.nlm.nih.gov/protein/KAJ1103437.1","hypothetical protein NDU88_000860")</f>
        <v>hypothetical protein NDU88_000860</v>
      </c>
      <c r="J3657">
        <v>7677.78</v>
      </c>
      <c r="K3657" t="s">
        <v>22</v>
      </c>
      <c r="L3657">
        <v>76</v>
      </c>
      <c r="M3657">
        <v>12.58</v>
      </c>
      <c r="N3657">
        <v>75.56</v>
      </c>
      <c r="O3657" t="s">
        <v>19</v>
      </c>
      <c r="P3657" t="s">
        <v>1320</v>
      </c>
      <c r="Q3657" t="s">
        <v>19</v>
      </c>
      <c r="R3657" t="str">
        <f>HYPERLINK("https://cfpub.epa.gov/ecotox/explore.cfm?ncbi=8319","Explore in ECOTOX")</f>
        <v>Explore in ECOTOX</v>
      </c>
    </row>
    <row r="3658" spans="1:18" x14ac:dyDescent="0.45">
      <c r="A3658" t="s">
        <v>1265</v>
      </c>
      <c r="B3658">
        <v>8</v>
      </c>
      <c r="C3658" t="str">
        <f>HYPERLINK("http://www.ncbi.nlm.nih.gov/protein/XP_036854314.1","XP_036854314.1")</f>
        <v>XP_036854314.1</v>
      </c>
      <c r="D3658">
        <v>75676</v>
      </c>
      <c r="E3658" t="str">
        <f>HYPERLINK("http://www.ncbi.nlm.nih.gov/Taxonomy/Browser/wwwtax.cgi?mode=Info&amp;id=9974&amp;lvl=3&amp;lin=f&amp;keep=1&amp;srchmode=1&amp;unlock","9974")</f>
        <v>9974</v>
      </c>
      <c r="F3658" t="s">
        <v>96</v>
      </c>
      <c r="G3658" t="str">
        <f>HYPERLINK("http://www.ncbi.nlm.nih.gov/Taxonomy/Browser/wwwtax.cgi?mode=Info&amp;id=9974&amp;lvl=3&amp;lin=f&amp;keep=1&amp;srchmode=1&amp;unlock","Manis javanica")</f>
        <v>Manis javanica</v>
      </c>
      <c r="H3658" t="s">
        <v>328</v>
      </c>
      <c r="I3658" t="str">
        <f>HYPERLINK("http://www.ncbi.nlm.nih.gov/protein/XP_036854314.1","ryanodine receptor 3 isoform X4")</f>
        <v>ryanodine receptor 3 isoform X4</v>
      </c>
      <c r="J3658">
        <v>7677.78</v>
      </c>
      <c r="K3658" t="s">
        <v>19</v>
      </c>
      <c r="L3658">
        <v>76</v>
      </c>
      <c r="M3658">
        <v>12.58</v>
      </c>
      <c r="N3658">
        <v>75.56</v>
      </c>
      <c r="O3658" t="s">
        <v>19</v>
      </c>
      <c r="P3658" t="s">
        <v>1320</v>
      </c>
      <c r="Q3658" t="s">
        <v>19</v>
      </c>
      <c r="R3658" t="str">
        <f>HYPERLINK("https://cfpub.epa.gov/ecotox/explore.cfm?ncbi=9974","Explore in ECOTOX")</f>
        <v>Explore in ECOTOX</v>
      </c>
    </row>
    <row r="3659" spans="1:18" x14ac:dyDescent="0.45">
      <c r="A3659" t="s">
        <v>1265</v>
      </c>
      <c r="B3659">
        <v>8</v>
      </c>
      <c r="C3659" t="str">
        <f>HYPERLINK("http://www.ncbi.nlm.nih.gov/protein/XP_005417572.1","XP_005417572.1")</f>
        <v>XP_005417572.1</v>
      </c>
      <c r="D3659">
        <v>20686</v>
      </c>
      <c r="E3659" t="str">
        <f>HYPERLINK("http://www.ncbi.nlm.nih.gov/Taxonomy/Browser/wwwtax.cgi?mode=Info&amp;id=48883&amp;lvl=3&amp;lin=f&amp;keep=1&amp;srchmode=1&amp;unlock","48883")</f>
        <v>48883</v>
      </c>
      <c r="F3659" t="s">
        <v>241</v>
      </c>
      <c r="G3659" t="str">
        <f>HYPERLINK("http://www.ncbi.nlm.nih.gov/Taxonomy/Browser/wwwtax.cgi?mode=Info&amp;id=48883&amp;lvl=3&amp;lin=f&amp;keep=1&amp;srchmode=1&amp;unlock","Geospiza fortis")</f>
        <v>Geospiza fortis</v>
      </c>
      <c r="H3659" t="s">
        <v>613</v>
      </c>
      <c r="I3659" t="str">
        <f>HYPERLINK("http://www.ncbi.nlm.nih.gov/protein/XP_005417572.1","ryanodine receptor 3")</f>
        <v>ryanodine receptor 3</v>
      </c>
      <c r="J3659">
        <v>7677.01</v>
      </c>
      <c r="K3659" t="s">
        <v>22</v>
      </c>
      <c r="L3659">
        <v>76</v>
      </c>
      <c r="M3659">
        <v>12.58</v>
      </c>
      <c r="N3659">
        <v>75.56</v>
      </c>
      <c r="O3659" t="s">
        <v>19</v>
      </c>
      <c r="P3659" t="s">
        <v>1320</v>
      </c>
      <c r="Q3659" t="s">
        <v>19</v>
      </c>
      <c r="R3659" t="str">
        <f>HYPERLINK("https://cfpub.epa.gov/ecotox/explore.cfm?ncbi=48883","Explore in ECOTOX")</f>
        <v>Explore in ECOTOX</v>
      </c>
    </row>
    <row r="3660" spans="1:18" x14ac:dyDescent="0.45">
      <c r="A3660" t="s">
        <v>1265</v>
      </c>
      <c r="B3660">
        <v>8</v>
      </c>
      <c r="C3660" t="str">
        <f>HYPERLINK("http://www.ncbi.nlm.nih.gov/protein/TRY83564.1","TRY83564.1")</f>
        <v>TRY83564.1</v>
      </c>
      <c r="D3660">
        <v>35342</v>
      </c>
      <c r="E3660" t="str">
        <f>HYPERLINK("http://www.ncbi.nlm.nih.gov/Taxonomy/Browser/wwwtax.cgi?mode=Info&amp;id=623744&amp;lvl=3&amp;lin=f&amp;keep=1&amp;srchmode=1&amp;unlock","623744")</f>
        <v>623744</v>
      </c>
      <c r="F3660" t="s">
        <v>17</v>
      </c>
      <c r="G3660" t="str">
        <f>HYPERLINK("http://www.ncbi.nlm.nih.gov/Taxonomy/Browser/wwwtax.cgi?mode=Info&amp;id=623744&amp;lvl=3&amp;lin=f&amp;keep=1&amp;srchmode=1&amp;unlock","Danionella translucida")</f>
        <v>Danionella translucida</v>
      </c>
      <c r="H3660" t="s">
        <v>21</v>
      </c>
      <c r="I3660" t="str">
        <f>HYPERLINK("http://www.ncbi.nlm.nih.gov/protein/TRY83564.1","hypothetical protein DNTS_016272, partial")</f>
        <v>hypothetical protein DNTS_016272, partial</v>
      </c>
      <c r="J3660">
        <v>7676.63</v>
      </c>
      <c r="K3660" t="s">
        <v>22</v>
      </c>
      <c r="L3660">
        <v>76</v>
      </c>
      <c r="M3660">
        <v>12.58</v>
      </c>
      <c r="N3660">
        <v>75.55</v>
      </c>
      <c r="O3660" t="s">
        <v>19</v>
      </c>
      <c r="P3660" t="s">
        <v>1320</v>
      </c>
      <c r="Q3660" t="s">
        <v>19</v>
      </c>
      <c r="R3660" t="str">
        <f>HYPERLINK("https://cfpub.epa.gov/ecotox/explore.cfm?ncbi=623744","Explore in ECOTOX")</f>
        <v>Explore in ECOTOX</v>
      </c>
    </row>
    <row r="3661" spans="1:18" x14ac:dyDescent="0.45">
      <c r="A3661" t="s">
        <v>1265</v>
      </c>
      <c r="B3661">
        <v>8</v>
      </c>
      <c r="C3661" t="str">
        <f>HYPERLINK("http://www.ncbi.nlm.nih.gov/protein/XP_058914588.1","XP_058914588.1")</f>
        <v>XP_058914588.1</v>
      </c>
      <c r="D3661">
        <v>48382</v>
      </c>
      <c r="E3661" t="str">
        <f>HYPERLINK("http://www.ncbi.nlm.nih.gov/Taxonomy/Browser/wwwtax.cgi?mode=Info&amp;id=27615&amp;lvl=3&amp;lin=f&amp;keep=1&amp;srchmode=1&amp;unlock","27615")</f>
        <v>27615</v>
      </c>
      <c r="F3661" t="s">
        <v>96</v>
      </c>
      <c r="G3661" t="str">
        <f>HYPERLINK("http://www.ncbi.nlm.nih.gov/Taxonomy/Browser/wwwtax.cgi?mode=Info&amp;id=27615&amp;lvl=3&amp;lin=f&amp;keep=1&amp;srchmode=1&amp;unlock","Kogia breviceps")</f>
        <v>Kogia breviceps</v>
      </c>
      <c r="H3661" t="s">
        <v>409</v>
      </c>
      <c r="I3661" t="str">
        <f>HYPERLINK("http://www.ncbi.nlm.nih.gov/protein/XP_058914588.1","ryanodine receptor 3 isoform X3")</f>
        <v>ryanodine receptor 3 isoform X3</v>
      </c>
      <c r="J3661">
        <v>7675.47</v>
      </c>
      <c r="K3661" t="s">
        <v>22</v>
      </c>
      <c r="L3661">
        <v>76</v>
      </c>
      <c r="M3661">
        <v>12.58</v>
      </c>
      <c r="N3661">
        <v>75.540000000000006</v>
      </c>
      <c r="O3661" t="s">
        <v>19</v>
      </c>
      <c r="P3661" t="s">
        <v>1320</v>
      </c>
      <c r="Q3661" t="s">
        <v>19</v>
      </c>
      <c r="R3661" t="str">
        <f>HYPERLINK("https://cfpub.epa.gov/ecotox/explore.cfm?ncbi=27615","Explore in ECOTOX")</f>
        <v>Explore in ECOTOX</v>
      </c>
    </row>
    <row r="3662" spans="1:18" x14ac:dyDescent="0.45">
      <c r="A3662" t="s">
        <v>1265</v>
      </c>
      <c r="B3662">
        <v>8</v>
      </c>
      <c r="C3662" t="str">
        <f>HYPERLINK("http://www.ncbi.nlm.nih.gov/protein/XP_039699922.1","XP_039699922.1")</f>
        <v>XP_039699922.1</v>
      </c>
      <c r="D3662">
        <v>53675</v>
      </c>
      <c r="E3662" t="str">
        <f>HYPERLINK("http://www.ncbi.nlm.nih.gov/Taxonomy/Browser/wwwtax.cgi?mode=Info&amp;id=143291&amp;lvl=3&amp;lin=f&amp;keep=1&amp;srchmode=1&amp;unlock","143291")</f>
        <v>143291</v>
      </c>
      <c r="F3662" t="s">
        <v>96</v>
      </c>
      <c r="G3662" t="str">
        <f>HYPERLINK("http://www.ncbi.nlm.nih.gov/Taxonomy/Browser/wwwtax.cgi?mode=Info&amp;id=143291&amp;lvl=3&amp;lin=f&amp;keep=1&amp;srchmode=1&amp;unlock","Pteropus giganteus")</f>
        <v>Pteropus giganteus</v>
      </c>
      <c r="H3662" t="s">
        <v>454</v>
      </c>
      <c r="I3662" t="str">
        <f>HYPERLINK("http://www.ncbi.nlm.nih.gov/protein/XP_039699922.1","LOW QUALITY PROTEIN: ryanodine receptor 3")</f>
        <v>LOW QUALITY PROTEIN: ryanodine receptor 3</v>
      </c>
      <c r="J3662">
        <v>7675.09</v>
      </c>
      <c r="K3662" t="s">
        <v>22</v>
      </c>
      <c r="L3662">
        <v>76</v>
      </c>
      <c r="M3662">
        <v>12.58</v>
      </c>
      <c r="N3662">
        <v>75.540000000000006</v>
      </c>
      <c r="O3662" t="s">
        <v>19</v>
      </c>
      <c r="P3662" t="s">
        <v>1320</v>
      </c>
      <c r="Q3662" t="s">
        <v>19</v>
      </c>
      <c r="R3662" t="str">
        <f>HYPERLINK("https://cfpub.epa.gov/ecotox/explore.cfm?ncbi=143291","Explore in ECOTOX")</f>
        <v>Explore in ECOTOX</v>
      </c>
    </row>
    <row r="3663" spans="1:18" x14ac:dyDescent="0.45">
      <c r="A3663" t="s">
        <v>1265</v>
      </c>
      <c r="B3663">
        <v>8</v>
      </c>
      <c r="C3663" t="str">
        <f>HYPERLINK("http://www.ncbi.nlm.nih.gov/protein/XP_024588226.1","XP_024588226.1")</f>
        <v>XP_024588226.1</v>
      </c>
      <c r="D3663">
        <v>38184</v>
      </c>
      <c r="E3663" t="str">
        <f>HYPERLINK("http://www.ncbi.nlm.nih.gov/Taxonomy/Browser/wwwtax.cgi?mode=Info&amp;id=1706337&amp;lvl=3&amp;lin=f&amp;keep=1&amp;srchmode=1&amp;unlock","1706337")</f>
        <v>1706337</v>
      </c>
      <c r="F3663" t="s">
        <v>96</v>
      </c>
      <c r="G3663" t="str">
        <f>HYPERLINK("http://www.ncbi.nlm.nih.gov/Taxonomy/Browser/wwwtax.cgi?mode=Info&amp;id=1706337&amp;lvl=3&amp;lin=f&amp;keep=1&amp;srchmode=1&amp;unlock","Neophocaena asiaeorientalis asiaeorientalis")</f>
        <v>Neophocaena asiaeorientalis asiaeorientalis</v>
      </c>
      <c r="H3663" t="s">
        <v>615</v>
      </c>
      <c r="I3663" t="str">
        <f>HYPERLINK("http://www.ncbi.nlm.nih.gov/protein/XP_024588226.1","ryanodine receptor 3")</f>
        <v>ryanodine receptor 3</v>
      </c>
      <c r="J3663">
        <v>7672.78</v>
      </c>
      <c r="K3663" t="s">
        <v>22</v>
      </c>
      <c r="L3663">
        <v>76</v>
      </c>
      <c r="M3663">
        <v>12.58</v>
      </c>
      <c r="N3663">
        <v>75.510000000000005</v>
      </c>
      <c r="O3663" t="s">
        <v>19</v>
      </c>
      <c r="P3663" t="s">
        <v>1320</v>
      </c>
      <c r="Q3663" t="s">
        <v>19</v>
      </c>
      <c r="R3663" t="str">
        <f>HYPERLINK("https://cfpub.epa.gov/ecotox/explore.cfm?ncbi=1706337","Explore in ECOTOX")</f>
        <v>Explore in ECOTOX</v>
      </c>
    </row>
    <row r="3664" spans="1:18" x14ac:dyDescent="0.45">
      <c r="A3664" t="s">
        <v>1265</v>
      </c>
      <c r="B3664">
        <v>8</v>
      </c>
      <c r="C3664" t="str">
        <f>HYPERLINK("http://www.ncbi.nlm.nih.gov/protein/XP_027530026.1","XP_027530026.1")</f>
        <v>XP_027530026.1</v>
      </c>
      <c r="D3664">
        <v>39505</v>
      </c>
      <c r="E3664" t="str">
        <f>HYPERLINK("http://www.ncbi.nlm.nih.gov/Taxonomy/Browser/wwwtax.cgi?mode=Info&amp;id=114329&amp;lvl=3&amp;lin=f&amp;keep=1&amp;srchmode=1&amp;unlock","114329")</f>
        <v>114329</v>
      </c>
      <c r="F3664" t="s">
        <v>241</v>
      </c>
      <c r="G3664" t="str">
        <f>HYPERLINK("http://www.ncbi.nlm.nih.gov/Taxonomy/Browser/wwwtax.cgi?mode=Info&amp;id=114329&amp;lvl=3&amp;lin=f&amp;keep=1&amp;srchmode=1&amp;unlock","Neopelma chrysocephalum")</f>
        <v>Neopelma chrysocephalum</v>
      </c>
      <c r="H3664" t="s">
        <v>269</v>
      </c>
      <c r="I3664" t="str">
        <f>HYPERLINK("http://www.ncbi.nlm.nih.gov/protein/XP_027530026.1","ryanodine receptor 3")</f>
        <v>ryanodine receptor 3</v>
      </c>
      <c r="J3664">
        <v>7669.69</v>
      </c>
      <c r="K3664" t="s">
        <v>22</v>
      </c>
      <c r="L3664">
        <v>76</v>
      </c>
      <c r="M3664">
        <v>12.58</v>
      </c>
      <c r="N3664">
        <v>75.48</v>
      </c>
      <c r="O3664" t="s">
        <v>19</v>
      </c>
      <c r="P3664" t="s">
        <v>1320</v>
      </c>
      <c r="Q3664" t="s">
        <v>19</v>
      </c>
      <c r="R3664" t="str">
        <f>HYPERLINK("https://cfpub.epa.gov/ecotox/explore.cfm?ncbi=114329","Explore in ECOTOX")</f>
        <v>Explore in ECOTOX</v>
      </c>
    </row>
    <row r="3665" spans="1:18" x14ac:dyDescent="0.45">
      <c r="A3665" t="s">
        <v>1265</v>
      </c>
      <c r="B3665">
        <v>8</v>
      </c>
      <c r="C3665" t="str">
        <f>HYPERLINK("http://www.ncbi.nlm.nih.gov/protein/XP_045439740.1","XP_045439740.1")</f>
        <v>XP_045439740.1</v>
      </c>
      <c r="D3665">
        <v>98397</v>
      </c>
      <c r="E3665" t="str">
        <f>HYPERLINK("http://www.ncbi.nlm.nih.gov/Taxonomy/Browser/wwwtax.cgi?mode=Info&amp;id=59472&amp;lvl=3&amp;lin=f&amp;keep=1&amp;srchmode=1&amp;unlock","59472")</f>
        <v>59472</v>
      </c>
      <c r="F3665" t="s">
        <v>96</v>
      </c>
      <c r="G3665" t="str">
        <f>HYPERLINK("http://www.ncbi.nlm.nih.gov/Taxonomy/Browser/wwwtax.cgi?mode=Info&amp;id=59472&amp;lvl=3&amp;lin=f&amp;keep=1&amp;srchmode=1&amp;unlock","Pipistrellus kuhlii")</f>
        <v>Pipistrellus kuhlii</v>
      </c>
      <c r="H3665" t="s">
        <v>639</v>
      </c>
      <c r="I3665" t="str">
        <f>HYPERLINK("http://www.ncbi.nlm.nih.gov/protein/XP_045439740.1","LOW QUALITY PROTEIN: ryanodine receptor 3")</f>
        <v>LOW QUALITY PROTEIN: ryanodine receptor 3</v>
      </c>
      <c r="J3665">
        <v>7669.31</v>
      </c>
      <c r="K3665" t="s">
        <v>22</v>
      </c>
      <c r="L3665">
        <v>76</v>
      </c>
      <c r="M3665">
        <v>12.58</v>
      </c>
      <c r="N3665">
        <v>75.48</v>
      </c>
      <c r="O3665" t="s">
        <v>19</v>
      </c>
      <c r="P3665" t="s">
        <v>1320</v>
      </c>
      <c r="Q3665" t="s">
        <v>19</v>
      </c>
      <c r="R3665" t="str">
        <f>HYPERLINK("https://cfpub.epa.gov/ecotox/explore.cfm?ncbi=59472","Explore in ECOTOX")</f>
        <v>Explore in ECOTOX</v>
      </c>
    </row>
    <row r="3666" spans="1:18" x14ac:dyDescent="0.45">
      <c r="A3666" t="s">
        <v>1265</v>
      </c>
      <c r="B3666">
        <v>8</v>
      </c>
      <c r="C3666" t="str">
        <f>HYPERLINK("http://www.ncbi.nlm.nih.gov/protein/XP_022443257.2","XP_022443257.2")</f>
        <v>XP_022443257.2</v>
      </c>
      <c r="D3666">
        <v>51122</v>
      </c>
      <c r="E3666" t="str">
        <f>HYPERLINK("http://www.ncbi.nlm.nih.gov/Taxonomy/Browser/wwwtax.cgi?mode=Info&amp;id=9749&amp;lvl=3&amp;lin=f&amp;keep=1&amp;srchmode=1&amp;unlock","9749")</f>
        <v>9749</v>
      </c>
      <c r="F3666" t="s">
        <v>96</v>
      </c>
      <c r="G3666" t="str">
        <f>HYPERLINK("http://www.ncbi.nlm.nih.gov/Taxonomy/Browser/wwwtax.cgi?mode=Info&amp;id=9749&amp;lvl=3&amp;lin=f&amp;keep=1&amp;srchmode=1&amp;unlock","Delphinapterus leucas")</f>
        <v>Delphinapterus leucas</v>
      </c>
      <c r="H3666" t="s">
        <v>586</v>
      </c>
      <c r="I3666" t="str">
        <f>HYPERLINK("http://www.ncbi.nlm.nih.gov/protein/XP_022443257.2","ryanodine receptor 3 isoform X3")</f>
        <v>ryanodine receptor 3 isoform X3</v>
      </c>
      <c r="J3666">
        <v>7667.77</v>
      </c>
      <c r="K3666" t="s">
        <v>22</v>
      </c>
      <c r="L3666">
        <v>76</v>
      </c>
      <c r="M3666">
        <v>12.58</v>
      </c>
      <c r="N3666">
        <v>75.459999999999994</v>
      </c>
      <c r="O3666" t="s">
        <v>19</v>
      </c>
      <c r="P3666" t="s">
        <v>1320</v>
      </c>
      <c r="Q3666" t="s">
        <v>19</v>
      </c>
      <c r="R3666" t="str">
        <f>HYPERLINK("https://cfpub.epa.gov/ecotox/explore.cfm?ncbi=9749","Explore in ECOTOX")</f>
        <v>Explore in ECOTOX</v>
      </c>
    </row>
    <row r="3667" spans="1:18" x14ac:dyDescent="0.45">
      <c r="A3667" t="s">
        <v>1265</v>
      </c>
      <c r="B3667">
        <v>8</v>
      </c>
      <c r="C3667" t="str">
        <f>HYPERLINK("http://www.ncbi.nlm.nih.gov/protein/XP_036103094.1","XP_036103094.1")</f>
        <v>XP_036103094.1</v>
      </c>
      <c r="D3667">
        <v>96245</v>
      </c>
      <c r="E3667" t="str">
        <f>HYPERLINK("http://www.ncbi.nlm.nih.gov/Taxonomy/Browser/wwwtax.cgi?mode=Info&amp;id=27622&amp;lvl=3&amp;lin=f&amp;keep=1&amp;srchmode=1&amp;unlock","27622")</f>
        <v>27622</v>
      </c>
      <c r="F3667" t="s">
        <v>96</v>
      </c>
      <c r="G3667" t="str">
        <f>HYPERLINK("http://www.ncbi.nlm.nih.gov/Taxonomy/Browser/wwwtax.cgi?mode=Info&amp;id=27622&amp;lvl=3&amp;lin=f&amp;keep=1&amp;srchmode=1&amp;unlock","Molossus molossus")</f>
        <v>Molossus molossus</v>
      </c>
      <c r="H3667" t="s">
        <v>443</v>
      </c>
      <c r="I3667" t="str">
        <f>HYPERLINK("http://www.ncbi.nlm.nih.gov/protein/XP_036103094.1","ryanodine receptor 3")</f>
        <v>ryanodine receptor 3</v>
      </c>
      <c r="J3667">
        <v>7667</v>
      </c>
      <c r="K3667" t="s">
        <v>22</v>
      </c>
      <c r="L3667">
        <v>76</v>
      </c>
      <c r="M3667">
        <v>12.58</v>
      </c>
      <c r="N3667">
        <v>75.459999999999994</v>
      </c>
      <c r="O3667" t="s">
        <v>19</v>
      </c>
      <c r="P3667" t="s">
        <v>1320</v>
      </c>
      <c r="Q3667" t="s">
        <v>19</v>
      </c>
      <c r="R3667" t="str">
        <f>HYPERLINK("https://cfpub.epa.gov/ecotox/explore.cfm?ncbi=27622","Explore in ECOTOX")</f>
        <v>Explore in ECOTOX</v>
      </c>
    </row>
    <row r="3668" spans="1:18" x14ac:dyDescent="0.45">
      <c r="A3668" t="s">
        <v>1265</v>
      </c>
      <c r="B3668">
        <v>8</v>
      </c>
      <c r="C3668" t="str">
        <f>HYPERLINK("http://www.ncbi.nlm.nih.gov/protein/XP_011788117.1","XP_011788117.1")</f>
        <v>XP_011788117.1</v>
      </c>
      <c r="D3668">
        <v>38676</v>
      </c>
      <c r="E3668" t="str">
        <f>HYPERLINK("http://www.ncbi.nlm.nih.gov/Taxonomy/Browser/wwwtax.cgi?mode=Info&amp;id=336983&amp;lvl=3&amp;lin=f&amp;keep=1&amp;srchmode=1&amp;unlock","336983")</f>
        <v>336983</v>
      </c>
      <c r="F3668" t="s">
        <v>96</v>
      </c>
      <c r="G3668" t="str">
        <f>HYPERLINK("http://www.ncbi.nlm.nih.gov/Taxonomy/Browser/wwwtax.cgi?mode=Info&amp;id=336983&amp;lvl=3&amp;lin=f&amp;keep=1&amp;srchmode=1&amp;unlock","Colobus angolensis palliatus")</f>
        <v>Colobus angolensis palliatus</v>
      </c>
      <c r="H3668" t="s">
        <v>370</v>
      </c>
      <c r="I3668" t="str">
        <f>HYPERLINK("http://www.ncbi.nlm.nih.gov/protein/XP_011788117.1","PREDICTED: ryanodine receptor 3")</f>
        <v>PREDICTED: ryanodine receptor 3</v>
      </c>
      <c r="J3668">
        <v>7666.23</v>
      </c>
      <c r="K3668" t="s">
        <v>22</v>
      </c>
      <c r="L3668">
        <v>76</v>
      </c>
      <c r="M3668">
        <v>12.58</v>
      </c>
      <c r="N3668">
        <v>75.45</v>
      </c>
      <c r="O3668" t="s">
        <v>19</v>
      </c>
      <c r="P3668" t="s">
        <v>1320</v>
      </c>
      <c r="Q3668" t="s">
        <v>19</v>
      </c>
      <c r="R3668" t="str">
        <f>HYPERLINK("https://cfpub.epa.gov/ecotox/explore.cfm?ncbi=336983","Explore in ECOTOX")</f>
        <v>Explore in ECOTOX</v>
      </c>
    </row>
    <row r="3669" spans="1:18" x14ac:dyDescent="0.45">
      <c r="A3669" t="s">
        <v>1265</v>
      </c>
      <c r="B3669">
        <v>8</v>
      </c>
      <c r="C3669" t="str">
        <f>HYPERLINK("http://www.ncbi.nlm.nih.gov/protein/XP_058018114.1","XP_058018114.1")</f>
        <v>XP_058018114.1</v>
      </c>
      <c r="D3669">
        <v>42811</v>
      </c>
      <c r="E3669" t="str">
        <f>HYPERLINK("http://www.ncbi.nlm.nih.gov/Taxonomy/Browser/wwwtax.cgi?mode=Info&amp;id=499056&amp;lvl=3&amp;lin=f&amp;keep=1&amp;srchmode=1&amp;unlock","499056")</f>
        <v>499056</v>
      </c>
      <c r="F3669" t="s">
        <v>192</v>
      </c>
      <c r="G3669" t="str">
        <f>HYPERLINK("http://www.ncbi.nlm.nih.gov/Taxonomy/Browser/wwwtax.cgi?mode=Info&amp;id=499056&amp;lvl=3&amp;lin=f&amp;keep=1&amp;srchmode=1&amp;unlock","Ahaetulla prasina")</f>
        <v>Ahaetulla prasina</v>
      </c>
      <c r="H3669" t="s">
        <v>272</v>
      </c>
      <c r="I3669" t="str">
        <f>HYPERLINK("http://www.ncbi.nlm.nih.gov/protein/XP_058018114.1","ryanodine receptor 3")</f>
        <v>ryanodine receptor 3</v>
      </c>
      <c r="J3669">
        <v>7665.84</v>
      </c>
      <c r="K3669" t="s">
        <v>22</v>
      </c>
      <c r="L3669">
        <v>76</v>
      </c>
      <c r="M3669">
        <v>12.58</v>
      </c>
      <c r="N3669">
        <v>75.45</v>
      </c>
      <c r="O3669" t="s">
        <v>19</v>
      </c>
      <c r="P3669" t="s">
        <v>1320</v>
      </c>
      <c r="Q3669" t="s">
        <v>19</v>
      </c>
      <c r="R3669" t="str">
        <f>HYPERLINK("https://cfpub.epa.gov/ecotox/explore.cfm?ncbi=499056","Explore in ECOTOX")</f>
        <v>Explore in ECOTOX</v>
      </c>
    </row>
    <row r="3670" spans="1:18" x14ac:dyDescent="0.45">
      <c r="A3670" t="s">
        <v>1265</v>
      </c>
      <c r="B3670">
        <v>8</v>
      </c>
      <c r="C3670" t="str">
        <f>HYPERLINK("http://www.ncbi.nlm.nih.gov/protein/RLW10063.1","RLW10063.1")</f>
        <v>RLW10063.1</v>
      </c>
      <c r="D3670">
        <v>19082</v>
      </c>
      <c r="E3670" t="str">
        <f>HYPERLINK("http://www.ncbi.nlm.nih.gov/Taxonomy/Browser/wwwtax.cgi?mode=Info&amp;id=44316&amp;lvl=3&amp;lin=f&amp;keep=1&amp;srchmode=1&amp;unlock","44316")</f>
        <v>44316</v>
      </c>
      <c r="F3670" t="s">
        <v>241</v>
      </c>
      <c r="G3670" t="str">
        <f>HYPERLINK("http://www.ncbi.nlm.nih.gov/Taxonomy/Browser/wwwtax.cgi?mode=Info&amp;id=44316&amp;lvl=3&amp;lin=f&amp;keep=1&amp;srchmode=1&amp;unlock","Chloebia gouldiae")</f>
        <v>Chloebia gouldiae</v>
      </c>
      <c r="H3670" t="s">
        <v>741</v>
      </c>
      <c r="I3670" t="str">
        <f>HYPERLINK("http://www.ncbi.nlm.nih.gov/protein/RLW10063.1","hypothetical protein DV515_00002198")</f>
        <v>hypothetical protein DV515_00002198</v>
      </c>
      <c r="J3670">
        <v>7656.98</v>
      </c>
      <c r="K3670" t="s">
        <v>22</v>
      </c>
      <c r="L3670">
        <v>76</v>
      </c>
      <c r="M3670">
        <v>12.58</v>
      </c>
      <c r="N3670">
        <v>75.36</v>
      </c>
      <c r="O3670" t="s">
        <v>19</v>
      </c>
      <c r="P3670" t="s">
        <v>1320</v>
      </c>
      <c r="Q3670" t="s">
        <v>19</v>
      </c>
      <c r="R3670" t="str">
        <f>HYPERLINK("https://cfpub.epa.gov/ecotox/explore.cfm?ncbi=44316","Explore in ECOTOX")</f>
        <v>Explore in ECOTOX</v>
      </c>
    </row>
    <row r="3671" spans="1:18" x14ac:dyDescent="0.45">
      <c r="A3671" t="s">
        <v>1265</v>
      </c>
      <c r="B3671">
        <v>8</v>
      </c>
      <c r="C3671" t="str">
        <f>HYPERLINK("http://www.ncbi.nlm.nih.gov/protein/XP_033808279.1","XP_033808279.1")</f>
        <v>XP_033808279.1</v>
      </c>
      <c r="D3671">
        <v>50058</v>
      </c>
      <c r="E3671" t="str">
        <f>HYPERLINK("http://www.ncbi.nlm.nih.gov/Taxonomy/Browser/wwwtax.cgi?mode=Info&amp;id=260995&amp;lvl=3&amp;lin=f&amp;keep=1&amp;srchmode=1&amp;unlock","260995")</f>
        <v>260995</v>
      </c>
      <c r="F3671" t="s">
        <v>177</v>
      </c>
      <c r="G3671" t="str">
        <f>HYPERLINK("http://www.ncbi.nlm.nih.gov/Taxonomy/Browser/wwwtax.cgi?mode=Info&amp;id=260995&amp;lvl=3&amp;lin=f&amp;keep=1&amp;srchmode=1&amp;unlock","Geotrypetes seraphini")</f>
        <v>Geotrypetes seraphini</v>
      </c>
      <c r="H3671" t="s">
        <v>189</v>
      </c>
      <c r="I3671" t="str">
        <f>HYPERLINK("http://www.ncbi.nlm.nih.gov/protein/XP_033808279.1","ryanodine receptor 3 isoform X2")</f>
        <v>ryanodine receptor 3 isoform X2</v>
      </c>
      <c r="J3671">
        <v>7655.44</v>
      </c>
      <c r="K3671" t="s">
        <v>22</v>
      </c>
      <c r="L3671">
        <v>76</v>
      </c>
      <c r="M3671">
        <v>12.58</v>
      </c>
      <c r="N3671">
        <v>75.34</v>
      </c>
      <c r="O3671" t="s">
        <v>19</v>
      </c>
      <c r="P3671" t="s">
        <v>1320</v>
      </c>
      <c r="Q3671" t="s">
        <v>19</v>
      </c>
      <c r="R3671" t="str">
        <f>HYPERLINK("https://cfpub.epa.gov/ecotox/explore.cfm?ncbi=260995","Explore in ECOTOX")</f>
        <v>Explore in ECOTOX</v>
      </c>
    </row>
    <row r="3672" spans="1:18" x14ac:dyDescent="0.45">
      <c r="A3672" t="s">
        <v>1265</v>
      </c>
      <c r="B3672">
        <v>8</v>
      </c>
      <c r="C3672" t="str">
        <f>HYPERLINK("http://www.ncbi.nlm.nih.gov/protein/XP_048189142.1","XP_048189142.1")</f>
        <v>XP_048189142.1</v>
      </c>
      <c r="D3672">
        <v>40272</v>
      </c>
      <c r="E3672" t="str">
        <f>HYPERLINK("http://www.ncbi.nlm.nih.gov/Taxonomy/Browser/wwwtax.cgi?mode=Info&amp;id=214514&amp;lvl=3&amp;lin=f&amp;keep=1&amp;srchmode=1&amp;unlock","214514")</f>
        <v>214514</v>
      </c>
      <c r="F3672" t="s">
        <v>96</v>
      </c>
      <c r="G3672" t="str">
        <f>HYPERLINK("http://www.ncbi.nlm.nih.gov/Taxonomy/Browser/wwwtax.cgi?mode=Info&amp;id=214514&amp;lvl=3&amp;lin=f&amp;keep=1&amp;srchmode=1&amp;unlock","Perognathus longimembris pacificus")</f>
        <v>Perognathus longimembris pacificus</v>
      </c>
      <c r="H3672" t="s">
        <v>400</v>
      </c>
      <c r="I3672" t="str">
        <f>HYPERLINK("http://www.ncbi.nlm.nih.gov/protein/XP_048189142.1","LOW QUALITY PROTEIN: ryanodine receptor 3")</f>
        <v>LOW QUALITY PROTEIN: ryanodine receptor 3</v>
      </c>
      <c r="J3672">
        <v>7648.89</v>
      </c>
      <c r="K3672" t="s">
        <v>22</v>
      </c>
      <c r="L3672">
        <v>76</v>
      </c>
      <c r="M3672">
        <v>12.58</v>
      </c>
      <c r="N3672">
        <v>75.28</v>
      </c>
      <c r="O3672" t="s">
        <v>19</v>
      </c>
      <c r="P3672" t="s">
        <v>1320</v>
      </c>
      <c r="Q3672" t="s">
        <v>19</v>
      </c>
      <c r="R3672" t="str">
        <f>HYPERLINK("https://cfpub.epa.gov/ecotox/explore.cfm?ncbi=214514","Explore in ECOTOX")</f>
        <v>Explore in ECOTOX</v>
      </c>
    </row>
    <row r="3673" spans="1:18" x14ac:dyDescent="0.45">
      <c r="A3673" t="s">
        <v>1265</v>
      </c>
      <c r="B3673">
        <v>8</v>
      </c>
      <c r="C3673" t="str">
        <f>HYPERLINK("http://www.ncbi.nlm.nih.gov/protein/XP_049755565.1","XP_049755565.1")</f>
        <v>XP_049755565.1</v>
      </c>
      <c r="D3673">
        <v>53723</v>
      </c>
      <c r="E3673" t="str">
        <f>HYPERLINK("http://www.ncbi.nlm.nih.gov/Taxonomy/Browser/wwwtax.cgi?mode=Info&amp;id=99487&amp;lvl=3&amp;lin=f&amp;keep=1&amp;srchmode=1&amp;unlock","99487")</f>
        <v>99487</v>
      </c>
      <c r="F3673" t="s">
        <v>96</v>
      </c>
      <c r="G3673" t="str">
        <f>HYPERLINK("http://www.ncbi.nlm.nih.gov/Taxonomy/Browser/wwwtax.cgi?mode=Info&amp;id=99487&amp;lvl=3&amp;lin=f&amp;keep=1&amp;srchmode=1&amp;unlock","Elephas maximus indicus")</f>
        <v>Elephas maximus indicus</v>
      </c>
      <c r="H3673" t="s">
        <v>261</v>
      </c>
      <c r="I3673" t="str">
        <f>HYPERLINK("http://www.ncbi.nlm.nih.gov/protein/XP_049755565.1","LOW QUALITY PROTEIN: ryanodine receptor 3")</f>
        <v>LOW QUALITY PROTEIN: ryanodine receptor 3</v>
      </c>
      <c r="J3673">
        <v>7642.73</v>
      </c>
      <c r="K3673" t="s">
        <v>22</v>
      </c>
      <c r="L3673">
        <v>76</v>
      </c>
      <c r="M3673">
        <v>12.58</v>
      </c>
      <c r="N3673">
        <v>75.22</v>
      </c>
      <c r="O3673" t="s">
        <v>19</v>
      </c>
      <c r="P3673" t="s">
        <v>1320</v>
      </c>
      <c r="Q3673" t="s">
        <v>19</v>
      </c>
      <c r="R3673" t="str">
        <f>HYPERLINK("https://cfpub.epa.gov/ecotox/explore.cfm?ncbi=99487","Explore in ECOTOX")</f>
        <v>Explore in ECOTOX</v>
      </c>
    </row>
    <row r="3674" spans="1:18" x14ac:dyDescent="0.45">
      <c r="A3674" t="s">
        <v>1265</v>
      </c>
      <c r="B3674">
        <v>8</v>
      </c>
      <c r="C3674" t="str">
        <f>HYPERLINK("http://www.ncbi.nlm.nih.gov/protein/XP_017712922.1","XP_017712922.1")</f>
        <v>XP_017712922.1</v>
      </c>
      <c r="D3674">
        <v>49680</v>
      </c>
      <c r="E3674" t="str">
        <f>HYPERLINK("http://www.ncbi.nlm.nih.gov/Taxonomy/Browser/wwwtax.cgi?mode=Info&amp;id=61621&amp;lvl=3&amp;lin=f&amp;keep=1&amp;srchmode=1&amp;unlock","61621")</f>
        <v>61621</v>
      </c>
      <c r="F3674" t="s">
        <v>96</v>
      </c>
      <c r="G3674" t="str">
        <f>HYPERLINK("http://www.ncbi.nlm.nih.gov/Taxonomy/Browser/wwwtax.cgi?mode=Info&amp;id=61621&amp;lvl=3&amp;lin=f&amp;keep=1&amp;srchmode=1&amp;unlock","Rhinopithecus bieti")</f>
        <v>Rhinopithecus bieti</v>
      </c>
      <c r="H3674" t="s">
        <v>471</v>
      </c>
      <c r="I3674" t="str">
        <f>HYPERLINK("http://www.ncbi.nlm.nih.gov/protein/XP_017712922.1","PREDICTED: ryanodine receptor 3")</f>
        <v>PREDICTED: ryanodine receptor 3</v>
      </c>
      <c r="J3674">
        <v>7640.03</v>
      </c>
      <c r="K3674" t="s">
        <v>22</v>
      </c>
      <c r="L3674">
        <v>76</v>
      </c>
      <c r="M3674">
        <v>12.58</v>
      </c>
      <c r="N3674">
        <v>75.19</v>
      </c>
      <c r="O3674" t="s">
        <v>19</v>
      </c>
      <c r="P3674" t="s">
        <v>1320</v>
      </c>
      <c r="Q3674" t="s">
        <v>19</v>
      </c>
      <c r="R3674" t="str">
        <f>HYPERLINK("https://cfpub.epa.gov/ecotox/explore.cfm?ncbi=61621","Explore in ECOTOX")</f>
        <v>Explore in ECOTOX</v>
      </c>
    </row>
    <row r="3675" spans="1:18" x14ac:dyDescent="0.45">
      <c r="A3675" t="s">
        <v>1265</v>
      </c>
      <c r="B3675">
        <v>8</v>
      </c>
      <c r="C3675" t="str">
        <f>HYPERLINK("http://www.ncbi.nlm.nih.gov/protein/XP_030069538.1","XP_030069538.1")</f>
        <v>XP_030069538.1</v>
      </c>
      <c r="D3675">
        <v>37123</v>
      </c>
      <c r="E3675" t="str">
        <f>HYPERLINK("http://www.ncbi.nlm.nih.gov/Taxonomy/Browser/wwwtax.cgi?mode=Info&amp;id=1415580&amp;lvl=3&amp;lin=f&amp;keep=1&amp;srchmode=1&amp;unlock","1415580")</f>
        <v>1415580</v>
      </c>
      <c r="F3675" t="s">
        <v>177</v>
      </c>
      <c r="G3675" t="str">
        <f>HYPERLINK("http://www.ncbi.nlm.nih.gov/Taxonomy/Browser/wwwtax.cgi?mode=Info&amp;id=1415580&amp;lvl=3&amp;lin=f&amp;keep=1&amp;srchmode=1&amp;unlock","Microcaecilia unicolor")</f>
        <v>Microcaecilia unicolor</v>
      </c>
      <c r="H3675" t="s">
        <v>408</v>
      </c>
      <c r="I3675" t="str">
        <f>HYPERLINK("http://www.ncbi.nlm.nih.gov/protein/XP_030069538.1","LOW QUALITY PROTEIN: ryanodine receptor 3")</f>
        <v>LOW QUALITY PROTEIN: ryanodine receptor 3</v>
      </c>
      <c r="J3675">
        <v>7636.18</v>
      </c>
      <c r="K3675" t="s">
        <v>22</v>
      </c>
      <c r="L3675">
        <v>76</v>
      </c>
      <c r="M3675">
        <v>12.58</v>
      </c>
      <c r="N3675">
        <v>75.150000000000006</v>
      </c>
      <c r="O3675" t="s">
        <v>19</v>
      </c>
      <c r="P3675" t="s">
        <v>1320</v>
      </c>
      <c r="Q3675" t="s">
        <v>19</v>
      </c>
      <c r="R3675" t="str">
        <f>HYPERLINK("https://cfpub.epa.gov/ecotox/explore.cfm?ncbi=1415580","Explore in ECOTOX")</f>
        <v>Explore in ECOTOX</v>
      </c>
    </row>
    <row r="3676" spans="1:18" x14ac:dyDescent="0.45">
      <c r="A3676" t="s">
        <v>1265</v>
      </c>
      <c r="B3676">
        <v>8</v>
      </c>
      <c r="C3676" t="str">
        <f>HYPERLINK("http://www.ncbi.nlm.nih.gov/protein/XP_030786855.1","XP_030786855.1")</f>
        <v>XP_030786855.1</v>
      </c>
      <c r="D3676">
        <v>53912</v>
      </c>
      <c r="E3676" t="str">
        <f>HYPERLINK("http://www.ncbi.nlm.nih.gov/Taxonomy/Browser/wwwtax.cgi?mode=Info&amp;id=61622&amp;lvl=3&amp;lin=f&amp;keep=1&amp;srchmode=1&amp;unlock","61622")</f>
        <v>61622</v>
      </c>
      <c r="F3676" t="s">
        <v>96</v>
      </c>
      <c r="G3676" t="str">
        <f>HYPERLINK("http://www.ncbi.nlm.nih.gov/Taxonomy/Browser/wwwtax.cgi?mode=Info&amp;id=61622&amp;lvl=3&amp;lin=f&amp;keep=1&amp;srchmode=1&amp;unlock","Rhinopithecus roxellana")</f>
        <v>Rhinopithecus roxellana</v>
      </c>
      <c r="H3676" t="s">
        <v>550</v>
      </c>
      <c r="I3676" t="str">
        <f>HYPERLINK("http://www.ncbi.nlm.nih.gov/protein/XP_030786855.1","ryanodine receptor 3 isoform X1")</f>
        <v>ryanodine receptor 3 isoform X1</v>
      </c>
      <c r="J3676">
        <v>7622.7</v>
      </c>
      <c r="K3676" t="s">
        <v>22</v>
      </c>
      <c r="L3676">
        <v>76</v>
      </c>
      <c r="M3676">
        <v>12.58</v>
      </c>
      <c r="N3676">
        <v>75.02</v>
      </c>
      <c r="O3676" t="s">
        <v>19</v>
      </c>
      <c r="P3676" t="s">
        <v>1320</v>
      </c>
      <c r="Q3676" t="s">
        <v>19</v>
      </c>
      <c r="R3676" t="str">
        <f>HYPERLINK("https://cfpub.epa.gov/ecotox/explore.cfm?ncbi=61622","Explore in ECOTOX")</f>
        <v>Explore in ECOTOX</v>
      </c>
    </row>
    <row r="3677" spans="1:18" x14ac:dyDescent="0.45">
      <c r="A3677" t="s">
        <v>1265</v>
      </c>
      <c r="B3677">
        <v>8</v>
      </c>
      <c r="C3677" t="str">
        <f>HYPERLINK("http://www.ncbi.nlm.nih.gov/protein/XP_050830901.1","XP_050830901.1")</f>
        <v>XP_050830901.1</v>
      </c>
      <c r="D3677">
        <v>36254</v>
      </c>
      <c r="E3677" t="str">
        <f>HYPERLINK("http://www.ncbi.nlm.nih.gov/Taxonomy/Browser/wwwtax.cgi?mode=Info&amp;id=9135&amp;lvl=3&amp;lin=f&amp;keep=1&amp;srchmode=1&amp;unlock","9135")</f>
        <v>9135</v>
      </c>
      <c r="F3677" t="s">
        <v>241</v>
      </c>
      <c r="G3677" t="str">
        <f>HYPERLINK("http://www.ncbi.nlm.nih.gov/Taxonomy/Browser/wwwtax.cgi?mode=Info&amp;id=9135&amp;lvl=3&amp;lin=f&amp;keep=1&amp;srchmode=1&amp;unlock","Serinus canaria")</f>
        <v>Serinus canaria</v>
      </c>
      <c r="H3677" t="s">
        <v>553</v>
      </c>
      <c r="I3677" t="str">
        <f>HYPERLINK("http://www.ncbi.nlm.nih.gov/protein/XP_050830901.1","LOW QUALITY PROTEIN: ryanodine receptor 3")</f>
        <v>LOW QUALITY PROTEIN: ryanodine receptor 3</v>
      </c>
      <c r="J3677">
        <v>7621.93</v>
      </c>
      <c r="K3677" t="s">
        <v>22</v>
      </c>
      <c r="L3677">
        <v>76</v>
      </c>
      <c r="M3677">
        <v>12.58</v>
      </c>
      <c r="N3677">
        <v>75.010000000000005</v>
      </c>
      <c r="O3677" t="s">
        <v>19</v>
      </c>
      <c r="P3677" t="s">
        <v>1320</v>
      </c>
      <c r="Q3677" t="s">
        <v>19</v>
      </c>
      <c r="R3677" t="str">
        <f>HYPERLINK("https://cfpub.epa.gov/ecotox/explore.cfm?ncbi=9135","Explore in ECOTOX")</f>
        <v>Explore in ECOTOX</v>
      </c>
    </row>
    <row r="3678" spans="1:18" x14ac:dyDescent="0.45">
      <c r="A3678" t="s">
        <v>1265</v>
      </c>
      <c r="B3678">
        <v>8</v>
      </c>
      <c r="C3678" t="str">
        <f>HYPERLINK("http://www.ncbi.nlm.nih.gov/protein/XP_059561664.1","XP_059561664.1")</f>
        <v>XP_059561664.1</v>
      </c>
      <c r="D3678">
        <v>57320</v>
      </c>
      <c r="E3678" t="str">
        <f>HYPERLINK("http://www.ncbi.nlm.nih.gov/Taxonomy/Browser/wwwtax.cgi?mode=Info&amp;id=98922&amp;lvl=3&amp;lin=f&amp;keep=1&amp;srchmode=1&amp;unlock","98922")</f>
        <v>98922</v>
      </c>
      <c r="F3678" t="s">
        <v>96</v>
      </c>
      <c r="G3678" t="str">
        <f>HYPERLINK("http://www.ncbi.nlm.nih.gov/Taxonomy/Browser/wwwtax.cgi?mode=Info&amp;id=98922&amp;lvl=3&amp;lin=f&amp;keep=1&amp;srchmode=1&amp;unlock","Myotis daubentonii")</f>
        <v>Myotis daubentonii</v>
      </c>
      <c r="H3678" t="s">
        <v>381</v>
      </c>
      <c r="I3678" t="str">
        <f>HYPERLINK("http://www.ncbi.nlm.nih.gov/protein/XP_059561664.1","LOW QUALITY PROTEIN: ryanodine receptor 3")</f>
        <v>LOW QUALITY PROTEIN: ryanodine receptor 3</v>
      </c>
      <c r="J3678">
        <v>7615.38</v>
      </c>
      <c r="K3678" t="s">
        <v>22</v>
      </c>
      <c r="L3678">
        <v>76</v>
      </c>
      <c r="M3678">
        <v>12.58</v>
      </c>
      <c r="N3678">
        <v>74.95</v>
      </c>
      <c r="O3678" t="s">
        <v>19</v>
      </c>
      <c r="P3678" t="s">
        <v>1320</v>
      </c>
      <c r="Q3678" t="s">
        <v>19</v>
      </c>
      <c r="R3678" t="str">
        <f>HYPERLINK("https://cfpub.epa.gov/ecotox/explore.cfm?ncbi=98922","Explore in ECOTOX")</f>
        <v>Explore in ECOTOX</v>
      </c>
    </row>
    <row r="3679" spans="1:18" x14ac:dyDescent="0.45">
      <c r="A3679" t="s">
        <v>1265</v>
      </c>
      <c r="B3679">
        <v>8</v>
      </c>
      <c r="C3679" t="str">
        <f>HYPERLINK("http://www.ncbi.nlm.nih.gov/protein/XP_025739531.1","XP_025739531.1")</f>
        <v>XP_025739531.1</v>
      </c>
      <c r="D3679">
        <v>46265</v>
      </c>
      <c r="E3679" t="str">
        <f>HYPERLINK("http://www.ncbi.nlm.nih.gov/Taxonomy/Browser/wwwtax.cgi?mode=Info&amp;id=34884&amp;lvl=3&amp;lin=f&amp;keep=1&amp;srchmode=1&amp;unlock","34884")</f>
        <v>34884</v>
      </c>
      <c r="F3679" t="s">
        <v>96</v>
      </c>
      <c r="G3679" t="str">
        <f>HYPERLINK("http://www.ncbi.nlm.nih.gov/Taxonomy/Browser/wwwtax.cgi?mode=Info&amp;id=34884&amp;lvl=3&amp;lin=f&amp;keep=1&amp;srchmode=1&amp;unlock","Callorhinus ursinus")</f>
        <v>Callorhinus ursinus</v>
      </c>
      <c r="H3679" t="s">
        <v>603</v>
      </c>
      <c r="I3679" t="str">
        <f>HYPERLINK("http://www.ncbi.nlm.nih.gov/protein/XP_025739531.1","ryanodine receptor 3")</f>
        <v>ryanodine receptor 3</v>
      </c>
      <c r="J3679">
        <v>7615</v>
      </c>
      <c r="K3679" t="s">
        <v>22</v>
      </c>
      <c r="L3679">
        <v>76</v>
      </c>
      <c r="M3679">
        <v>12.58</v>
      </c>
      <c r="N3679">
        <v>74.94</v>
      </c>
      <c r="O3679" t="s">
        <v>19</v>
      </c>
      <c r="P3679" t="s">
        <v>1320</v>
      </c>
      <c r="Q3679" t="s">
        <v>19</v>
      </c>
      <c r="R3679" t="str">
        <f>HYPERLINK("https://cfpub.epa.gov/ecotox/explore.cfm?ncbi=34884","Explore in ECOTOX")</f>
        <v>Explore in ECOTOX</v>
      </c>
    </row>
    <row r="3680" spans="1:18" x14ac:dyDescent="0.45">
      <c r="A3680" t="s">
        <v>1265</v>
      </c>
      <c r="B3680">
        <v>8</v>
      </c>
      <c r="C3680" t="str">
        <f>HYPERLINK("http://www.ncbi.nlm.nih.gov/protein/XP_049646178.1","XP_049646178.1")</f>
        <v>XP_049646178.1</v>
      </c>
      <c r="D3680">
        <v>26655</v>
      </c>
      <c r="E3680" t="str">
        <f>HYPERLINK("http://www.ncbi.nlm.nih.gov/Taxonomy/Browser/wwwtax.cgi?mode=Info&amp;id=109475&amp;lvl=3&amp;lin=f&amp;keep=1&amp;srchmode=1&amp;unlock","109475")</f>
        <v>109475</v>
      </c>
      <c r="F3680" t="s">
        <v>96</v>
      </c>
      <c r="G3680" t="str">
        <f>HYPERLINK("http://www.ncbi.nlm.nih.gov/Taxonomy/Browser/wwwtax.cgi?mode=Info&amp;id=109475&amp;lvl=3&amp;lin=f&amp;keep=1&amp;srchmode=1&amp;unlock","Suncus etruscus")</f>
        <v>Suncus etruscus</v>
      </c>
      <c r="H3680" t="s">
        <v>262</v>
      </c>
      <c r="I3680" t="str">
        <f>HYPERLINK("http://www.ncbi.nlm.nih.gov/protein/XP_049646178.1","ryanodine receptor 3")</f>
        <v>ryanodine receptor 3</v>
      </c>
      <c r="J3680">
        <v>7613.46</v>
      </c>
      <c r="K3680" t="s">
        <v>22</v>
      </c>
      <c r="L3680">
        <v>76</v>
      </c>
      <c r="M3680">
        <v>12.58</v>
      </c>
      <c r="N3680">
        <v>74.930000000000007</v>
      </c>
      <c r="O3680" t="s">
        <v>19</v>
      </c>
      <c r="P3680" t="s">
        <v>1320</v>
      </c>
      <c r="Q3680" t="s">
        <v>19</v>
      </c>
      <c r="R3680" t="str">
        <f>HYPERLINK("https://cfpub.epa.gov/ecotox/explore.cfm?ncbi=109475","Explore in ECOTOX")</f>
        <v>Explore in ECOTOX</v>
      </c>
    </row>
    <row r="3681" spans="1:18" x14ac:dyDescent="0.45">
      <c r="A3681" t="s">
        <v>1265</v>
      </c>
      <c r="B3681">
        <v>8</v>
      </c>
      <c r="C3681" t="str">
        <f>HYPERLINK("http://www.ncbi.nlm.nih.gov/protein/XP_023423253.1","XP_023423253.1")</f>
        <v>XP_023423253.1</v>
      </c>
      <c r="D3681">
        <v>49200</v>
      </c>
      <c r="E3681" t="str">
        <f>HYPERLINK("http://www.ncbi.nlm.nih.gov/Taxonomy/Browser/wwwtax.cgi?mode=Info&amp;id=10141&amp;lvl=3&amp;lin=f&amp;keep=1&amp;srchmode=1&amp;unlock","10141")</f>
        <v>10141</v>
      </c>
      <c r="F3681" t="s">
        <v>96</v>
      </c>
      <c r="G3681" t="str">
        <f>HYPERLINK("http://www.ncbi.nlm.nih.gov/Taxonomy/Browser/wwwtax.cgi?mode=Info&amp;id=10141&amp;lvl=3&amp;lin=f&amp;keep=1&amp;srchmode=1&amp;unlock","Cavia porcellus")</f>
        <v>Cavia porcellus</v>
      </c>
      <c r="H3681" t="s">
        <v>692</v>
      </c>
      <c r="I3681" t="str">
        <f>HYPERLINK("http://www.ncbi.nlm.nih.gov/protein/XP_023423253.1","LOW QUALITY PROTEIN: ryanodine receptor 3")</f>
        <v>LOW QUALITY PROTEIN: ryanodine receptor 3</v>
      </c>
      <c r="J3681">
        <v>7606.91</v>
      </c>
      <c r="K3681" t="s">
        <v>22</v>
      </c>
      <c r="L3681">
        <v>76</v>
      </c>
      <c r="M3681">
        <v>12.58</v>
      </c>
      <c r="N3681">
        <v>74.87</v>
      </c>
      <c r="O3681" t="s">
        <v>19</v>
      </c>
      <c r="P3681" t="s">
        <v>1320</v>
      </c>
      <c r="Q3681" t="s">
        <v>19</v>
      </c>
      <c r="R3681" t="str">
        <f>HYPERLINK("https://cfpub.epa.gov/ecotox/explore.cfm?ncbi=10141","Explore in ECOTOX")</f>
        <v>Explore in ECOTOX</v>
      </c>
    </row>
    <row r="3682" spans="1:18" x14ac:dyDescent="0.45">
      <c r="A3682" t="s">
        <v>1265</v>
      </c>
      <c r="B3682">
        <v>8</v>
      </c>
      <c r="C3682" t="str">
        <f>HYPERLINK("http://www.ncbi.nlm.nih.gov/protein/XP_009667176.1","XP_009667176.1")</f>
        <v>XP_009667176.1</v>
      </c>
      <c r="D3682">
        <v>39498</v>
      </c>
      <c r="E3682" t="str">
        <f>HYPERLINK("http://www.ncbi.nlm.nih.gov/Taxonomy/Browser/wwwtax.cgi?mode=Info&amp;id=441894&amp;lvl=3&amp;lin=f&amp;keep=1&amp;srchmode=1&amp;unlock","441894")</f>
        <v>441894</v>
      </c>
      <c r="F3682" t="s">
        <v>241</v>
      </c>
      <c r="G3682" t="str">
        <f>HYPERLINK("http://www.ncbi.nlm.nih.gov/Taxonomy/Browser/wwwtax.cgi?mode=Info&amp;id=441894&amp;lvl=3&amp;lin=f&amp;keep=1&amp;srchmode=1&amp;unlock","Struthio camelus australis")</f>
        <v>Struthio camelus australis</v>
      </c>
      <c r="H3682" t="s">
        <v>356</v>
      </c>
      <c r="I3682" t="str">
        <f>HYPERLINK("http://www.ncbi.nlm.nih.gov/protein/XP_009667176.1","PREDICTED: ryanodine receptor 3, partial")</f>
        <v>PREDICTED: ryanodine receptor 3, partial</v>
      </c>
      <c r="J3682">
        <v>7603.83</v>
      </c>
      <c r="K3682" t="s">
        <v>22</v>
      </c>
      <c r="L3682">
        <v>76</v>
      </c>
      <c r="M3682">
        <v>12.58</v>
      </c>
      <c r="N3682">
        <v>74.83</v>
      </c>
      <c r="O3682" t="s">
        <v>19</v>
      </c>
      <c r="P3682" t="s">
        <v>1320</v>
      </c>
      <c r="Q3682" t="s">
        <v>19</v>
      </c>
      <c r="R3682" t="str">
        <f>HYPERLINK("https://cfpub.epa.gov/ecotox/explore.cfm?ncbi=441894","Explore in ECOTOX")</f>
        <v>Explore in ECOTOX</v>
      </c>
    </row>
    <row r="3683" spans="1:18" x14ac:dyDescent="0.45">
      <c r="A3683" t="s">
        <v>1265</v>
      </c>
      <c r="B3683">
        <v>8</v>
      </c>
      <c r="C3683" t="str">
        <f>HYPERLINK("http://www.ncbi.nlm.nih.gov/protein/XP_021551149.1","XP_021551149.1")</f>
        <v>XP_021551149.1</v>
      </c>
      <c r="D3683">
        <v>39488</v>
      </c>
      <c r="E3683" t="str">
        <f>HYPERLINK("http://www.ncbi.nlm.nih.gov/Taxonomy/Browser/wwwtax.cgi?mode=Info&amp;id=29088&amp;lvl=3&amp;lin=f&amp;keep=1&amp;srchmode=1&amp;unlock","29088")</f>
        <v>29088</v>
      </c>
      <c r="F3683" t="s">
        <v>96</v>
      </c>
      <c r="G3683" t="str">
        <f>HYPERLINK("http://www.ncbi.nlm.nih.gov/Taxonomy/Browser/wwwtax.cgi?mode=Info&amp;id=29088&amp;lvl=3&amp;lin=f&amp;keep=1&amp;srchmode=1&amp;unlock","Neomonachus schauinslandi")</f>
        <v>Neomonachus schauinslandi</v>
      </c>
      <c r="H3683" t="s">
        <v>401</v>
      </c>
      <c r="I3683" t="str">
        <f>HYPERLINK("http://www.ncbi.nlm.nih.gov/protein/XP_021551149.1","ryanodine receptor 3")</f>
        <v>ryanodine receptor 3</v>
      </c>
      <c r="J3683">
        <v>7576.86</v>
      </c>
      <c r="K3683" t="s">
        <v>22</v>
      </c>
      <c r="L3683">
        <v>76</v>
      </c>
      <c r="M3683">
        <v>12.58</v>
      </c>
      <c r="N3683">
        <v>74.569999999999993</v>
      </c>
      <c r="O3683" t="s">
        <v>19</v>
      </c>
      <c r="P3683" t="s">
        <v>1320</v>
      </c>
      <c r="Q3683" t="s">
        <v>19</v>
      </c>
      <c r="R3683" t="str">
        <f>HYPERLINK("https://cfpub.epa.gov/ecotox/explore.cfm?ncbi=29088","Explore in ECOTOX")</f>
        <v>Explore in ECOTOX</v>
      </c>
    </row>
    <row r="3684" spans="1:18" x14ac:dyDescent="0.45">
      <c r="A3684" t="s">
        <v>1265</v>
      </c>
      <c r="B3684">
        <v>8</v>
      </c>
      <c r="C3684" t="str">
        <f>HYPERLINK("http://www.ncbi.nlm.nih.gov/protein/XP_042543508.1","XP_042543508.1")</f>
        <v>XP_042543508.1</v>
      </c>
      <c r="D3684">
        <v>37347</v>
      </c>
      <c r="E3684" t="str">
        <f>HYPERLINK("http://www.ncbi.nlm.nih.gov/Taxonomy/Browser/wwwtax.cgi?mode=Info&amp;id=105255&amp;lvl=3&amp;lin=f&amp;keep=1&amp;srchmode=1&amp;unlock","105255")</f>
        <v>105255</v>
      </c>
      <c r="F3684" t="s">
        <v>96</v>
      </c>
      <c r="G3684" t="str">
        <f>HYPERLINK("http://www.ncbi.nlm.nih.gov/Taxonomy/Browser/wwwtax.cgi?mode=Info&amp;id=105255&amp;lvl=3&amp;lin=f&amp;keep=1&amp;srchmode=1&amp;unlock","Dipodomys spectabilis")</f>
        <v>Dipodomys spectabilis</v>
      </c>
      <c r="H3684" t="s">
        <v>300</v>
      </c>
      <c r="I3684" t="str">
        <f>HYPERLINK("http://www.ncbi.nlm.nih.gov/protein/XP_042543508.1","LOW QUALITY PROTEIN: ryanodine receptor 3")</f>
        <v>LOW QUALITY PROTEIN: ryanodine receptor 3</v>
      </c>
      <c r="J3684">
        <v>7575.71</v>
      </c>
      <c r="K3684" t="s">
        <v>22</v>
      </c>
      <c r="L3684">
        <v>76</v>
      </c>
      <c r="M3684">
        <v>12.58</v>
      </c>
      <c r="N3684">
        <v>74.56</v>
      </c>
      <c r="O3684" t="s">
        <v>19</v>
      </c>
      <c r="P3684" t="s">
        <v>1320</v>
      </c>
      <c r="Q3684" t="s">
        <v>19</v>
      </c>
      <c r="R3684" t="str">
        <f>HYPERLINK("https://cfpub.epa.gov/ecotox/explore.cfm?ncbi=105255","Explore in ECOTOX")</f>
        <v>Explore in ECOTOX</v>
      </c>
    </row>
    <row r="3685" spans="1:18" x14ac:dyDescent="0.45">
      <c r="A3685" t="s">
        <v>1265</v>
      </c>
      <c r="B3685">
        <v>8</v>
      </c>
      <c r="C3685" t="str">
        <f>HYPERLINK("http://www.ncbi.nlm.nih.gov/protein/XP_029808088.1","XP_029808088.1")</f>
        <v>XP_029808088.1</v>
      </c>
      <c r="D3685">
        <v>43433</v>
      </c>
      <c r="E3685" t="str">
        <f>HYPERLINK("http://www.ncbi.nlm.nih.gov/Taxonomy/Browser/wwwtax.cgi?mode=Info&amp;id=37032&amp;lvl=3&amp;lin=f&amp;keep=1&amp;srchmode=1&amp;unlock","37032")</f>
        <v>37032</v>
      </c>
      <c r="F3685" t="s">
        <v>96</v>
      </c>
      <c r="G3685" t="str">
        <f>HYPERLINK("http://www.ncbi.nlm.nih.gov/Taxonomy/Browser/wwwtax.cgi?mode=Info&amp;id=37032&amp;lvl=3&amp;lin=f&amp;keep=1&amp;srchmode=1&amp;unlock","Suricata suricatta")</f>
        <v>Suricata suricatta</v>
      </c>
      <c r="H3685" t="s">
        <v>377</v>
      </c>
      <c r="I3685" t="str">
        <f>HYPERLINK("http://www.ncbi.nlm.nih.gov/protein/XP_029808088.1","ryanodine receptor 3")</f>
        <v>ryanodine receptor 3</v>
      </c>
      <c r="J3685">
        <v>7571.47</v>
      </c>
      <c r="K3685" t="s">
        <v>22</v>
      </c>
      <c r="L3685">
        <v>76</v>
      </c>
      <c r="M3685">
        <v>12.58</v>
      </c>
      <c r="N3685">
        <v>74.52</v>
      </c>
      <c r="O3685" t="s">
        <v>19</v>
      </c>
      <c r="P3685" t="s">
        <v>1320</v>
      </c>
      <c r="Q3685" t="s">
        <v>19</v>
      </c>
      <c r="R3685" t="str">
        <f>HYPERLINK("https://cfpub.epa.gov/ecotox/explore.cfm?ncbi=37032","Explore in ECOTOX")</f>
        <v>Explore in ECOTOX</v>
      </c>
    </row>
    <row r="3686" spans="1:18" x14ac:dyDescent="0.45">
      <c r="A3686" t="s">
        <v>1265</v>
      </c>
      <c r="B3686">
        <v>8</v>
      </c>
      <c r="C3686" t="str">
        <f>HYPERLINK("http://www.ncbi.nlm.nih.gov/protein/KAI1237803.1","KAI1237803.1")</f>
        <v>KAI1237803.1</v>
      </c>
      <c r="D3686">
        <v>14273</v>
      </c>
      <c r="E3686" t="str">
        <f>HYPERLINK("http://www.ncbi.nlm.nih.gov/Taxonomy/Browser/wwwtax.cgi?mode=Info&amp;id=245042&amp;lvl=3&amp;lin=f&amp;keep=1&amp;srchmode=1&amp;unlock","245042")</f>
        <v>245042</v>
      </c>
      <c r="F3686" t="s">
        <v>241</v>
      </c>
      <c r="G3686" t="str">
        <f>HYPERLINK("http://www.ncbi.nlm.nih.gov/Taxonomy/Browser/wwwtax.cgi?mode=Info&amp;id=245042&amp;lvl=3&amp;lin=f&amp;keep=1&amp;srchmode=1&amp;unlock","Lamprotornis superbus")</f>
        <v>Lamprotornis superbus</v>
      </c>
      <c r="H3686" t="s">
        <v>754</v>
      </c>
      <c r="I3686" t="str">
        <f>HYPERLINK("http://www.ncbi.nlm.nih.gov/protein/KAI1237803.1","hypothetical protein IHE44_0013890")</f>
        <v>hypothetical protein IHE44_0013890</v>
      </c>
      <c r="J3686">
        <v>7564.54</v>
      </c>
      <c r="K3686" t="s">
        <v>22</v>
      </c>
      <c r="L3686">
        <v>76</v>
      </c>
      <c r="M3686">
        <v>12.58</v>
      </c>
      <c r="N3686">
        <v>74.45</v>
      </c>
      <c r="O3686" t="s">
        <v>19</v>
      </c>
      <c r="P3686" t="s">
        <v>1320</v>
      </c>
      <c r="Q3686" t="s">
        <v>19</v>
      </c>
      <c r="R3686" t="str">
        <f>HYPERLINK("https://cfpub.epa.gov/ecotox/explore.cfm?ncbi=245042","Explore in ECOTOX")</f>
        <v>Explore in ECOTOX</v>
      </c>
    </row>
    <row r="3687" spans="1:18" x14ac:dyDescent="0.45">
      <c r="A3687" t="s">
        <v>1265</v>
      </c>
      <c r="B3687">
        <v>8</v>
      </c>
      <c r="C3687" t="str">
        <f>HYPERLINK("http://www.ncbi.nlm.nih.gov/protein/XP_015413022.1","XP_015413022.1")</f>
        <v>XP_015413022.1</v>
      </c>
      <c r="D3687">
        <v>48727</v>
      </c>
      <c r="E3687" t="str">
        <f>HYPERLINK("http://www.ncbi.nlm.nih.gov/Taxonomy/Browser/wwwtax.cgi?mode=Info&amp;id=225400&amp;lvl=3&amp;lin=f&amp;keep=1&amp;srchmode=1&amp;unlock","225400")</f>
        <v>225400</v>
      </c>
      <c r="F3687" t="s">
        <v>96</v>
      </c>
      <c r="G3687" t="str">
        <f>HYPERLINK("http://www.ncbi.nlm.nih.gov/Taxonomy/Browser/wwwtax.cgi?mode=Info&amp;id=225400&amp;lvl=3&amp;lin=f&amp;keep=1&amp;srchmode=1&amp;unlock","Myotis davidii")</f>
        <v>Myotis davidii</v>
      </c>
      <c r="H3687" t="s">
        <v>387</v>
      </c>
      <c r="I3687" t="str">
        <f>HYPERLINK("http://www.ncbi.nlm.nih.gov/protein/XP_015413022.1","PREDICTED: LOW QUALITY PROTEIN: ryanodine receptor 3")</f>
        <v>PREDICTED: LOW QUALITY PROTEIN: ryanodine receptor 3</v>
      </c>
      <c r="J3687">
        <v>7556.45</v>
      </c>
      <c r="K3687" t="s">
        <v>22</v>
      </c>
      <c r="L3687">
        <v>76</v>
      </c>
      <c r="M3687">
        <v>12.58</v>
      </c>
      <c r="N3687">
        <v>74.37</v>
      </c>
      <c r="O3687" t="s">
        <v>19</v>
      </c>
      <c r="P3687" t="s">
        <v>1320</v>
      </c>
      <c r="Q3687" t="s">
        <v>19</v>
      </c>
      <c r="R3687" t="str">
        <f>HYPERLINK("https://cfpub.epa.gov/ecotox/explore.cfm?ncbi=225400","Explore in ECOTOX")</f>
        <v>Explore in ECOTOX</v>
      </c>
    </row>
    <row r="3688" spans="1:18" x14ac:dyDescent="0.45">
      <c r="A3688" t="s">
        <v>1265</v>
      </c>
      <c r="B3688">
        <v>8</v>
      </c>
      <c r="C3688" t="str">
        <f>HYPERLINK("http://www.ncbi.nlm.nih.gov/protein/XP_026520093.1","XP_026520093.1")</f>
        <v>XP_026520093.1</v>
      </c>
      <c r="D3688">
        <v>31326</v>
      </c>
      <c r="E3688" t="str">
        <f>HYPERLINK("http://www.ncbi.nlm.nih.gov/Taxonomy/Browser/wwwtax.cgi?mode=Info&amp;id=8663&amp;lvl=3&amp;lin=f&amp;keep=1&amp;srchmode=1&amp;unlock","8663")</f>
        <v>8663</v>
      </c>
      <c r="F3688" t="s">
        <v>192</v>
      </c>
      <c r="G3688" t="str">
        <f>HYPERLINK("http://www.ncbi.nlm.nih.gov/Taxonomy/Browser/wwwtax.cgi?mode=Info&amp;id=8663&amp;lvl=3&amp;lin=f&amp;keep=1&amp;srchmode=1&amp;unlock","Notechis scutatus")</f>
        <v>Notechis scutatus</v>
      </c>
      <c r="H3688" t="s">
        <v>411</v>
      </c>
      <c r="I3688" t="str">
        <f>HYPERLINK("http://www.ncbi.nlm.nih.gov/protein/XP_026520093.1","ryanodine receptor 3")</f>
        <v>ryanodine receptor 3</v>
      </c>
      <c r="J3688">
        <v>7551.05</v>
      </c>
      <c r="K3688" t="s">
        <v>22</v>
      </c>
      <c r="L3688">
        <v>76</v>
      </c>
      <c r="M3688">
        <v>12.58</v>
      </c>
      <c r="N3688">
        <v>74.319999999999993</v>
      </c>
      <c r="O3688" t="s">
        <v>19</v>
      </c>
      <c r="P3688" t="s">
        <v>1320</v>
      </c>
      <c r="Q3688" t="s">
        <v>19</v>
      </c>
      <c r="R3688" t="str">
        <f>HYPERLINK("https://cfpub.epa.gov/ecotox/explore.cfm?ncbi=8663","Explore in ECOTOX")</f>
        <v>Explore in ECOTOX</v>
      </c>
    </row>
    <row r="3689" spans="1:18" x14ac:dyDescent="0.45">
      <c r="A3689" t="s">
        <v>1265</v>
      </c>
      <c r="B3689">
        <v>8</v>
      </c>
      <c r="C3689" t="str">
        <f>HYPERLINK("http://www.ncbi.nlm.nih.gov/protein/XP_032545719.1","XP_032545719.1")</f>
        <v>XP_032545719.1</v>
      </c>
      <c r="D3689">
        <v>39420</v>
      </c>
      <c r="E3689" t="str">
        <f>HYPERLINK("http://www.ncbi.nlm.nih.gov/Taxonomy/Browser/wwwtax.cgi?mode=Info&amp;id=296741&amp;lvl=3&amp;lin=f&amp;keep=1&amp;srchmode=1&amp;unlock","296741")</f>
        <v>296741</v>
      </c>
      <c r="F3689" t="s">
        <v>241</v>
      </c>
      <c r="G3689" t="str">
        <f>HYPERLINK("http://www.ncbi.nlm.nih.gov/Taxonomy/Browser/wwwtax.cgi?mode=Info&amp;id=296741&amp;lvl=3&amp;lin=f&amp;keep=1&amp;srchmode=1&amp;unlock","Chiroxiphia lanceolata")</f>
        <v>Chiroxiphia lanceolata</v>
      </c>
      <c r="H3689" t="s">
        <v>247</v>
      </c>
      <c r="I3689" t="str">
        <f>HYPERLINK("http://www.ncbi.nlm.nih.gov/protein/XP_032545719.1","LOW QUALITY PROTEIN: ryanodine receptor 3")</f>
        <v>LOW QUALITY PROTEIN: ryanodine receptor 3</v>
      </c>
      <c r="J3689">
        <v>7528.33</v>
      </c>
      <c r="K3689" t="s">
        <v>22</v>
      </c>
      <c r="L3689">
        <v>76</v>
      </c>
      <c r="M3689">
        <v>12.58</v>
      </c>
      <c r="N3689">
        <v>74.09</v>
      </c>
      <c r="O3689" t="s">
        <v>19</v>
      </c>
      <c r="P3689" t="s">
        <v>1320</v>
      </c>
      <c r="Q3689" t="s">
        <v>19</v>
      </c>
      <c r="R3689" t="str">
        <f>HYPERLINK("https://cfpub.epa.gov/ecotox/explore.cfm?ncbi=296741","Explore in ECOTOX")</f>
        <v>Explore in ECOTOX</v>
      </c>
    </row>
    <row r="3690" spans="1:18" x14ac:dyDescent="0.45">
      <c r="A3690" t="s">
        <v>1265</v>
      </c>
      <c r="B3690">
        <v>8</v>
      </c>
      <c r="C3690" t="str">
        <f>HYPERLINK("http://www.ncbi.nlm.nih.gov/protein/VFV26904.1","VFV26904.1")</f>
        <v>VFV26904.1</v>
      </c>
      <c r="D3690">
        <v>31255</v>
      </c>
      <c r="E3690" t="str">
        <f>HYPERLINK("http://www.ncbi.nlm.nih.gov/Taxonomy/Browser/wwwtax.cgi?mode=Info&amp;id=191816&amp;lvl=3&amp;lin=f&amp;keep=1&amp;srchmode=1&amp;unlock","191816")</f>
        <v>191816</v>
      </c>
      <c r="F3690" t="s">
        <v>96</v>
      </c>
      <c r="G3690" t="str">
        <f>HYPERLINK("http://www.ncbi.nlm.nih.gov/Taxonomy/Browser/wwwtax.cgi?mode=Info&amp;id=191816&amp;lvl=3&amp;lin=f&amp;keep=1&amp;srchmode=1&amp;unlock","Lynx pardinus")</f>
        <v>Lynx pardinus</v>
      </c>
      <c r="H3690" t="s">
        <v>575</v>
      </c>
      <c r="I3690" t="str">
        <f>HYPERLINK("http://www.ncbi.nlm.nih.gov/protein/VFV26904.1","ryanodine receptor 3 isoform 1")</f>
        <v>ryanodine receptor 3 isoform 1</v>
      </c>
      <c r="J3690">
        <v>7491.73</v>
      </c>
      <c r="K3690" t="s">
        <v>22</v>
      </c>
      <c r="L3690">
        <v>76</v>
      </c>
      <c r="M3690">
        <v>12.58</v>
      </c>
      <c r="N3690">
        <v>73.73</v>
      </c>
      <c r="O3690" t="s">
        <v>19</v>
      </c>
      <c r="P3690" t="s">
        <v>1320</v>
      </c>
      <c r="Q3690" t="s">
        <v>19</v>
      </c>
      <c r="R3690" t="str">
        <f>HYPERLINK("https://cfpub.epa.gov/ecotox/explore.cfm?ncbi=191816","Explore in ECOTOX")</f>
        <v>Explore in ECOTOX</v>
      </c>
    </row>
    <row r="3691" spans="1:18" x14ac:dyDescent="0.45">
      <c r="A3691" t="s">
        <v>1265</v>
      </c>
      <c r="B3691">
        <v>8</v>
      </c>
      <c r="C3691" t="str">
        <f>HYPERLINK("http://www.ncbi.nlm.nih.gov/protein/XP_038641685.1","XP_038641685.1")</f>
        <v>XP_038641685.1</v>
      </c>
      <c r="D3691">
        <v>50176</v>
      </c>
      <c r="E3691" t="str">
        <f>HYPERLINK("http://www.ncbi.nlm.nih.gov/Taxonomy/Browser/wwwtax.cgi?mode=Info&amp;id=7830&amp;lvl=3&amp;lin=f&amp;keep=1&amp;srchmode=1&amp;unlock","7830")</f>
        <v>7830</v>
      </c>
      <c r="F3691" t="s">
        <v>195</v>
      </c>
      <c r="G3691" t="str">
        <f>HYPERLINK("http://www.ncbi.nlm.nih.gov/Taxonomy/Browser/wwwtax.cgi?mode=Info&amp;id=7830&amp;lvl=3&amp;lin=f&amp;keep=1&amp;srchmode=1&amp;unlock","Scyliorhinus canicula")</f>
        <v>Scyliorhinus canicula</v>
      </c>
      <c r="H3691" t="s">
        <v>219</v>
      </c>
      <c r="I3691" t="str">
        <f>HYPERLINK("http://www.ncbi.nlm.nih.gov/protein/XP_038641685.1","LOW QUALITY PROTEIN: ryanodine receptor 3")</f>
        <v>LOW QUALITY PROTEIN: ryanodine receptor 3</v>
      </c>
      <c r="J3691">
        <v>7485.57</v>
      </c>
      <c r="K3691" t="s">
        <v>22</v>
      </c>
      <c r="L3691">
        <v>76</v>
      </c>
      <c r="M3691">
        <v>12.58</v>
      </c>
      <c r="N3691">
        <v>73.67</v>
      </c>
      <c r="O3691" t="s">
        <v>19</v>
      </c>
      <c r="P3691" t="s">
        <v>1320</v>
      </c>
      <c r="Q3691" t="s">
        <v>19</v>
      </c>
      <c r="R3691" t="str">
        <f>HYPERLINK("https://cfpub.epa.gov/ecotox/explore.cfm?ncbi=7830","Explore in ECOTOX")</f>
        <v>Explore in ECOTOX</v>
      </c>
    </row>
    <row r="3692" spans="1:18" x14ac:dyDescent="0.45">
      <c r="A3692" t="s">
        <v>1265</v>
      </c>
      <c r="B3692">
        <v>8</v>
      </c>
      <c r="C3692" t="str">
        <f>HYPERLINK("http://www.ncbi.nlm.nih.gov/protein/XP_060684893.1","XP_060684893.1")</f>
        <v>XP_060684893.1</v>
      </c>
      <c r="D3692">
        <v>36593</v>
      </c>
      <c r="E3692" t="str">
        <f>HYPERLINK("http://www.ncbi.nlm.nih.gov/Taxonomy/Browser/wwwtax.cgi?mode=Info&amp;id=170820&amp;lvl=3&amp;lin=f&amp;keep=1&amp;srchmode=1&amp;unlock","170820")</f>
        <v>170820</v>
      </c>
      <c r="F3692" t="s">
        <v>195</v>
      </c>
      <c r="G3692" t="str">
        <f>HYPERLINK("http://www.ncbi.nlm.nih.gov/Taxonomy/Browser/wwwtax.cgi?mode=Info&amp;id=170820&amp;lvl=3&amp;lin=f&amp;keep=1&amp;srchmode=1&amp;unlock","Hemiscyllium ocellatum")</f>
        <v>Hemiscyllium ocellatum</v>
      </c>
      <c r="H3692" t="s">
        <v>205</v>
      </c>
      <c r="I3692" t="str">
        <f>HYPERLINK("http://www.ncbi.nlm.nih.gov/protein/XP_060684893.1","ryanodine receptor 3 isoform X12")</f>
        <v>ryanodine receptor 3 isoform X12</v>
      </c>
      <c r="J3692">
        <v>7483.64</v>
      </c>
      <c r="K3692" t="s">
        <v>22</v>
      </c>
      <c r="L3692">
        <v>76</v>
      </c>
      <c r="M3692">
        <v>12.58</v>
      </c>
      <c r="N3692">
        <v>73.650000000000006</v>
      </c>
      <c r="O3692" t="s">
        <v>19</v>
      </c>
      <c r="P3692" t="s">
        <v>1320</v>
      </c>
      <c r="Q3692" t="s">
        <v>19</v>
      </c>
      <c r="R3692" t="str">
        <f>HYPERLINK("https://cfpub.epa.gov/ecotox/explore.cfm?ncbi=170820","Explore in ECOTOX")</f>
        <v>Explore in ECOTOX</v>
      </c>
    </row>
    <row r="3693" spans="1:18" x14ac:dyDescent="0.45">
      <c r="A3693" t="s">
        <v>1265</v>
      </c>
      <c r="B3693">
        <v>8</v>
      </c>
      <c r="C3693" t="str">
        <f>HYPERLINK("http://www.ncbi.nlm.nih.gov/protein/XP_043553916.1","XP_043553916.1")</f>
        <v>XP_043553916.1</v>
      </c>
      <c r="D3693">
        <v>47810</v>
      </c>
      <c r="E3693" t="str">
        <f>HYPERLINK("http://www.ncbi.nlm.nih.gov/Taxonomy/Browser/wwwtax.cgi?mode=Info&amp;id=36176&amp;lvl=3&amp;lin=f&amp;keep=1&amp;srchmode=1&amp;unlock","36176")</f>
        <v>36176</v>
      </c>
      <c r="F3693" t="s">
        <v>195</v>
      </c>
      <c r="G3693" t="str">
        <f>HYPERLINK("http://www.ncbi.nlm.nih.gov/Taxonomy/Browser/wwwtax.cgi?mode=Info&amp;id=36176&amp;lvl=3&amp;lin=f&amp;keep=1&amp;srchmode=1&amp;unlock","Chiloscyllium plagiosum")</f>
        <v>Chiloscyllium plagiosum</v>
      </c>
      <c r="H3693" t="s">
        <v>238</v>
      </c>
      <c r="I3693" t="str">
        <f>HYPERLINK("http://www.ncbi.nlm.nih.gov/protein/XP_043553916.1","ryanodine receptor 3 isoform X10")</f>
        <v>ryanodine receptor 3 isoform X10</v>
      </c>
      <c r="J3693">
        <v>7483.64</v>
      </c>
      <c r="K3693" t="s">
        <v>22</v>
      </c>
      <c r="L3693">
        <v>76</v>
      </c>
      <c r="M3693">
        <v>12.58</v>
      </c>
      <c r="N3693">
        <v>73.650000000000006</v>
      </c>
      <c r="O3693" t="s">
        <v>19</v>
      </c>
      <c r="P3693" t="s">
        <v>1320</v>
      </c>
      <c r="Q3693" t="s">
        <v>19</v>
      </c>
      <c r="R3693" t="str">
        <f>HYPERLINK("https://cfpub.epa.gov/ecotox/explore.cfm?ncbi=36176","Explore in ECOTOX")</f>
        <v>Explore in ECOTOX</v>
      </c>
    </row>
    <row r="3694" spans="1:18" x14ac:dyDescent="0.45">
      <c r="A3694" t="s">
        <v>1265</v>
      </c>
      <c r="B3694">
        <v>8</v>
      </c>
      <c r="C3694" t="str">
        <f>HYPERLINK("http://www.ncbi.nlm.nih.gov/protein/GCC25854.1","GCC25854.1")</f>
        <v>GCC25854.1</v>
      </c>
      <c r="D3694">
        <v>33658</v>
      </c>
      <c r="E3694" t="str">
        <f>HYPERLINK("http://www.ncbi.nlm.nih.gov/Taxonomy/Browser/wwwtax.cgi?mode=Info&amp;id=137246&amp;lvl=3&amp;lin=f&amp;keep=1&amp;srchmode=1&amp;unlock","137246")</f>
        <v>137246</v>
      </c>
      <c r="F3694" t="s">
        <v>195</v>
      </c>
      <c r="G3694" t="str">
        <f>HYPERLINK("http://www.ncbi.nlm.nih.gov/Taxonomy/Browser/wwwtax.cgi?mode=Info&amp;id=137246&amp;lvl=3&amp;lin=f&amp;keep=1&amp;srchmode=1&amp;unlock","Chiloscyllium punctatum")</f>
        <v>Chiloscyllium punctatum</v>
      </c>
      <c r="H3694" t="s">
        <v>229</v>
      </c>
      <c r="I3694" t="str">
        <f>HYPERLINK("http://www.ncbi.nlm.nih.gov/protein/GCC25854.1","hypothetical protein")</f>
        <v>hypothetical protein</v>
      </c>
      <c r="J3694">
        <v>7483.26</v>
      </c>
      <c r="K3694" t="s">
        <v>22</v>
      </c>
      <c r="L3694">
        <v>76</v>
      </c>
      <c r="M3694">
        <v>12.58</v>
      </c>
      <c r="N3694">
        <v>73.650000000000006</v>
      </c>
      <c r="O3694" t="s">
        <v>19</v>
      </c>
      <c r="P3694" t="s">
        <v>1320</v>
      </c>
      <c r="Q3694" t="s">
        <v>19</v>
      </c>
      <c r="R3694" t="str">
        <f>HYPERLINK("https://cfpub.epa.gov/ecotox/explore.cfm?ncbi=137246","Explore in ECOTOX")</f>
        <v>Explore in ECOTOX</v>
      </c>
    </row>
    <row r="3695" spans="1:18" x14ac:dyDescent="0.45">
      <c r="A3695" t="s">
        <v>1265</v>
      </c>
      <c r="B3695">
        <v>8</v>
      </c>
      <c r="C3695" t="str">
        <f>HYPERLINK("http://www.ncbi.nlm.nih.gov/protein/XP_023559005.1","XP_023559005.1")</f>
        <v>XP_023559005.1</v>
      </c>
      <c r="D3695">
        <v>42561</v>
      </c>
      <c r="E3695" t="str">
        <f>HYPERLINK("http://www.ncbi.nlm.nih.gov/Taxonomy/Browser/wwwtax.cgi?mode=Info&amp;id=10160&amp;lvl=3&amp;lin=f&amp;keep=1&amp;srchmode=1&amp;unlock","10160")</f>
        <v>10160</v>
      </c>
      <c r="F3695" t="s">
        <v>96</v>
      </c>
      <c r="G3695" t="str">
        <f>HYPERLINK("http://www.ncbi.nlm.nih.gov/Taxonomy/Browser/wwwtax.cgi?mode=Info&amp;id=10160&amp;lvl=3&amp;lin=f&amp;keep=1&amp;srchmode=1&amp;unlock","Octodon degus")</f>
        <v>Octodon degus</v>
      </c>
      <c r="H3695" t="s">
        <v>562</v>
      </c>
      <c r="I3695" t="str">
        <f>HYPERLINK("http://www.ncbi.nlm.nih.gov/protein/XP_023559005.1","ryanodine receptor 3")</f>
        <v>ryanodine receptor 3</v>
      </c>
      <c r="J3695">
        <v>7469.01</v>
      </c>
      <c r="K3695" t="s">
        <v>22</v>
      </c>
      <c r="L3695">
        <v>76</v>
      </c>
      <c r="M3695">
        <v>12.58</v>
      </c>
      <c r="N3695">
        <v>73.510000000000005</v>
      </c>
      <c r="O3695" t="s">
        <v>19</v>
      </c>
      <c r="P3695" t="s">
        <v>1320</v>
      </c>
      <c r="Q3695" t="s">
        <v>19</v>
      </c>
      <c r="R3695" t="str">
        <f>HYPERLINK("https://cfpub.epa.gov/ecotox/explore.cfm?ncbi=10160","Explore in ECOTOX")</f>
        <v>Explore in ECOTOX</v>
      </c>
    </row>
    <row r="3696" spans="1:18" x14ac:dyDescent="0.45">
      <c r="A3696" t="s">
        <v>1265</v>
      </c>
      <c r="B3696">
        <v>8</v>
      </c>
      <c r="C3696" t="str">
        <f>HYPERLINK("http://www.ncbi.nlm.nih.gov/protein/XP_059505196.1","XP_059505196.1")</f>
        <v>XP_059505196.1</v>
      </c>
      <c r="D3696">
        <v>50732</v>
      </c>
      <c r="E3696" t="str">
        <f>HYPERLINK("http://www.ncbi.nlm.nih.gov/Taxonomy/Browser/wwwtax.cgi?mode=Info&amp;id=3053191&amp;lvl=3&amp;lin=f&amp;keep=1&amp;srchmode=1&amp;unlock","3053191")</f>
        <v>3053191</v>
      </c>
      <c r="F3696" t="s">
        <v>195</v>
      </c>
      <c r="G3696" t="str">
        <f>HYPERLINK("http://www.ncbi.nlm.nih.gov/Taxonomy/Browser/wwwtax.cgi?mode=Info&amp;id=3053191&amp;lvl=3&amp;lin=f&amp;keep=1&amp;srchmode=1&amp;unlock","Stegostoma tigrinum")</f>
        <v>Stegostoma tigrinum</v>
      </c>
      <c r="H3696" t="s">
        <v>212</v>
      </c>
      <c r="I3696" t="str">
        <f>HYPERLINK("http://www.ncbi.nlm.nih.gov/protein/XP_059505196.1","ryanodine receptor 3 isoform X1")</f>
        <v>ryanodine receptor 3 isoform X1</v>
      </c>
      <c r="J3696">
        <v>7458.22</v>
      </c>
      <c r="K3696" t="s">
        <v>22</v>
      </c>
      <c r="L3696">
        <v>76</v>
      </c>
      <c r="M3696">
        <v>12.58</v>
      </c>
      <c r="N3696">
        <v>73.400000000000006</v>
      </c>
      <c r="O3696" t="s">
        <v>19</v>
      </c>
      <c r="P3696" t="s">
        <v>1320</v>
      </c>
      <c r="Q3696" t="s">
        <v>19</v>
      </c>
      <c r="R3696" t="str">
        <f>HYPERLINK("https://cfpub.epa.gov/ecotox/explore.cfm?ncbi=3053191","Explore in ECOTOX")</f>
        <v>Explore in ECOTOX</v>
      </c>
    </row>
    <row r="3697" spans="1:18" x14ac:dyDescent="0.45">
      <c r="A3697" t="s">
        <v>1265</v>
      </c>
      <c r="B3697">
        <v>8</v>
      </c>
      <c r="C3697" t="str">
        <f>HYPERLINK("http://www.ncbi.nlm.nih.gov/protein/XP_051871044.1","XP_051871044.1")</f>
        <v>XP_051871044.1</v>
      </c>
      <c r="D3697">
        <v>37228</v>
      </c>
      <c r="E3697" t="str">
        <f>HYPERLINK("http://www.ncbi.nlm.nih.gov/Taxonomy/Browser/wwwtax.cgi?mode=Info&amp;id=685728&amp;lvl=3&amp;lin=f&amp;keep=1&amp;srchmode=1&amp;unlock","685728")</f>
        <v>685728</v>
      </c>
      <c r="F3697" t="s">
        <v>195</v>
      </c>
      <c r="G3697" t="str">
        <f>HYPERLINK("http://www.ncbi.nlm.nih.gov/Taxonomy/Browser/wwwtax.cgi?mode=Info&amp;id=685728&amp;lvl=3&amp;lin=f&amp;keep=1&amp;srchmode=1&amp;unlock","Pristis pectinata")</f>
        <v>Pristis pectinata</v>
      </c>
      <c r="H3697" t="s">
        <v>202</v>
      </c>
      <c r="I3697" t="str">
        <f>HYPERLINK("http://www.ncbi.nlm.nih.gov/protein/XP_051871044.1","LOW QUALITY PROTEIN: ryanodine receptor 3")</f>
        <v>LOW QUALITY PROTEIN: ryanodine receptor 3</v>
      </c>
      <c r="J3697">
        <v>7437.42</v>
      </c>
      <c r="K3697" t="s">
        <v>22</v>
      </c>
      <c r="L3697">
        <v>76</v>
      </c>
      <c r="M3697">
        <v>12.58</v>
      </c>
      <c r="N3697">
        <v>73.2</v>
      </c>
      <c r="O3697" t="s">
        <v>19</v>
      </c>
      <c r="P3697" t="s">
        <v>1320</v>
      </c>
      <c r="Q3697" t="s">
        <v>19</v>
      </c>
      <c r="R3697" t="str">
        <f>HYPERLINK("https://cfpub.epa.gov/ecotox/explore.cfm?ncbi=685728","Explore in ECOTOX")</f>
        <v>Explore in ECOTOX</v>
      </c>
    </row>
    <row r="3698" spans="1:18" x14ac:dyDescent="0.45">
      <c r="A3698" t="s">
        <v>1265</v>
      </c>
      <c r="B3698">
        <v>8</v>
      </c>
      <c r="C3698" t="str">
        <f>HYPERLINK("http://www.ncbi.nlm.nih.gov/protein/CAB1335142.1","CAB1335142.1")</f>
        <v>CAB1335142.1</v>
      </c>
      <c r="D3698">
        <v>41731</v>
      </c>
      <c r="E3698" t="str">
        <f>HYPERLINK("http://www.ncbi.nlm.nih.gov/Taxonomy/Browser/wwwtax.cgi?mode=Info&amp;id=861768&amp;lvl=3&amp;lin=f&amp;keep=1&amp;srchmode=1&amp;unlock","861768")</f>
        <v>861768</v>
      </c>
      <c r="F3698" t="s">
        <v>17</v>
      </c>
      <c r="G3698" t="str">
        <f>HYPERLINK("http://www.ncbi.nlm.nih.gov/Taxonomy/Browser/wwwtax.cgi?mode=Info&amp;id=861768&amp;lvl=3&amp;lin=f&amp;keep=1&amp;srchmode=1&amp;unlock","Coregonus sp. 'balchen'")</f>
        <v>Coregonus sp. 'balchen'</v>
      </c>
      <c r="H3698" t="s">
        <v>726</v>
      </c>
      <c r="I3698" t="str">
        <f>HYPERLINK("http://www.ncbi.nlm.nih.gov/protein/CAB1335142.1","unnamed protein product, partial")</f>
        <v>unnamed protein product, partial</v>
      </c>
      <c r="J3698">
        <v>7433.18</v>
      </c>
      <c r="K3698" t="s">
        <v>19</v>
      </c>
      <c r="L3698">
        <v>76</v>
      </c>
      <c r="M3698">
        <v>12.58</v>
      </c>
      <c r="N3698">
        <v>73.16</v>
      </c>
      <c r="O3698" t="s">
        <v>19</v>
      </c>
      <c r="P3698" t="s">
        <v>1320</v>
      </c>
      <c r="Q3698" t="s">
        <v>19</v>
      </c>
      <c r="R3698" t="str">
        <f>HYPERLINK("https://cfpub.epa.gov/ecotox/explore.cfm?ncbi=861768","Explore in ECOTOX")</f>
        <v>Explore in ECOTOX</v>
      </c>
    </row>
    <row r="3699" spans="1:18" x14ac:dyDescent="0.45">
      <c r="A3699" t="s">
        <v>1265</v>
      </c>
      <c r="B3699">
        <v>8</v>
      </c>
      <c r="C3699" t="str">
        <f>HYPERLINK("http://www.ncbi.nlm.nih.gov/protein/XP_007886254.2","XP_007886254.2")</f>
        <v>XP_007886254.2</v>
      </c>
      <c r="D3699">
        <v>34835</v>
      </c>
      <c r="E3699" t="str">
        <f>HYPERLINK("http://www.ncbi.nlm.nih.gov/Taxonomy/Browser/wwwtax.cgi?mode=Info&amp;id=7868&amp;lvl=3&amp;lin=f&amp;keep=1&amp;srchmode=1&amp;unlock","7868")</f>
        <v>7868</v>
      </c>
      <c r="F3699" t="s">
        <v>195</v>
      </c>
      <c r="G3699" t="str">
        <f>HYPERLINK("http://www.ncbi.nlm.nih.gov/Taxonomy/Browser/wwwtax.cgi?mode=Info&amp;id=7868&amp;lvl=3&amp;lin=f&amp;keep=1&amp;srchmode=1&amp;unlock","Callorhinchus milii")</f>
        <v>Callorhinchus milii</v>
      </c>
      <c r="H3699" t="s">
        <v>210</v>
      </c>
      <c r="I3699" t="str">
        <f>HYPERLINK("http://www.ncbi.nlm.nih.gov/protein/XP_007886254.2","ryanodine receptor 3 isoform X2")</f>
        <v>ryanodine receptor 3 isoform X2</v>
      </c>
      <c r="J3699">
        <v>7430.49</v>
      </c>
      <c r="K3699" t="s">
        <v>22</v>
      </c>
      <c r="L3699">
        <v>76</v>
      </c>
      <c r="M3699">
        <v>12.58</v>
      </c>
      <c r="N3699">
        <v>73.13</v>
      </c>
      <c r="O3699" t="s">
        <v>19</v>
      </c>
      <c r="P3699" t="s">
        <v>1320</v>
      </c>
      <c r="Q3699" t="s">
        <v>19</v>
      </c>
      <c r="R3699" t="str">
        <f>HYPERLINK("https://cfpub.epa.gov/ecotox/explore.cfm?ncbi=7868","Explore in ECOTOX")</f>
        <v>Explore in ECOTOX</v>
      </c>
    </row>
    <row r="3700" spans="1:18" x14ac:dyDescent="0.45">
      <c r="A3700" t="s">
        <v>1265</v>
      </c>
      <c r="B3700">
        <v>8</v>
      </c>
      <c r="C3700" t="str">
        <f>HYPERLINK("http://www.ncbi.nlm.nih.gov/protein/XP_031528832.1","XP_031528832.1")</f>
        <v>XP_031528832.1</v>
      </c>
      <c r="D3700">
        <v>45493</v>
      </c>
      <c r="E3700" t="str">
        <f>HYPERLINK("http://www.ncbi.nlm.nih.gov/Taxonomy/Browser/wwwtax.cgi?mode=Info&amp;id=30538&amp;lvl=3&amp;lin=f&amp;keep=1&amp;srchmode=1&amp;unlock","30538")</f>
        <v>30538</v>
      </c>
      <c r="F3700" t="s">
        <v>96</v>
      </c>
      <c r="G3700" t="str">
        <f>HYPERLINK("http://www.ncbi.nlm.nih.gov/Taxonomy/Browser/wwwtax.cgi?mode=Info&amp;id=30538&amp;lvl=3&amp;lin=f&amp;keep=1&amp;srchmode=1&amp;unlock","Vicugna pacos")</f>
        <v>Vicugna pacos</v>
      </c>
      <c r="H3700" t="s">
        <v>747</v>
      </c>
      <c r="I3700" t="str">
        <f>HYPERLINK("http://www.ncbi.nlm.nih.gov/protein/XP_031528832.1","ryanodine receptor 3")</f>
        <v>ryanodine receptor 3</v>
      </c>
      <c r="J3700">
        <v>7424.32</v>
      </c>
      <c r="K3700" t="s">
        <v>22</v>
      </c>
      <c r="L3700">
        <v>76</v>
      </c>
      <c r="M3700">
        <v>12.58</v>
      </c>
      <c r="N3700">
        <v>73.069999999999993</v>
      </c>
      <c r="O3700" t="s">
        <v>19</v>
      </c>
      <c r="P3700" t="s">
        <v>1320</v>
      </c>
      <c r="Q3700" t="s">
        <v>19</v>
      </c>
      <c r="R3700" t="str">
        <f>HYPERLINK("https://cfpub.epa.gov/ecotox/explore.cfm?ncbi=30538","Explore in ECOTOX")</f>
        <v>Explore in ECOTOX</v>
      </c>
    </row>
    <row r="3701" spans="1:18" x14ac:dyDescent="0.45">
      <c r="A3701" t="s">
        <v>1265</v>
      </c>
      <c r="B3701">
        <v>8</v>
      </c>
      <c r="C3701" t="str">
        <f>HYPERLINK("http://www.ncbi.nlm.nih.gov/protein/XP_041070474.1","XP_041070474.1")</f>
        <v>XP_041070474.1</v>
      </c>
      <c r="D3701">
        <v>44666</v>
      </c>
      <c r="E3701" t="str">
        <f>HYPERLINK("http://www.ncbi.nlm.nih.gov/Taxonomy/Browser/wwwtax.cgi?mode=Info&amp;id=13397&amp;lvl=3&amp;lin=f&amp;keep=1&amp;srchmode=1&amp;unlock","13397")</f>
        <v>13397</v>
      </c>
      <c r="F3701" t="s">
        <v>195</v>
      </c>
      <c r="G3701" t="str">
        <f>HYPERLINK("http://www.ncbi.nlm.nih.gov/Taxonomy/Browser/wwwtax.cgi?mode=Info&amp;id=13397&amp;lvl=3&amp;lin=f&amp;keep=1&amp;srchmode=1&amp;unlock","Carcharodon carcharias")</f>
        <v>Carcharodon carcharias</v>
      </c>
      <c r="H3701" t="s">
        <v>196</v>
      </c>
      <c r="I3701" t="str">
        <f>HYPERLINK("http://www.ncbi.nlm.nih.gov/protein/XP_041070474.1","ryanodine receptor 3 isoform X1")</f>
        <v>ryanodine receptor 3 isoform X1</v>
      </c>
      <c r="J3701">
        <v>7399.67</v>
      </c>
      <c r="K3701" t="s">
        <v>22</v>
      </c>
      <c r="L3701">
        <v>76</v>
      </c>
      <c r="M3701">
        <v>12.58</v>
      </c>
      <c r="N3701">
        <v>72.83</v>
      </c>
      <c r="O3701" t="s">
        <v>19</v>
      </c>
      <c r="P3701" t="s">
        <v>1320</v>
      </c>
      <c r="Q3701" t="s">
        <v>19</v>
      </c>
      <c r="R3701" t="str">
        <f>HYPERLINK("https://cfpub.epa.gov/ecotox/explore.cfm?ncbi=13397","Explore in ECOTOX")</f>
        <v>Explore in ECOTOX</v>
      </c>
    </row>
    <row r="3702" spans="1:18" x14ac:dyDescent="0.45">
      <c r="A3702" t="s">
        <v>1265</v>
      </c>
      <c r="B3702">
        <v>8</v>
      </c>
      <c r="C3702" t="str">
        <f>HYPERLINK("http://www.ncbi.nlm.nih.gov/protein/XP_059811599.1","XP_059811599.1")</f>
        <v>XP_059811599.1</v>
      </c>
      <c r="D3702">
        <v>51018</v>
      </c>
      <c r="E3702" t="str">
        <f>HYPERLINK("http://www.ncbi.nlm.nih.gov/Taxonomy/Browser/wwwtax.cgi?mode=Info&amp;id=79690&amp;lvl=3&amp;lin=f&amp;keep=1&amp;srchmode=1&amp;unlock","79690")</f>
        <v>79690</v>
      </c>
      <c r="F3702" t="s">
        <v>195</v>
      </c>
      <c r="G3702" t="str">
        <f>HYPERLINK("http://www.ncbi.nlm.nih.gov/Taxonomy/Browser/wwwtax.cgi?mode=Info&amp;id=79690&amp;lvl=3&amp;lin=f&amp;keep=1&amp;srchmode=1&amp;unlock","Hypanus sabinus")</f>
        <v>Hypanus sabinus</v>
      </c>
      <c r="H3702" t="s">
        <v>224</v>
      </c>
      <c r="I3702" t="str">
        <f>HYPERLINK("http://www.ncbi.nlm.nih.gov/protein/XP_059811599.1","LOW QUALITY PROTEIN: ryanodine receptor 3")</f>
        <v>LOW QUALITY PROTEIN: ryanodine receptor 3</v>
      </c>
      <c r="J3702">
        <v>7395.05</v>
      </c>
      <c r="K3702" t="s">
        <v>22</v>
      </c>
      <c r="L3702">
        <v>76</v>
      </c>
      <c r="M3702">
        <v>12.58</v>
      </c>
      <c r="N3702">
        <v>72.78</v>
      </c>
      <c r="O3702" t="s">
        <v>19</v>
      </c>
      <c r="P3702" t="s">
        <v>1320</v>
      </c>
      <c r="Q3702" t="s">
        <v>19</v>
      </c>
      <c r="R3702" t="str">
        <f>HYPERLINK("https://cfpub.epa.gov/ecotox/explore.cfm?ncbi=79690","Explore in ECOTOX")</f>
        <v>Explore in ECOTOX</v>
      </c>
    </row>
    <row r="3703" spans="1:18" x14ac:dyDescent="0.45">
      <c r="A3703" t="s">
        <v>1265</v>
      </c>
      <c r="B3703">
        <v>8</v>
      </c>
      <c r="C3703" t="str">
        <f>HYPERLINK("http://www.ncbi.nlm.nih.gov/protein/XP_032882821.1","XP_032882821.1")</f>
        <v>XP_032882821.1</v>
      </c>
      <c r="D3703">
        <v>38972</v>
      </c>
      <c r="E3703" t="str">
        <f>HYPERLINK("http://www.ncbi.nlm.nih.gov/Taxonomy/Browser/wwwtax.cgi?mode=Info&amp;id=386614&amp;lvl=3&amp;lin=f&amp;keep=1&amp;srchmode=1&amp;unlock","386614")</f>
        <v>386614</v>
      </c>
      <c r="F3703" t="s">
        <v>195</v>
      </c>
      <c r="G3703" t="str">
        <f>HYPERLINK("http://www.ncbi.nlm.nih.gov/Taxonomy/Browser/wwwtax.cgi?mode=Info&amp;id=386614&amp;lvl=3&amp;lin=f&amp;keep=1&amp;srchmode=1&amp;unlock","Amblyraja radiata")</f>
        <v>Amblyraja radiata</v>
      </c>
      <c r="H3703" t="s">
        <v>226</v>
      </c>
      <c r="I3703" t="str">
        <f>HYPERLINK("http://www.ncbi.nlm.nih.gov/protein/XP_032882821.1","ryanodine receptor 3 isoform X4")</f>
        <v>ryanodine receptor 3 isoform X4</v>
      </c>
      <c r="J3703">
        <v>7391.97</v>
      </c>
      <c r="K3703" t="s">
        <v>22</v>
      </c>
      <c r="L3703">
        <v>76</v>
      </c>
      <c r="M3703">
        <v>12.58</v>
      </c>
      <c r="N3703">
        <v>72.75</v>
      </c>
      <c r="O3703" t="s">
        <v>19</v>
      </c>
      <c r="P3703" t="s">
        <v>1320</v>
      </c>
      <c r="Q3703" t="s">
        <v>19</v>
      </c>
      <c r="R3703" t="str">
        <f>HYPERLINK("https://cfpub.epa.gov/ecotox/explore.cfm?ncbi=386614","Explore in ECOTOX")</f>
        <v>Explore in ECOTOX</v>
      </c>
    </row>
    <row r="3704" spans="1:18" x14ac:dyDescent="0.45">
      <c r="A3704" t="s">
        <v>1265</v>
      </c>
      <c r="B3704">
        <v>8</v>
      </c>
      <c r="C3704" t="str">
        <f>HYPERLINK("http://www.ncbi.nlm.nih.gov/protein/XP_009917619.1","XP_009917619.1")</f>
        <v>XP_009917619.1</v>
      </c>
      <c r="D3704">
        <v>45035</v>
      </c>
      <c r="E3704" t="str">
        <f>HYPERLINK("http://www.ncbi.nlm.nih.gov/Taxonomy/Browser/wwwtax.cgi?mode=Info&amp;id=8969&amp;lvl=3&amp;lin=f&amp;keep=1&amp;srchmode=1&amp;unlock","8969")</f>
        <v>8969</v>
      </c>
      <c r="F3704" t="s">
        <v>241</v>
      </c>
      <c r="G3704" t="str">
        <f>HYPERLINK("http://www.ncbi.nlm.nih.gov/Taxonomy/Browser/wwwtax.cgi?mode=Info&amp;id=8969&amp;lvl=3&amp;lin=f&amp;keep=1&amp;srchmode=1&amp;unlock","Haliaeetus albicilla")</f>
        <v>Haliaeetus albicilla</v>
      </c>
      <c r="H3704" t="s">
        <v>647</v>
      </c>
      <c r="I3704" t="str">
        <f>HYPERLINK("http://www.ncbi.nlm.nih.gov/protein/XP_009917619.1","PREDICTED: ryanodine receptor 3, partial")</f>
        <v>PREDICTED: ryanodine receptor 3, partial</v>
      </c>
      <c r="J3704">
        <v>7364.23</v>
      </c>
      <c r="K3704" t="s">
        <v>22</v>
      </c>
      <c r="L3704">
        <v>76</v>
      </c>
      <c r="M3704">
        <v>12.58</v>
      </c>
      <c r="N3704">
        <v>72.48</v>
      </c>
      <c r="O3704" t="s">
        <v>19</v>
      </c>
      <c r="P3704" t="s">
        <v>1320</v>
      </c>
      <c r="Q3704" t="s">
        <v>19</v>
      </c>
      <c r="R3704" t="str">
        <f>HYPERLINK("https://cfpub.epa.gov/ecotox/explore.cfm?ncbi=8969","Explore in ECOTOX")</f>
        <v>Explore in ECOTOX</v>
      </c>
    </row>
    <row r="3705" spans="1:18" x14ac:dyDescent="0.45">
      <c r="A3705" t="s">
        <v>1265</v>
      </c>
      <c r="B3705">
        <v>8</v>
      </c>
      <c r="C3705" t="str">
        <f>HYPERLINK("http://www.ncbi.nlm.nih.gov/protein/GLD49658.1","GLD49658.1")</f>
        <v>GLD49658.1</v>
      </c>
      <c r="D3705">
        <v>30118</v>
      </c>
      <c r="E3705" t="str">
        <f>HYPERLINK("http://www.ncbi.nlm.nih.gov/Taxonomy/Browser/wwwtax.cgi?mode=Info&amp;id=270547&amp;lvl=3&amp;lin=f&amp;keep=1&amp;srchmode=1&amp;unlock","270547")</f>
        <v>270547</v>
      </c>
      <c r="F3705" t="s">
        <v>17</v>
      </c>
      <c r="G3705" t="str">
        <f>HYPERLINK("http://www.ncbi.nlm.nih.gov/Taxonomy/Browser/wwwtax.cgi?mode=Info&amp;id=270547&amp;lvl=3&amp;lin=f&amp;keep=1&amp;srchmode=1&amp;unlock","Lates japonicus")</f>
        <v>Lates japonicus</v>
      </c>
      <c r="H3705" t="s">
        <v>239</v>
      </c>
      <c r="I3705" t="str">
        <f>HYPERLINK("http://www.ncbi.nlm.nih.gov/protein/GLD49658.1","ryanodine receptor 3-like protein, partial")</f>
        <v>ryanodine receptor 3-like protein, partial</v>
      </c>
      <c r="J3705">
        <v>7361.15</v>
      </c>
      <c r="K3705" t="s">
        <v>22</v>
      </c>
      <c r="L3705">
        <v>76</v>
      </c>
      <c r="M3705">
        <v>12.58</v>
      </c>
      <c r="N3705">
        <v>72.45</v>
      </c>
      <c r="O3705" t="s">
        <v>19</v>
      </c>
      <c r="P3705" t="s">
        <v>1320</v>
      </c>
      <c r="Q3705" t="s">
        <v>19</v>
      </c>
      <c r="R3705" t="str">
        <f>HYPERLINK("https://cfpub.epa.gov/ecotox/explore.cfm?ncbi=270547","Explore in ECOTOX")</f>
        <v>Explore in ECOTOX</v>
      </c>
    </row>
    <row r="3706" spans="1:18" x14ac:dyDescent="0.45">
      <c r="A3706" t="s">
        <v>1265</v>
      </c>
      <c r="B3706">
        <v>8</v>
      </c>
      <c r="C3706" t="str">
        <f>HYPERLINK("http://www.ncbi.nlm.nih.gov/protein/XP_008514580.1","XP_008514580.1")</f>
        <v>XP_008514580.1</v>
      </c>
      <c r="D3706">
        <v>38594</v>
      </c>
      <c r="E3706" t="str">
        <f>HYPERLINK("http://www.ncbi.nlm.nih.gov/Taxonomy/Browser/wwwtax.cgi?mode=Info&amp;id=9798&amp;lvl=3&amp;lin=f&amp;keep=1&amp;srchmode=1&amp;unlock","9798")</f>
        <v>9798</v>
      </c>
      <c r="F3706" t="s">
        <v>96</v>
      </c>
      <c r="G3706" t="str">
        <f>HYPERLINK("http://www.ncbi.nlm.nih.gov/Taxonomy/Browser/wwwtax.cgi?mode=Info&amp;id=9798&amp;lvl=3&amp;lin=f&amp;keep=1&amp;srchmode=1&amp;unlock","Equus przewalskii")</f>
        <v>Equus przewalskii</v>
      </c>
      <c r="H3706" t="s">
        <v>631</v>
      </c>
      <c r="I3706" t="str">
        <f>HYPERLINK("http://www.ncbi.nlm.nih.gov/protein/XP_008514580.1","PREDICTED: ryanodine receptor 3, partial")</f>
        <v>PREDICTED: ryanodine receptor 3, partial</v>
      </c>
      <c r="J3706">
        <v>7237.12</v>
      </c>
      <c r="K3706" t="s">
        <v>22</v>
      </c>
      <c r="L3706">
        <v>76</v>
      </c>
      <c r="M3706">
        <v>12.58</v>
      </c>
      <c r="N3706">
        <v>71.23</v>
      </c>
      <c r="O3706" t="s">
        <v>19</v>
      </c>
      <c r="P3706" t="s">
        <v>1320</v>
      </c>
      <c r="Q3706" t="s">
        <v>19</v>
      </c>
      <c r="R3706" t="str">
        <f>HYPERLINK("https://cfpub.epa.gov/ecotox/explore.cfm?ncbi=9798","Explore in ECOTOX")</f>
        <v>Explore in ECOTOX</v>
      </c>
    </row>
    <row r="3707" spans="1:18" x14ac:dyDescent="0.45">
      <c r="A3707" t="s">
        <v>1265</v>
      </c>
      <c r="B3707">
        <v>8</v>
      </c>
      <c r="C3707" t="str">
        <f>HYPERLINK("http://www.ncbi.nlm.nih.gov/protein/XP_010226083.1","XP_010226083.1")</f>
        <v>XP_010226083.1</v>
      </c>
      <c r="D3707">
        <v>31350</v>
      </c>
      <c r="E3707" t="str">
        <f>HYPERLINK("http://www.ncbi.nlm.nih.gov/Taxonomy/Browser/wwwtax.cgi?mode=Info&amp;id=94827&amp;lvl=3&amp;lin=f&amp;keep=1&amp;srchmode=1&amp;unlock","94827")</f>
        <v>94827</v>
      </c>
      <c r="F3707" t="s">
        <v>241</v>
      </c>
      <c r="G3707" t="str">
        <f>HYPERLINK("http://www.ncbi.nlm.nih.gov/Taxonomy/Browser/wwwtax.cgi?mode=Info&amp;id=94827&amp;lvl=3&amp;lin=f&amp;keep=1&amp;srchmode=1&amp;unlock","Tinamus guttatus")</f>
        <v>Tinamus guttatus</v>
      </c>
      <c r="H3707" t="s">
        <v>365</v>
      </c>
      <c r="I3707" t="str">
        <f>HYPERLINK("http://www.ncbi.nlm.nih.gov/protein/XP_010226083.1","PREDICTED: ryanodine receptor 3, partial")</f>
        <v>PREDICTED: ryanodine receptor 3, partial</v>
      </c>
      <c r="J3707">
        <v>7226.33</v>
      </c>
      <c r="K3707" t="s">
        <v>22</v>
      </c>
      <c r="L3707">
        <v>76</v>
      </c>
      <c r="M3707">
        <v>12.58</v>
      </c>
      <c r="N3707">
        <v>71.12</v>
      </c>
      <c r="O3707" t="s">
        <v>19</v>
      </c>
      <c r="P3707" t="s">
        <v>1320</v>
      </c>
      <c r="Q3707" t="s">
        <v>19</v>
      </c>
      <c r="R3707" t="str">
        <f>HYPERLINK("https://cfpub.epa.gov/ecotox/explore.cfm?ncbi=94827","Explore in ECOTOX")</f>
        <v>Explore in ECOTOX</v>
      </c>
    </row>
    <row r="3708" spans="1:18" x14ac:dyDescent="0.45">
      <c r="A3708" t="s">
        <v>1265</v>
      </c>
      <c r="B3708">
        <v>8</v>
      </c>
      <c r="C3708" t="str">
        <f>HYPERLINK("http://www.ncbi.nlm.nih.gov/protein/XP_012862710.2","XP_012862710.2")</f>
        <v>XP_012862710.2</v>
      </c>
      <c r="D3708">
        <v>32216</v>
      </c>
      <c r="E3708" t="str">
        <f>HYPERLINK("http://www.ncbi.nlm.nih.gov/Taxonomy/Browser/wwwtax.cgi?mode=Info&amp;id=9371&amp;lvl=3&amp;lin=f&amp;keep=1&amp;srchmode=1&amp;unlock","9371")</f>
        <v>9371</v>
      </c>
      <c r="F3708" t="s">
        <v>96</v>
      </c>
      <c r="G3708" t="str">
        <f>HYPERLINK("http://www.ncbi.nlm.nih.gov/Taxonomy/Browser/wwwtax.cgi?mode=Info&amp;id=9371&amp;lvl=3&amp;lin=f&amp;keep=1&amp;srchmode=1&amp;unlock","Echinops telfairi")</f>
        <v>Echinops telfairi</v>
      </c>
      <c r="H3708" t="s">
        <v>756</v>
      </c>
      <c r="I3708" t="str">
        <f>HYPERLINK("http://www.ncbi.nlm.nih.gov/protein/XP_012862710.2","ryanodine receptor 3")</f>
        <v>ryanodine receptor 3</v>
      </c>
      <c r="J3708">
        <v>7220.55</v>
      </c>
      <c r="K3708" t="s">
        <v>22</v>
      </c>
      <c r="L3708">
        <v>76</v>
      </c>
      <c r="M3708">
        <v>12.58</v>
      </c>
      <c r="N3708">
        <v>71.06</v>
      </c>
      <c r="O3708" t="s">
        <v>19</v>
      </c>
      <c r="P3708" t="s">
        <v>1320</v>
      </c>
      <c r="Q3708" t="s">
        <v>19</v>
      </c>
      <c r="R3708" t="str">
        <f>HYPERLINK("https://cfpub.epa.gov/ecotox/explore.cfm?ncbi=9371","Explore in ECOTOX")</f>
        <v>Explore in ECOTOX</v>
      </c>
    </row>
    <row r="3709" spans="1:18" x14ac:dyDescent="0.45">
      <c r="A3709" t="s">
        <v>1265</v>
      </c>
      <c r="B3709">
        <v>8</v>
      </c>
      <c r="C3709" t="str">
        <f>HYPERLINK("http://www.ncbi.nlm.nih.gov/protein/KAI4802127.1","KAI4802127.1")</f>
        <v>KAI4802127.1</v>
      </c>
      <c r="D3709">
        <v>39982</v>
      </c>
      <c r="E3709" t="str">
        <f>HYPERLINK("http://www.ncbi.nlm.nih.gov/Taxonomy/Browser/wwwtax.cgi?mode=Info&amp;id=36190&amp;lvl=3&amp;lin=f&amp;keep=1&amp;srchmode=1&amp;unlock","36190")</f>
        <v>36190</v>
      </c>
      <c r="F3709" t="s">
        <v>17</v>
      </c>
      <c r="G3709" t="str">
        <f>HYPERLINK("http://www.ncbi.nlm.nih.gov/Taxonomy/Browser/wwwtax.cgi?mode=Info&amp;id=36190&amp;lvl=3&amp;lin=f&amp;keep=1&amp;srchmode=1&amp;unlock","Chaenocephalus aceratus")</f>
        <v>Chaenocephalus aceratus</v>
      </c>
      <c r="H3709" t="s">
        <v>174</v>
      </c>
      <c r="I3709" t="str">
        <f>HYPERLINK("http://www.ncbi.nlm.nih.gov/protein/KAI4802127.1","hypothetical protein KUCAC02_019985, partial")</f>
        <v>hypothetical protein KUCAC02_019985, partial</v>
      </c>
      <c r="J3709">
        <v>7193.2</v>
      </c>
      <c r="K3709" t="s">
        <v>22</v>
      </c>
      <c r="L3709">
        <v>76</v>
      </c>
      <c r="M3709">
        <v>12.58</v>
      </c>
      <c r="N3709">
        <v>70.790000000000006</v>
      </c>
      <c r="O3709" t="s">
        <v>19</v>
      </c>
      <c r="P3709" t="s">
        <v>1320</v>
      </c>
      <c r="Q3709" t="s">
        <v>19</v>
      </c>
      <c r="R3709" t="str">
        <f>HYPERLINK("https://cfpub.epa.gov/ecotox/explore.cfm?ncbi=36190","Explore in ECOTOX")</f>
        <v>Explore in ECOTOX</v>
      </c>
    </row>
    <row r="3710" spans="1:18" x14ac:dyDescent="0.45">
      <c r="A3710" t="s">
        <v>1265</v>
      </c>
      <c r="B3710">
        <v>8</v>
      </c>
      <c r="C3710" t="str">
        <f>HYPERLINK("http://www.ncbi.nlm.nih.gov/protein/XP_038597298.1","XP_038597298.1")</f>
        <v>XP_038597298.1</v>
      </c>
      <c r="D3710">
        <v>33534</v>
      </c>
      <c r="E3710" t="str">
        <f>HYPERLINK("http://www.ncbi.nlm.nih.gov/Taxonomy/Browser/wwwtax.cgi?mode=Info&amp;id=9261&amp;lvl=3&amp;lin=f&amp;keep=1&amp;srchmode=1&amp;unlock","9261")</f>
        <v>9261</v>
      </c>
      <c r="F3710" t="s">
        <v>96</v>
      </c>
      <c r="G3710" t="str">
        <f>HYPERLINK("http://www.ncbi.nlm.nih.gov/Taxonomy/Browser/wwwtax.cgi?mode=Info&amp;id=9261&amp;lvl=3&amp;lin=f&amp;keep=1&amp;srchmode=1&amp;unlock","Tachyglossus aculeatus")</f>
        <v>Tachyglossus aculeatus</v>
      </c>
      <c r="H3710" t="s">
        <v>446</v>
      </c>
      <c r="I3710" t="str">
        <f>HYPERLINK("http://www.ncbi.nlm.nih.gov/protein/XP_038597298.1","LOW QUALITY PROTEIN: ryanodine receptor 3")</f>
        <v>LOW QUALITY PROTEIN: ryanodine receptor 3</v>
      </c>
      <c r="J3710">
        <v>7047.21</v>
      </c>
      <c r="K3710" t="s">
        <v>22</v>
      </c>
      <c r="L3710">
        <v>76</v>
      </c>
      <c r="M3710">
        <v>12.58</v>
      </c>
      <c r="N3710">
        <v>69.36</v>
      </c>
      <c r="O3710" t="s">
        <v>19</v>
      </c>
      <c r="P3710" t="s">
        <v>1320</v>
      </c>
      <c r="Q3710" t="s">
        <v>19</v>
      </c>
      <c r="R3710" t="str">
        <f>HYPERLINK("https://cfpub.epa.gov/ecotox/explore.cfm?ncbi=9261","Explore in ECOTOX")</f>
        <v>Explore in ECOTOX</v>
      </c>
    </row>
    <row r="3711" spans="1:18" x14ac:dyDescent="0.45">
      <c r="A3711" t="s">
        <v>1265</v>
      </c>
      <c r="B3711">
        <v>8</v>
      </c>
      <c r="C3711" t="str">
        <f>HYPERLINK("http://www.ncbi.nlm.nih.gov/protein/XP_051829609.1","XP_051829609.1")</f>
        <v>XP_051829609.1</v>
      </c>
      <c r="D3711">
        <v>40889</v>
      </c>
      <c r="E3711" t="str">
        <f>HYPERLINK("http://www.ncbi.nlm.nih.gov/Taxonomy/Browser/wwwtax.cgi?mode=Info&amp;id=38775&amp;lvl=3&amp;lin=f&amp;keep=1&amp;srchmode=1&amp;unlock","38775")</f>
        <v>38775</v>
      </c>
      <c r="F3711" t="s">
        <v>96</v>
      </c>
      <c r="G3711" t="str">
        <f>HYPERLINK("http://www.ncbi.nlm.nih.gov/Taxonomy/Browser/wwwtax.cgi?mode=Info&amp;id=38775&amp;lvl=3&amp;lin=f&amp;keep=1&amp;srchmode=1&amp;unlock","Antechinus flavipes")</f>
        <v>Antechinus flavipes</v>
      </c>
      <c r="H3711" t="s">
        <v>619</v>
      </c>
      <c r="I3711" t="str">
        <f>HYPERLINK("http://www.ncbi.nlm.nih.gov/protein/XP_051829609.1","ryanodine receptor 3")</f>
        <v>ryanodine receptor 3</v>
      </c>
      <c r="J3711">
        <v>7034.5</v>
      </c>
      <c r="K3711" t="s">
        <v>22</v>
      </c>
      <c r="L3711">
        <v>76</v>
      </c>
      <c r="M3711">
        <v>12.58</v>
      </c>
      <c r="N3711">
        <v>69.23</v>
      </c>
      <c r="O3711" t="s">
        <v>19</v>
      </c>
      <c r="P3711" t="s">
        <v>1320</v>
      </c>
      <c r="Q3711" t="s">
        <v>19</v>
      </c>
      <c r="R3711" t="str">
        <f>HYPERLINK("https://cfpub.epa.gov/ecotox/explore.cfm?ncbi=38775","Explore in ECOTOX")</f>
        <v>Explore in ECOTOX</v>
      </c>
    </row>
    <row r="3712" spans="1:18" x14ac:dyDescent="0.45">
      <c r="A3712" t="s">
        <v>1265</v>
      </c>
      <c r="B3712">
        <v>8</v>
      </c>
      <c r="C3712" t="str">
        <f>HYPERLINK("http://www.ncbi.nlm.nih.gov/protein/XP_055496702.1","XP_055496702.1")</f>
        <v>XP_055496702.1</v>
      </c>
      <c r="D3712">
        <v>36580</v>
      </c>
      <c r="E3712" t="str">
        <f>HYPERLINK("http://www.ncbi.nlm.nih.gov/Taxonomy/Browser/wwwtax.cgi?mode=Info&amp;id=7782&amp;lvl=3&amp;lin=f&amp;keep=1&amp;srchmode=1&amp;unlock","7782")</f>
        <v>7782</v>
      </c>
      <c r="F3712" t="s">
        <v>195</v>
      </c>
      <c r="G3712" t="str">
        <f>HYPERLINK("http://www.ncbi.nlm.nih.gov/Taxonomy/Browser/wwwtax.cgi?mode=Info&amp;id=7782&amp;lvl=3&amp;lin=f&amp;keep=1&amp;srchmode=1&amp;unlock","Leucoraja erinacea")</f>
        <v>Leucoraja erinacea</v>
      </c>
      <c r="H3712" t="s">
        <v>225</v>
      </c>
      <c r="I3712" t="str">
        <f>HYPERLINK("http://www.ncbi.nlm.nih.gov/protein/XP_055496702.1","ryanodine receptor 3 isoform X2")</f>
        <v>ryanodine receptor 3 isoform X2</v>
      </c>
      <c r="J3712">
        <v>7003.3</v>
      </c>
      <c r="K3712" t="s">
        <v>22</v>
      </c>
      <c r="L3712">
        <v>76</v>
      </c>
      <c r="M3712">
        <v>12.58</v>
      </c>
      <c r="N3712">
        <v>68.92</v>
      </c>
      <c r="O3712" t="s">
        <v>19</v>
      </c>
      <c r="P3712" t="s">
        <v>1320</v>
      </c>
      <c r="Q3712" t="s">
        <v>19</v>
      </c>
      <c r="R3712" t="str">
        <f>HYPERLINK("https://cfpub.epa.gov/ecotox/explore.cfm?ncbi=7782","Explore in ECOTOX")</f>
        <v>Explore in ECOTOX</v>
      </c>
    </row>
    <row r="3713" spans="1:18" x14ac:dyDescent="0.45">
      <c r="A3713" t="s">
        <v>1265</v>
      </c>
      <c r="B3713">
        <v>8</v>
      </c>
      <c r="C3713" t="str">
        <f>HYPERLINK("http://www.ncbi.nlm.nih.gov/protein/KAF4017270.1","KAF4017270.1")</f>
        <v>KAF4017270.1</v>
      </c>
      <c r="D3713">
        <v>19261</v>
      </c>
      <c r="E3713" t="str">
        <f>HYPERLINK("http://www.ncbi.nlm.nih.gov/Taxonomy/Browser/wwwtax.cgi?mode=Info&amp;id=84702&amp;lvl=3&amp;lin=f&amp;keep=1&amp;srchmode=1&amp;unlock","84702")</f>
        <v>84702</v>
      </c>
      <c r="F3713" t="s">
        <v>96</v>
      </c>
      <c r="G3713" t="str">
        <f>HYPERLINK("http://www.ncbi.nlm.nih.gov/Taxonomy/Browser/wwwtax.cgi?mode=Info&amp;id=84702&amp;lvl=3&amp;lin=f&amp;keep=1&amp;srchmode=1&amp;unlock","Cervus hanglu yarkandensis")</f>
        <v>Cervus hanglu yarkandensis</v>
      </c>
      <c r="H3713" t="s">
        <v>799</v>
      </c>
      <c r="I3713" t="str">
        <f>HYPERLINK("http://www.ncbi.nlm.nih.gov/protein/KAF4017270.1","hypothetical protein G4228_008671")</f>
        <v>hypothetical protein G4228_008671</v>
      </c>
      <c r="J3713">
        <v>6956.69</v>
      </c>
      <c r="K3713" t="s">
        <v>22</v>
      </c>
      <c r="L3713">
        <v>76</v>
      </c>
      <c r="M3713">
        <v>12.58</v>
      </c>
      <c r="N3713">
        <v>68.47</v>
      </c>
      <c r="O3713" t="s">
        <v>19</v>
      </c>
      <c r="P3713" t="s">
        <v>1320</v>
      </c>
      <c r="Q3713" t="s">
        <v>19</v>
      </c>
      <c r="R3713" t="str">
        <f>HYPERLINK("https://cfpub.epa.gov/ecotox/explore.cfm?ncbi=84702","Explore in ECOTOX")</f>
        <v>Explore in ECOTOX</v>
      </c>
    </row>
    <row r="3714" spans="1:18" x14ac:dyDescent="0.45">
      <c r="A3714" t="s">
        <v>1265</v>
      </c>
      <c r="B3714">
        <v>8</v>
      </c>
      <c r="C3714" t="str">
        <f>HYPERLINK("http://www.ncbi.nlm.nih.gov/protein/KAG7222685.1","KAG7222685.1")</f>
        <v>KAG7222685.1</v>
      </c>
      <c r="D3714">
        <v>30930</v>
      </c>
      <c r="E3714" t="str">
        <f>HYPERLINK("http://www.ncbi.nlm.nih.gov/Taxonomy/Browser/wwwtax.cgi?mode=Info&amp;id=181461&amp;lvl=3&amp;lin=f&amp;keep=1&amp;srchmode=1&amp;unlock","181461")</f>
        <v>181461</v>
      </c>
      <c r="F3714" t="s">
        <v>17</v>
      </c>
      <c r="G3714" t="str">
        <f>HYPERLINK("http://www.ncbi.nlm.nih.gov/Taxonomy/Browser/wwwtax.cgi?mode=Info&amp;id=181461&amp;lvl=3&amp;lin=f&amp;keep=1&amp;srchmode=1&amp;unlock","Caranx melampygus")</f>
        <v>Caranx melampygus</v>
      </c>
      <c r="H3714" t="s">
        <v>704</v>
      </c>
      <c r="I3714" t="str">
        <f>HYPERLINK("http://www.ncbi.nlm.nih.gov/protein/KAG7222685.1","hypothetical protein INR49_026294, partial")</f>
        <v>hypothetical protein INR49_026294, partial</v>
      </c>
      <c r="J3714">
        <v>6935.89</v>
      </c>
      <c r="K3714" t="s">
        <v>22</v>
      </c>
      <c r="L3714">
        <v>76</v>
      </c>
      <c r="M3714">
        <v>12.58</v>
      </c>
      <c r="N3714">
        <v>68.260000000000005</v>
      </c>
      <c r="O3714" t="s">
        <v>19</v>
      </c>
      <c r="P3714" t="s">
        <v>1320</v>
      </c>
      <c r="Q3714" t="s">
        <v>19</v>
      </c>
      <c r="R3714" t="str">
        <f>HYPERLINK("https://cfpub.epa.gov/ecotox/explore.cfm?ncbi=181461","Explore in ECOTOX")</f>
        <v>Explore in ECOTOX</v>
      </c>
    </row>
    <row r="3715" spans="1:18" x14ac:dyDescent="0.45">
      <c r="A3715" t="s">
        <v>1265</v>
      </c>
      <c r="B3715">
        <v>8</v>
      </c>
      <c r="C3715" t="str">
        <f>HYPERLINK("http://www.ncbi.nlm.nih.gov/protein/XP_010288227.1","XP_010288227.1")</f>
        <v>XP_010288227.1</v>
      </c>
      <c r="D3715">
        <v>28598</v>
      </c>
      <c r="E3715" t="str">
        <f>HYPERLINK("http://www.ncbi.nlm.nih.gov/Taxonomy/Browser/wwwtax.cgi?mode=Info&amp;id=97097&amp;lvl=3&amp;lin=f&amp;keep=1&amp;srchmode=1&amp;unlock","97097")</f>
        <v>97097</v>
      </c>
      <c r="F3715" t="s">
        <v>241</v>
      </c>
      <c r="G3715" t="str">
        <f>HYPERLINK("http://www.ncbi.nlm.nih.gov/Taxonomy/Browser/wwwtax.cgi?mode=Info&amp;id=97097&amp;lvl=3&amp;lin=f&amp;keep=1&amp;srchmode=1&amp;unlock","Phaethon lepturus")</f>
        <v>Phaethon lepturus</v>
      </c>
      <c r="H3715" t="s">
        <v>735</v>
      </c>
      <c r="I3715" t="str">
        <f>HYPERLINK("http://www.ncbi.nlm.nih.gov/protein/XP_010288227.1","PREDICTED: LOW QUALITY PROTEIN: ryanodine receptor 3, partial")</f>
        <v>PREDICTED: LOW QUALITY PROTEIN: ryanodine receptor 3, partial</v>
      </c>
      <c r="J3715">
        <v>6934.35</v>
      </c>
      <c r="K3715" t="s">
        <v>22</v>
      </c>
      <c r="L3715">
        <v>76</v>
      </c>
      <c r="M3715">
        <v>12.58</v>
      </c>
      <c r="N3715">
        <v>68.25</v>
      </c>
      <c r="O3715" t="s">
        <v>19</v>
      </c>
      <c r="P3715" t="s">
        <v>1320</v>
      </c>
      <c r="Q3715" t="s">
        <v>19</v>
      </c>
      <c r="R3715" t="str">
        <f>HYPERLINK("https://cfpub.epa.gov/ecotox/explore.cfm?ncbi=97097","Explore in ECOTOX")</f>
        <v>Explore in ECOTOX</v>
      </c>
    </row>
    <row r="3716" spans="1:18" x14ac:dyDescent="0.45">
      <c r="A3716" t="s">
        <v>1265</v>
      </c>
      <c r="B3716">
        <v>8</v>
      </c>
      <c r="C3716" t="str">
        <f>HYPERLINK("http://www.ncbi.nlm.nih.gov/protein/XP_015264808.1","XP_015264808.1")</f>
        <v>XP_015264808.1</v>
      </c>
      <c r="D3716">
        <v>24685</v>
      </c>
      <c r="E3716" t="str">
        <f>HYPERLINK("http://www.ncbi.nlm.nih.gov/Taxonomy/Browser/wwwtax.cgi?mode=Info&amp;id=146911&amp;lvl=3&amp;lin=f&amp;keep=1&amp;srchmode=1&amp;unlock","146911")</f>
        <v>146911</v>
      </c>
      <c r="F3716" t="s">
        <v>192</v>
      </c>
      <c r="G3716" t="str">
        <f>HYPERLINK("http://www.ncbi.nlm.nih.gov/Taxonomy/Browser/wwwtax.cgi?mode=Info&amp;id=146911&amp;lvl=3&amp;lin=f&amp;keep=1&amp;srchmode=1&amp;unlock","Gekko japonicus")</f>
        <v>Gekko japonicus</v>
      </c>
      <c r="H3716" t="s">
        <v>255</v>
      </c>
      <c r="I3716" t="str">
        <f>HYPERLINK("http://www.ncbi.nlm.nih.gov/protein/XP_015264808.1","PREDICTED: ryanodine receptor 3")</f>
        <v>PREDICTED: ryanodine receptor 3</v>
      </c>
      <c r="J3716">
        <v>6906.23</v>
      </c>
      <c r="K3716" t="s">
        <v>22</v>
      </c>
      <c r="L3716">
        <v>76</v>
      </c>
      <c r="M3716">
        <v>12.58</v>
      </c>
      <c r="N3716">
        <v>67.97</v>
      </c>
      <c r="O3716" t="s">
        <v>19</v>
      </c>
      <c r="P3716" t="s">
        <v>1320</v>
      </c>
      <c r="Q3716" t="s">
        <v>19</v>
      </c>
      <c r="R3716" t="str">
        <f>HYPERLINK("https://cfpub.epa.gov/ecotox/explore.cfm?ncbi=146911","Explore in ECOTOX")</f>
        <v>Explore in ECOTOX</v>
      </c>
    </row>
    <row r="3717" spans="1:18" x14ac:dyDescent="0.45">
      <c r="A3717" t="s">
        <v>1265</v>
      </c>
      <c r="B3717">
        <v>8</v>
      </c>
      <c r="C3717" t="str">
        <f>HYPERLINK("http://www.ncbi.nlm.nih.gov/protein/XP_019823368.1","XP_019823368.1")</f>
        <v>XP_019823368.1</v>
      </c>
      <c r="D3717">
        <v>38094</v>
      </c>
      <c r="E3717" t="str">
        <f>HYPERLINK("http://www.ncbi.nlm.nih.gov/Taxonomy/Browser/wwwtax.cgi?mode=Info&amp;id=9915&amp;lvl=3&amp;lin=f&amp;keep=1&amp;srchmode=1&amp;unlock","9915")</f>
        <v>9915</v>
      </c>
      <c r="F3717" t="s">
        <v>96</v>
      </c>
      <c r="G3717" t="str">
        <f>HYPERLINK("http://www.ncbi.nlm.nih.gov/Taxonomy/Browser/wwwtax.cgi?mode=Info&amp;id=9915&amp;lvl=3&amp;lin=f&amp;keep=1&amp;srchmode=1&amp;unlock","Bos indicus")</f>
        <v>Bos indicus</v>
      </c>
      <c r="H3717" t="s">
        <v>609</v>
      </c>
      <c r="I3717" t="str">
        <f>HYPERLINK("http://www.ncbi.nlm.nih.gov/protein/XP_019823368.1","PREDICTED: ryanodine receptor 3")</f>
        <v>PREDICTED: ryanodine receptor 3</v>
      </c>
      <c r="J3717">
        <v>6873.49</v>
      </c>
      <c r="K3717" t="s">
        <v>22</v>
      </c>
      <c r="L3717">
        <v>76</v>
      </c>
      <c r="M3717">
        <v>12.58</v>
      </c>
      <c r="N3717">
        <v>67.650000000000006</v>
      </c>
      <c r="O3717" t="s">
        <v>19</v>
      </c>
      <c r="P3717" t="s">
        <v>1320</v>
      </c>
      <c r="Q3717" t="s">
        <v>19</v>
      </c>
      <c r="R3717" t="str">
        <f>HYPERLINK("https://cfpub.epa.gov/ecotox/explore.cfm?ncbi=9915","Explore in ECOTOX")</f>
        <v>Explore in ECOTOX</v>
      </c>
    </row>
    <row r="3718" spans="1:18" x14ac:dyDescent="0.45">
      <c r="A3718" t="s">
        <v>1265</v>
      </c>
      <c r="B3718">
        <v>8</v>
      </c>
      <c r="C3718" t="str">
        <f>HYPERLINK("http://www.ncbi.nlm.nih.gov/protein/XP_032449409.1","XP_032449409.1")</f>
        <v>XP_032449409.1</v>
      </c>
      <c r="D3718">
        <v>42175</v>
      </c>
      <c r="E3718" t="str">
        <f>HYPERLINK("http://www.ncbi.nlm.nih.gov/Taxonomy/Browser/wwwtax.cgi?mode=Info&amp;id=61383&amp;lvl=3&amp;lin=f&amp;keep=1&amp;srchmode=1&amp;unlock","61383")</f>
        <v>61383</v>
      </c>
      <c r="F3718" t="s">
        <v>96</v>
      </c>
      <c r="G3718" t="str">
        <f>HYPERLINK("http://www.ncbi.nlm.nih.gov/Taxonomy/Browser/wwwtax.cgi?mode=Info&amp;id=61383&amp;lvl=3&amp;lin=f&amp;keep=1&amp;srchmode=1&amp;unlock","Lynx canadensis")</f>
        <v>Lynx canadensis</v>
      </c>
      <c r="H3718" t="s">
        <v>302</v>
      </c>
      <c r="I3718" t="str">
        <f>HYPERLINK("http://www.ncbi.nlm.nih.gov/protein/XP_032449409.1","LOW QUALITY PROTEIN: ryanodine receptor 3")</f>
        <v>LOW QUALITY PROTEIN: ryanodine receptor 3</v>
      </c>
      <c r="J3718">
        <v>6870.41</v>
      </c>
      <c r="K3718" t="s">
        <v>22</v>
      </c>
      <c r="L3718">
        <v>76</v>
      </c>
      <c r="M3718">
        <v>12.58</v>
      </c>
      <c r="N3718">
        <v>67.62</v>
      </c>
      <c r="O3718" t="s">
        <v>19</v>
      </c>
      <c r="P3718" t="s">
        <v>1320</v>
      </c>
      <c r="Q3718" t="s">
        <v>19</v>
      </c>
      <c r="R3718" t="str">
        <f>HYPERLINK("https://cfpub.epa.gov/ecotox/explore.cfm?ncbi=61383","Explore in ECOTOX")</f>
        <v>Explore in ECOTOX</v>
      </c>
    </row>
    <row r="3719" spans="1:18" x14ac:dyDescent="0.45">
      <c r="A3719" t="s">
        <v>1265</v>
      </c>
      <c r="B3719">
        <v>8</v>
      </c>
      <c r="C3719" t="str">
        <f>HYPERLINK("http://www.ncbi.nlm.nih.gov/protein/XP_020023864.1","XP_020023864.1")</f>
        <v>XP_020023864.1</v>
      </c>
      <c r="D3719">
        <v>37577</v>
      </c>
      <c r="E3719" t="str">
        <f>HYPERLINK("http://www.ncbi.nlm.nih.gov/Taxonomy/Browser/wwwtax.cgi?mode=Info&amp;id=51338&amp;lvl=3&amp;lin=f&amp;keep=1&amp;srchmode=1&amp;unlock","51338")</f>
        <v>51338</v>
      </c>
      <c r="F3719" t="s">
        <v>96</v>
      </c>
      <c r="G3719" t="str">
        <f>HYPERLINK("http://www.ncbi.nlm.nih.gov/Taxonomy/Browser/wwwtax.cgi?mode=Info&amp;id=51338&amp;lvl=3&amp;lin=f&amp;keep=1&amp;srchmode=1&amp;unlock","Castor canadensis")</f>
        <v>Castor canadensis</v>
      </c>
      <c r="H3719" t="s">
        <v>618</v>
      </c>
      <c r="I3719" t="str">
        <f>HYPERLINK("http://www.ncbi.nlm.nih.gov/protein/XP_020023864.1","ryanodine receptor 3, partial")</f>
        <v>ryanodine receptor 3, partial</v>
      </c>
      <c r="J3719">
        <v>6868.48</v>
      </c>
      <c r="K3719" t="s">
        <v>22</v>
      </c>
      <c r="L3719">
        <v>76</v>
      </c>
      <c r="M3719">
        <v>12.58</v>
      </c>
      <c r="N3719">
        <v>67.599999999999994</v>
      </c>
      <c r="O3719" t="s">
        <v>19</v>
      </c>
      <c r="P3719" t="s">
        <v>1320</v>
      </c>
      <c r="Q3719" t="s">
        <v>19</v>
      </c>
      <c r="R3719" t="str">
        <f>HYPERLINK("https://cfpub.epa.gov/ecotox/explore.cfm?ncbi=51338","Explore in ECOTOX")</f>
        <v>Explore in ECOTOX</v>
      </c>
    </row>
    <row r="3720" spans="1:18" x14ac:dyDescent="0.45">
      <c r="A3720" t="s">
        <v>1265</v>
      </c>
      <c r="B3720">
        <v>8</v>
      </c>
      <c r="C3720" t="str">
        <f>HYPERLINK("http://www.ncbi.nlm.nih.gov/protein/XP_009885299.1","XP_009885299.1")</f>
        <v>XP_009885299.1</v>
      </c>
      <c r="D3720">
        <v>30702</v>
      </c>
      <c r="E3720" t="str">
        <f>HYPERLINK("http://www.ncbi.nlm.nih.gov/Taxonomy/Browser/wwwtax.cgi?mode=Info&amp;id=50402&amp;lvl=3&amp;lin=f&amp;keep=1&amp;srchmode=1&amp;unlock","50402")</f>
        <v>50402</v>
      </c>
      <c r="F3720" t="s">
        <v>241</v>
      </c>
      <c r="G3720" t="str">
        <f>HYPERLINK("http://www.ncbi.nlm.nih.gov/Taxonomy/Browser/wwwtax.cgi?mode=Info&amp;id=50402&amp;lvl=3&amp;lin=f&amp;keep=1&amp;srchmode=1&amp;unlock","Charadrius vociferus")</f>
        <v>Charadrius vociferus</v>
      </c>
      <c r="H3720" t="s">
        <v>357</v>
      </c>
      <c r="I3720" t="str">
        <f>HYPERLINK("http://www.ncbi.nlm.nih.gov/protein/XP_009885299.1","PREDICTED: ryanodine receptor 3, partial")</f>
        <v>PREDICTED: ryanodine receptor 3, partial</v>
      </c>
      <c r="J3720">
        <v>6866.94</v>
      </c>
      <c r="K3720" t="s">
        <v>22</v>
      </c>
      <c r="L3720">
        <v>76</v>
      </c>
      <c r="M3720">
        <v>12.58</v>
      </c>
      <c r="N3720">
        <v>67.58</v>
      </c>
      <c r="O3720" t="s">
        <v>19</v>
      </c>
      <c r="P3720" t="s">
        <v>1320</v>
      </c>
      <c r="Q3720" t="s">
        <v>19</v>
      </c>
      <c r="R3720" t="str">
        <f>HYPERLINK("https://cfpub.epa.gov/ecotox/explore.cfm?ncbi=50402","Explore in ECOTOX")</f>
        <v>Explore in ECOTOX</v>
      </c>
    </row>
    <row r="3721" spans="1:18" x14ac:dyDescent="0.45">
      <c r="A3721" t="s">
        <v>1265</v>
      </c>
      <c r="B3721">
        <v>8</v>
      </c>
      <c r="C3721" t="str">
        <f>HYPERLINK("http://www.ncbi.nlm.nih.gov/protein/XP_007988098.2","XP_007988098.2")</f>
        <v>XP_007988098.2</v>
      </c>
      <c r="D3721">
        <v>62309</v>
      </c>
      <c r="E3721" t="str">
        <f>HYPERLINK("http://www.ncbi.nlm.nih.gov/Taxonomy/Browser/wwwtax.cgi?mode=Info&amp;id=60711&amp;lvl=3&amp;lin=f&amp;keep=1&amp;srchmode=1&amp;unlock","60711")</f>
        <v>60711</v>
      </c>
      <c r="F3721" t="s">
        <v>96</v>
      </c>
      <c r="G3721" t="str">
        <f>HYPERLINK("http://www.ncbi.nlm.nih.gov/Taxonomy/Browser/wwwtax.cgi?mode=Info&amp;id=60711&amp;lvl=3&amp;lin=f&amp;keep=1&amp;srchmode=1&amp;unlock","Chlorocebus sabaeus")</f>
        <v>Chlorocebus sabaeus</v>
      </c>
      <c r="H3721" t="s">
        <v>313</v>
      </c>
      <c r="I3721" t="str">
        <f>HYPERLINK("http://www.ncbi.nlm.nih.gov/protein/XP_007988098.2","ryanodine receptor 2 isoform X9")</f>
        <v>ryanodine receptor 2 isoform X9</v>
      </c>
      <c r="J3721">
        <v>6844.6</v>
      </c>
      <c r="K3721" t="s">
        <v>22</v>
      </c>
      <c r="L3721">
        <v>76</v>
      </c>
      <c r="M3721">
        <v>12.58</v>
      </c>
      <c r="N3721">
        <v>67.36</v>
      </c>
      <c r="O3721" t="s">
        <v>19</v>
      </c>
      <c r="P3721" t="s">
        <v>1320</v>
      </c>
      <c r="Q3721" t="s">
        <v>19</v>
      </c>
      <c r="R3721" t="str">
        <f>HYPERLINK("https://cfpub.epa.gov/ecotox/explore.cfm?ncbi=60711","Explore in ECOTOX")</f>
        <v>Explore in ECOTOX</v>
      </c>
    </row>
    <row r="3722" spans="1:18" x14ac:dyDescent="0.45">
      <c r="A3722" t="s">
        <v>1265</v>
      </c>
      <c r="B3722">
        <v>8</v>
      </c>
      <c r="C3722" t="str">
        <f>HYPERLINK("http://www.ncbi.nlm.nih.gov/protein/XP_055394974.1","XP_055394974.1")</f>
        <v>XP_055394974.1</v>
      </c>
      <c r="D3722">
        <v>56900</v>
      </c>
      <c r="E3722" t="str">
        <f>HYPERLINK("http://www.ncbi.nlm.nih.gov/Taxonomy/Browser/wwwtax.cgi?mode=Info&amp;id=346063&amp;lvl=3&amp;lin=f&amp;keep=1&amp;srchmode=1&amp;unlock","346063")</f>
        <v>346063</v>
      </c>
      <c r="F3722" t="s">
        <v>96</v>
      </c>
      <c r="G3722" t="str">
        <f>HYPERLINK("http://www.ncbi.nlm.nih.gov/Taxonomy/Browser/wwwtax.cgi?mode=Info&amp;id=346063&amp;lvl=3&amp;lin=f&amp;keep=1&amp;srchmode=1&amp;unlock","Bubalus carabanensis")</f>
        <v>Bubalus carabanensis</v>
      </c>
      <c r="H3722" t="s">
        <v>402</v>
      </c>
      <c r="I3722" t="str">
        <f>HYPERLINK("http://www.ncbi.nlm.nih.gov/protein/XP_055394974.1","ryanodine receptor 3")</f>
        <v>ryanodine receptor 3</v>
      </c>
      <c r="J3722">
        <v>6843.06</v>
      </c>
      <c r="K3722" t="s">
        <v>22</v>
      </c>
      <c r="L3722">
        <v>76</v>
      </c>
      <c r="M3722">
        <v>12.58</v>
      </c>
      <c r="N3722">
        <v>67.349999999999994</v>
      </c>
      <c r="O3722" t="s">
        <v>19</v>
      </c>
      <c r="P3722" t="s">
        <v>1320</v>
      </c>
      <c r="Q3722" t="s">
        <v>19</v>
      </c>
      <c r="R3722" t="str">
        <f>HYPERLINK("https://cfpub.epa.gov/ecotox/explore.cfm?ncbi=346063","Explore in ECOTOX")</f>
        <v>Explore in ECOTOX</v>
      </c>
    </row>
    <row r="3723" spans="1:18" x14ac:dyDescent="0.45">
      <c r="A3723" t="s">
        <v>1265</v>
      </c>
      <c r="B3723">
        <v>8</v>
      </c>
      <c r="C3723" t="str">
        <f>HYPERLINK("http://www.ncbi.nlm.nih.gov/protein/XP_028625688.1","XP_028625688.1")</f>
        <v>XP_028625688.1</v>
      </c>
      <c r="D3723">
        <v>38291</v>
      </c>
      <c r="E3723" t="str">
        <f>HYPERLINK("http://www.ncbi.nlm.nih.gov/Taxonomy/Browser/wwwtax.cgi?mode=Info&amp;id=491861&amp;lvl=3&amp;lin=f&amp;keep=1&amp;srchmode=1&amp;unlock","491861")</f>
        <v>491861</v>
      </c>
      <c r="F3723" t="s">
        <v>96</v>
      </c>
      <c r="G3723" t="str">
        <f>HYPERLINK("http://www.ncbi.nlm.nih.gov/Taxonomy/Browser/wwwtax.cgi?mode=Info&amp;id=491861&amp;lvl=3&amp;lin=f&amp;keep=1&amp;srchmode=1&amp;unlock","Grammomys surdaster")</f>
        <v>Grammomys surdaster</v>
      </c>
      <c r="H3723" t="s">
        <v>581</v>
      </c>
      <c r="I3723" t="str">
        <f>HYPERLINK("http://www.ncbi.nlm.nih.gov/protein/XP_028625688.1","ryanodine receptor 2")</f>
        <v>ryanodine receptor 2</v>
      </c>
      <c r="J3723">
        <v>6839.97</v>
      </c>
      <c r="K3723" t="s">
        <v>22</v>
      </c>
      <c r="L3723">
        <v>76</v>
      </c>
      <c r="M3723">
        <v>12.58</v>
      </c>
      <c r="N3723">
        <v>67.319999999999993</v>
      </c>
      <c r="O3723" t="s">
        <v>19</v>
      </c>
      <c r="P3723" t="s">
        <v>1320</v>
      </c>
      <c r="Q3723" t="s">
        <v>19</v>
      </c>
      <c r="R3723" t="str">
        <f>HYPERLINK("https://cfpub.epa.gov/ecotox/explore.cfm?ncbi=491861","Explore in ECOTOX")</f>
        <v>Explore in ECOTOX</v>
      </c>
    </row>
    <row r="3724" spans="1:18" x14ac:dyDescent="0.45">
      <c r="A3724" t="s">
        <v>1265</v>
      </c>
      <c r="B3724">
        <v>8</v>
      </c>
      <c r="C3724" t="str">
        <f>HYPERLINK("http://www.ncbi.nlm.nih.gov/protein/XP_007453016.1","XP_007453016.1")</f>
        <v>XP_007453016.1</v>
      </c>
      <c r="D3724">
        <v>26246</v>
      </c>
      <c r="E3724" t="str">
        <f>HYPERLINK("http://www.ncbi.nlm.nih.gov/Taxonomy/Browser/wwwtax.cgi?mode=Info&amp;id=118797&amp;lvl=3&amp;lin=f&amp;keep=1&amp;srchmode=1&amp;unlock","118797")</f>
        <v>118797</v>
      </c>
      <c r="F3724" t="s">
        <v>96</v>
      </c>
      <c r="G3724" t="str">
        <f>HYPERLINK("http://www.ncbi.nlm.nih.gov/Taxonomy/Browser/wwwtax.cgi?mode=Info&amp;id=118797&amp;lvl=3&amp;lin=f&amp;keep=1&amp;srchmode=1&amp;unlock","Lipotes vexillifer")</f>
        <v>Lipotes vexillifer</v>
      </c>
      <c r="H3724" t="s">
        <v>499</v>
      </c>
      <c r="I3724" t="str">
        <f>HYPERLINK("http://www.ncbi.nlm.nih.gov/protein/XP_007453016.1","PREDICTED: ryanodine receptor 2-like")</f>
        <v>PREDICTED: ryanodine receptor 2-like</v>
      </c>
      <c r="J3724">
        <v>6802.23</v>
      </c>
      <c r="K3724" t="s">
        <v>22</v>
      </c>
      <c r="L3724">
        <v>76</v>
      </c>
      <c r="M3724">
        <v>12.58</v>
      </c>
      <c r="N3724">
        <v>66.95</v>
      </c>
      <c r="O3724" t="s">
        <v>19</v>
      </c>
      <c r="P3724" t="s">
        <v>1320</v>
      </c>
      <c r="Q3724" t="s">
        <v>19</v>
      </c>
      <c r="R3724" t="str">
        <f>HYPERLINK("https://cfpub.epa.gov/ecotox/explore.cfm?ncbi=118797","Explore in ECOTOX")</f>
        <v>Explore in ECOTOX</v>
      </c>
    </row>
    <row r="3725" spans="1:18" x14ac:dyDescent="0.45">
      <c r="A3725" t="s">
        <v>1265</v>
      </c>
      <c r="B3725">
        <v>8</v>
      </c>
      <c r="C3725" t="str">
        <f>HYPERLINK("http://www.ncbi.nlm.nih.gov/protein/KAK1170997.1","KAK1170997.1")</f>
        <v>KAK1170997.1</v>
      </c>
      <c r="D3725">
        <v>28028</v>
      </c>
      <c r="E3725" t="str">
        <f>HYPERLINK("http://www.ncbi.nlm.nih.gov/Taxonomy/Browser/wwwtax.cgi?mode=Info&amp;id=40147&amp;lvl=3&amp;lin=f&amp;keep=1&amp;srchmode=1&amp;unlock","40147")</f>
        <v>40147</v>
      </c>
      <c r="F3725" t="s">
        <v>17</v>
      </c>
      <c r="G3725" t="str">
        <f>HYPERLINK("http://www.ncbi.nlm.nih.gov/Taxonomy/Browser/wwwtax.cgi?mode=Info&amp;id=40147&amp;lvl=3&amp;lin=f&amp;keep=1&amp;srchmode=1&amp;unlock","Acipenser oxyrinchus oxyrinchus")</f>
        <v>Acipenser oxyrinchus oxyrinchus</v>
      </c>
      <c r="H3725" t="s">
        <v>599</v>
      </c>
      <c r="I3725" t="str">
        <f>HYPERLINK("http://www.ncbi.nlm.nih.gov/protein/KAK1170997.1","ryanodine receptor 2")</f>
        <v>ryanodine receptor 2</v>
      </c>
      <c r="J3725">
        <v>6794.14</v>
      </c>
      <c r="K3725" t="s">
        <v>22</v>
      </c>
      <c r="L3725">
        <v>76</v>
      </c>
      <c r="M3725">
        <v>12.58</v>
      </c>
      <c r="N3725">
        <v>66.87</v>
      </c>
      <c r="O3725" t="s">
        <v>19</v>
      </c>
      <c r="P3725" t="s">
        <v>1320</v>
      </c>
      <c r="Q3725" t="s">
        <v>19</v>
      </c>
      <c r="R3725" t="str">
        <f>HYPERLINK("https://cfpub.epa.gov/ecotox/explore.cfm?ncbi=40147","Explore in ECOTOX")</f>
        <v>Explore in ECOTOX</v>
      </c>
    </row>
    <row r="3726" spans="1:18" x14ac:dyDescent="0.45">
      <c r="A3726" t="s">
        <v>1265</v>
      </c>
      <c r="B3726">
        <v>8</v>
      </c>
      <c r="C3726" t="str">
        <f>HYPERLINK("http://www.ncbi.nlm.nih.gov/protein/XP_048457307.1","XP_048457307.1")</f>
        <v>XP_048457307.1</v>
      </c>
      <c r="D3726">
        <v>36927</v>
      </c>
      <c r="E3726" t="str">
        <f>HYPERLINK("http://www.ncbi.nlm.nih.gov/Taxonomy/Browser/wwwtax.cgi?mode=Info&amp;id=259920&amp;lvl=3&amp;lin=f&amp;keep=1&amp;srchmode=1&amp;unlock","259920")</f>
        <v>259920</v>
      </c>
      <c r="F3726" t="s">
        <v>195</v>
      </c>
      <c r="G3726" t="str">
        <f>HYPERLINK("http://www.ncbi.nlm.nih.gov/Taxonomy/Browser/wwwtax.cgi?mode=Info&amp;id=259920&amp;lvl=3&amp;lin=f&amp;keep=1&amp;srchmode=1&amp;unlock","Rhincodon typus")</f>
        <v>Rhincodon typus</v>
      </c>
      <c r="H3726" t="s">
        <v>228</v>
      </c>
      <c r="I3726" t="str">
        <f>HYPERLINK("http://www.ncbi.nlm.nih.gov/protein/XP_048457307.1","ryanodine receptor 2")</f>
        <v>ryanodine receptor 2</v>
      </c>
      <c r="J3726">
        <v>6787.97</v>
      </c>
      <c r="K3726" t="s">
        <v>22</v>
      </c>
      <c r="L3726">
        <v>76</v>
      </c>
      <c r="M3726">
        <v>12.58</v>
      </c>
      <c r="N3726">
        <v>66.81</v>
      </c>
      <c r="O3726" t="s">
        <v>19</v>
      </c>
      <c r="P3726" t="s">
        <v>1320</v>
      </c>
      <c r="Q3726" t="s">
        <v>19</v>
      </c>
      <c r="R3726" t="str">
        <f>HYPERLINK("https://cfpub.epa.gov/ecotox/explore.cfm?ncbi=259920","Explore in ECOTOX")</f>
        <v>Explore in ECOTOX</v>
      </c>
    </row>
    <row r="3727" spans="1:18" x14ac:dyDescent="0.45">
      <c r="A3727" t="s">
        <v>1265</v>
      </c>
      <c r="B3727">
        <v>8</v>
      </c>
      <c r="C3727" t="str">
        <f>HYPERLINK("http://www.ncbi.nlm.nih.gov/protein/NXD79781.1","NXD79781.1")</f>
        <v>NXD79781.1</v>
      </c>
      <c r="D3727">
        <v>14332</v>
      </c>
      <c r="E3727" t="str">
        <f>HYPERLINK("http://www.ncbi.nlm.nih.gov/Taxonomy/Browser/wwwtax.cgi?mode=Info&amp;id=342381&amp;lvl=3&amp;lin=f&amp;keep=1&amp;srchmode=1&amp;unlock","342381")</f>
        <v>342381</v>
      </c>
      <c r="F3727" t="s">
        <v>241</v>
      </c>
      <c r="G3727" t="str">
        <f>HYPERLINK("http://www.ncbi.nlm.nih.gov/Taxonomy/Browser/wwwtax.cgi?mode=Info&amp;id=342381&amp;lvl=3&amp;lin=f&amp;keep=1&amp;srchmode=1&amp;unlock","Halcyon senegalensis")</f>
        <v>Halcyon senegalensis</v>
      </c>
      <c r="H3727" t="s">
        <v>385</v>
      </c>
      <c r="I3727" t="str">
        <f>HYPERLINK("http://www.ncbi.nlm.nih.gov/protein/NXD79781.1","RYR2 protein")</f>
        <v>RYR2 protein</v>
      </c>
      <c r="J3727">
        <v>6787.97</v>
      </c>
      <c r="K3727" t="s">
        <v>22</v>
      </c>
      <c r="L3727">
        <v>76</v>
      </c>
      <c r="M3727">
        <v>12.58</v>
      </c>
      <c r="N3727">
        <v>66.81</v>
      </c>
      <c r="O3727" t="s">
        <v>19</v>
      </c>
      <c r="P3727" t="s">
        <v>1320</v>
      </c>
      <c r="Q3727" t="s">
        <v>19</v>
      </c>
      <c r="R3727" t="str">
        <f>HYPERLINK("https://cfpub.epa.gov/ecotox/explore.cfm?ncbi=342381","Explore in ECOTOX")</f>
        <v>Explore in ECOTOX</v>
      </c>
    </row>
    <row r="3728" spans="1:18" x14ac:dyDescent="0.45">
      <c r="A3728" t="s">
        <v>1265</v>
      </c>
      <c r="B3728">
        <v>8</v>
      </c>
      <c r="C3728" t="str">
        <f>HYPERLINK("http://www.ncbi.nlm.nih.gov/protein/XP_044530920.1","XP_044530920.1")</f>
        <v>XP_044530920.1</v>
      </c>
      <c r="D3728">
        <v>29091</v>
      </c>
      <c r="E3728" t="str">
        <f>HYPERLINK("http://www.ncbi.nlm.nih.gov/Taxonomy/Browser/wwwtax.cgi?mode=Info&amp;id=191870&amp;lvl=3&amp;lin=f&amp;keep=1&amp;srchmode=1&amp;unlock","191870")</f>
        <v>191870</v>
      </c>
      <c r="F3728" t="s">
        <v>96</v>
      </c>
      <c r="G3728" t="str">
        <f>HYPERLINK("http://www.ncbi.nlm.nih.gov/Taxonomy/Browser/wwwtax.cgi?mode=Info&amp;id=191870&amp;lvl=3&amp;lin=f&amp;keep=1&amp;srchmode=1&amp;unlock","Gracilinanus agilis")</f>
        <v>Gracilinanus agilis</v>
      </c>
      <c r="H3728" t="s">
        <v>230</v>
      </c>
      <c r="I3728" t="str">
        <f>HYPERLINK("http://www.ncbi.nlm.nih.gov/protein/XP_044530920.1","ryanodine receptor 2")</f>
        <v>ryanodine receptor 2</v>
      </c>
      <c r="J3728">
        <v>6784.51</v>
      </c>
      <c r="K3728" t="s">
        <v>22</v>
      </c>
      <c r="L3728">
        <v>76</v>
      </c>
      <c r="M3728">
        <v>12.58</v>
      </c>
      <c r="N3728">
        <v>66.77</v>
      </c>
      <c r="O3728" t="s">
        <v>19</v>
      </c>
      <c r="P3728" t="s">
        <v>1320</v>
      </c>
      <c r="Q3728" t="s">
        <v>19</v>
      </c>
      <c r="R3728" t="str">
        <f>HYPERLINK("https://cfpub.epa.gov/ecotox/explore.cfm?ncbi=191870","Explore in ECOTOX")</f>
        <v>Explore in ECOTOX</v>
      </c>
    </row>
    <row r="3729" spans="1:18" x14ac:dyDescent="0.45">
      <c r="A3729" t="s">
        <v>1265</v>
      </c>
      <c r="B3729">
        <v>8</v>
      </c>
      <c r="C3729" t="str">
        <f>HYPERLINK("http://www.ncbi.nlm.nih.gov/protein/TEA41933.1","TEA41933.1")</f>
        <v>TEA41933.1</v>
      </c>
      <c r="D3729">
        <v>19929</v>
      </c>
      <c r="E3729" t="str">
        <f>HYPERLINK("http://www.ncbi.nlm.nih.gov/Taxonomy/Browser/wwwtax.cgi?mode=Info&amp;id=103600&amp;lvl=3&amp;lin=f&amp;keep=1&amp;srchmode=1&amp;unlock","103600")</f>
        <v>103600</v>
      </c>
      <c r="F3729" t="s">
        <v>96</v>
      </c>
      <c r="G3729" t="str">
        <f>HYPERLINK("http://www.ncbi.nlm.nih.gov/Taxonomy/Browser/wwwtax.cgi?mode=Info&amp;id=103600&amp;lvl=3&amp;lin=f&amp;keep=1&amp;srchmode=1&amp;unlock","Sousa chinensis")</f>
        <v>Sousa chinensis</v>
      </c>
      <c r="H3729" t="s">
        <v>417</v>
      </c>
      <c r="I3729" t="str">
        <f>HYPERLINK("http://www.ncbi.nlm.nih.gov/protein/TEA41933.1","hypothetical protein DBR06_SOUSAS26810026, partial")</f>
        <v>hypothetical protein DBR06_SOUSAS26810026, partial</v>
      </c>
      <c r="J3729">
        <v>6772.56</v>
      </c>
      <c r="K3729" t="s">
        <v>22</v>
      </c>
      <c r="L3729">
        <v>76</v>
      </c>
      <c r="M3729">
        <v>12.58</v>
      </c>
      <c r="N3729">
        <v>66.650000000000006</v>
      </c>
      <c r="O3729" t="s">
        <v>19</v>
      </c>
      <c r="P3729" t="s">
        <v>1320</v>
      </c>
      <c r="Q3729" t="s">
        <v>19</v>
      </c>
      <c r="R3729" t="str">
        <f>HYPERLINK("https://cfpub.epa.gov/ecotox/explore.cfm?ncbi=103600","Explore in ECOTOX")</f>
        <v>Explore in ECOTOX</v>
      </c>
    </row>
    <row r="3730" spans="1:18" x14ac:dyDescent="0.45">
      <c r="A3730" t="s">
        <v>1265</v>
      </c>
      <c r="B3730">
        <v>8</v>
      </c>
      <c r="C3730" t="str">
        <f>HYPERLINK("http://www.ncbi.nlm.nih.gov/protein/NXI83404.1","NXI83404.1")</f>
        <v>NXI83404.1</v>
      </c>
      <c r="D3730">
        <v>14200</v>
      </c>
      <c r="E3730" t="str">
        <f>HYPERLINK("http://www.ncbi.nlm.nih.gov/Taxonomy/Browser/wwwtax.cgi?mode=Info&amp;id=667186&amp;lvl=3&amp;lin=f&amp;keep=1&amp;srchmode=1&amp;unlock","667186")</f>
        <v>667186</v>
      </c>
      <c r="F3730" t="s">
        <v>241</v>
      </c>
      <c r="G3730" t="str">
        <f>HYPERLINK("http://www.ncbi.nlm.nih.gov/Taxonomy/Browser/wwwtax.cgi?mode=Info&amp;id=667186&amp;lvl=3&amp;lin=f&amp;keep=1&amp;srchmode=1&amp;unlock","Rhipidura dahli")</f>
        <v>Rhipidura dahli</v>
      </c>
      <c r="H3730" t="s">
        <v>435</v>
      </c>
      <c r="I3730" t="str">
        <f>HYPERLINK("http://www.ncbi.nlm.nih.gov/protein/NXI83404.1","RYR2 protein")</f>
        <v>RYR2 protein</v>
      </c>
      <c r="J3730">
        <v>6771.02</v>
      </c>
      <c r="K3730" t="s">
        <v>22</v>
      </c>
      <c r="L3730">
        <v>76</v>
      </c>
      <c r="M3730">
        <v>12.58</v>
      </c>
      <c r="N3730">
        <v>66.64</v>
      </c>
      <c r="O3730" t="s">
        <v>19</v>
      </c>
      <c r="P3730" t="s">
        <v>1320</v>
      </c>
      <c r="Q3730" t="s">
        <v>19</v>
      </c>
      <c r="R3730" t="str">
        <f>HYPERLINK("https://cfpub.epa.gov/ecotox/explore.cfm?ncbi=667186","Explore in ECOTOX")</f>
        <v>Explore in ECOTOX</v>
      </c>
    </row>
    <row r="3731" spans="1:18" x14ac:dyDescent="0.45">
      <c r="A3731" t="s">
        <v>1265</v>
      </c>
      <c r="B3731">
        <v>8</v>
      </c>
      <c r="C3731" t="str">
        <f>HYPERLINK("http://www.ncbi.nlm.nih.gov/protein/NWW48238.1","NWW48238.1")</f>
        <v>NWW48238.1</v>
      </c>
      <c r="D3731">
        <v>13358</v>
      </c>
      <c r="E3731" t="str">
        <f>HYPERLINK("http://www.ncbi.nlm.nih.gov/Taxonomy/Browser/wwwtax.cgi?mode=Info&amp;id=227192&amp;lvl=3&amp;lin=f&amp;keep=1&amp;srchmode=1&amp;unlock","227192")</f>
        <v>227192</v>
      </c>
      <c r="F3731" t="s">
        <v>241</v>
      </c>
      <c r="G3731" t="str">
        <f>HYPERLINK("http://www.ncbi.nlm.nih.gov/Taxonomy/Browser/wwwtax.cgi?mode=Info&amp;id=227192&amp;lvl=3&amp;lin=f&amp;keep=1&amp;srchmode=1&amp;unlock","Pedionomus torquatus")</f>
        <v>Pedionomus torquatus</v>
      </c>
      <c r="H3731" t="s">
        <v>441</v>
      </c>
      <c r="I3731" t="str">
        <f>HYPERLINK("http://www.ncbi.nlm.nih.gov/protein/NWW48238.1","RYR2 protein")</f>
        <v>RYR2 protein</v>
      </c>
      <c r="J3731">
        <v>6769.48</v>
      </c>
      <c r="K3731" t="s">
        <v>22</v>
      </c>
      <c r="L3731">
        <v>76</v>
      </c>
      <c r="M3731">
        <v>12.58</v>
      </c>
      <c r="N3731">
        <v>66.62</v>
      </c>
      <c r="O3731" t="s">
        <v>19</v>
      </c>
      <c r="P3731" t="s">
        <v>1320</v>
      </c>
      <c r="Q3731" t="s">
        <v>19</v>
      </c>
      <c r="R3731" t="str">
        <f>HYPERLINK("https://cfpub.epa.gov/ecotox/explore.cfm?ncbi=227192","Explore in ECOTOX")</f>
        <v>Explore in ECOTOX</v>
      </c>
    </row>
    <row r="3732" spans="1:18" x14ac:dyDescent="0.45">
      <c r="A3732" t="s">
        <v>1265</v>
      </c>
      <c r="B3732">
        <v>8</v>
      </c>
      <c r="C3732" t="str">
        <f>HYPERLINK("http://www.ncbi.nlm.nih.gov/protein/NXN19720.1","NXN19720.1")</f>
        <v>NXN19720.1</v>
      </c>
      <c r="D3732">
        <v>14028</v>
      </c>
      <c r="E3732" t="str">
        <f>HYPERLINK("http://www.ncbi.nlm.nih.gov/Taxonomy/Browser/wwwtax.cgi?mode=Info&amp;id=545262&amp;lvl=3&amp;lin=f&amp;keep=1&amp;srchmode=1&amp;unlock","545262")</f>
        <v>545262</v>
      </c>
      <c r="F3732" t="s">
        <v>241</v>
      </c>
      <c r="G3732" t="str">
        <f>HYPERLINK("http://www.ncbi.nlm.nih.gov/Taxonomy/Browser/wwwtax.cgi?mode=Info&amp;id=545262&amp;lvl=3&amp;lin=f&amp;keep=1&amp;srchmode=1&amp;unlock","Indicator maculatus")</f>
        <v>Indicator maculatus</v>
      </c>
      <c r="H3732" t="s">
        <v>414</v>
      </c>
      <c r="I3732" t="str">
        <f>HYPERLINK("http://www.ncbi.nlm.nih.gov/protein/NXN19720.1","RYR2 protein")</f>
        <v>RYR2 protein</v>
      </c>
      <c r="J3732">
        <v>6767.56</v>
      </c>
      <c r="K3732" t="s">
        <v>22</v>
      </c>
      <c r="L3732">
        <v>76</v>
      </c>
      <c r="M3732">
        <v>12.58</v>
      </c>
      <c r="N3732">
        <v>66.599999999999994</v>
      </c>
      <c r="O3732" t="s">
        <v>19</v>
      </c>
      <c r="P3732" t="s">
        <v>1320</v>
      </c>
      <c r="Q3732" t="s">
        <v>19</v>
      </c>
      <c r="R3732" t="str">
        <f>HYPERLINK("https://cfpub.epa.gov/ecotox/explore.cfm?ncbi=545262","Explore in ECOTOX")</f>
        <v>Explore in ECOTOX</v>
      </c>
    </row>
    <row r="3733" spans="1:18" x14ac:dyDescent="0.45">
      <c r="A3733" t="s">
        <v>1265</v>
      </c>
      <c r="B3733">
        <v>8</v>
      </c>
      <c r="C3733" t="str">
        <f>HYPERLINK("http://www.ncbi.nlm.nih.gov/protein/NXM69186.1","NXM69186.1")</f>
        <v>NXM69186.1</v>
      </c>
      <c r="D3733">
        <v>14138</v>
      </c>
      <c r="E3733" t="str">
        <f>HYPERLINK("http://www.ncbi.nlm.nih.gov/Taxonomy/Browser/wwwtax.cgi?mode=Info&amp;id=239386&amp;lvl=3&amp;lin=f&amp;keep=1&amp;srchmode=1&amp;unlock","239386")</f>
        <v>239386</v>
      </c>
      <c r="F3733" t="s">
        <v>241</v>
      </c>
      <c r="G3733" t="str">
        <f>HYPERLINK("http://www.ncbi.nlm.nih.gov/Taxonomy/Browser/wwwtax.cgi?mode=Info&amp;id=239386&amp;lvl=3&amp;lin=f&amp;keep=1&amp;srchmode=1&amp;unlock","Serilophus lunatus")</f>
        <v>Serilophus lunatus</v>
      </c>
      <c r="H3733" t="s">
        <v>612</v>
      </c>
      <c r="I3733" t="str">
        <f>HYPERLINK("http://www.ncbi.nlm.nih.gov/protein/NXM69186.1","RYR2 protein")</f>
        <v>RYR2 protein</v>
      </c>
      <c r="J3733">
        <v>6765.25</v>
      </c>
      <c r="K3733" t="s">
        <v>22</v>
      </c>
      <c r="L3733">
        <v>76</v>
      </c>
      <c r="M3733">
        <v>12.58</v>
      </c>
      <c r="N3733">
        <v>66.58</v>
      </c>
      <c r="O3733" t="s">
        <v>19</v>
      </c>
      <c r="P3733" t="s">
        <v>1320</v>
      </c>
      <c r="Q3733" t="s">
        <v>19</v>
      </c>
      <c r="R3733" t="str">
        <f>HYPERLINK("https://cfpub.epa.gov/ecotox/explore.cfm?ncbi=239386","Explore in ECOTOX")</f>
        <v>Explore in ECOTOX</v>
      </c>
    </row>
    <row r="3734" spans="1:18" x14ac:dyDescent="0.45">
      <c r="A3734" t="s">
        <v>1265</v>
      </c>
      <c r="B3734">
        <v>8</v>
      </c>
      <c r="C3734" t="str">
        <f>HYPERLINK("http://www.ncbi.nlm.nih.gov/protein/NWZ19209.1","NWZ19209.1")</f>
        <v>NWZ19209.1</v>
      </c>
      <c r="D3734">
        <v>14752</v>
      </c>
      <c r="E3734" t="str">
        <f>HYPERLINK("http://www.ncbi.nlm.nih.gov/Taxonomy/Browser/wwwtax.cgi?mode=Info&amp;id=75869&amp;lvl=3&amp;lin=f&amp;keep=1&amp;srchmode=1&amp;unlock","75869")</f>
        <v>75869</v>
      </c>
      <c r="F3734" t="s">
        <v>241</v>
      </c>
      <c r="G3734" t="str">
        <f>HYPERLINK("http://www.ncbi.nlm.nih.gov/Taxonomy/Browser/wwwtax.cgi?mode=Info&amp;id=75869&amp;lvl=3&amp;lin=f&amp;keep=1&amp;srchmode=1&amp;unlock","Asarcornis scutulata")</f>
        <v>Asarcornis scutulata</v>
      </c>
      <c r="H3734" t="s">
        <v>627</v>
      </c>
      <c r="I3734" t="str">
        <f>HYPERLINK("http://www.ncbi.nlm.nih.gov/protein/NWZ19209.1","RYR2 protein")</f>
        <v>RYR2 protein</v>
      </c>
      <c r="J3734">
        <v>6764.86</v>
      </c>
      <c r="K3734" t="s">
        <v>22</v>
      </c>
      <c r="L3734">
        <v>76</v>
      </c>
      <c r="M3734">
        <v>12.58</v>
      </c>
      <c r="N3734">
        <v>66.58</v>
      </c>
      <c r="O3734" t="s">
        <v>19</v>
      </c>
      <c r="P3734" t="s">
        <v>1320</v>
      </c>
      <c r="Q3734" t="s">
        <v>19</v>
      </c>
      <c r="R3734" t="str">
        <f>HYPERLINK("https://cfpub.epa.gov/ecotox/explore.cfm?ncbi=75869","Explore in ECOTOX")</f>
        <v>Explore in ECOTOX</v>
      </c>
    </row>
    <row r="3735" spans="1:18" x14ac:dyDescent="0.45">
      <c r="A3735" t="s">
        <v>1265</v>
      </c>
      <c r="B3735">
        <v>8</v>
      </c>
      <c r="C3735" t="str">
        <f>HYPERLINK("http://www.ncbi.nlm.nih.gov/protein/NWR08262.1","NWR08262.1")</f>
        <v>NWR08262.1</v>
      </c>
      <c r="D3735">
        <v>14785</v>
      </c>
      <c r="E3735" t="str">
        <f>HYPERLINK("http://www.ncbi.nlm.nih.gov/Taxonomy/Browser/wwwtax.cgi?mode=Info&amp;id=337173&amp;lvl=3&amp;lin=f&amp;keep=1&amp;srchmode=1&amp;unlock","337173")</f>
        <v>337173</v>
      </c>
      <c r="F3735" t="s">
        <v>241</v>
      </c>
      <c r="G3735" t="str">
        <f>HYPERLINK("http://www.ncbi.nlm.nih.gov/Taxonomy/Browser/wwwtax.cgi?mode=Info&amp;id=337173&amp;lvl=3&amp;lin=f&amp;keep=1&amp;srchmode=1&amp;unlock","Sinosuthora webbiana")</f>
        <v>Sinosuthora webbiana</v>
      </c>
      <c r="H3735" t="s">
        <v>645</v>
      </c>
      <c r="I3735" t="str">
        <f>HYPERLINK("http://www.ncbi.nlm.nih.gov/protein/NWR08262.1","RYR2 protein")</f>
        <v>RYR2 protein</v>
      </c>
      <c r="J3735">
        <v>6763.71</v>
      </c>
      <c r="K3735" t="s">
        <v>22</v>
      </c>
      <c r="L3735">
        <v>76</v>
      </c>
      <c r="M3735">
        <v>12.58</v>
      </c>
      <c r="N3735">
        <v>66.569999999999993</v>
      </c>
      <c r="O3735" t="s">
        <v>19</v>
      </c>
      <c r="P3735" t="s">
        <v>1320</v>
      </c>
      <c r="Q3735" t="s">
        <v>19</v>
      </c>
      <c r="R3735" t="str">
        <f>HYPERLINK("https://cfpub.epa.gov/ecotox/explore.cfm?ncbi=337173","Explore in ECOTOX")</f>
        <v>Explore in ECOTOX</v>
      </c>
    </row>
    <row r="3736" spans="1:18" x14ac:dyDescent="0.45">
      <c r="A3736" t="s">
        <v>1265</v>
      </c>
      <c r="B3736">
        <v>8</v>
      </c>
      <c r="C3736" t="str">
        <f>HYPERLINK("http://www.ncbi.nlm.nih.gov/protein/NXJ38731.1","NXJ38731.1")</f>
        <v>NXJ38731.1</v>
      </c>
      <c r="D3736">
        <v>13317</v>
      </c>
      <c r="E3736" t="str">
        <f>HYPERLINK("http://www.ncbi.nlm.nih.gov/Taxonomy/Browser/wwwtax.cgi?mode=Info&amp;id=52777&amp;lvl=3&amp;lin=f&amp;keep=1&amp;srchmode=1&amp;unlock","52777")</f>
        <v>52777</v>
      </c>
      <c r="F3736" t="s">
        <v>241</v>
      </c>
      <c r="G3736" t="str">
        <f>HYPERLINK("http://www.ncbi.nlm.nih.gov/Taxonomy/Browser/wwwtax.cgi?mode=Info&amp;id=52777&amp;lvl=3&amp;lin=f&amp;keep=1&amp;srchmode=1&amp;unlock","Ciconia maguari")</f>
        <v>Ciconia maguari</v>
      </c>
      <c r="H3736" t="s">
        <v>427</v>
      </c>
      <c r="I3736" t="str">
        <f>HYPERLINK("http://www.ncbi.nlm.nih.gov/protein/NXJ38731.1","RYR2 protein")</f>
        <v>RYR2 protein</v>
      </c>
      <c r="J3736">
        <v>6763.32</v>
      </c>
      <c r="K3736" t="s">
        <v>22</v>
      </c>
      <c r="L3736">
        <v>76</v>
      </c>
      <c r="M3736">
        <v>12.58</v>
      </c>
      <c r="N3736">
        <v>66.56</v>
      </c>
      <c r="O3736" t="s">
        <v>19</v>
      </c>
      <c r="P3736" t="s">
        <v>1320</v>
      </c>
      <c r="Q3736" t="s">
        <v>19</v>
      </c>
      <c r="R3736" t="str">
        <f>HYPERLINK("https://cfpub.epa.gov/ecotox/explore.cfm?ncbi=52777","Explore in ECOTOX")</f>
        <v>Explore in ECOTOX</v>
      </c>
    </row>
    <row r="3737" spans="1:18" x14ac:dyDescent="0.45">
      <c r="A3737" t="s">
        <v>1265</v>
      </c>
      <c r="B3737">
        <v>8</v>
      </c>
      <c r="C3737" t="str">
        <f>HYPERLINK("http://www.ncbi.nlm.nih.gov/protein/XP_028903046.1","XP_028903046.1")</f>
        <v>XP_028903046.1</v>
      </c>
      <c r="D3737">
        <v>39382</v>
      </c>
      <c r="E3737" t="str">
        <f>HYPERLINK("http://www.ncbi.nlm.nih.gov/Taxonomy/Browser/wwwtax.cgi?mode=Info&amp;id=9258&amp;lvl=3&amp;lin=f&amp;keep=1&amp;srchmode=1&amp;unlock","9258")</f>
        <v>9258</v>
      </c>
      <c r="F3737" t="s">
        <v>96</v>
      </c>
      <c r="G3737" t="str">
        <f>HYPERLINK("http://www.ncbi.nlm.nih.gov/Taxonomy/Browser/wwwtax.cgi?mode=Info&amp;id=9258&amp;lvl=3&amp;lin=f&amp;keep=1&amp;srchmode=1&amp;unlock","Ornithorhynchus anatinus")</f>
        <v>Ornithorhynchus anatinus</v>
      </c>
      <c r="H3737" t="s">
        <v>436</v>
      </c>
      <c r="I3737" t="str">
        <f>HYPERLINK("http://www.ncbi.nlm.nih.gov/protein/XP_028903046.1","LOW QUALITY PROTEIN: ryanodine receptor 2")</f>
        <v>LOW QUALITY PROTEIN: ryanodine receptor 2</v>
      </c>
      <c r="J3737">
        <v>6761.01</v>
      </c>
      <c r="K3737" t="s">
        <v>22</v>
      </c>
      <c r="L3737">
        <v>76</v>
      </c>
      <c r="M3737">
        <v>12.58</v>
      </c>
      <c r="N3737">
        <v>66.540000000000006</v>
      </c>
      <c r="O3737" t="s">
        <v>19</v>
      </c>
      <c r="P3737" t="s">
        <v>1320</v>
      </c>
      <c r="Q3737" t="s">
        <v>19</v>
      </c>
      <c r="R3737" t="str">
        <f>HYPERLINK("https://cfpub.epa.gov/ecotox/explore.cfm?ncbi=9258","Explore in ECOTOX")</f>
        <v>Explore in ECOTOX</v>
      </c>
    </row>
    <row r="3738" spans="1:18" x14ac:dyDescent="0.45">
      <c r="A3738" t="s">
        <v>1265</v>
      </c>
      <c r="B3738">
        <v>8</v>
      </c>
      <c r="C3738" t="str">
        <f>HYPERLINK("http://www.ncbi.nlm.nih.gov/protein/NWW81506.1","NWW81506.1")</f>
        <v>NWW81506.1</v>
      </c>
      <c r="D3738">
        <v>14135</v>
      </c>
      <c r="E3738" t="str">
        <f>HYPERLINK("http://www.ncbi.nlm.nih.gov/Taxonomy/Browser/wwwtax.cgi?mode=Info&amp;id=47695&amp;lvl=3&amp;lin=f&amp;keep=1&amp;srchmode=1&amp;unlock","47695")</f>
        <v>47695</v>
      </c>
      <c r="F3738" t="s">
        <v>241</v>
      </c>
      <c r="G3738" t="str">
        <f>HYPERLINK("http://www.ncbi.nlm.nih.gov/Taxonomy/Browser/wwwtax.cgi?mode=Info&amp;id=47695&amp;lvl=3&amp;lin=f&amp;keep=1&amp;srchmode=1&amp;unlock","Climacteris rufus")</f>
        <v>Climacteris rufus</v>
      </c>
      <c r="H3738" t="s">
        <v>430</v>
      </c>
      <c r="I3738" t="str">
        <f>HYPERLINK("http://www.ncbi.nlm.nih.gov/protein/NWW81506.1","RYR2 protein")</f>
        <v>RYR2 protein</v>
      </c>
      <c r="J3738">
        <v>6759.85</v>
      </c>
      <c r="K3738" t="s">
        <v>22</v>
      </c>
      <c r="L3738">
        <v>76</v>
      </c>
      <c r="M3738">
        <v>12.58</v>
      </c>
      <c r="N3738">
        <v>66.53</v>
      </c>
      <c r="O3738" t="s">
        <v>19</v>
      </c>
      <c r="P3738" t="s">
        <v>1320</v>
      </c>
      <c r="Q3738" t="s">
        <v>19</v>
      </c>
      <c r="R3738" t="str">
        <f>HYPERLINK("https://cfpub.epa.gov/ecotox/explore.cfm?ncbi=47695","Explore in ECOTOX")</f>
        <v>Explore in ECOTOX</v>
      </c>
    </row>
    <row r="3739" spans="1:18" x14ac:dyDescent="0.45">
      <c r="A3739" t="s">
        <v>1265</v>
      </c>
      <c r="B3739">
        <v>8</v>
      </c>
      <c r="C3739" t="str">
        <f>HYPERLINK("http://www.ncbi.nlm.nih.gov/protein/NXV47062.1","NXV47062.1")</f>
        <v>NXV47062.1</v>
      </c>
      <c r="D3739">
        <v>14270</v>
      </c>
      <c r="E3739" t="str">
        <f>HYPERLINK("http://www.ncbi.nlm.nih.gov/Taxonomy/Browser/wwwtax.cgi?mode=Info&amp;id=13746&amp;lvl=3&amp;lin=f&amp;keep=1&amp;srchmode=1&amp;unlock","13746")</f>
        <v>13746</v>
      </c>
      <c r="F3739" t="s">
        <v>241</v>
      </c>
      <c r="G3739" t="str">
        <f>HYPERLINK("http://www.ncbi.nlm.nih.gov/Taxonomy/Browser/wwwtax.cgi?mode=Info&amp;id=13746&amp;lvl=3&amp;lin=f&amp;keep=1&amp;srchmode=1&amp;unlock","Uria aalge")</f>
        <v>Uria aalge</v>
      </c>
      <c r="H3739" t="s">
        <v>429</v>
      </c>
      <c r="I3739" t="str">
        <f>HYPERLINK("http://www.ncbi.nlm.nih.gov/protein/NXV47062.1","RYR2 protein")</f>
        <v>RYR2 protein</v>
      </c>
      <c r="J3739">
        <v>6759.08</v>
      </c>
      <c r="K3739" t="s">
        <v>22</v>
      </c>
      <c r="L3739">
        <v>76</v>
      </c>
      <c r="M3739">
        <v>12.58</v>
      </c>
      <c r="N3739">
        <v>66.52</v>
      </c>
      <c r="O3739" t="s">
        <v>19</v>
      </c>
      <c r="P3739" t="s">
        <v>1320</v>
      </c>
      <c r="Q3739" t="s">
        <v>19</v>
      </c>
      <c r="R3739" t="str">
        <f>HYPERLINK("https://cfpub.epa.gov/ecotox/explore.cfm?ncbi=13746","Explore in ECOTOX")</f>
        <v>Explore in ECOTOX</v>
      </c>
    </row>
    <row r="3740" spans="1:18" x14ac:dyDescent="0.45">
      <c r="A3740" t="s">
        <v>1265</v>
      </c>
      <c r="B3740">
        <v>8</v>
      </c>
      <c r="C3740" t="str">
        <f>HYPERLINK("http://www.ncbi.nlm.nih.gov/protein/NXE89586.1","NXE89586.1")</f>
        <v>NXE89586.1</v>
      </c>
      <c r="D3740">
        <v>14588</v>
      </c>
      <c r="E3740" t="str">
        <f>HYPERLINK("http://www.ncbi.nlm.nih.gov/Taxonomy/Browser/wwwtax.cgi?mode=Info&amp;id=47692&amp;lvl=3&amp;lin=f&amp;keep=1&amp;srchmode=1&amp;unlock","47692")</f>
        <v>47692</v>
      </c>
      <c r="F3740" t="s">
        <v>241</v>
      </c>
      <c r="G3740" t="str">
        <f>HYPERLINK("http://www.ncbi.nlm.nih.gov/Taxonomy/Browser/wwwtax.cgi?mode=Info&amp;id=47692&amp;lvl=3&amp;lin=f&amp;keep=1&amp;srchmode=1&amp;unlock","Menura novaehollandiae")</f>
        <v>Menura novaehollandiae</v>
      </c>
      <c r="H3740" t="s">
        <v>628</v>
      </c>
      <c r="I3740" t="str">
        <f>HYPERLINK("http://www.ncbi.nlm.nih.gov/protein/NXE89586.1","RYR2 protein")</f>
        <v>RYR2 protein</v>
      </c>
      <c r="J3740">
        <v>6759.08</v>
      </c>
      <c r="K3740" t="s">
        <v>22</v>
      </c>
      <c r="L3740">
        <v>76</v>
      </c>
      <c r="M3740">
        <v>12.58</v>
      </c>
      <c r="N3740">
        <v>66.52</v>
      </c>
      <c r="O3740" t="s">
        <v>19</v>
      </c>
      <c r="P3740" t="s">
        <v>1320</v>
      </c>
      <c r="Q3740" t="s">
        <v>19</v>
      </c>
      <c r="R3740" t="str">
        <f>HYPERLINK("https://cfpub.epa.gov/ecotox/explore.cfm?ncbi=47692","Explore in ECOTOX")</f>
        <v>Explore in ECOTOX</v>
      </c>
    </row>
    <row r="3741" spans="1:18" x14ac:dyDescent="0.45">
      <c r="A3741" t="s">
        <v>1265</v>
      </c>
      <c r="B3741">
        <v>8</v>
      </c>
      <c r="C3741" t="str">
        <f>HYPERLINK("http://www.ncbi.nlm.nih.gov/protein/NWW07896.1","NWW07896.1")</f>
        <v>NWW07896.1</v>
      </c>
      <c r="D3741">
        <v>14031</v>
      </c>
      <c r="E3741" t="str">
        <f>HYPERLINK("http://www.ncbi.nlm.nih.gov/Taxonomy/Browser/wwwtax.cgi?mode=Info&amp;id=979223&amp;lvl=3&amp;lin=f&amp;keep=1&amp;srchmode=1&amp;unlock","979223")</f>
        <v>979223</v>
      </c>
      <c r="F3741" t="s">
        <v>241</v>
      </c>
      <c r="G3741" t="str">
        <f>HYPERLINK("http://www.ncbi.nlm.nih.gov/Taxonomy/Browser/wwwtax.cgi?mode=Info&amp;id=979223&amp;lvl=3&amp;lin=f&amp;keep=1&amp;srchmode=1&amp;unlock","Oreocharis arfaki")</f>
        <v>Oreocharis arfaki</v>
      </c>
      <c r="H3741" t="s">
        <v>620</v>
      </c>
      <c r="I3741" t="str">
        <f>HYPERLINK("http://www.ncbi.nlm.nih.gov/protein/NWW07896.1","RYR2 protein")</f>
        <v>RYR2 protein</v>
      </c>
      <c r="J3741">
        <v>6757.93</v>
      </c>
      <c r="K3741" t="s">
        <v>22</v>
      </c>
      <c r="L3741">
        <v>76</v>
      </c>
      <c r="M3741">
        <v>12.58</v>
      </c>
      <c r="N3741">
        <v>66.510000000000005</v>
      </c>
      <c r="O3741" t="s">
        <v>19</v>
      </c>
      <c r="P3741" t="s">
        <v>1320</v>
      </c>
      <c r="Q3741" t="s">
        <v>19</v>
      </c>
      <c r="R3741" t="str">
        <f>HYPERLINK("https://cfpub.epa.gov/ecotox/explore.cfm?ncbi=979223","Explore in ECOTOX")</f>
        <v>Explore in ECOTOX</v>
      </c>
    </row>
    <row r="3742" spans="1:18" x14ac:dyDescent="0.45">
      <c r="A3742" t="s">
        <v>1265</v>
      </c>
      <c r="B3742">
        <v>8</v>
      </c>
      <c r="C3742" t="str">
        <f>HYPERLINK("http://www.ncbi.nlm.nih.gov/protein/NXC32298.1","NXC32298.1")</f>
        <v>NXC32298.1</v>
      </c>
      <c r="D3742">
        <v>14152</v>
      </c>
      <c r="E3742" t="str">
        <f>HYPERLINK("http://www.ncbi.nlm.nih.gov/Taxonomy/Browser/wwwtax.cgi?mode=Info&amp;id=190295&amp;lvl=3&amp;lin=f&amp;keep=1&amp;srchmode=1&amp;unlock","190295")</f>
        <v>190295</v>
      </c>
      <c r="F3742" t="s">
        <v>241</v>
      </c>
      <c r="G3742" t="str">
        <f>HYPERLINK("http://www.ncbi.nlm.nih.gov/Taxonomy/Browser/wwwtax.cgi?mode=Info&amp;id=190295&amp;lvl=3&amp;lin=f&amp;keep=1&amp;srchmode=1&amp;unlock","Campylorhamphus procurvoides")</f>
        <v>Campylorhamphus procurvoides</v>
      </c>
      <c r="H3742" t="s">
        <v>435</v>
      </c>
      <c r="I3742" t="str">
        <f>HYPERLINK("http://www.ncbi.nlm.nih.gov/protein/NXC32298.1","RYR2 protein")</f>
        <v>RYR2 protein</v>
      </c>
      <c r="J3742">
        <v>6757.93</v>
      </c>
      <c r="K3742" t="s">
        <v>22</v>
      </c>
      <c r="L3742">
        <v>76</v>
      </c>
      <c r="M3742">
        <v>12.58</v>
      </c>
      <c r="N3742">
        <v>66.510000000000005</v>
      </c>
      <c r="O3742" t="s">
        <v>19</v>
      </c>
      <c r="P3742" t="s">
        <v>1320</v>
      </c>
      <c r="Q3742" t="s">
        <v>19</v>
      </c>
      <c r="R3742" t="str">
        <f>HYPERLINK("https://cfpub.epa.gov/ecotox/explore.cfm?ncbi=190295","Explore in ECOTOX")</f>
        <v>Explore in ECOTOX</v>
      </c>
    </row>
    <row r="3743" spans="1:18" x14ac:dyDescent="0.45">
      <c r="A3743" t="s">
        <v>1265</v>
      </c>
      <c r="B3743">
        <v>8</v>
      </c>
      <c r="C3743" t="str">
        <f>HYPERLINK("http://www.ncbi.nlm.nih.gov/protein/NXP15953.1","NXP15953.1")</f>
        <v>NXP15953.1</v>
      </c>
      <c r="D3743">
        <v>14091</v>
      </c>
      <c r="E3743" t="str">
        <f>HYPERLINK("http://www.ncbi.nlm.nih.gov/Taxonomy/Browser/wwwtax.cgi?mode=Info&amp;id=161742&amp;lvl=3&amp;lin=f&amp;keep=1&amp;srchmode=1&amp;unlock","161742")</f>
        <v>161742</v>
      </c>
      <c r="F3743" t="s">
        <v>241</v>
      </c>
      <c r="G3743" t="str">
        <f>HYPERLINK("http://www.ncbi.nlm.nih.gov/Taxonomy/Browser/wwwtax.cgi?mode=Info&amp;id=161742&amp;lvl=3&amp;lin=f&amp;keep=1&amp;srchmode=1&amp;unlock","Thinocorus orbignyianus")</f>
        <v>Thinocorus orbignyianus</v>
      </c>
      <c r="H3743" t="s">
        <v>419</v>
      </c>
      <c r="I3743" t="str">
        <f>HYPERLINK("http://www.ncbi.nlm.nih.gov/protein/NXP15953.1","RYR2 protein")</f>
        <v>RYR2 protein</v>
      </c>
      <c r="J3743">
        <v>6757.54</v>
      </c>
      <c r="K3743" t="s">
        <v>22</v>
      </c>
      <c r="L3743">
        <v>76</v>
      </c>
      <c r="M3743">
        <v>12.58</v>
      </c>
      <c r="N3743">
        <v>66.510000000000005</v>
      </c>
      <c r="O3743" t="s">
        <v>19</v>
      </c>
      <c r="P3743" t="s">
        <v>1320</v>
      </c>
      <c r="Q3743" t="s">
        <v>19</v>
      </c>
      <c r="R3743" t="str">
        <f>HYPERLINK("https://cfpub.epa.gov/ecotox/explore.cfm?ncbi=161742","Explore in ECOTOX")</f>
        <v>Explore in ECOTOX</v>
      </c>
    </row>
    <row r="3744" spans="1:18" x14ac:dyDescent="0.45">
      <c r="A3744" t="s">
        <v>1265</v>
      </c>
      <c r="B3744">
        <v>8</v>
      </c>
      <c r="C3744" t="str">
        <f>HYPERLINK("http://www.ncbi.nlm.nih.gov/protein/NXO59645.1","NXO59645.1")</f>
        <v>NXO59645.1</v>
      </c>
      <c r="D3744">
        <v>14352</v>
      </c>
      <c r="E3744" t="str">
        <f>HYPERLINK("http://www.ncbi.nlm.nih.gov/Taxonomy/Browser/wwwtax.cgi?mode=Info&amp;id=54356&amp;lvl=3&amp;lin=f&amp;keep=1&amp;srchmode=1&amp;unlock","54356")</f>
        <v>54356</v>
      </c>
      <c r="F3744" t="s">
        <v>241</v>
      </c>
      <c r="G3744" t="str">
        <f>HYPERLINK("http://www.ncbi.nlm.nih.gov/Taxonomy/Browser/wwwtax.cgi?mode=Info&amp;id=54356&amp;lvl=3&amp;lin=f&amp;keep=1&amp;srchmode=1&amp;unlock","Aramus guarauna")</f>
        <v>Aramus guarauna</v>
      </c>
      <c r="H3744" t="s">
        <v>622</v>
      </c>
      <c r="I3744" t="str">
        <f>HYPERLINK("http://www.ncbi.nlm.nih.gov/protein/NXO59645.1","RYR2 protein")</f>
        <v>RYR2 protein</v>
      </c>
      <c r="J3744">
        <v>6757.16</v>
      </c>
      <c r="K3744" t="s">
        <v>22</v>
      </c>
      <c r="L3744">
        <v>76</v>
      </c>
      <c r="M3744">
        <v>12.58</v>
      </c>
      <c r="N3744">
        <v>66.5</v>
      </c>
      <c r="O3744" t="s">
        <v>19</v>
      </c>
      <c r="P3744" t="s">
        <v>1320</v>
      </c>
      <c r="Q3744" t="s">
        <v>19</v>
      </c>
      <c r="R3744" t="str">
        <f>HYPERLINK("https://cfpub.epa.gov/ecotox/explore.cfm?ncbi=54356","Explore in ECOTOX")</f>
        <v>Explore in ECOTOX</v>
      </c>
    </row>
    <row r="3745" spans="1:18" x14ac:dyDescent="0.45">
      <c r="A3745" t="s">
        <v>1265</v>
      </c>
      <c r="B3745">
        <v>8</v>
      </c>
      <c r="C3745" t="str">
        <f>HYPERLINK("http://www.ncbi.nlm.nih.gov/protein/NXW95716.1","NXW95716.1")</f>
        <v>NXW95716.1</v>
      </c>
      <c r="D3745">
        <v>14612</v>
      </c>
      <c r="E3745" t="str">
        <f>HYPERLINK("http://www.ncbi.nlm.nih.gov/Taxonomy/Browser/wwwtax.cgi?mode=Info&amp;id=262131&amp;lvl=3&amp;lin=f&amp;keep=1&amp;srchmode=1&amp;unlock","262131")</f>
        <v>262131</v>
      </c>
      <c r="F3745" t="s">
        <v>241</v>
      </c>
      <c r="G3745" t="str">
        <f>HYPERLINK("http://www.ncbi.nlm.nih.gov/Taxonomy/Browser/wwwtax.cgi?mode=Info&amp;id=262131&amp;lvl=3&amp;lin=f&amp;keep=1&amp;srchmode=1&amp;unlock","Alopecoenas beccarii")</f>
        <v>Alopecoenas beccarii</v>
      </c>
      <c r="H3745" t="s">
        <v>445</v>
      </c>
      <c r="I3745" t="str">
        <f>HYPERLINK("http://www.ncbi.nlm.nih.gov/protein/NXW95716.1","RYR2 protein")</f>
        <v>RYR2 protein</v>
      </c>
      <c r="J3745">
        <v>6756.77</v>
      </c>
      <c r="K3745" t="s">
        <v>22</v>
      </c>
      <c r="L3745">
        <v>76</v>
      </c>
      <c r="M3745">
        <v>12.58</v>
      </c>
      <c r="N3745">
        <v>66.5</v>
      </c>
      <c r="O3745" t="s">
        <v>19</v>
      </c>
      <c r="P3745" t="s">
        <v>1320</v>
      </c>
      <c r="Q3745" t="s">
        <v>19</v>
      </c>
      <c r="R3745" t="str">
        <f>HYPERLINK("https://cfpub.epa.gov/ecotox/explore.cfm?ncbi=262131","Explore in ECOTOX")</f>
        <v>Explore in ECOTOX</v>
      </c>
    </row>
    <row r="3746" spans="1:18" x14ac:dyDescent="0.45">
      <c r="A3746" t="s">
        <v>1265</v>
      </c>
      <c r="B3746">
        <v>8</v>
      </c>
      <c r="C3746" t="str">
        <f>HYPERLINK("http://www.ncbi.nlm.nih.gov/protein/NXY40369.1","NXY40369.1")</f>
        <v>NXY40369.1</v>
      </c>
      <c r="D3746">
        <v>12236</v>
      </c>
      <c r="E3746" t="str">
        <f>HYPERLINK("http://www.ncbi.nlm.nih.gov/Taxonomy/Browser/wwwtax.cgi?mode=Info&amp;id=1961834&amp;lvl=3&amp;lin=f&amp;keep=1&amp;srchmode=1&amp;unlock","1961834")</f>
        <v>1961834</v>
      </c>
      <c r="F3746" t="s">
        <v>241</v>
      </c>
      <c r="G3746" t="str">
        <f>HYPERLINK("http://www.ncbi.nlm.nih.gov/Taxonomy/Browser/wwwtax.cgi?mode=Info&amp;id=1961834&amp;lvl=3&amp;lin=f&amp;keep=1&amp;srchmode=1&amp;unlock","Ceuthmochares aereus")</f>
        <v>Ceuthmochares aereus</v>
      </c>
      <c r="H3746" t="s">
        <v>668</v>
      </c>
      <c r="I3746" t="str">
        <f>HYPERLINK("http://www.ncbi.nlm.nih.gov/protein/NXY40369.1","RYR2 protein")</f>
        <v>RYR2 protein</v>
      </c>
      <c r="J3746">
        <v>6756.39</v>
      </c>
      <c r="K3746" t="s">
        <v>22</v>
      </c>
      <c r="L3746">
        <v>76</v>
      </c>
      <c r="M3746">
        <v>12.58</v>
      </c>
      <c r="N3746">
        <v>66.489999999999995</v>
      </c>
      <c r="O3746" t="s">
        <v>19</v>
      </c>
      <c r="P3746" t="s">
        <v>1320</v>
      </c>
      <c r="Q3746" t="s">
        <v>19</v>
      </c>
      <c r="R3746" t="str">
        <f>HYPERLINK("https://cfpub.epa.gov/ecotox/explore.cfm?ncbi=1961834","Explore in ECOTOX")</f>
        <v>Explore in ECOTOX</v>
      </c>
    </row>
    <row r="3747" spans="1:18" x14ac:dyDescent="0.45">
      <c r="A3747" t="s">
        <v>1265</v>
      </c>
      <c r="B3747">
        <v>8</v>
      </c>
      <c r="C3747" t="str">
        <f>HYPERLINK("http://www.ncbi.nlm.nih.gov/protein/NWV06983.1","NWV06983.1")</f>
        <v>NWV06983.1</v>
      </c>
      <c r="D3747">
        <v>14013</v>
      </c>
      <c r="E3747" t="str">
        <f>HYPERLINK("http://www.ncbi.nlm.nih.gov/Taxonomy/Browser/wwwtax.cgi?mode=Info&amp;id=28724&amp;lvl=3&amp;lin=f&amp;keep=1&amp;srchmode=1&amp;unlock","28724")</f>
        <v>28724</v>
      </c>
      <c r="F3747" t="s">
        <v>241</v>
      </c>
      <c r="G3747" t="str">
        <f>HYPERLINK("http://www.ncbi.nlm.nih.gov/Taxonomy/Browser/wwwtax.cgi?mode=Info&amp;id=28724&amp;lvl=3&amp;lin=f&amp;keep=1&amp;srchmode=1&amp;unlock","Ptilonorhynchus violaceus")</f>
        <v>Ptilonorhynchus violaceus</v>
      </c>
      <c r="H3747" t="s">
        <v>415</v>
      </c>
      <c r="I3747" t="str">
        <f>HYPERLINK("http://www.ncbi.nlm.nih.gov/protein/NWV06983.1","RYR2 protein")</f>
        <v>RYR2 protein</v>
      </c>
      <c r="J3747">
        <v>6755.23</v>
      </c>
      <c r="K3747" t="s">
        <v>22</v>
      </c>
      <c r="L3747">
        <v>76</v>
      </c>
      <c r="M3747">
        <v>12.58</v>
      </c>
      <c r="N3747">
        <v>66.48</v>
      </c>
      <c r="O3747" t="s">
        <v>19</v>
      </c>
      <c r="P3747" t="s">
        <v>1320</v>
      </c>
      <c r="Q3747" t="s">
        <v>19</v>
      </c>
      <c r="R3747" t="str">
        <f>HYPERLINK("https://cfpub.epa.gov/ecotox/explore.cfm?ncbi=28724","Explore in ECOTOX")</f>
        <v>Explore in ECOTOX</v>
      </c>
    </row>
    <row r="3748" spans="1:18" x14ac:dyDescent="0.45">
      <c r="A3748" t="s">
        <v>1265</v>
      </c>
      <c r="B3748">
        <v>8</v>
      </c>
      <c r="C3748" t="str">
        <f>HYPERLINK("http://www.ncbi.nlm.nih.gov/protein/NWV24355.1","NWV24355.1")</f>
        <v>NWV24355.1</v>
      </c>
      <c r="D3748">
        <v>14487</v>
      </c>
      <c r="E3748" t="str">
        <f>HYPERLINK("http://www.ncbi.nlm.nih.gov/Taxonomy/Browser/wwwtax.cgi?mode=Info&amp;id=720586&amp;lvl=3&amp;lin=f&amp;keep=1&amp;srchmode=1&amp;unlock","720586")</f>
        <v>720586</v>
      </c>
      <c r="F3748" t="s">
        <v>241</v>
      </c>
      <c r="G3748" t="str">
        <f>HYPERLINK("http://www.ncbi.nlm.nih.gov/Taxonomy/Browser/wwwtax.cgi?mode=Info&amp;id=720586&amp;lvl=3&amp;lin=f&amp;keep=1&amp;srchmode=1&amp;unlock","Origma solitaria")</f>
        <v>Origma solitaria</v>
      </c>
      <c r="H3748" t="s">
        <v>435</v>
      </c>
      <c r="I3748" t="str">
        <f>HYPERLINK("http://www.ncbi.nlm.nih.gov/protein/NWV24355.1","RYR2 protein")</f>
        <v>RYR2 protein</v>
      </c>
      <c r="J3748">
        <v>6754.46</v>
      </c>
      <c r="K3748" t="s">
        <v>22</v>
      </c>
      <c r="L3748">
        <v>76</v>
      </c>
      <c r="M3748">
        <v>12.58</v>
      </c>
      <c r="N3748">
        <v>66.48</v>
      </c>
      <c r="O3748" t="s">
        <v>19</v>
      </c>
      <c r="P3748" t="s">
        <v>1320</v>
      </c>
      <c r="Q3748" t="s">
        <v>19</v>
      </c>
      <c r="R3748" t="str">
        <f>HYPERLINK("https://cfpub.epa.gov/ecotox/explore.cfm?ncbi=720586","Explore in ECOTOX")</f>
        <v>Explore in ECOTOX</v>
      </c>
    </row>
    <row r="3749" spans="1:18" x14ac:dyDescent="0.45">
      <c r="A3749" t="s">
        <v>1265</v>
      </c>
      <c r="B3749">
        <v>8</v>
      </c>
      <c r="C3749" t="str">
        <f>HYPERLINK("http://www.ncbi.nlm.nih.gov/protein/NXG82010.1","NXG82010.1")</f>
        <v>NXG82010.1</v>
      </c>
      <c r="D3749">
        <v>13962</v>
      </c>
      <c r="E3749" t="str">
        <f>HYPERLINK("http://www.ncbi.nlm.nih.gov/Taxonomy/Browser/wwwtax.cgi?mode=Info&amp;id=54059&amp;lvl=3&amp;lin=f&amp;keep=1&amp;srchmode=1&amp;unlock","54059")</f>
        <v>54059</v>
      </c>
      <c r="F3749" t="s">
        <v>241</v>
      </c>
      <c r="G3749" t="str">
        <f>HYPERLINK("http://www.ncbi.nlm.nih.gov/Taxonomy/Browser/wwwtax.cgi?mode=Info&amp;id=54059&amp;lvl=3&amp;lin=f&amp;keep=1&amp;srchmode=1&amp;unlock","Stercorarius parasiticus")</f>
        <v>Stercorarius parasiticus</v>
      </c>
      <c r="H3749" t="s">
        <v>434</v>
      </c>
      <c r="I3749" t="str">
        <f>HYPERLINK("http://www.ncbi.nlm.nih.gov/protein/NXG82010.1","RYR2 protein")</f>
        <v>RYR2 protein</v>
      </c>
      <c r="J3749">
        <v>6754.46</v>
      </c>
      <c r="K3749" t="s">
        <v>22</v>
      </c>
      <c r="L3749">
        <v>76</v>
      </c>
      <c r="M3749">
        <v>12.58</v>
      </c>
      <c r="N3749">
        <v>66.48</v>
      </c>
      <c r="O3749" t="s">
        <v>19</v>
      </c>
      <c r="P3749" t="s">
        <v>1320</v>
      </c>
      <c r="Q3749" t="s">
        <v>19</v>
      </c>
      <c r="R3749" t="str">
        <f>HYPERLINK("https://cfpub.epa.gov/ecotox/explore.cfm?ncbi=54059","Explore in ECOTOX")</f>
        <v>Explore in ECOTOX</v>
      </c>
    </row>
    <row r="3750" spans="1:18" x14ac:dyDescent="0.45">
      <c r="A3750" t="s">
        <v>1265</v>
      </c>
      <c r="B3750">
        <v>8</v>
      </c>
      <c r="C3750" t="str">
        <f>HYPERLINK("http://www.ncbi.nlm.nih.gov/protein/NXC37611.1","NXC37611.1")</f>
        <v>NXC37611.1</v>
      </c>
      <c r="D3750">
        <v>13978</v>
      </c>
      <c r="E3750" t="str">
        <f>HYPERLINK("http://www.ncbi.nlm.nih.gov/Taxonomy/Browser/wwwtax.cgi?mode=Info&amp;id=1118817&amp;lvl=3&amp;lin=f&amp;keep=1&amp;srchmode=1&amp;unlock","1118817")</f>
        <v>1118817</v>
      </c>
      <c r="F3750" t="s">
        <v>241</v>
      </c>
      <c r="G3750" t="str">
        <f>HYPERLINK("http://www.ncbi.nlm.nih.gov/Taxonomy/Browser/wwwtax.cgi?mode=Info&amp;id=1118817&amp;lvl=3&amp;lin=f&amp;keep=1&amp;srchmode=1&amp;unlock","Penelope pileata")</f>
        <v>Penelope pileata</v>
      </c>
      <c r="H3750" t="s">
        <v>406</v>
      </c>
      <c r="I3750" t="str">
        <f>HYPERLINK("http://www.ncbi.nlm.nih.gov/protein/NXC37611.1","RYR2 protein")</f>
        <v>RYR2 protein</v>
      </c>
      <c r="J3750">
        <v>6754.46</v>
      </c>
      <c r="K3750" t="s">
        <v>22</v>
      </c>
      <c r="L3750">
        <v>76</v>
      </c>
      <c r="M3750">
        <v>12.58</v>
      </c>
      <c r="N3750">
        <v>66.48</v>
      </c>
      <c r="O3750" t="s">
        <v>19</v>
      </c>
      <c r="P3750" t="s">
        <v>1320</v>
      </c>
      <c r="Q3750" t="s">
        <v>19</v>
      </c>
      <c r="R3750" t="str">
        <f>HYPERLINK("https://cfpub.epa.gov/ecotox/explore.cfm?ncbi=1118817","Explore in ECOTOX")</f>
        <v>Explore in ECOTOX</v>
      </c>
    </row>
    <row r="3751" spans="1:18" x14ac:dyDescent="0.45">
      <c r="A3751" t="s">
        <v>1265</v>
      </c>
      <c r="B3751">
        <v>8</v>
      </c>
      <c r="C3751" t="str">
        <f>HYPERLINK("http://www.ncbi.nlm.nih.gov/protein/NXL01842.1","NXL01842.1")</f>
        <v>NXL01842.1</v>
      </c>
      <c r="D3751">
        <v>13893</v>
      </c>
      <c r="E3751" t="str">
        <f>HYPERLINK("http://www.ncbi.nlm.nih.gov/Taxonomy/Browser/wwwtax.cgi?mode=Info&amp;id=1118748&amp;lvl=3&amp;lin=f&amp;keep=1&amp;srchmode=1&amp;unlock","1118748")</f>
        <v>1118748</v>
      </c>
      <c r="F3751" t="s">
        <v>241</v>
      </c>
      <c r="G3751" t="str">
        <f>HYPERLINK("http://www.ncbi.nlm.nih.gov/Taxonomy/Browser/wwwtax.cgi?mode=Info&amp;id=1118748&amp;lvl=3&amp;lin=f&amp;keep=1&amp;srchmode=1&amp;unlock","Mesembrinibis cayennensis")</f>
        <v>Mesembrinibis cayennensis</v>
      </c>
      <c r="H3751" t="s">
        <v>437</v>
      </c>
      <c r="I3751" t="str">
        <f>HYPERLINK("http://www.ncbi.nlm.nih.gov/protein/NXL01842.1","RYR2 protein")</f>
        <v>RYR2 protein</v>
      </c>
      <c r="J3751">
        <v>6754.08</v>
      </c>
      <c r="K3751" t="s">
        <v>22</v>
      </c>
      <c r="L3751">
        <v>76</v>
      </c>
      <c r="M3751">
        <v>12.58</v>
      </c>
      <c r="N3751">
        <v>66.47</v>
      </c>
      <c r="O3751" t="s">
        <v>19</v>
      </c>
      <c r="P3751" t="s">
        <v>1320</v>
      </c>
      <c r="Q3751" t="s">
        <v>19</v>
      </c>
      <c r="R3751" t="str">
        <f>HYPERLINK("https://cfpub.epa.gov/ecotox/explore.cfm?ncbi=1118748","Explore in ECOTOX")</f>
        <v>Explore in ECOTOX</v>
      </c>
    </row>
    <row r="3752" spans="1:18" x14ac:dyDescent="0.45">
      <c r="A3752" t="s">
        <v>1265</v>
      </c>
      <c r="B3752">
        <v>8</v>
      </c>
      <c r="C3752" t="str">
        <f>HYPERLINK("http://www.ncbi.nlm.nih.gov/protein/NXM50014.1","NXM50014.1")</f>
        <v>NXM50014.1</v>
      </c>
      <c r="D3752">
        <v>14416</v>
      </c>
      <c r="E3752" t="str">
        <f>HYPERLINK("http://www.ncbi.nlm.nih.gov/Taxonomy/Browser/wwwtax.cgi?mode=Info&amp;id=9132&amp;lvl=3&amp;lin=f&amp;keep=1&amp;srchmode=1&amp;unlock","9132")</f>
        <v>9132</v>
      </c>
      <c r="F3752" t="s">
        <v>241</v>
      </c>
      <c r="G3752" t="str">
        <f>HYPERLINK("http://www.ncbi.nlm.nih.gov/Taxonomy/Browser/wwwtax.cgi?mode=Info&amp;id=9132&amp;lvl=3&amp;lin=f&amp;keep=1&amp;srchmode=1&amp;unlock","Gymnorhina tibicen")</f>
        <v>Gymnorhina tibicen</v>
      </c>
      <c r="H3752" t="s">
        <v>632</v>
      </c>
      <c r="I3752" t="str">
        <f>HYPERLINK("http://www.ncbi.nlm.nih.gov/protein/NXM50014.1","RYR2 protein")</f>
        <v>RYR2 protein</v>
      </c>
      <c r="J3752">
        <v>6754.08</v>
      </c>
      <c r="K3752" t="s">
        <v>22</v>
      </c>
      <c r="L3752">
        <v>76</v>
      </c>
      <c r="M3752">
        <v>12.58</v>
      </c>
      <c r="N3752">
        <v>66.47</v>
      </c>
      <c r="O3752" t="s">
        <v>19</v>
      </c>
      <c r="P3752" t="s">
        <v>1320</v>
      </c>
      <c r="Q3752" t="s">
        <v>19</v>
      </c>
      <c r="R3752" t="str">
        <f>HYPERLINK("https://cfpub.epa.gov/ecotox/explore.cfm?ncbi=9132","Explore in ECOTOX")</f>
        <v>Explore in ECOTOX</v>
      </c>
    </row>
    <row r="3753" spans="1:18" x14ac:dyDescent="0.45">
      <c r="A3753" t="s">
        <v>1265</v>
      </c>
      <c r="B3753">
        <v>8</v>
      </c>
      <c r="C3753" t="str">
        <f>HYPERLINK("http://www.ncbi.nlm.nih.gov/protein/NXF77373.1","NXF77373.1")</f>
        <v>NXF77373.1</v>
      </c>
      <c r="D3753">
        <v>14133</v>
      </c>
      <c r="E3753" t="str">
        <f>HYPERLINK("http://www.ncbi.nlm.nih.gov/Taxonomy/Browser/wwwtax.cgi?mode=Info&amp;id=265632&amp;lvl=3&amp;lin=f&amp;keep=1&amp;srchmode=1&amp;unlock","265632")</f>
        <v>265632</v>
      </c>
      <c r="F3753" t="s">
        <v>241</v>
      </c>
      <c r="G3753" t="str">
        <f>HYPERLINK("http://www.ncbi.nlm.nih.gov/Taxonomy/Browser/wwwtax.cgi?mode=Info&amp;id=265632&amp;lvl=3&amp;lin=f&amp;keep=1&amp;srchmode=1&amp;unlock","Sclerurus mexicanus")</f>
        <v>Sclerurus mexicanus</v>
      </c>
      <c r="H3753" t="s">
        <v>412</v>
      </c>
      <c r="I3753" t="str">
        <f>HYPERLINK("http://www.ncbi.nlm.nih.gov/protein/NXF77373.1","RYR2 protein")</f>
        <v>RYR2 protein</v>
      </c>
      <c r="J3753">
        <v>6754.08</v>
      </c>
      <c r="K3753" t="s">
        <v>22</v>
      </c>
      <c r="L3753">
        <v>76</v>
      </c>
      <c r="M3753">
        <v>12.58</v>
      </c>
      <c r="N3753">
        <v>66.47</v>
      </c>
      <c r="O3753" t="s">
        <v>19</v>
      </c>
      <c r="P3753" t="s">
        <v>1320</v>
      </c>
      <c r="Q3753" t="s">
        <v>19</v>
      </c>
      <c r="R3753" t="str">
        <f>HYPERLINK("https://cfpub.epa.gov/ecotox/explore.cfm?ncbi=265632","Explore in ECOTOX")</f>
        <v>Explore in ECOTOX</v>
      </c>
    </row>
    <row r="3754" spans="1:18" x14ac:dyDescent="0.45">
      <c r="A3754" t="s">
        <v>1265</v>
      </c>
      <c r="B3754">
        <v>8</v>
      </c>
      <c r="C3754" t="str">
        <f>HYPERLINK("http://www.ncbi.nlm.nih.gov/protein/NXN30996.1","NXN30996.1")</f>
        <v>NXN30996.1</v>
      </c>
      <c r="D3754">
        <v>14331</v>
      </c>
      <c r="E3754" t="str">
        <f>HYPERLINK("http://www.ncbi.nlm.nih.gov/Taxonomy/Browser/wwwtax.cgi?mode=Info&amp;id=227226&amp;lvl=3&amp;lin=f&amp;keep=1&amp;srchmode=1&amp;unlock","227226")</f>
        <v>227226</v>
      </c>
      <c r="F3754" t="s">
        <v>241</v>
      </c>
      <c r="G3754" t="str">
        <f>HYPERLINK("http://www.ncbi.nlm.nih.gov/Taxonomy/Browser/wwwtax.cgi?mode=Info&amp;id=227226&amp;lvl=3&amp;lin=f&amp;keep=1&amp;srchmode=1&amp;unlock","Nycticryphes semicollaris")</f>
        <v>Nycticryphes semicollaris</v>
      </c>
      <c r="H3754" t="s">
        <v>434</v>
      </c>
      <c r="I3754" t="str">
        <f>HYPERLINK("http://www.ncbi.nlm.nih.gov/protein/NXN30996.1","RYR2 protein")</f>
        <v>RYR2 protein</v>
      </c>
      <c r="J3754">
        <v>6753.3</v>
      </c>
      <c r="K3754" t="s">
        <v>22</v>
      </c>
      <c r="L3754">
        <v>76</v>
      </c>
      <c r="M3754">
        <v>12.58</v>
      </c>
      <c r="N3754">
        <v>66.459999999999994</v>
      </c>
      <c r="O3754" t="s">
        <v>19</v>
      </c>
      <c r="P3754" t="s">
        <v>1320</v>
      </c>
      <c r="Q3754" t="s">
        <v>19</v>
      </c>
      <c r="R3754" t="str">
        <f>HYPERLINK("https://cfpub.epa.gov/ecotox/explore.cfm?ncbi=227226","Explore in ECOTOX")</f>
        <v>Explore in ECOTOX</v>
      </c>
    </row>
    <row r="3755" spans="1:18" x14ac:dyDescent="0.45">
      <c r="A3755" t="s">
        <v>1265</v>
      </c>
      <c r="B3755">
        <v>8</v>
      </c>
      <c r="C3755" t="str">
        <f>HYPERLINK("http://www.ncbi.nlm.nih.gov/protein/NXN05688.1","NXN05688.1")</f>
        <v>NXN05688.1</v>
      </c>
      <c r="D3755">
        <v>13619</v>
      </c>
      <c r="E3755" t="str">
        <f>HYPERLINK("http://www.ncbi.nlm.nih.gov/Taxonomy/Browser/wwwtax.cgi?mode=Info&amp;id=73324&amp;lvl=3&amp;lin=f&amp;keep=1&amp;srchmode=1&amp;unlock","73324")</f>
        <v>73324</v>
      </c>
      <c r="F3755" t="s">
        <v>241</v>
      </c>
      <c r="G3755" t="str">
        <f>HYPERLINK("http://www.ncbi.nlm.nih.gov/Taxonomy/Browser/wwwtax.cgi?mode=Info&amp;id=73324&amp;lvl=3&amp;lin=f&amp;keep=1&amp;srchmode=1&amp;unlock","Sylvia borin")</f>
        <v>Sylvia borin</v>
      </c>
      <c r="H3755" t="s">
        <v>447</v>
      </c>
      <c r="I3755" t="str">
        <f>HYPERLINK("http://www.ncbi.nlm.nih.gov/protein/NXN05688.1","RYR2 protein")</f>
        <v>RYR2 protein</v>
      </c>
      <c r="J3755">
        <v>6751.76</v>
      </c>
      <c r="K3755" t="s">
        <v>22</v>
      </c>
      <c r="L3755">
        <v>76</v>
      </c>
      <c r="M3755">
        <v>12.58</v>
      </c>
      <c r="N3755">
        <v>66.45</v>
      </c>
      <c r="O3755" t="s">
        <v>19</v>
      </c>
      <c r="P3755" t="s">
        <v>1320</v>
      </c>
      <c r="Q3755" t="s">
        <v>19</v>
      </c>
      <c r="R3755" t="str">
        <f>HYPERLINK("https://cfpub.epa.gov/ecotox/explore.cfm?ncbi=73324","Explore in ECOTOX")</f>
        <v>Explore in ECOTOX</v>
      </c>
    </row>
    <row r="3756" spans="1:18" x14ac:dyDescent="0.45">
      <c r="A3756" t="s">
        <v>1265</v>
      </c>
      <c r="B3756">
        <v>8</v>
      </c>
      <c r="C3756" t="str">
        <f>HYPERLINK("http://www.ncbi.nlm.nih.gov/protein/XP_012864681.1","XP_012864681.1")</f>
        <v>XP_012864681.1</v>
      </c>
      <c r="D3756">
        <v>29420</v>
      </c>
      <c r="E3756" t="str">
        <f>HYPERLINK("http://www.ncbi.nlm.nih.gov/Taxonomy/Browser/wwwtax.cgi?mode=Info&amp;id=10020&amp;lvl=3&amp;lin=f&amp;keep=1&amp;srchmode=1&amp;unlock","10020")</f>
        <v>10020</v>
      </c>
      <c r="F3756" t="s">
        <v>96</v>
      </c>
      <c r="G3756" t="str">
        <f>HYPERLINK("http://www.ncbi.nlm.nih.gov/Taxonomy/Browser/wwwtax.cgi?mode=Info&amp;id=10020&amp;lvl=3&amp;lin=f&amp;keep=1&amp;srchmode=1&amp;unlock","Dipodomys ordii")</f>
        <v>Dipodomys ordii</v>
      </c>
      <c r="H3756" t="s">
        <v>413</v>
      </c>
      <c r="I3756" t="str">
        <f>HYPERLINK("http://www.ncbi.nlm.nih.gov/protein/XP_012864681.1","PREDICTED: ryanodine receptor 2")</f>
        <v>PREDICTED: ryanodine receptor 2</v>
      </c>
      <c r="J3756">
        <v>6751.38</v>
      </c>
      <c r="K3756" t="s">
        <v>22</v>
      </c>
      <c r="L3756">
        <v>76</v>
      </c>
      <c r="M3756">
        <v>12.58</v>
      </c>
      <c r="N3756">
        <v>66.45</v>
      </c>
      <c r="O3756" t="s">
        <v>19</v>
      </c>
      <c r="P3756" t="s">
        <v>1320</v>
      </c>
      <c r="Q3756" t="s">
        <v>19</v>
      </c>
      <c r="R3756" t="str">
        <f>HYPERLINK("https://cfpub.epa.gov/ecotox/explore.cfm?ncbi=10020","Explore in ECOTOX")</f>
        <v>Explore in ECOTOX</v>
      </c>
    </row>
    <row r="3757" spans="1:18" x14ac:dyDescent="0.45">
      <c r="A3757" t="s">
        <v>1265</v>
      </c>
      <c r="B3757">
        <v>8</v>
      </c>
      <c r="C3757" t="str">
        <f>HYPERLINK("http://www.ncbi.nlm.nih.gov/protein/NWR66049.1","NWR66049.1")</f>
        <v>NWR66049.1</v>
      </c>
      <c r="D3757">
        <v>14438</v>
      </c>
      <c r="E3757" t="str">
        <f>HYPERLINK("http://www.ncbi.nlm.nih.gov/Taxonomy/Browser/wwwtax.cgi?mode=Info&amp;id=153643&amp;lvl=3&amp;lin=f&amp;keep=1&amp;srchmode=1&amp;unlock","153643")</f>
        <v>153643</v>
      </c>
      <c r="F3757" t="s">
        <v>241</v>
      </c>
      <c r="G3757" t="str">
        <f>HYPERLINK("http://www.ncbi.nlm.nih.gov/Taxonomy/Browser/wwwtax.cgi?mode=Info&amp;id=153643&amp;lvl=3&amp;lin=f&amp;keep=1&amp;srchmode=1&amp;unlock","Bucorvus abyssinicus")</f>
        <v>Bucorvus abyssinicus</v>
      </c>
      <c r="H3757" t="s">
        <v>663</v>
      </c>
      <c r="I3757" t="str">
        <f>HYPERLINK("http://www.ncbi.nlm.nih.gov/protein/NWR66049.1","RYR2 protein")</f>
        <v>RYR2 protein</v>
      </c>
      <c r="J3757">
        <v>6751.38</v>
      </c>
      <c r="K3757" t="s">
        <v>22</v>
      </c>
      <c r="L3757">
        <v>76</v>
      </c>
      <c r="M3757">
        <v>12.58</v>
      </c>
      <c r="N3757">
        <v>66.45</v>
      </c>
      <c r="O3757" t="s">
        <v>19</v>
      </c>
      <c r="P3757" t="s">
        <v>1320</v>
      </c>
      <c r="Q3757" t="s">
        <v>19</v>
      </c>
      <c r="R3757" t="str">
        <f>HYPERLINK("https://cfpub.epa.gov/ecotox/explore.cfm?ncbi=153643","Explore in ECOTOX")</f>
        <v>Explore in ECOTOX</v>
      </c>
    </row>
    <row r="3758" spans="1:18" x14ac:dyDescent="0.45">
      <c r="A3758" t="s">
        <v>1265</v>
      </c>
      <c r="B3758">
        <v>8</v>
      </c>
      <c r="C3758" t="str">
        <f>HYPERLINK("http://www.ncbi.nlm.nih.gov/protein/XP_025770809.1","XP_025770809.1")</f>
        <v>XP_025770809.1</v>
      </c>
      <c r="D3758">
        <v>23641</v>
      </c>
      <c r="E3758" t="str">
        <f>HYPERLINK("http://www.ncbi.nlm.nih.gov/Taxonomy/Browser/wwwtax.cgi?mode=Info&amp;id=9696&amp;lvl=3&amp;lin=f&amp;keep=1&amp;srchmode=1&amp;unlock","9696")</f>
        <v>9696</v>
      </c>
      <c r="F3758" t="s">
        <v>96</v>
      </c>
      <c r="G3758" t="str">
        <f>HYPERLINK("http://www.ncbi.nlm.nih.gov/Taxonomy/Browser/wwwtax.cgi?mode=Info&amp;id=9696&amp;lvl=3&amp;lin=f&amp;keep=1&amp;srchmode=1&amp;unlock","Puma concolor")</f>
        <v>Puma concolor</v>
      </c>
      <c r="H3758" t="s">
        <v>438</v>
      </c>
      <c r="I3758" t="str">
        <f>HYPERLINK("http://www.ncbi.nlm.nih.gov/protein/XP_025770809.1","ryanodine receptor 2")</f>
        <v>ryanodine receptor 2</v>
      </c>
      <c r="J3758">
        <v>6750.61</v>
      </c>
      <c r="K3758" t="s">
        <v>22</v>
      </c>
      <c r="L3758">
        <v>76</v>
      </c>
      <c r="M3758">
        <v>12.58</v>
      </c>
      <c r="N3758">
        <v>66.44</v>
      </c>
      <c r="O3758" t="s">
        <v>19</v>
      </c>
      <c r="P3758" t="s">
        <v>1320</v>
      </c>
      <c r="Q3758" t="s">
        <v>19</v>
      </c>
      <c r="R3758" t="str">
        <f>HYPERLINK("https://cfpub.epa.gov/ecotox/explore.cfm?ncbi=9696","Explore in ECOTOX")</f>
        <v>Explore in ECOTOX</v>
      </c>
    </row>
    <row r="3759" spans="1:18" x14ac:dyDescent="0.45">
      <c r="A3759" t="s">
        <v>1265</v>
      </c>
      <c r="B3759">
        <v>8</v>
      </c>
      <c r="C3759" t="str">
        <f>HYPERLINK("http://www.ncbi.nlm.nih.gov/protein/NXJ47614.1","NXJ47614.1")</f>
        <v>NXJ47614.1</v>
      </c>
      <c r="D3759">
        <v>14391</v>
      </c>
      <c r="E3759" t="str">
        <f>HYPERLINK("http://www.ncbi.nlm.nih.gov/Taxonomy/Browser/wwwtax.cgi?mode=Info&amp;id=252798&amp;lvl=3&amp;lin=f&amp;keep=1&amp;srchmode=1&amp;unlock","252798")</f>
        <v>252798</v>
      </c>
      <c r="F3759" t="s">
        <v>241</v>
      </c>
      <c r="G3759" t="str">
        <f>HYPERLINK("http://www.ncbi.nlm.nih.gov/Taxonomy/Browser/wwwtax.cgi?mode=Info&amp;id=252798&amp;lvl=3&amp;lin=f&amp;keep=1&amp;srchmode=1&amp;unlock","Spizaetus tyrannus")</f>
        <v>Spizaetus tyrannus</v>
      </c>
      <c r="H3759" t="s">
        <v>651</v>
      </c>
      <c r="I3759" t="str">
        <f>HYPERLINK("http://www.ncbi.nlm.nih.gov/protein/NXJ47614.1","RYR2 protein")</f>
        <v>RYR2 protein</v>
      </c>
      <c r="J3759">
        <v>6750.61</v>
      </c>
      <c r="K3759" t="s">
        <v>22</v>
      </c>
      <c r="L3759">
        <v>76</v>
      </c>
      <c r="M3759">
        <v>12.58</v>
      </c>
      <c r="N3759">
        <v>66.44</v>
      </c>
      <c r="O3759" t="s">
        <v>19</v>
      </c>
      <c r="P3759" t="s">
        <v>1320</v>
      </c>
      <c r="Q3759" t="s">
        <v>19</v>
      </c>
      <c r="R3759" t="str">
        <f>HYPERLINK("https://cfpub.epa.gov/ecotox/explore.cfm?ncbi=252798","Explore in ECOTOX")</f>
        <v>Explore in ECOTOX</v>
      </c>
    </row>
    <row r="3760" spans="1:18" x14ac:dyDescent="0.45">
      <c r="A3760" t="s">
        <v>1265</v>
      </c>
      <c r="B3760">
        <v>8</v>
      </c>
      <c r="C3760" t="str">
        <f>HYPERLINK("http://www.ncbi.nlm.nih.gov/protein/NWU79098.1","NWU79098.1")</f>
        <v>NWU79098.1</v>
      </c>
      <c r="D3760">
        <v>14404</v>
      </c>
      <c r="E3760" t="str">
        <f>HYPERLINK("http://www.ncbi.nlm.nih.gov/Taxonomy/Browser/wwwtax.cgi?mode=Info&amp;id=360224&amp;lvl=3&amp;lin=f&amp;keep=1&amp;srchmode=1&amp;unlock","360224")</f>
        <v>360224</v>
      </c>
      <c r="F3760" t="s">
        <v>241</v>
      </c>
      <c r="G3760" t="str">
        <f>HYPERLINK("http://www.ncbi.nlm.nih.gov/Taxonomy/Browser/wwwtax.cgi?mode=Info&amp;id=360224&amp;lvl=3&amp;lin=f&amp;keep=1&amp;srchmode=1&amp;unlock","Onychorhynchus coronatus")</f>
        <v>Onychorhynchus coronatus</v>
      </c>
      <c r="H3760" t="s">
        <v>435</v>
      </c>
      <c r="I3760" t="str">
        <f>HYPERLINK("http://www.ncbi.nlm.nih.gov/protein/NWU79098.1","RYR2 protein")</f>
        <v>RYR2 protein</v>
      </c>
      <c r="J3760">
        <v>6749.84</v>
      </c>
      <c r="K3760" t="s">
        <v>22</v>
      </c>
      <c r="L3760">
        <v>76</v>
      </c>
      <c r="M3760">
        <v>12.58</v>
      </c>
      <c r="N3760">
        <v>66.430000000000007</v>
      </c>
      <c r="O3760" t="s">
        <v>19</v>
      </c>
      <c r="P3760" t="s">
        <v>1320</v>
      </c>
      <c r="Q3760" t="s">
        <v>19</v>
      </c>
      <c r="R3760" t="str">
        <f>HYPERLINK("https://cfpub.epa.gov/ecotox/explore.cfm?ncbi=360224","Explore in ECOTOX")</f>
        <v>Explore in ECOTOX</v>
      </c>
    </row>
    <row r="3761" spans="1:18" x14ac:dyDescent="0.45">
      <c r="A3761" t="s">
        <v>1265</v>
      </c>
      <c r="B3761">
        <v>8</v>
      </c>
      <c r="C3761" t="str">
        <f>HYPERLINK("http://www.ncbi.nlm.nih.gov/protein/NXF05243.1","NXF05243.1")</f>
        <v>NXF05243.1</v>
      </c>
      <c r="D3761">
        <v>13858</v>
      </c>
      <c r="E3761" t="str">
        <f>HYPERLINK("http://www.ncbi.nlm.nih.gov/Taxonomy/Browser/wwwtax.cgi?mode=Info&amp;id=363769&amp;lvl=3&amp;lin=f&amp;keep=1&amp;srchmode=1&amp;unlock","363769")</f>
        <v>363769</v>
      </c>
      <c r="F3761" t="s">
        <v>241</v>
      </c>
      <c r="G3761" t="str">
        <f>HYPERLINK("http://www.ncbi.nlm.nih.gov/Taxonomy/Browser/wwwtax.cgi?mode=Info&amp;id=363769&amp;lvl=3&amp;lin=f&amp;keep=1&amp;srchmode=1&amp;unlock","Smithornis capensis")</f>
        <v>Smithornis capensis</v>
      </c>
      <c r="H3761" t="s">
        <v>435</v>
      </c>
      <c r="I3761" t="str">
        <f>HYPERLINK("http://www.ncbi.nlm.nih.gov/protein/NXF05243.1","RYR2 protein")</f>
        <v>RYR2 protein</v>
      </c>
      <c r="J3761">
        <v>6749.07</v>
      </c>
      <c r="K3761" t="s">
        <v>22</v>
      </c>
      <c r="L3761">
        <v>76</v>
      </c>
      <c r="M3761">
        <v>12.58</v>
      </c>
      <c r="N3761">
        <v>66.42</v>
      </c>
      <c r="O3761" t="s">
        <v>19</v>
      </c>
      <c r="P3761" t="s">
        <v>1320</v>
      </c>
      <c r="Q3761" t="s">
        <v>19</v>
      </c>
      <c r="R3761" t="str">
        <f>HYPERLINK("https://cfpub.epa.gov/ecotox/explore.cfm?ncbi=363769","Explore in ECOTOX")</f>
        <v>Explore in ECOTOX</v>
      </c>
    </row>
    <row r="3762" spans="1:18" x14ac:dyDescent="0.45">
      <c r="A3762" t="s">
        <v>1265</v>
      </c>
      <c r="B3762">
        <v>8</v>
      </c>
      <c r="C3762" t="str">
        <f>HYPERLINK("http://www.ncbi.nlm.nih.gov/protein/NXK89543.1","NXK89543.1")</f>
        <v>NXK89543.1</v>
      </c>
      <c r="D3762">
        <v>13620</v>
      </c>
      <c r="E3762" t="str">
        <f>HYPERLINK("http://www.ncbi.nlm.nih.gov/Taxonomy/Browser/wwwtax.cgi?mode=Info&amp;id=1118560&amp;lvl=3&amp;lin=f&amp;keep=1&amp;srchmode=1&amp;unlock","1118560")</f>
        <v>1118560</v>
      </c>
      <c r="F3762" t="s">
        <v>241</v>
      </c>
      <c r="G3762" t="str">
        <f>HYPERLINK("http://www.ncbi.nlm.nih.gov/Taxonomy/Browser/wwwtax.cgi?mode=Info&amp;id=1118560&amp;lvl=3&amp;lin=f&amp;keep=1&amp;srchmode=1&amp;unlock","Formicarius rufipectus")</f>
        <v>Formicarius rufipectus</v>
      </c>
      <c r="H3762" t="s">
        <v>435</v>
      </c>
      <c r="I3762" t="str">
        <f>HYPERLINK("http://www.ncbi.nlm.nih.gov/protein/NXK89543.1","RYR2 protein")</f>
        <v>RYR2 protein</v>
      </c>
      <c r="J3762">
        <v>6748.68</v>
      </c>
      <c r="K3762" t="s">
        <v>22</v>
      </c>
      <c r="L3762">
        <v>76</v>
      </c>
      <c r="M3762">
        <v>12.58</v>
      </c>
      <c r="N3762">
        <v>66.42</v>
      </c>
      <c r="O3762" t="s">
        <v>19</v>
      </c>
      <c r="P3762" t="s">
        <v>1320</v>
      </c>
      <c r="Q3762" t="s">
        <v>19</v>
      </c>
      <c r="R3762" t="str">
        <f>HYPERLINK("https://cfpub.epa.gov/ecotox/explore.cfm?ncbi=1118560","Explore in ECOTOX")</f>
        <v>Explore in ECOTOX</v>
      </c>
    </row>
    <row r="3763" spans="1:18" x14ac:dyDescent="0.45">
      <c r="A3763" t="s">
        <v>1265</v>
      </c>
      <c r="B3763">
        <v>8</v>
      </c>
      <c r="C3763" t="str">
        <f>HYPERLINK("http://www.ncbi.nlm.nih.gov/protein/NWV34324.1","NWV34324.1")</f>
        <v>NWV34324.1</v>
      </c>
      <c r="D3763">
        <v>14091</v>
      </c>
      <c r="E3763" t="str">
        <f>HYPERLINK("http://www.ncbi.nlm.nih.gov/Taxonomy/Browser/wwwtax.cgi?mode=Info&amp;id=266360&amp;lvl=3&amp;lin=f&amp;keep=1&amp;srchmode=1&amp;unlock","266360")</f>
        <v>266360</v>
      </c>
      <c r="F3763" t="s">
        <v>241</v>
      </c>
      <c r="G3763" t="str">
        <f>HYPERLINK("http://www.ncbi.nlm.nih.gov/Taxonomy/Browser/wwwtax.cgi?mode=Info&amp;id=266360&amp;lvl=3&amp;lin=f&amp;keep=1&amp;srchmode=1&amp;unlock","Grantiella picta")</f>
        <v>Grantiella picta</v>
      </c>
      <c r="H3763" t="s">
        <v>633</v>
      </c>
      <c r="I3763" t="str">
        <f>HYPERLINK("http://www.ncbi.nlm.nih.gov/protein/NWV34324.1","RYR2 protein")</f>
        <v>RYR2 protein</v>
      </c>
      <c r="J3763">
        <v>6748.68</v>
      </c>
      <c r="K3763" t="s">
        <v>22</v>
      </c>
      <c r="L3763">
        <v>76</v>
      </c>
      <c r="M3763">
        <v>12.58</v>
      </c>
      <c r="N3763">
        <v>66.42</v>
      </c>
      <c r="O3763" t="s">
        <v>19</v>
      </c>
      <c r="P3763" t="s">
        <v>1320</v>
      </c>
      <c r="Q3763" t="s">
        <v>19</v>
      </c>
      <c r="R3763" t="str">
        <f>HYPERLINK("https://cfpub.epa.gov/ecotox/explore.cfm?ncbi=266360","Explore in ECOTOX")</f>
        <v>Explore in ECOTOX</v>
      </c>
    </row>
    <row r="3764" spans="1:18" x14ac:dyDescent="0.45">
      <c r="A3764" t="s">
        <v>1265</v>
      </c>
      <c r="B3764">
        <v>8</v>
      </c>
      <c r="C3764" t="str">
        <f>HYPERLINK("http://www.ncbi.nlm.nih.gov/protein/NXB35105.1","NXB35105.1")</f>
        <v>NXB35105.1</v>
      </c>
      <c r="D3764">
        <v>14343</v>
      </c>
      <c r="E3764" t="str">
        <f>HYPERLINK("http://www.ncbi.nlm.nih.gov/Taxonomy/Browser/wwwtax.cgi?mode=Info&amp;id=461239&amp;lvl=3&amp;lin=f&amp;keep=1&amp;srchmode=1&amp;unlock","461239")</f>
        <v>461239</v>
      </c>
      <c r="F3764" t="s">
        <v>241</v>
      </c>
      <c r="G3764" t="str">
        <f>HYPERLINK("http://www.ncbi.nlm.nih.gov/Taxonomy/Browser/wwwtax.cgi?mode=Info&amp;id=461239&amp;lvl=3&amp;lin=f&amp;keep=1&amp;srchmode=1&amp;unlock","Eulacestoma nigropectus")</f>
        <v>Eulacestoma nigropectus</v>
      </c>
      <c r="H3764" t="s">
        <v>626</v>
      </c>
      <c r="I3764" t="str">
        <f>HYPERLINK("http://www.ncbi.nlm.nih.gov/protein/NXB35105.1","RYR2 protein")</f>
        <v>RYR2 protein</v>
      </c>
      <c r="J3764">
        <v>6748.68</v>
      </c>
      <c r="K3764" t="s">
        <v>22</v>
      </c>
      <c r="L3764">
        <v>76</v>
      </c>
      <c r="M3764">
        <v>12.58</v>
      </c>
      <c r="N3764">
        <v>66.42</v>
      </c>
      <c r="O3764" t="s">
        <v>19</v>
      </c>
      <c r="P3764" t="s">
        <v>1320</v>
      </c>
      <c r="Q3764" t="s">
        <v>19</v>
      </c>
      <c r="R3764" t="str">
        <f>HYPERLINK("https://cfpub.epa.gov/ecotox/explore.cfm?ncbi=461239","Explore in ECOTOX")</f>
        <v>Explore in ECOTOX</v>
      </c>
    </row>
    <row r="3765" spans="1:18" x14ac:dyDescent="0.45">
      <c r="A3765" t="s">
        <v>1265</v>
      </c>
      <c r="B3765">
        <v>8</v>
      </c>
      <c r="C3765" t="str">
        <f>HYPERLINK("http://www.ncbi.nlm.nih.gov/protein/NXK31771.1","NXK31771.1")</f>
        <v>NXK31771.1</v>
      </c>
      <c r="D3765">
        <v>14174</v>
      </c>
      <c r="E3765" t="str">
        <f>HYPERLINK("http://www.ncbi.nlm.nih.gov/Taxonomy/Browser/wwwtax.cgi?mode=Info&amp;id=114369&amp;lvl=3&amp;lin=f&amp;keep=1&amp;srchmode=1&amp;unlock","114369")</f>
        <v>114369</v>
      </c>
      <c r="F3765" t="s">
        <v>241</v>
      </c>
      <c r="G3765" t="str">
        <f>HYPERLINK("http://www.ncbi.nlm.nih.gov/Taxonomy/Browser/wwwtax.cgi?mode=Info&amp;id=114369&amp;lvl=3&amp;lin=f&amp;keep=1&amp;srchmode=1&amp;unlock","Piprites chloris")</f>
        <v>Piprites chloris</v>
      </c>
      <c r="H3765" t="s">
        <v>423</v>
      </c>
      <c r="I3765" t="str">
        <f>HYPERLINK("http://www.ncbi.nlm.nih.gov/protein/NXK31771.1","RYR2 protein")</f>
        <v>RYR2 protein</v>
      </c>
      <c r="J3765">
        <v>6748.3</v>
      </c>
      <c r="K3765" t="s">
        <v>22</v>
      </c>
      <c r="L3765">
        <v>76</v>
      </c>
      <c r="M3765">
        <v>12.58</v>
      </c>
      <c r="N3765">
        <v>66.42</v>
      </c>
      <c r="O3765" t="s">
        <v>19</v>
      </c>
      <c r="P3765" t="s">
        <v>1320</v>
      </c>
      <c r="Q3765" t="s">
        <v>19</v>
      </c>
      <c r="R3765" t="str">
        <f>HYPERLINK("https://cfpub.epa.gov/ecotox/explore.cfm?ncbi=114369","Explore in ECOTOX")</f>
        <v>Explore in ECOTOX</v>
      </c>
    </row>
    <row r="3766" spans="1:18" x14ac:dyDescent="0.45">
      <c r="A3766" t="s">
        <v>1265</v>
      </c>
      <c r="B3766">
        <v>8</v>
      </c>
      <c r="C3766" t="str">
        <f>HYPERLINK("http://www.ncbi.nlm.nih.gov/protein/NXB59105.1","NXB59105.1")</f>
        <v>NXB59105.1</v>
      </c>
      <c r="D3766">
        <v>14168</v>
      </c>
      <c r="E3766" t="str">
        <f>HYPERLINK("http://www.ncbi.nlm.nih.gov/Taxonomy/Browser/wwwtax.cgi?mode=Info&amp;id=181839&amp;lvl=3&amp;lin=f&amp;keep=1&amp;srchmode=1&amp;unlock","181839")</f>
        <v>181839</v>
      </c>
      <c r="F3766" t="s">
        <v>241</v>
      </c>
      <c r="G3766" t="str">
        <f>HYPERLINK("http://www.ncbi.nlm.nih.gov/Taxonomy/Browser/wwwtax.cgi?mode=Info&amp;id=181839&amp;lvl=3&amp;lin=f&amp;keep=1&amp;srchmode=1&amp;unlock","Struthidea cinerea")</f>
        <v>Struthidea cinerea</v>
      </c>
      <c r="H3766" t="s">
        <v>621</v>
      </c>
      <c r="I3766" t="str">
        <f>HYPERLINK("http://www.ncbi.nlm.nih.gov/protein/NXB59105.1","RYR2 protein")</f>
        <v>RYR2 protein</v>
      </c>
      <c r="J3766">
        <v>6747.91</v>
      </c>
      <c r="K3766" t="s">
        <v>22</v>
      </c>
      <c r="L3766">
        <v>76</v>
      </c>
      <c r="M3766">
        <v>12.58</v>
      </c>
      <c r="N3766">
        <v>66.41</v>
      </c>
      <c r="O3766" t="s">
        <v>19</v>
      </c>
      <c r="P3766" t="s">
        <v>1320</v>
      </c>
      <c r="Q3766" t="s">
        <v>19</v>
      </c>
      <c r="R3766" t="str">
        <f>HYPERLINK("https://cfpub.epa.gov/ecotox/explore.cfm?ncbi=181839","Explore in ECOTOX")</f>
        <v>Explore in ECOTOX</v>
      </c>
    </row>
    <row r="3767" spans="1:18" x14ac:dyDescent="0.45">
      <c r="A3767" t="s">
        <v>1265</v>
      </c>
      <c r="B3767">
        <v>8</v>
      </c>
      <c r="C3767" t="str">
        <f>HYPERLINK("http://www.ncbi.nlm.nih.gov/protein/NWS95887.1","NWS95887.1")</f>
        <v>NWS95887.1</v>
      </c>
      <c r="D3767">
        <v>14226</v>
      </c>
      <c r="E3767" t="str">
        <f>HYPERLINK("http://www.ncbi.nlm.nih.gov/Taxonomy/Browser/wwwtax.cgi?mode=Info&amp;id=254557&amp;lvl=3&amp;lin=f&amp;keep=1&amp;srchmode=1&amp;unlock","254557")</f>
        <v>254557</v>
      </c>
      <c r="F3767" t="s">
        <v>241</v>
      </c>
      <c r="G3767" t="str">
        <f>HYPERLINK("http://www.ncbi.nlm.nih.gov/Taxonomy/Browser/wwwtax.cgi?mode=Info&amp;id=254557&amp;lvl=3&amp;lin=f&amp;keep=1&amp;srchmode=1&amp;unlock","Mionectes macconnelli")</f>
        <v>Mionectes macconnelli</v>
      </c>
      <c r="H3767" t="s">
        <v>629</v>
      </c>
      <c r="I3767" t="str">
        <f>HYPERLINK("http://www.ncbi.nlm.nih.gov/protein/NWS95887.1","RYR2 protein")</f>
        <v>RYR2 protein</v>
      </c>
      <c r="J3767">
        <v>6747.91</v>
      </c>
      <c r="K3767" t="s">
        <v>22</v>
      </c>
      <c r="L3767">
        <v>76</v>
      </c>
      <c r="M3767">
        <v>12.58</v>
      </c>
      <c r="N3767">
        <v>66.41</v>
      </c>
      <c r="O3767" t="s">
        <v>19</v>
      </c>
      <c r="P3767" t="s">
        <v>1320</v>
      </c>
      <c r="Q3767" t="s">
        <v>19</v>
      </c>
      <c r="R3767" t="str">
        <f>HYPERLINK("https://cfpub.epa.gov/ecotox/explore.cfm?ncbi=254557","Explore in ECOTOX")</f>
        <v>Explore in ECOTOX</v>
      </c>
    </row>
    <row r="3768" spans="1:18" x14ac:dyDescent="0.45">
      <c r="A3768" t="s">
        <v>1265</v>
      </c>
      <c r="B3768">
        <v>8</v>
      </c>
      <c r="C3768" t="str">
        <f>HYPERLINK("http://www.ncbi.nlm.nih.gov/protein/NWX08413.1","NWX08413.1")</f>
        <v>NWX08413.1</v>
      </c>
      <c r="D3768">
        <v>14125</v>
      </c>
      <c r="E3768" t="str">
        <f>HYPERLINK("http://www.ncbi.nlm.nih.gov/Taxonomy/Browser/wwwtax.cgi?mode=Info&amp;id=187106&amp;lvl=3&amp;lin=f&amp;keep=1&amp;srchmode=1&amp;unlock","187106")</f>
        <v>187106</v>
      </c>
      <c r="F3768" t="s">
        <v>241</v>
      </c>
      <c r="G3768" t="str">
        <f>HYPERLINK("http://www.ncbi.nlm.nih.gov/Taxonomy/Browser/wwwtax.cgi?mode=Info&amp;id=187106&amp;lvl=3&amp;lin=f&amp;keep=1&amp;srchmode=1&amp;unlock","Caloenas nicobarica")</f>
        <v>Caloenas nicobarica</v>
      </c>
      <c r="H3768" t="s">
        <v>444</v>
      </c>
      <c r="I3768" t="str">
        <f>HYPERLINK("http://www.ncbi.nlm.nih.gov/protein/NWX08413.1","RYR2 protein")</f>
        <v>RYR2 protein</v>
      </c>
      <c r="J3768">
        <v>6747.14</v>
      </c>
      <c r="K3768" t="s">
        <v>22</v>
      </c>
      <c r="L3768">
        <v>76</v>
      </c>
      <c r="M3768">
        <v>12.58</v>
      </c>
      <c r="N3768">
        <v>66.400000000000006</v>
      </c>
      <c r="O3768" t="s">
        <v>19</v>
      </c>
      <c r="P3768" t="s">
        <v>1320</v>
      </c>
      <c r="Q3768" t="s">
        <v>19</v>
      </c>
      <c r="R3768" t="str">
        <f>HYPERLINK("https://cfpub.epa.gov/ecotox/explore.cfm?ncbi=187106","Explore in ECOTOX")</f>
        <v>Explore in ECOTOX</v>
      </c>
    </row>
    <row r="3769" spans="1:18" x14ac:dyDescent="0.45">
      <c r="A3769" t="s">
        <v>1265</v>
      </c>
      <c r="B3769">
        <v>8</v>
      </c>
      <c r="C3769" t="str">
        <f>HYPERLINK("http://www.ncbi.nlm.nih.gov/protein/NXH65175.1","NXH65175.1")</f>
        <v>NXH65175.1</v>
      </c>
      <c r="D3769">
        <v>14389</v>
      </c>
      <c r="E3769" t="str">
        <f>HYPERLINK("http://www.ncbi.nlm.nih.gov/Taxonomy/Browser/wwwtax.cgi?mode=Info&amp;id=237438&amp;lvl=3&amp;lin=f&amp;keep=1&amp;srchmode=1&amp;unlock","237438")</f>
        <v>237438</v>
      </c>
      <c r="F3769" t="s">
        <v>241</v>
      </c>
      <c r="G3769" t="str">
        <f>HYPERLINK("http://www.ncbi.nlm.nih.gov/Taxonomy/Browser/wwwtax.cgi?mode=Info&amp;id=237438&amp;lvl=3&amp;lin=f&amp;keep=1&amp;srchmode=1&amp;unlock","Rhabdornis inornatus")</f>
        <v>Rhabdornis inornatus</v>
      </c>
      <c r="H3769" t="s">
        <v>435</v>
      </c>
      <c r="I3769" t="str">
        <f>HYPERLINK("http://www.ncbi.nlm.nih.gov/protein/NXH65175.1","RYR2 protein")</f>
        <v>RYR2 protein</v>
      </c>
      <c r="J3769">
        <v>6747.14</v>
      </c>
      <c r="K3769" t="s">
        <v>22</v>
      </c>
      <c r="L3769">
        <v>76</v>
      </c>
      <c r="M3769">
        <v>12.58</v>
      </c>
      <c r="N3769">
        <v>66.400000000000006</v>
      </c>
      <c r="O3769" t="s">
        <v>19</v>
      </c>
      <c r="P3769" t="s">
        <v>1320</v>
      </c>
      <c r="Q3769" t="s">
        <v>19</v>
      </c>
      <c r="R3769" t="str">
        <f>HYPERLINK("https://cfpub.epa.gov/ecotox/explore.cfm?ncbi=237438","Explore in ECOTOX")</f>
        <v>Explore in ECOTOX</v>
      </c>
    </row>
    <row r="3770" spans="1:18" x14ac:dyDescent="0.45">
      <c r="A3770" t="s">
        <v>1265</v>
      </c>
      <c r="B3770">
        <v>8</v>
      </c>
      <c r="C3770" t="str">
        <f>HYPERLINK("http://www.ncbi.nlm.nih.gov/protein/NXN72326.1","NXN72326.1")</f>
        <v>NXN72326.1</v>
      </c>
      <c r="D3770">
        <v>14349</v>
      </c>
      <c r="E3770" t="str">
        <f>HYPERLINK("http://www.ncbi.nlm.nih.gov/Taxonomy/Browser/wwwtax.cgi?mode=Info&amp;id=225398&amp;lvl=3&amp;lin=f&amp;keep=1&amp;srchmode=1&amp;unlock","225398")</f>
        <v>225398</v>
      </c>
      <c r="F3770" t="s">
        <v>241</v>
      </c>
      <c r="G3770" t="str">
        <f>HYPERLINK("http://www.ncbi.nlm.nih.gov/Taxonomy/Browser/wwwtax.cgi?mode=Info&amp;id=225398&amp;lvl=3&amp;lin=f&amp;keep=1&amp;srchmode=1&amp;unlock","Himantopus himantopus")</f>
        <v>Himantopus himantopus</v>
      </c>
      <c r="H3770" t="s">
        <v>449</v>
      </c>
      <c r="I3770" t="str">
        <f>HYPERLINK("http://www.ncbi.nlm.nih.gov/protein/NXN72326.1","RYR2 protein")</f>
        <v>RYR2 protein</v>
      </c>
      <c r="J3770">
        <v>6746.37</v>
      </c>
      <c r="K3770" t="s">
        <v>22</v>
      </c>
      <c r="L3770">
        <v>76</v>
      </c>
      <c r="M3770">
        <v>12.58</v>
      </c>
      <c r="N3770">
        <v>66.400000000000006</v>
      </c>
      <c r="O3770" t="s">
        <v>19</v>
      </c>
      <c r="P3770" t="s">
        <v>1320</v>
      </c>
      <c r="Q3770" t="s">
        <v>19</v>
      </c>
      <c r="R3770" t="str">
        <f>HYPERLINK("https://cfpub.epa.gov/ecotox/explore.cfm?ncbi=225398","Explore in ECOTOX")</f>
        <v>Explore in ECOTOX</v>
      </c>
    </row>
    <row r="3771" spans="1:18" x14ac:dyDescent="0.45">
      <c r="A3771" t="s">
        <v>1265</v>
      </c>
      <c r="B3771">
        <v>8</v>
      </c>
      <c r="C3771" t="str">
        <f>HYPERLINK("http://www.ncbi.nlm.nih.gov/protein/KAF1658226.1","KAF1658226.1")</f>
        <v>KAF1658226.1</v>
      </c>
      <c r="D3771">
        <v>14000</v>
      </c>
      <c r="E3771" t="str">
        <f>HYPERLINK("http://www.ncbi.nlm.nih.gov/Taxonomy/Browser/wwwtax.cgi?mode=Info&amp;id=9234&amp;lvl=3&amp;lin=f&amp;keep=1&amp;srchmode=1&amp;unlock","9234")</f>
        <v>9234</v>
      </c>
      <c r="F3771" t="s">
        <v>241</v>
      </c>
      <c r="G3771" t="str">
        <f>HYPERLINK("http://www.ncbi.nlm.nih.gov/Taxonomy/Browser/wwwtax.cgi?mode=Info&amp;id=9234&amp;lvl=3&amp;lin=f&amp;keep=1&amp;srchmode=1&amp;unlock","Aptenodytes patagonicus")</f>
        <v>Aptenodytes patagonicus</v>
      </c>
      <c r="H3771" t="s">
        <v>642</v>
      </c>
      <c r="I3771" t="str">
        <f>HYPERLINK("http://www.ncbi.nlm.nih.gov/protein/KAF1658226.1","Ryanodine receptor 2, partial")</f>
        <v>Ryanodine receptor 2, partial</v>
      </c>
      <c r="J3771">
        <v>6745.6</v>
      </c>
      <c r="K3771" t="s">
        <v>22</v>
      </c>
      <c r="L3771">
        <v>76</v>
      </c>
      <c r="M3771">
        <v>12.58</v>
      </c>
      <c r="N3771">
        <v>66.39</v>
      </c>
      <c r="O3771" t="s">
        <v>19</v>
      </c>
      <c r="P3771" t="s">
        <v>1320</v>
      </c>
      <c r="Q3771" t="s">
        <v>19</v>
      </c>
      <c r="R3771" t="str">
        <f>HYPERLINK("https://cfpub.epa.gov/ecotox/explore.cfm?ncbi=9234","Explore in ECOTOX")</f>
        <v>Explore in ECOTOX</v>
      </c>
    </row>
    <row r="3772" spans="1:18" x14ac:dyDescent="0.45">
      <c r="A3772" t="s">
        <v>1265</v>
      </c>
      <c r="B3772">
        <v>8</v>
      </c>
      <c r="C3772" t="str">
        <f>HYPERLINK("http://www.ncbi.nlm.nih.gov/protein/NXH25316.1","NXH25316.1")</f>
        <v>NXH25316.1</v>
      </c>
      <c r="D3772">
        <v>13940</v>
      </c>
      <c r="E3772" t="str">
        <f>HYPERLINK("http://www.ncbi.nlm.nih.gov/Taxonomy/Browser/wwwtax.cgi?mode=Info&amp;id=381031&amp;lvl=3&amp;lin=f&amp;keep=1&amp;srchmode=1&amp;unlock","381031")</f>
        <v>381031</v>
      </c>
      <c r="F3772" t="s">
        <v>241</v>
      </c>
      <c r="G3772" t="str">
        <f>HYPERLINK("http://www.ncbi.nlm.nih.gov/Taxonomy/Browser/wwwtax.cgi?mode=Info&amp;id=381031&amp;lvl=3&amp;lin=f&amp;keep=1&amp;srchmode=1&amp;unlock","Myiagra hebetior")</f>
        <v>Myiagra hebetior</v>
      </c>
      <c r="H3772" t="s">
        <v>435</v>
      </c>
      <c r="I3772" t="str">
        <f>HYPERLINK("http://www.ncbi.nlm.nih.gov/protein/NXH25316.1","RYR2 protein")</f>
        <v>RYR2 protein</v>
      </c>
      <c r="J3772">
        <v>6745.22</v>
      </c>
      <c r="K3772" t="s">
        <v>22</v>
      </c>
      <c r="L3772">
        <v>76</v>
      </c>
      <c r="M3772">
        <v>12.58</v>
      </c>
      <c r="N3772">
        <v>66.38</v>
      </c>
      <c r="O3772" t="s">
        <v>19</v>
      </c>
      <c r="P3772" t="s">
        <v>1320</v>
      </c>
      <c r="Q3772" t="s">
        <v>19</v>
      </c>
      <c r="R3772" t="str">
        <f>HYPERLINK("https://cfpub.epa.gov/ecotox/explore.cfm?ncbi=381031","Explore in ECOTOX")</f>
        <v>Explore in ECOTOX</v>
      </c>
    </row>
    <row r="3773" spans="1:18" x14ac:dyDescent="0.45">
      <c r="A3773" t="s">
        <v>1265</v>
      </c>
      <c r="B3773">
        <v>8</v>
      </c>
      <c r="C3773" t="str">
        <f>HYPERLINK("http://www.ncbi.nlm.nih.gov/protein/NWS58542.1","NWS58542.1")</f>
        <v>NWS58542.1</v>
      </c>
      <c r="D3773">
        <v>14433</v>
      </c>
      <c r="E3773" t="str">
        <f>HYPERLINK("http://www.ncbi.nlm.nih.gov/Taxonomy/Browser/wwwtax.cgi?mode=Info&amp;id=1352770&amp;lvl=3&amp;lin=f&amp;keep=1&amp;srchmode=1&amp;unlock","1352770")</f>
        <v>1352770</v>
      </c>
      <c r="F3773" t="s">
        <v>241</v>
      </c>
      <c r="G3773" t="str">
        <f>HYPERLINK("http://www.ncbi.nlm.nih.gov/Taxonomy/Browser/wwwtax.cgi?mode=Info&amp;id=1352770&amp;lvl=3&amp;lin=f&amp;keep=1&amp;srchmode=1&amp;unlock","Chunga burmeisteri")</f>
        <v>Chunga burmeisteri</v>
      </c>
      <c r="H3773" t="s">
        <v>451</v>
      </c>
      <c r="I3773" t="str">
        <f>HYPERLINK("http://www.ncbi.nlm.nih.gov/protein/NWS58542.1","RYR2 protein")</f>
        <v>RYR2 protein</v>
      </c>
      <c r="J3773">
        <v>6744.83</v>
      </c>
      <c r="K3773" t="s">
        <v>22</v>
      </c>
      <c r="L3773">
        <v>76</v>
      </c>
      <c r="M3773">
        <v>12.58</v>
      </c>
      <c r="N3773">
        <v>66.38</v>
      </c>
      <c r="O3773" t="s">
        <v>19</v>
      </c>
      <c r="P3773" t="s">
        <v>1320</v>
      </c>
      <c r="Q3773" t="s">
        <v>19</v>
      </c>
      <c r="R3773" t="str">
        <f>HYPERLINK("https://cfpub.epa.gov/ecotox/explore.cfm?ncbi=1352770","Explore in ECOTOX")</f>
        <v>Explore in ECOTOX</v>
      </c>
    </row>
    <row r="3774" spans="1:18" x14ac:dyDescent="0.45">
      <c r="A3774" t="s">
        <v>1265</v>
      </c>
      <c r="B3774">
        <v>8</v>
      </c>
      <c r="C3774" t="str">
        <f>HYPERLINK("http://www.ncbi.nlm.nih.gov/protein/XP_009989983.1","XP_009989983.1")</f>
        <v>XP_009989983.1</v>
      </c>
      <c r="D3774">
        <v>28571</v>
      </c>
      <c r="E3774" t="str">
        <f>HYPERLINK("http://www.ncbi.nlm.nih.gov/Taxonomy/Browser/wwwtax.cgi?mode=Info&amp;id=121530&amp;lvl=3&amp;lin=f&amp;keep=1&amp;srchmode=1&amp;unlock","121530")</f>
        <v>121530</v>
      </c>
      <c r="F3774" t="s">
        <v>241</v>
      </c>
      <c r="G3774" t="str">
        <f>HYPERLINK("http://www.ncbi.nlm.nih.gov/Taxonomy/Browser/wwwtax.cgi?mode=Info&amp;id=121530&amp;lvl=3&amp;lin=f&amp;keep=1&amp;srchmode=1&amp;unlock","Tauraco erythrolophus")</f>
        <v>Tauraco erythrolophus</v>
      </c>
      <c r="H3774" t="s">
        <v>507</v>
      </c>
      <c r="I3774" t="str">
        <f>HYPERLINK("http://www.ncbi.nlm.nih.gov/protein/XP_009989983.1","PREDICTED: LOW QUALITY PROTEIN: ryanodine receptor 3-like, partial")</f>
        <v>PREDICTED: LOW QUALITY PROTEIN: ryanodine receptor 3-like, partial</v>
      </c>
      <c r="J3774">
        <v>6744.83</v>
      </c>
      <c r="K3774" t="s">
        <v>22</v>
      </c>
      <c r="L3774">
        <v>76</v>
      </c>
      <c r="M3774">
        <v>12.58</v>
      </c>
      <c r="N3774">
        <v>66.38</v>
      </c>
      <c r="O3774" t="s">
        <v>19</v>
      </c>
      <c r="P3774" t="s">
        <v>1320</v>
      </c>
      <c r="Q3774" t="s">
        <v>19</v>
      </c>
      <c r="R3774" t="str">
        <f>HYPERLINK("https://cfpub.epa.gov/ecotox/explore.cfm?ncbi=121530","Explore in ECOTOX")</f>
        <v>Explore in ECOTOX</v>
      </c>
    </row>
    <row r="3775" spans="1:18" x14ac:dyDescent="0.45">
      <c r="A3775" t="s">
        <v>1265</v>
      </c>
      <c r="B3775">
        <v>8</v>
      </c>
      <c r="C3775" t="str">
        <f>HYPERLINK("http://www.ncbi.nlm.nih.gov/protein/NXE21072.1","NXE21072.1")</f>
        <v>NXE21072.1</v>
      </c>
      <c r="D3775">
        <v>13746</v>
      </c>
      <c r="E3775" t="str">
        <f>HYPERLINK("http://www.ncbi.nlm.nih.gov/Taxonomy/Browser/wwwtax.cgi?mode=Info&amp;id=89386&amp;lvl=3&amp;lin=f&amp;keep=1&amp;srchmode=1&amp;unlock","89386")</f>
        <v>89386</v>
      </c>
      <c r="F3775" t="s">
        <v>241</v>
      </c>
      <c r="G3775" t="str">
        <f>HYPERLINK("http://www.ncbi.nlm.nih.gov/Taxonomy/Browser/wwwtax.cgi?mode=Info&amp;id=89386&amp;lvl=3&amp;lin=f&amp;keep=1&amp;srchmode=1&amp;unlock","Ardeotis kori")</f>
        <v>Ardeotis kori</v>
      </c>
      <c r="H3775" t="s">
        <v>638</v>
      </c>
      <c r="I3775" t="str">
        <f>HYPERLINK("http://www.ncbi.nlm.nih.gov/protein/NXE21072.1","RYR2 protein")</f>
        <v>RYR2 protein</v>
      </c>
      <c r="J3775">
        <v>6744.45</v>
      </c>
      <c r="K3775" t="s">
        <v>22</v>
      </c>
      <c r="L3775">
        <v>76</v>
      </c>
      <c r="M3775">
        <v>12.58</v>
      </c>
      <c r="N3775">
        <v>66.38</v>
      </c>
      <c r="O3775" t="s">
        <v>19</v>
      </c>
      <c r="P3775" t="s">
        <v>1320</v>
      </c>
      <c r="Q3775" t="s">
        <v>19</v>
      </c>
      <c r="R3775" t="str">
        <f>HYPERLINK("https://cfpub.epa.gov/ecotox/explore.cfm?ncbi=89386","Explore in ECOTOX")</f>
        <v>Explore in ECOTOX</v>
      </c>
    </row>
    <row r="3776" spans="1:18" x14ac:dyDescent="0.45">
      <c r="A3776" t="s">
        <v>1265</v>
      </c>
      <c r="B3776">
        <v>8</v>
      </c>
      <c r="C3776" t="str">
        <f>HYPERLINK("http://www.ncbi.nlm.nih.gov/protein/NXG27325.1","NXG27325.1")</f>
        <v>NXG27325.1</v>
      </c>
      <c r="D3776">
        <v>45135</v>
      </c>
      <c r="E3776" t="str">
        <f>HYPERLINK("http://www.ncbi.nlm.nih.gov/Taxonomy/Browser/wwwtax.cgi?mode=Info&amp;id=8790&amp;lvl=3&amp;lin=f&amp;keep=1&amp;srchmode=1&amp;unlock","8790")</f>
        <v>8790</v>
      </c>
      <c r="F3776" t="s">
        <v>241</v>
      </c>
      <c r="G3776" t="str">
        <f>HYPERLINK("http://www.ncbi.nlm.nih.gov/Taxonomy/Browser/wwwtax.cgi?mode=Info&amp;id=8790&amp;lvl=3&amp;lin=f&amp;keep=1&amp;srchmode=1&amp;unlock","Dromaius novaehollandiae")</f>
        <v>Dromaius novaehollandiae</v>
      </c>
      <c r="H3776" t="s">
        <v>432</v>
      </c>
      <c r="I3776" t="str">
        <f>HYPERLINK("http://www.ncbi.nlm.nih.gov/protein/NXG27325.1","RYR2 protein")</f>
        <v>RYR2 protein</v>
      </c>
      <c r="J3776">
        <v>6743.67</v>
      </c>
      <c r="K3776" t="s">
        <v>22</v>
      </c>
      <c r="L3776">
        <v>76</v>
      </c>
      <c r="M3776">
        <v>12.58</v>
      </c>
      <c r="N3776">
        <v>66.37</v>
      </c>
      <c r="O3776" t="s">
        <v>19</v>
      </c>
      <c r="P3776" t="s">
        <v>1320</v>
      </c>
      <c r="Q3776" t="s">
        <v>19</v>
      </c>
      <c r="R3776" t="str">
        <f>HYPERLINK("https://cfpub.epa.gov/ecotox/explore.cfm?ncbi=8790","Explore in ECOTOX")</f>
        <v>Explore in ECOTOX</v>
      </c>
    </row>
    <row r="3777" spans="1:18" x14ac:dyDescent="0.45">
      <c r="A3777" t="s">
        <v>1265</v>
      </c>
      <c r="B3777">
        <v>8</v>
      </c>
      <c r="C3777" t="str">
        <f>HYPERLINK("http://www.ncbi.nlm.nih.gov/protein/NXC05808.1","NXC05808.1")</f>
        <v>NXC05808.1</v>
      </c>
      <c r="D3777">
        <v>14308</v>
      </c>
      <c r="E3777" t="str">
        <f>HYPERLINK("http://www.ncbi.nlm.nih.gov/Taxonomy/Browser/wwwtax.cgi?mode=Info&amp;id=38397&amp;lvl=3&amp;lin=f&amp;keep=1&amp;srchmode=1&amp;unlock","38397")</f>
        <v>38397</v>
      </c>
      <c r="F3777" t="s">
        <v>241</v>
      </c>
      <c r="G3777" t="str">
        <f>HYPERLINK("http://www.ncbi.nlm.nih.gov/Taxonomy/Browser/wwwtax.cgi?mode=Info&amp;id=38397&amp;lvl=3&amp;lin=f&amp;keep=1&amp;srchmode=1&amp;unlock","Orthonyx spaldingii")</f>
        <v>Orthonyx spaldingii</v>
      </c>
      <c r="H3777" t="s">
        <v>623</v>
      </c>
      <c r="I3777" t="str">
        <f>HYPERLINK("http://www.ncbi.nlm.nih.gov/protein/NXC05808.1","RYR2 protein")</f>
        <v>RYR2 protein</v>
      </c>
      <c r="J3777">
        <v>6743.67</v>
      </c>
      <c r="K3777" t="s">
        <v>22</v>
      </c>
      <c r="L3777">
        <v>76</v>
      </c>
      <c r="M3777">
        <v>12.58</v>
      </c>
      <c r="N3777">
        <v>66.37</v>
      </c>
      <c r="O3777" t="s">
        <v>19</v>
      </c>
      <c r="P3777" t="s">
        <v>1320</v>
      </c>
      <c r="Q3777" t="s">
        <v>19</v>
      </c>
      <c r="R3777" t="str">
        <f>HYPERLINK("https://cfpub.epa.gov/ecotox/explore.cfm?ncbi=38397","Explore in ECOTOX")</f>
        <v>Explore in ECOTOX</v>
      </c>
    </row>
    <row r="3778" spans="1:18" x14ac:dyDescent="0.45">
      <c r="A3778" t="s">
        <v>1265</v>
      </c>
      <c r="B3778">
        <v>8</v>
      </c>
      <c r="C3778" t="str">
        <f>HYPERLINK("http://www.ncbi.nlm.nih.gov/protein/NWT87627.1","NWT87627.1")</f>
        <v>NWT87627.1</v>
      </c>
      <c r="D3778">
        <v>13733</v>
      </c>
      <c r="E3778" t="str">
        <f>HYPERLINK("http://www.ncbi.nlm.nih.gov/Taxonomy/Browser/wwwtax.cgi?mode=Info&amp;id=28713&amp;lvl=3&amp;lin=f&amp;keep=1&amp;srchmode=1&amp;unlock","28713")</f>
        <v>28713</v>
      </c>
      <c r="F3778" t="s">
        <v>241</v>
      </c>
      <c r="G3778" t="str">
        <f>HYPERLINK("http://www.ncbi.nlm.nih.gov/Taxonomy/Browser/wwwtax.cgi?mode=Info&amp;id=28713&amp;lvl=3&amp;lin=f&amp;keep=1&amp;srchmode=1&amp;unlock","Lanius ludovicianus")</f>
        <v>Lanius ludovicianus</v>
      </c>
      <c r="H3778" t="s">
        <v>624</v>
      </c>
      <c r="I3778" t="str">
        <f>HYPERLINK("http://www.ncbi.nlm.nih.gov/protein/NWT87627.1","RYR2 protein")</f>
        <v>RYR2 protein</v>
      </c>
      <c r="J3778">
        <v>6742.9</v>
      </c>
      <c r="K3778" t="s">
        <v>22</v>
      </c>
      <c r="L3778">
        <v>76</v>
      </c>
      <c r="M3778">
        <v>12.58</v>
      </c>
      <c r="N3778">
        <v>66.36</v>
      </c>
      <c r="O3778" t="s">
        <v>19</v>
      </c>
      <c r="P3778" t="s">
        <v>1320</v>
      </c>
      <c r="Q3778" t="s">
        <v>19</v>
      </c>
      <c r="R3778" t="str">
        <f>HYPERLINK("https://cfpub.epa.gov/ecotox/explore.cfm?ncbi=28713","Explore in ECOTOX")</f>
        <v>Explore in ECOTOX</v>
      </c>
    </row>
    <row r="3779" spans="1:18" x14ac:dyDescent="0.45">
      <c r="A3779" t="s">
        <v>1265</v>
      </c>
      <c r="B3779">
        <v>8</v>
      </c>
      <c r="C3779" t="str">
        <f>HYPERLINK("http://www.ncbi.nlm.nih.gov/protein/KAF1615957.1","KAF1615957.1")</f>
        <v>KAF1615957.1</v>
      </c>
      <c r="D3779">
        <v>14670</v>
      </c>
      <c r="E3779" t="str">
        <f>HYPERLINK("http://www.ncbi.nlm.nih.gov/Taxonomy/Browser/wwwtax.cgi?mode=Info&amp;id=79627&amp;lvl=3&amp;lin=f&amp;keep=1&amp;srchmode=1&amp;unlock","79627")</f>
        <v>79627</v>
      </c>
      <c r="F3779" t="s">
        <v>241</v>
      </c>
      <c r="G3779" t="str">
        <f>HYPERLINK("http://www.ncbi.nlm.nih.gov/Taxonomy/Browser/wwwtax.cgi?mode=Info&amp;id=79627&amp;lvl=3&amp;lin=f&amp;keep=1&amp;srchmode=1&amp;unlock","Eudyptes chrysolophus")</f>
        <v>Eudyptes chrysolophus</v>
      </c>
      <c r="H3779" t="s">
        <v>636</v>
      </c>
      <c r="I3779" t="str">
        <f>HYPERLINK("http://www.ncbi.nlm.nih.gov/protein/KAF1615957.1","Ryanodine receptor 2, partial")</f>
        <v>Ryanodine receptor 2, partial</v>
      </c>
      <c r="J3779">
        <v>6742.9</v>
      </c>
      <c r="K3779" t="s">
        <v>22</v>
      </c>
      <c r="L3779">
        <v>76</v>
      </c>
      <c r="M3779">
        <v>12.58</v>
      </c>
      <c r="N3779">
        <v>66.36</v>
      </c>
      <c r="O3779" t="s">
        <v>19</v>
      </c>
      <c r="P3779" t="s">
        <v>1320</v>
      </c>
      <c r="Q3779" t="s">
        <v>19</v>
      </c>
      <c r="R3779" t="str">
        <f>HYPERLINK("https://cfpub.epa.gov/ecotox/explore.cfm?ncbi=79627","Explore in ECOTOX")</f>
        <v>Explore in ECOTOX</v>
      </c>
    </row>
    <row r="3780" spans="1:18" x14ac:dyDescent="0.45">
      <c r="A3780" t="s">
        <v>1265</v>
      </c>
      <c r="B3780">
        <v>8</v>
      </c>
      <c r="C3780" t="str">
        <f>HYPERLINK("http://www.ncbi.nlm.nih.gov/protein/KAF1467559.1","KAF1467559.1")</f>
        <v>KAF1467559.1</v>
      </c>
      <c r="D3780">
        <v>14562</v>
      </c>
      <c r="E3780" t="str">
        <f>HYPERLINK("http://www.ncbi.nlm.nih.gov/Taxonomy/Browser/wwwtax.cgi?mode=Info&amp;id=2517240&amp;lvl=3&amp;lin=f&amp;keep=1&amp;srchmode=1&amp;unlock","2517240")</f>
        <v>2517240</v>
      </c>
      <c r="F3780" t="s">
        <v>241</v>
      </c>
      <c r="G3780" t="str">
        <f>HYPERLINK("http://www.ncbi.nlm.nih.gov/Taxonomy/Browser/wwwtax.cgi?mode=Info&amp;id=2517240&amp;lvl=3&amp;lin=f&amp;keep=1&amp;srchmode=1&amp;unlock","Megadyptes antipodes antipodes")</f>
        <v>Megadyptes antipodes antipodes</v>
      </c>
      <c r="H3780" t="s">
        <v>648</v>
      </c>
      <c r="I3780" t="str">
        <f>HYPERLINK("http://www.ncbi.nlm.nih.gov/protein/KAF1467559.1","Ryanodine receptor 2, partial")</f>
        <v>Ryanodine receptor 2, partial</v>
      </c>
      <c r="J3780">
        <v>6742.13</v>
      </c>
      <c r="K3780" t="s">
        <v>22</v>
      </c>
      <c r="L3780">
        <v>76</v>
      </c>
      <c r="M3780">
        <v>12.58</v>
      </c>
      <c r="N3780">
        <v>66.349999999999994</v>
      </c>
      <c r="O3780" t="s">
        <v>19</v>
      </c>
      <c r="P3780" t="s">
        <v>1320</v>
      </c>
      <c r="Q3780" t="s">
        <v>19</v>
      </c>
      <c r="R3780" t="str">
        <f>HYPERLINK("https://cfpub.epa.gov/ecotox/explore.cfm?ncbi=2517240","Explore in ECOTOX")</f>
        <v>Explore in ECOTOX</v>
      </c>
    </row>
    <row r="3781" spans="1:18" x14ac:dyDescent="0.45">
      <c r="A3781" t="s">
        <v>1265</v>
      </c>
      <c r="B3781">
        <v>8</v>
      </c>
      <c r="C3781" t="str">
        <f>HYPERLINK("http://www.ncbi.nlm.nih.gov/protein/NWT08499.1","NWT08499.1")</f>
        <v>NWT08499.1</v>
      </c>
      <c r="D3781">
        <v>14153</v>
      </c>
      <c r="E3781" t="str">
        <f>HYPERLINK("http://www.ncbi.nlm.nih.gov/Taxonomy/Browser/wwwtax.cgi?mode=Info&amp;id=34956&amp;lvl=3&amp;lin=f&amp;keep=1&amp;srchmode=1&amp;unlock","34956")</f>
        <v>34956</v>
      </c>
      <c r="F3781" t="s">
        <v>241</v>
      </c>
      <c r="G3781" t="str">
        <f>HYPERLINK("http://www.ncbi.nlm.nih.gov/Taxonomy/Browser/wwwtax.cgi?mode=Info&amp;id=34956&amp;lvl=3&amp;lin=f&amp;keep=1&amp;srchmode=1&amp;unlock","Vireo altiloquus")</f>
        <v>Vireo altiloquus</v>
      </c>
      <c r="H3781" t="s">
        <v>641</v>
      </c>
      <c r="I3781" t="str">
        <f>HYPERLINK("http://www.ncbi.nlm.nih.gov/protein/NWT08499.1","RYR2 protein")</f>
        <v>RYR2 protein</v>
      </c>
      <c r="J3781">
        <v>6742.13</v>
      </c>
      <c r="K3781" t="s">
        <v>22</v>
      </c>
      <c r="L3781">
        <v>76</v>
      </c>
      <c r="M3781">
        <v>12.58</v>
      </c>
      <c r="N3781">
        <v>66.349999999999994</v>
      </c>
      <c r="O3781" t="s">
        <v>19</v>
      </c>
      <c r="P3781" t="s">
        <v>1320</v>
      </c>
      <c r="Q3781" t="s">
        <v>19</v>
      </c>
      <c r="R3781" t="str">
        <f>HYPERLINK("https://cfpub.epa.gov/ecotox/explore.cfm?ncbi=34956","Explore in ECOTOX")</f>
        <v>Explore in ECOTOX</v>
      </c>
    </row>
    <row r="3782" spans="1:18" x14ac:dyDescent="0.45">
      <c r="A3782" t="s">
        <v>1265</v>
      </c>
      <c r="B3782">
        <v>8</v>
      </c>
      <c r="C3782" t="str">
        <f>HYPERLINK("http://www.ncbi.nlm.nih.gov/protein/NWU29828.1","NWU29828.1")</f>
        <v>NWU29828.1</v>
      </c>
      <c r="D3782">
        <v>14053</v>
      </c>
      <c r="E3782" t="str">
        <f>HYPERLINK("http://www.ncbi.nlm.nih.gov/Taxonomy/Browser/wwwtax.cgi?mode=Info&amp;id=1160851&amp;lvl=3&amp;lin=f&amp;keep=1&amp;srchmode=1&amp;unlock","1160851")</f>
        <v>1160851</v>
      </c>
      <c r="F3782" t="s">
        <v>241</v>
      </c>
      <c r="G3782" t="str">
        <f>HYPERLINK("http://www.ncbi.nlm.nih.gov/Taxonomy/Browser/wwwtax.cgi?mode=Info&amp;id=1160851&amp;lvl=3&amp;lin=f&amp;keep=1&amp;srchmode=1&amp;unlock","Platysteira castanea")</f>
        <v>Platysteira castanea</v>
      </c>
      <c r="H3782" t="s">
        <v>435</v>
      </c>
      <c r="I3782" t="str">
        <f>HYPERLINK("http://www.ncbi.nlm.nih.gov/protein/NWU29828.1","RYR2 protein")</f>
        <v>RYR2 protein</v>
      </c>
      <c r="J3782">
        <v>6741.75</v>
      </c>
      <c r="K3782" t="s">
        <v>22</v>
      </c>
      <c r="L3782">
        <v>76</v>
      </c>
      <c r="M3782">
        <v>12.58</v>
      </c>
      <c r="N3782">
        <v>66.349999999999994</v>
      </c>
      <c r="O3782" t="s">
        <v>19</v>
      </c>
      <c r="P3782" t="s">
        <v>1320</v>
      </c>
      <c r="Q3782" t="s">
        <v>19</v>
      </c>
      <c r="R3782" t="str">
        <f>HYPERLINK("https://cfpub.epa.gov/ecotox/explore.cfm?ncbi=1160851","Explore in ECOTOX")</f>
        <v>Explore in ECOTOX</v>
      </c>
    </row>
    <row r="3783" spans="1:18" x14ac:dyDescent="0.45">
      <c r="A3783" t="s">
        <v>1265</v>
      </c>
      <c r="B3783">
        <v>8</v>
      </c>
      <c r="C3783" t="str">
        <f>HYPERLINK("http://www.ncbi.nlm.nih.gov/protein/NXO15799.1","NXO15799.1")</f>
        <v>NXO15799.1</v>
      </c>
      <c r="D3783">
        <v>13996</v>
      </c>
      <c r="E3783" t="str">
        <f>HYPERLINK("http://www.ncbi.nlm.nih.gov/Taxonomy/Browser/wwwtax.cgi?mode=Info&amp;id=181099&amp;lvl=3&amp;lin=f&amp;keep=1&amp;srchmode=1&amp;unlock","181099")</f>
        <v>181099</v>
      </c>
      <c r="F3783" t="s">
        <v>241</v>
      </c>
      <c r="G3783" t="str">
        <f>HYPERLINK("http://www.ncbi.nlm.nih.gov/Taxonomy/Browser/wwwtax.cgi?mode=Info&amp;id=181099&amp;lvl=3&amp;lin=f&amp;keep=1&amp;srchmode=1&amp;unlock","Oriolus oriolus")</f>
        <v>Oriolus oriolus</v>
      </c>
      <c r="H3783" t="s">
        <v>440</v>
      </c>
      <c r="I3783" t="str">
        <f>HYPERLINK("http://www.ncbi.nlm.nih.gov/protein/NXO15799.1","RYR2 protein")</f>
        <v>RYR2 protein</v>
      </c>
      <c r="J3783">
        <v>6741.75</v>
      </c>
      <c r="K3783" t="s">
        <v>22</v>
      </c>
      <c r="L3783">
        <v>76</v>
      </c>
      <c r="M3783">
        <v>12.58</v>
      </c>
      <c r="N3783">
        <v>66.349999999999994</v>
      </c>
      <c r="O3783" t="s">
        <v>19</v>
      </c>
      <c r="P3783" t="s">
        <v>1320</v>
      </c>
      <c r="Q3783" t="s">
        <v>19</v>
      </c>
      <c r="R3783" t="str">
        <f>HYPERLINK("https://cfpub.epa.gov/ecotox/explore.cfm?ncbi=181099","Explore in ECOTOX")</f>
        <v>Explore in ECOTOX</v>
      </c>
    </row>
    <row r="3784" spans="1:18" x14ac:dyDescent="0.45">
      <c r="A3784" t="s">
        <v>1265</v>
      </c>
      <c r="B3784">
        <v>8</v>
      </c>
      <c r="C3784" t="str">
        <f>HYPERLINK("http://www.ncbi.nlm.nih.gov/protein/NXE82849.1","NXE82849.1")</f>
        <v>NXE82849.1</v>
      </c>
      <c r="D3784">
        <v>14121</v>
      </c>
      <c r="E3784" t="str">
        <f>HYPERLINK("http://www.ncbi.nlm.nih.gov/Taxonomy/Browser/wwwtax.cgi?mode=Info&amp;id=110676&amp;lvl=3&amp;lin=f&amp;keep=1&amp;srchmode=1&amp;unlock","110676")</f>
        <v>110676</v>
      </c>
      <c r="F3784" t="s">
        <v>241</v>
      </c>
      <c r="G3784" t="str">
        <f>HYPERLINK("http://www.ncbi.nlm.nih.gov/Taxonomy/Browser/wwwtax.cgi?mode=Info&amp;id=110676&amp;lvl=3&amp;lin=f&amp;keep=1&amp;srchmode=1&amp;unlock","Cochlearius cochlearius")</f>
        <v>Cochlearius cochlearius</v>
      </c>
      <c r="H3784" t="s">
        <v>453</v>
      </c>
      <c r="I3784" t="str">
        <f>HYPERLINK("http://www.ncbi.nlm.nih.gov/protein/NXE82849.1","RYR2 protein")</f>
        <v>RYR2 protein</v>
      </c>
      <c r="J3784">
        <v>6741.36</v>
      </c>
      <c r="K3784" t="s">
        <v>22</v>
      </c>
      <c r="L3784">
        <v>76</v>
      </c>
      <c r="M3784">
        <v>12.58</v>
      </c>
      <c r="N3784">
        <v>66.349999999999994</v>
      </c>
      <c r="O3784" t="s">
        <v>19</v>
      </c>
      <c r="P3784" t="s">
        <v>1320</v>
      </c>
      <c r="Q3784" t="s">
        <v>19</v>
      </c>
      <c r="R3784" t="str">
        <f>HYPERLINK("https://cfpub.epa.gov/ecotox/explore.cfm?ncbi=110676","Explore in ECOTOX")</f>
        <v>Explore in ECOTOX</v>
      </c>
    </row>
    <row r="3785" spans="1:18" x14ac:dyDescent="0.45">
      <c r="A3785" t="s">
        <v>1265</v>
      </c>
      <c r="B3785">
        <v>8</v>
      </c>
      <c r="C3785" t="str">
        <f>HYPERLINK("http://www.ncbi.nlm.nih.gov/protein/NWY16294.1","NWY16294.1")</f>
        <v>NWY16294.1</v>
      </c>
      <c r="D3785">
        <v>14632</v>
      </c>
      <c r="E3785" t="str">
        <f>HYPERLINK("http://www.ncbi.nlm.nih.gov/Taxonomy/Browser/wwwtax.cgi?mode=Info&amp;id=39617&amp;lvl=3&amp;lin=f&amp;keep=1&amp;srchmode=1&amp;unlock","39617")</f>
        <v>39617</v>
      </c>
      <c r="F3785" t="s">
        <v>241</v>
      </c>
      <c r="G3785" t="str">
        <f>HYPERLINK("http://www.ncbi.nlm.nih.gov/Taxonomy/Browser/wwwtax.cgi?mode=Info&amp;id=39617&amp;lvl=3&amp;lin=f&amp;keep=1&amp;srchmode=1&amp;unlock","Aphelocoma coerulescens")</f>
        <v>Aphelocoma coerulescens</v>
      </c>
      <c r="H3785" t="s">
        <v>625</v>
      </c>
      <c r="I3785" t="str">
        <f>HYPERLINK("http://www.ncbi.nlm.nih.gov/protein/NWY16294.1","RYR2 protein")</f>
        <v>RYR2 protein</v>
      </c>
      <c r="J3785">
        <v>6741.36</v>
      </c>
      <c r="K3785" t="s">
        <v>22</v>
      </c>
      <c r="L3785">
        <v>76</v>
      </c>
      <c r="M3785">
        <v>12.58</v>
      </c>
      <c r="N3785">
        <v>66.349999999999994</v>
      </c>
      <c r="O3785" t="s">
        <v>19</v>
      </c>
      <c r="P3785" t="s">
        <v>1320</v>
      </c>
      <c r="Q3785" t="s">
        <v>19</v>
      </c>
      <c r="R3785" t="str">
        <f>HYPERLINK("https://cfpub.epa.gov/ecotox/explore.cfm?ncbi=39617","Explore in ECOTOX")</f>
        <v>Explore in ECOTOX</v>
      </c>
    </row>
    <row r="3786" spans="1:18" x14ac:dyDescent="0.45">
      <c r="A3786" t="s">
        <v>1265</v>
      </c>
      <c r="B3786">
        <v>8</v>
      </c>
      <c r="C3786" t="str">
        <f>HYPERLINK("http://www.ncbi.nlm.nih.gov/protein/NWR29859.1","NWR29859.1")</f>
        <v>NWR29859.1</v>
      </c>
      <c r="D3786">
        <v>14362</v>
      </c>
      <c r="E3786" t="str">
        <f>HYPERLINK("http://www.ncbi.nlm.nih.gov/Taxonomy/Browser/wwwtax.cgi?mode=Info&amp;id=495162&amp;lvl=3&amp;lin=f&amp;keep=1&amp;srchmode=1&amp;unlock","495162")</f>
        <v>495162</v>
      </c>
      <c r="F3786" t="s">
        <v>241</v>
      </c>
      <c r="G3786" t="str">
        <f>HYPERLINK("http://www.ncbi.nlm.nih.gov/Taxonomy/Browser/wwwtax.cgi?mode=Info&amp;id=495162&amp;lvl=3&amp;lin=f&amp;keep=1&amp;srchmode=1&amp;unlock","Tachuris rubrigastra")</f>
        <v>Tachuris rubrigastra</v>
      </c>
      <c r="H3786" t="s">
        <v>435</v>
      </c>
      <c r="I3786" t="str">
        <f>HYPERLINK("http://www.ncbi.nlm.nih.gov/protein/NWR29859.1","RYR2 protein")</f>
        <v>RYR2 protein</v>
      </c>
      <c r="J3786">
        <v>6741.36</v>
      </c>
      <c r="K3786" t="s">
        <v>22</v>
      </c>
      <c r="L3786">
        <v>76</v>
      </c>
      <c r="M3786">
        <v>12.58</v>
      </c>
      <c r="N3786">
        <v>66.349999999999994</v>
      </c>
      <c r="O3786" t="s">
        <v>19</v>
      </c>
      <c r="P3786" t="s">
        <v>1320</v>
      </c>
      <c r="Q3786" t="s">
        <v>19</v>
      </c>
      <c r="R3786" t="str">
        <f>HYPERLINK("https://cfpub.epa.gov/ecotox/explore.cfm?ncbi=495162","Explore in ECOTOX")</f>
        <v>Explore in ECOTOX</v>
      </c>
    </row>
    <row r="3787" spans="1:18" x14ac:dyDescent="0.45">
      <c r="A3787" t="s">
        <v>1265</v>
      </c>
      <c r="B3787">
        <v>8</v>
      </c>
      <c r="C3787" t="str">
        <f>HYPERLINK("http://www.ncbi.nlm.nih.gov/protein/NXA21195.1","NXA21195.1")</f>
        <v>NXA21195.1</v>
      </c>
      <c r="D3787">
        <v>13860</v>
      </c>
      <c r="E3787" t="str">
        <f>HYPERLINK("http://www.ncbi.nlm.nih.gov/Taxonomy/Browser/wwwtax.cgi?mode=Info&amp;id=425643&amp;lvl=3&amp;lin=f&amp;keep=1&amp;srchmode=1&amp;unlock","425643")</f>
        <v>425643</v>
      </c>
      <c r="F3787" t="s">
        <v>241</v>
      </c>
      <c r="G3787" t="str">
        <f>HYPERLINK("http://www.ncbi.nlm.nih.gov/Taxonomy/Browser/wwwtax.cgi?mode=Info&amp;id=425643&amp;lvl=3&amp;lin=f&amp;keep=1&amp;srchmode=1&amp;unlock","Ibidorhyncha struthersii")</f>
        <v>Ibidorhyncha struthersii</v>
      </c>
      <c r="H3787" t="s">
        <v>434</v>
      </c>
      <c r="I3787" t="str">
        <f>HYPERLINK("http://www.ncbi.nlm.nih.gov/protein/NXA21195.1","RYR2 protein")</f>
        <v>RYR2 protein</v>
      </c>
      <c r="J3787">
        <v>6740.98</v>
      </c>
      <c r="K3787" t="s">
        <v>22</v>
      </c>
      <c r="L3787">
        <v>76</v>
      </c>
      <c r="M3787">
        <v>12.58</v>
      </c>
      <c r="N3787">
        <v>66.34</v>
      </c>
      <c r="O3787" t="s">
        <v>19</v>
      </c>
      <c r="P3787" t="s">
        <v>1320</v>
      </c>
      <c r="Q3787" t="s">
        <v>19</v>
      </c>
      <c r="R3787" t="str">
        <f>HYPERLINK("https://cfpub.epa.gov/ecotox/explore.cfm?ncbi=425643","Explore in ECOTOX")</f>
        <v>Explore in ECOTOX</v>
      </c>
    </row>
    <row r="3788" spans="1:18" x14ac:dyDescent="0.45">
      <c r="A3788" t="s">
        <v>1265</v>
      </c>
      <c r="B3788">
        <v>8</v>
      </c>
      <c r="C3788" t="str">
        <f>HYPERLINK("http://www.ncbi.nlm.nih.gov/protein/NXE11652.1","NXE11652.1")</f>
        <v>NXE11652.1</v>
      </c>
      <c r="D3788">
        <v>13942</v>
      </c>
      <c r="E3788" t="str">
        <f>HYPERLINK("http://www.ncbi.nlm.nih.gov/Taxonomy/Browser/wwwtax.cgi?mode=Info&amp;id=172689&amp;lvl=3&amp;lin=f&amp;keep=1&amp;srchmode=1&amp;unlock","172689")</f>
        <v>172689</v>
      </c>
      <c r="F3788" t="s">
        <v>241</v>
      </c>
      <c r="G3788" t="str">
        <f>HYPERLINK("http://www.ncbi.nlm.nih.gov/Taxonomy/Browser/wwwtax.cgi?mode=Info&amp;id=172689&amp;lvl=3&amp;lin=f&amp;keep=1&amp;srchmode=1&amp;unlock","Lophotis ruficrista")</f>
        <v>Lophotis ruficrista</v>
      </c>
      <c r="H3788" t="s">
        <v>638</v>
      </c>
      <c r="I3788" t="str">
        <f>HYPERLINK("http://www.ncbi.nlm.nih.gov/protein/NXE11652.1","RYR2 protein")</f>
        <v>RYR2 protein</v>
      </c>
      <c r="J3788">
        <v>6740.98</v>
      </c>
      <c r="K3788" t="s">
        <v>22</v>
      </c>
      <c r="L3788">
        <v>76</v>
      </c>
      <c r="M3788">
        <v>12.58</v>
      </c>
      <c r="N3788">
        <v>66.34</v>
      </c>
      <c r="O3788" t="s">
        <v>19</v>
      </c>
      <c r="P3788" t="s">
        <v>1320</v>
      </c>
      <c r="Q3788" t="s">
        <v>19</v>
      </c>
      <c r="R3788" t="str">
        <f>HYPERLINK("https://cfpub.epa.gov/ecotox/explore.cfm?ncbi=172689","Explore in ECOTOX")</f>
        <v>Explore in ECOTOX</v>
      </c>
    </row>
    <row r="3789" spans="1:18" x14ac:dyDescent="0.45">
      <c r="A3789" t="s">
        <v>1265</v>
      </c>
      <c r="B3789">
        <v>8</v>
      </c>
      <c r="C3789" t="str">
        <f>HYPERLINK("http://www.ncbi.nlm.nih.gov/protein/NXU18458.1","NXU18458.1")</f>
        <v>NXU18458.1</v>
      </c>
      <c r="D3789">
        <v>13722</v>
      </c>
      <c r="E3789" t="str">
        <f>HYPERLINK("http://www.ncbi.nlm.nih.gov/Taxonomy/Browser/wwwtax.cgi?mode=Info&amp;id=254575&amp;lvl=3&amp;lin=f&amp;keep=1&amp;srchmode=1&amp;unlock","254575")</f>
        <v>254575</v>
      </c>
      <c r="F3789" t="s">
        <v>241</v>
      </c>
      <c r="G3789" t="str">
        <f>HYPERLINK("http://www.ncbi.nlm.nih.gov/Taxonomy/Browser/wwwtax.cgi?mode=Info&amp;id=254575&amp;lvl=3&amp;lin=f&amp;keep=1&amp;srchmode=1&amp;unlock","Pardalotus punctatus")</f>
        <v>Pardalotus punctatus</v>
      </c>
      <c r="H3789" t="s">
        <v>656</v>
      </c>
      <c r="I3789" t="str">
        <f>HYPERLINK("http://www.ncbi.nlm.nih.gov/protein/NXU18458.1","RYR2 protein")</f>
        <v>RYR2 protein</v>
      </c>
      <c r="J3789">
        <v>6739.44</v>
      </c>
      <c r="K3789" t="s">
        <v>22</v>
      </c>
      <c r="L3789">
        <v>76</v>
      </c>
      <c r="M3789">
        <v>12.58</v>
      </c>
      <c r="N3789">
        <v>66.33</v>
      </c>
      <c r="O3789" t="s">
        <v>19</v>
      </c>
      <c r="P3789" t="s">
        <v>1320</v>
      </c>
      <c r="Q3789" t="s">
        <v>19</v>
      </c>
      <c r="R3789" t="str">
        <f>HYPERLINK("https://cfpub.epa.gov/ecotox/explore.cfm?ncbi=254575","Explore in ECOTOX")</f>
        <v>Explore in ECOTOX</v>
      </c>
    </row>
    <row r="3790" spans="1:18" x14ac:dyDescent="0.45">
      <c r="A3790" t="s">
        <v>1265</v>
      </c>
      <c r="B3790">
        <v>8</v>
      </c>
      <c r="C3790" t="str">
        <f>HYPERLINK("http://www.ncbi.nlm.nih.gov/protein/KAF1477241.1","KAF1477241.1")</f>
        <v>KAF1477241.1</v>
      </c>
      <c r="D3790">
        <v>14372</v>
      </c>
      <c r="E3790" t="str">
        <f>HYPERLINK("http://www.ncbi.nlm.nih.gov/Taxonomy/Browser/wwwtax.cgi?mode=Info&amp;id=79643&amp;lvl=3&amp;lin=f&amp;keep=1&amp;srchmode=1&amp;unlock","79643")</f>
        <v>79643</v>
      </c>
      <c r="F3790" t="s">
        <v>241</v>
      </c>
      <c r="G3790" t="str">
        <f>HYPERLINK("http://www.ncbi.nlm.nih.gov/Taxonomy/Browser/wwwtax.cgi?mode=Info&amp;id=79643&amp;lvl=3&amp;lin=f&amp;keep=1&amp;srchmode=1&amp;unlock","Pygoscelis antarcticus")</f>
        <v>Pygoscelis antarcticus</v>
      </c>
      <c r="H3790" t="s">
        <v>665</v>
      </c>
      <c r="I3790" t="str">
        <f>HYPERLINK("http://www.ncbi.nlm.nih.gov/protein/KAF1477241.1","Ryanodine receptor 2, partial")</f>
        <v>Ryanodine receptor 2, partial</v>
      </c>
      <c r="J3790">
        <v>6739.05</v>
      </c>
      <c r="K3790" t="s">
        <v>22</v>
      </c>
      <c r="L3790">
        <v>76</v>
      </c>
      <c r="M3790">
        <v>12.58</v>
      </c>
      <c r="N3790">
        <v>66.319999999999993</v>
      </c>
      <c r="O3790" t="s">
        <v>19</v>
      </c>
      <c r="P3790" t="s">
        <v>1320</v>
      </c>
      <c r="Q3790" t="s">
        <v>19</v>
      </c>
      <c r="R3790" t="str">
        <f>HYPERLINK("https://cfpub.epa.gov/ecotox/explore.cfm?ncbi=79643","Explore in ECOTOX")</f>
        <v>Explore in ECOTOX</v>
      </c>
    </row>
    <row r="3791" spans="1:18" x14ac:dyDescent="0.45">
      <c r="A3791" t="s">
        <v>1265</v>
      </c>
      <c r="B3791">
        <v>8</v>
      </c>
      <c r="C3791" t="str">
        <f>HYPERLINK("http://www.ncbi.nlm.nih.gov/protein/NXE34760.1","NXE34760.1")</f>
        <v>NXE34760.1</v>
      </c>
      <c r="D3791">
        <v>13537</v>
      </c>
      <c r="E3791" t="str">
        <f>HYPERLINK("http://www.ncbi.nlm.nih.gov/Taxonomy/Browser/wwwtax.cgi?mode=Info&amp;id=449384&amp;lvl=3&amp;lin=f&amp;keep=1&amp;srchmode=1&amp;unlock","449384")</f>
        <v>449384</v>
      </c>
      <c r="F3791" t="s">
        <v>241</v>
      </c>
      <c r="G3791" t="str">
        <f>HYPERLINK("http://www.ncbi.nlm.nih.gov/Taxonomy/Browser/wwwtax.cgi?mode=Info&amp;id=449384&amp;lvl=3&amp;lin=f&amp;keep=1&amp;srchmode=1&amp;unlock","Ptilorrhoa leucosticta")</f>
        <v>Ptilorrhoa leucosticta</v>
      </c>
      <c r="H3791" t="s">
        <v>435</v>
      </c>
      <c r="I3791" t="str">
        <f>HYPERLINK("http://www.ncbi.nlm.nih.gov/protein/NXE34760.1","RYR2 protein")</f>
        <v>RYR2 protein</v>
      </c>
      <c r="J3791">
        <v>6738.28</v>
      </c>
      <c r="K3791" t="s">
        <v>22</v>
      </c>
      <c r="L3791">
        <v>76</v>
      </c>
      <c r="M3791">
        <v>12.58</v>
      </c>
      <c r="N3791">
        <v>66.319999999999993</v>
      </c>
      <c r="O3791" t="s">
        <v>19</v>
      </c>
      <c r="P3791" t="s">
        <v>1320</v>
      </c>
      <c r="Q3791" t="s">
        <v>19</v>
      </c>
      <c r="R3791" t="str">
        <f>HYPERLINK("https://cfpub.epa.gov/ecotox/explore.cfm?ncbi=449384","Explore in ECOTOX")</f>
        <v>Explore in ECOTOX</v>
      </c>
    </row>
    <row r="3792" spans="1:18" x14ac:dyDescent="0.45">
      <c r="A3792" t="s">
        <v>1265</v>
      </c>
      <c r="B3792">
        <v>8</v>
      </c>
      <c r="C3792" t="str">
        <f>HYPERLINK("http://www.ncbi.nlm.nih.gov/protein/KAF1563538.1","KAF1563538.1")</f>
        <v>KAF1563538.1</v>
      </c>
      <c r="D3792">
        <v>17593</v>
      </c>
      <c r="E3792" t="str">
        <f>HYPERLINK("http://www.ncbi.nlm.nih.gov/Taxonomy/Browser/wwwtax.cgi?mode=Info&amp;id=37080&amp;lvl=3&amp;lin=f&amp;keep=1&amp;srchmode=1&amp;unlock","37080")</f>
        <v>37080</v>
      </c>
      <c r="F3792" t="s">
        <v>241</v>
      </c>
      <c r="G3792" t="str">
        <f>HYPERLINK("http://www.ncbi.nlm.nih.gov/Taxonomy/Browser/wwwtax.cgi?mode=Info&amp;id=37080&amp;lvl=3&amp;lin=f&amp;keep=1&amp;srchmode=1&amp;unlock","Eudyptes pachyrhynchus")</f>
        <v>Eudyptes pachyrhynchus</v>
      </c>
      <c r="H3792" t="s">
        <v>654</v>
      </c>
      <c r="I3792" t="str">
        <f>HYPERLINK("http://www.ncbi.nlm.nih.gov/protein/KAF1563538.1","Ryanodine receptor 2, partial")</f>
        <v>Ryanodine receptor 2, partial</v>
      </c>
      <c r="J3792">
        <v>6738.28</v>
      </c>
      <c r="K3792" t="s">
        <v>22</v>
      </c>
      <c r="L3792">
        <v>76</v>
      </c>
      <c r="M3792">
        <v>12.58</v>
      </c>
      <c r="N3792">
        <v>66.319999999999993</v>
      </c>
      <c r="O3792" t="s">
        <v>19</v>
      </c>
      <c r="P3792" t="s">
        <v>1320</v>
      </c>
      <c r="Q3792" t="s">
        <v>19</v>
      </c>
      <c r="R3792" t="str">
        <f>HYPERLINK("https://cfpub.epa.gov/ecotox/explore.cfm?ncbi=37080","Explore in ECOTOX")</f>
        <v>Explore in ECOTOX</v>
      </c>
    </row>
    <row r="3793" spans="1:18" x14ac:dyDescent="0.45">
      <c r="A3793" t="s">
        <v>1265</v>
      </c>
      <c r="B3793">
        <v>8</v>
      </c>
      <c r="C3793" t="str">
        <f>HYPERLINK("http://www.ncbi.nlm.nih.gov/protein/NXL77397.1","NXL77397.1")</f>
        <v>NXL77397.1</v>
      </c>
      <c r="D3793">
        <v>13741</v>
      </c>
      <c r="E3793" t="str">
        <f>HYPERLINK("http://www.ncbi.nlm.nih.gov/Taxonomy/Browser/wwwtax.cgi?mode=Info&amp;id=2585812&amp;lvl=3&amp;lin=f&amp;keep=1&amp;srchmode=1&amp;unlock","2585812")</f>
        <v>2585812</v>
      </c>
      <c r="F3793" t="s">
        <v>241</v>
      </c>
      <c r="G3793" t="str">
        <f>HYPERLINK("http://www.ncbi.nlm.nih.gov/Taxonomy/Browser/wwwtax.cgi?mode=Info&amp;id=2585812&amp;lvl=3&amp;lin=f&amp;keep=1&amp;srchmode=1&amp;unlock","Leptocoma aspasia")</f>
        <v>Leptocoma aspasia</v>
      </c>
      <c r="H3793" t="s">
        <v>435</v>
      </c>
      <c r="I3793" t="str">
        <f>HYPERLINK("http://www.ncbi.nlm.nih.gov/protein/NXL77397.1","RYR2 protein")</f>
        <v>RYR2 protein</v>
      </c>
      <c r="J3793">
        <v>6737.9</v>
      </c>
      <c r="K3793" t="s">
        <v>22</v>
      </c>
      <c r="L3793">
        <v>76</v>
      </c>
      <c r="M3793">
        <v>12.58</v>
      </c>
      <c r="N3793">
        <v>66.31</v>
      </c>
      <c r="O3793" t="s">
        <v>19</v>
      </c>
      <c r="P3793" t="s">
        <v>1320</v>
      </c>
      <c r="Q3793" t="s">
        <v>19</v>
      </c>
      <c r="R3793" t="str">
        <f>HYPERLINK("https://cfpub.epa.gov/ecotox/explore.cfm?ncbi=2585812","Explore in ECOTOX")</f>
        <v>Explore in ECOTOX</v>
      </c>
    </row>
    <row r="3794" spans="1:18" x14ac:dyDescent="0.45">
      <c r="A3794" t="s">
        <v>1265</v>
      </c>
      <c r="B3794">
        <v>8</v>
      </c>
      <c r="C3794" t="str">
        <f>HYPERLINK("http://www.ncbi.nlm.nih.gov/protein/NXE47648.1","NXE47648.1")</f>
        <v>NXE47648.1</v>
      </c>
      <c r="D3794">
        <v>13811</v>
      </c>
      <c r="E3794" t="str">
        <f>HYPERLINK("http://www.ncbi.nlm.nih.gov/Taxonomy/Browser/wwwtax.cgi?mode=Info&amp;id=8787&amp;lvl=3&amp;lin=f&amp;keep=1&amp;srchmode=1&amp;unlock","8787")</f>
        <v>8787</v>
      </c>
      <c r="F3794" t="s">
        <v>241</v>
      </c>
      <c r="G3794" t="str">
        <f>HYPERLINK("http://www.ncbi.nlm.nih.gov/Taxonomy/Browser/wwwtax.cgi?mode=Info&amp;id=8787&amp;lvl=3&amp;lin=f&amp;keep=1&amp;srchmode=1&amp;unlock","Casuarius casuarius")</f>
        <v>Casuarius casuarius</v>
      </c>
      <c r="H3794" t="s">
        <v>431</v>
      </c>
      <c r="I3794" t="str">
        <f>HYPERLINK("http://www.ncbi.nlm.nih.gov/protein/NXE47648.1","RYR2 protein")</f>
        <v>RYR2 protein</v>
      </c>
      <c r="J3794">
        <v>6737.9</v>
      </c>
      <c r="K3794" t="s">
        <v>22</v>
      </c>
      <c r="L3794">
        <v>76</v>
      </c>
      <c r="M3794">
        <v>12.58</v>
      </c>
      <c r="N3794">
        <v>66.31</v>
      </c>
      <c r="O3794" t="s">
        <v>19</v>
      </c>
      <c r="P3794" t="s">
        <v>1320</v>
      </c>
      <c r="Q3794" t="s">
        <v>19</v>
      </c>
      <c r="R3794" t="str">
        <f>HYPERLINK("https://cfpub.epa.gov/ecotox/explore.cfm?ncbi=8787","Explore in ECOTOX")</f>
        <v>Explore in ECOTOX</v>
      </c>
    </row>
    <row r="3795" spans="1:18" x14ac:dyDescent="0.45">
      <c r="A3795" t="s">
        <v>1265</v>
      </c>
      <c r="B3795">
        <v>8</v>
      </c>
      <c r="C3795" t="str">
        <f>HYPERLINK("http://www.ncbi.nlm.nih.gov/protein/NWS70028.1","NWS70028.1")</f>
        <v>NWS70028.1</v>
      </c>
      <c r="D3795">
        <v>13920</v>
      </c>
      <c r="E3795" t="str">
        <f>HYPERLINK("http://www.ncbi.nlm.nih.gov/Taxonomy/Browser/wwwtax.cgi?mode=Info&amp;id=33598&amp;lvl=3&amp;lin=f&amp;keep=1&amp;srchmode=1&amp;unlock","33598")</f>
        <v>33598</v>
      </c>
      <c r="F3795" t="s">
        <v>241</v>
      </c>
      <c r="G3795" t="str">
        <f>HYPERLINK("http://www.ncbi.nlm.nih.gov/Taxonomy/Browser/wwwtax.cgi?mode=Info&amp;id=33598&amp;lvl=3&amp;lin=f&amp;keep=1&amp;srchmode=1&amp;unlock","Crotophaga sulcirostris")</f>
        <v>Crotophaga sulcirostris</v>
      </c>
      <c r="H3795" t="s">
        <v>458</v>
      </c>
      <c r="I3795" t="str">
        <f>HYPERLINK("http://www.ncbi.nlm.nih.gov/protein/NWS70028.1","RYR2 protein")</f>
        <v>RYR2 protein</v>
      </c>
      <c r="J3795">
        <v>6736.74</v>
      </c>
      <c r="K3795" t="s">
        <v>22</v>
      </c>
      <c r="L3795">
        <v>76</v>
      </c>
      <c r="M3795">
        <v>12.58</v>
      </c>
      <c r="N3795">
        <v>66.3</v>
      </c>
      <c r="O3795" t="s">
        <v>19</v>
      </c>
      <c r="P3795" t="s">
        <v>1320</v>
      </c>
      <c r="Q3795" t="s">
        <v>19</v>
      </c>
      <c r="R3795" t="str">
        <f>HYPERLINK("https://cfpub.epa.gov/ecotox/explore.cfm?ncbi=33598","Explore in ECOTOX")</f>
        <v>Explore in ECOTOX</v>
      </c>
    </row>
    <row r="3796" spans="1:18" x14ac:dyDescent="0.45">
      <c r="A3796" t="s">
        <v>1265</v>
      </c>
      <c r="B3796">
        <v>8</v>
      </c>
      <c r="C3796" t="str">
        <f>HYPERLINK("http://www.ncbi.nlm.nih.gov/protein/KAF1647569.1","KAF1647569.1")</f>
        <v>KAF1647569.1</v>
      </c>
      <c r="D3796">
        <v>12911</v>
      </c>
      <c r="E3796" t="str">
        <f>HYPERLINK("http://www.ncbi.nlm.nih.gov/Taxonomy/Browser/wwwtax.cgi?mode=Info&amp;id=79626&amp;lvl=3&amp;lin=f&amp;keep=1&amp;srchmode=1&amp;unlock","79626")</f>
        <v>79626</v>
      </c>
      <c r="F3796" t="s">
        <v>241</v>
      </c>
      <c r="G3796" t="str">
        <f>HYPERLINK("http://www.ncbi.nlm.nih.gov/Taxonomy/Browser/wwwtax.cgi?mode=Info&amp;id=79626&amp;lvl=3&amp;lin=f&amp;keep=1&amp;srchmode=1&amp;unlock","Eudyptes chrysocome")</f>
        <v>Eudyptes chrysocome</v>
      </c>
      <c r="H3796" t="s">
        <v>657</v>
      </c>
      <c r="I3796" t="str">
        <f>HYPERLINK("http://www.ncbi.nlm.nih.gov/protein/KAF1647569.1","Ryanodine receptor 2, partial")</f>
        <v>Ryanodine receptor 2, partial</v>
      </c>
      <c r="J3796">
        <v>6736.74</v>
      </c>
      <c r="K3796" t="s">
        <v>22</v>
      </c>
      <c r="L3796">
        <v>76</v>
      </c>
      <c r="M3796">
        <v>12.58</v>
      </c>
      <c r="N3796">
        <v>66.3</v>
      </c>
      <c r="O3796" t="s">
        <v>19</v>
      </c>
      <c r="P3796" t="s">
        <v>1320</v>
      </c>
      <c r="Q3796" t="s">
        <v>19</v>
      </c>
      <c r="R3796" t="str">
        <f>HYPERLINK("https://cfpub.epa.gov/ecotox/explore.cfm?ncbi=79626","Explore in ECOTOX")</f>
        <v>Explore in ECOTOX</v>
      </c>
    </row>
    <row r="3797" spans="1:18" x14ac:dyDescent="0.45">
      <c r="A3797" t="s">
        <v>1265</v>
      </c>
      <c r="B3797">
        <v>8</v>
      </c>
      <c r="C3797" t="str">
        <f>HYPERLINK("http://www.ncbi.nlm.nih.gov/protein/KAF1588986.1","KAF1588986.1")</f>
        <v>KAF1588986.1</v>
      </c>
      <c r="D3797">
        <v>15484</v>
      </c>
      <c r="E3797" t="str">
        <f>HYPERLINK("http://www.ncbi.nlm.nih.gov/Taxonomy/Browser/wwwtax.cgi?mode=Info&amp;id=2495534&amp;lvl=3&amp;lin=f&amp;keep=1&amp;srchmode=1&amp;unlock","2495534")</f>
        <v>2495534</v>
      </c>
      <c r="F3797" t="s">
        <v>241</v>
      </c>
      <c r="G3797" t="str">
        <f>HYPERLINK("http://www.ncbi.nlm.nih.gov/Taxonomy/Browser/wwwtax.cgi?mode=Info&amp;id=2495534&amp;lvl=3&amp;lin=f&amp;keep=1&amp;srchmode=1&amp;unlock","Eudyptes moseleyi")</f>
        <v>Eudyptes moseleyi</v>
      </c>
      <c r="H3797" t="s">
        <v>652</v>
      </c>
      <c r="I3797" t="str">
        <f>HYPERLINK("http://www.ncbi.nlm.nih.gov/protein/KAF1588986.1","Ryanodine receptor 2, partial")</f>
        <v>Ryanodine receptor 2, partial</v>
      </c>
      <c r="J3797">
        <v>6736.74</v>
      </c>
      <c r="K3797" t="s">
        <v>22</v>
      </c>
      <c r="L3797">
        <v>76</v>
      </c>
      <c r="M3797">
        <v>12.58</v>
      </c>
      <c r="N3797">
        <v>66.3</v>
      </c>
      <c r="O3797" t="s">
        <v>19</v>
      </c>
      <c r="P3797" t="s">
        <v>1320</v>
      </c>
      <c r="Q3797" t="s">
        <v>19</v>
      </c>
      <c r="R3797" t="str">
        <f>HYPERLINK("https://cfpub.epa.gov/ecotox/explore.cfm?ncbi=2495534","Explore in ECOTOX")</f>
        <v>Explore in ECOTOX</v>
      </c>
    </row>
    <row r="3798" spans="1:18" x14ac:dyDescent="0.45">
      <c r="A3798" t="s">
        <v>1265</v>
      </c>
      <c r="B3798">
        <v>8</v>
      </c>
      <c r="C3798" t="str">
        <f>HYPERLINK("http://www.ncbi.nlm.nih.gov/protein/NXV14781.1","NXV14781.1")</f>
        <v>NXV14781.1</v>
      </c>
      <c r="D3798">
        <v>14788</v>
      </c>
      <c r="E3798" t="str">
        <f>HYPERLINK("http://www.ncbi.nlm.nih.gov/Taxonomy/Browser/wwwtax.cgi?mode=Info&amp;id=28697&amp;lvl=3&amp;lin=f&amp;keep=1&amp;srchmode=1&amp;unlock","28697")</f>
        <v>28697</v>
      </c>
      <c r="F3798" t="s">
        <v>241</v>
      </c>
      <c r="G3798" t="str">
        <f>HYPERLINK("http://www.ncbi.nlm.nih.gov/Taxonomy/Browser/wwwtax.cgi?mode=Info&amp;id=28697&amp;lvl=3&amp;lin=f&amp;keep=1&amp;srchmode=1&amp;unlock","Cepphus grylle")</f>
        <v>Cepphus grylle</v>
      </c>
      <c r="H3798" t="s">
        <v>434</v>
      </c>
      <c r="I3798" t="str">
        <f>HYPERLINK("http://www.ncbi.nlm.nih.gov/protein/NXV14781.1","RYR2 protein")</f>
        <v>RYR2 protein</v>
      </c>
      <c r="J3798">
        <v>6735.97</v>
      </c>
      <c r="K3798" t="s">
        <v>22</v>
      </c>
      <c r="L3798">
        <v>76</v>
      </c>
      <c r="M3798">
        <v>12.58</v>
      </c>
      <c r="N3798">
        <v>66.290000000000006</v>
      </c>
      <c r="O3798" t="s">
        <v>19</v>
      </c>
      <c r="P3798" t="s">
        <v>1320</v>
      </c>
      <c r="Q3798" t="s">
        <v>19</v>
      </c>
      <c r="R3798" t="str">
        <f>HYPERLINK("https://cfpub.epa.gov/ecotox/explore.cfm?ncbi=28697","Explore in ECOTOX")</f>
        <v>Explore in ECOTOX</v>
      </c>
    </row>
    <row r="3799" spans="1:18" x14ac:dyDescent="0.45">
      <c r="A3799" t="s">
        <v>1265</v>
      </c>
      <c r="B3799">
        <v>8</v>
      </c>
      <c r="C3799" t="str">
        <f>HYPERLINK("http://www.ncbi.nlm.nih.gov/protein/NWI16936.1","NWI16936.1")</f>
        <v>NWI16936.1</v>
      </c>
      <c r="D3799">
        <v>14221</v>
      </c>
      <c r="E3799" t="str">
        <f>HYPERLINK("http://www.ncbi.nlm.nih.gov/Taxonomy/Browser/wwwtax.cgi?mode=Info&amp;id=458187&amp;lvl=3&amp;lin=f&amp;keep=1&amp;srchmode=1&amp;unlock","458187")</f>
        <v>458187</v>
      </c>
      <c r="F3799" t="s">
        <v>241</v>
      </c>
      <c r="G3799" t="str">
        <f>HYPERLINK("http://www.ncbi.nlm.nih.gov/Taxonomy/Browser/wwwtax.cgi?mode=Info&amp;id=458187&amp;lvl=3&amp;lin=f&amp;keep=1&amp;srchmode=1&amp;unlock","Crypturellus soui")</f>
        <v>Crypturellus soui</v>
      </c>
      <c r="H3799" t="s">
        <v>367</v>
      </c>
      <c r="I3799" t="str">
        <f>HYPERLINK("http://www.ncbi.nlm.nih.gov/protein/NWI16936.1","RYR2 protein")</f>
        <v>RYR2 protein</v>
      </c>
      <c r="J3799">
        <v>6735.97</v>
      </c>
      <c r="K3799" t="s">
        <v>22</v>
      </c>
      <c r="L3799">
        <v>76</v>
      </c>
      <c r="M3799">
        <v>12.58</v>
      </c>
      <c r="N3799">
        <v>66.290000000000006</v>
      </c>
      <c r="O3799" t="s">
        <v>19</v>
      </c>
      <c r="P3799" t="s">
        <v>1320</v>
      </c>
      <c r="Q3799" t="s">
        <v>19</v>
      </c>
      <c r="R3799" t="str">
        <f>HYPERLINK("https://cfpub.epa.gov/ecotox/explore.cfm?ncbi=458187","Explore in ECOTOX")</f>
        <v>Explore in ECOTOX</v>
      </c>
    </row>
    <row r="3800" spans="1:18" x14ac:dyDescent="0.45">
      <c r="A3800" t="s">
        <v>1265</v>
      </c>
      <c r="B3800">
        <v>8</v>
      </c>
      <c r="C3800" t="str">
        <f>HYPERLINK("http://www.ncbi.nlm.nih.gov/protein/KAF1541536.1","KAF1541536.1")</f>
        <v>KAF1541536.1</v>
      </c>
      <c r="D3800">
        <v>15500</v>
      </c>
      <c r="E3800" t="str">
        <f>HYPERLINK("http://www.ncbi.nlm.nih.gov/Taxonomy/Browser/wwwtax.cgi?mode=Info&amp;id=37083&amp;lvl=3&amp;lin=f&amp;keep=1&amp;srchmode=1&amp;unlock","37083")</f>
        <v>37083</v>
      </c>
      <c r="F3800" t="s">
        <v>241</v>
      </c>
      <c r="G3800" t="str">
        <f>HYPERLINK("http://www.ncbi.nlm.nih.gov/Taxonomy/Browser/wwwtax.cgi?mode=Info&amp;id=37083&amp;lvl=3&amp;lin=f&amp;keep=1&amp;srchmode=1&amp;unlock","Eudyptula minor")</f>
        <v>Eudyptula minor</v>
      </c>
      <c r="H3800" t="s">
        <v>661</v>
      </c>
      <c r="I3800" t="str">
        <f>HYPERLINK("http://www.ncbi.nlm.nih.gov/protein/KAF1541536.1","Ryanodine receptor 2, partial")</f>
        <v>Ryanodine receptor 2, partial</v>
      </c>
      <c r="J3800">
        <v>6735.59</v>
      </c>
      <c r="K3800" t="s">
        <v>22</v>
      </c>
      <c r="L3800">
        <v>76</v>
      </c>
      <c r="M3800">
        <v>12.58</v>
      </c>
      <c r="N3800">
        <v>66.290000000000006</v>
      </c>
      <c r="O3800" t="s">
        <v>19</v>
      </c>
      <c r="P3800" t="s">
        <v>1320</v>
      </c>
      <c r="Q3800" t="s">
        <v>19</v>
      </c>
      <c r="R3800" t="str">
        <f>HYPERLINK("https://cfpub.epa.gov/ecotox/explore.cfm?ncbi=37083","Explore in ECOTOX")</f>
        <v>Explore in ECOTOX</v>
      </c>
    </row>
    <row r="3801" spans="1:18" x14ac:dyDescent="0.45">
      <c r="A3801" t="s">
        <v>1265</v>
      </c>
      <c r="B3801">
        <v>8</v>
      </c>
      <c r="C3801" t="str">
        <f>HYPERLINK("http://www.ncbi.nlm.nih.gov/protein/KAF1633370.1","KAF1633370.1")</f>
        <v>KAF1633370.1</v>
      </c>
      <c r="D3801">
        <v>12997</v>
      </c>
      <c r="E3801" t="str">
        <f>HYPERLINK("http://www.ncbi.nlm.nih.gov/Taxonomy/Browser/wwwtax.cgi?mode=Info&amp;id=1419345&amp;lvl=3&amp;lin=f&amp;keep=1&amp;srchmode=1&amp;unlock","1419345")</f>
        <v>1419345</v>
      </c>
      <c r="F3801" t="s">
        <v>241</v>
      </c>
      <c r="G3801" t="str">
        <f>HYPERLINK("http://www.ncbi.nlm.nih.gov/Taxonomy/Browser/wwwtax.cgi?mode=Info&amp;id=1419345&amp;lvl=3&amp;lin=f&amp;keep=1&amp;srchmode=1&amp;unlock","Eudyptes filholi")</f>
        <v>Eudyptes filholi</v>
      </c>
      <c r="H3801" t="s">
        <v>660</v>
      </c>
      <c r="I3801" t="str">
        <f>HYPERLINK("http://www.ncbi.nlm.nih.gov/protein/KAF1633370.1","Ryanodine receptor 2, partial")</f>
        <v>Ryanodine receptor 2, partial</v>
      </c>
      <c r="J3801">
        <v>6735.59</v>
      </c>
      <c r="K3801" t="s">
        <v>22</v>
      </c>
      <c r="L3801">
        <v>76</v>
      </c>
      <c r="M3801">
        <v>12.58</v>
      </c>
      <c r="N3801">
        <v>66.290000000000006</v>
      </c>
      <c r="O3801" t="s">
        <v>19</v>
      </c>
      <c r="P3801" t="s">
        <v>1320</v>
      </c>
      <c r="Q3801" t="s">
        <v>19</v>
      </c>
      <c r="R3801" t="str">
        <f>HYPERLINK("https://cfpub.epa.gov/ecotox/explore.cfm?ncbi=1419345","Explore in ECOTOX")</f>
        <v>Explore in ECOTOX</v>
      </c>
    </row>
    <row r="3802" spans="1:18" x14ac:dyDescent="0.45">
      <c r="A3802" t="s">
        <v>1265</v>
      </c>
      <c r="B3802">
        <v>8</v>
      </c>
      <c r="C3802" t="str">
        <f>HYPERLINK("http://www.ncbi.nlm.nih.gov/protein/KAF1519688.1","KAF1519688.1")</f>
        <v>KAF1519688.1</v>
      </c>
      <c r="D3802">
        <v>15146</v>
      </c>
      <c r="E3802" t="str">
        <f>HYPERLINK("http://www.ncbi.nlm.nih.gov/Taxonomy/Browser/wwwtax.cgi?mode=Info&amp;id=345258&amp;lvl=3&amp;lin=f&amp;keep=1&amp;srchmode=1&amp;unlock","345258")</f>
        <v>345258</v>
      </c>
      <c r="F3802" t="s">
        <v>241</v>
      </c>
      <c r="G3802" t="str">
        <f>HYPERLINK("http://www.ncbi.nlm.nih.gov/Taxonomy/Browser/wwwtax.cgi?mode=Info&amp;id=345258&amp;lvl=3&amp;lin=f&amp;keep=1&amp;srchmode=1&amp;unlock","Eudyptula albosignata")</f>
        <v>Eudyptula albosignata</v>
      </c>
      <c r="H3802" t="s">
        <v>659</v>
      </c>
      <c r="I3802" t="str">
        <f>HYPERLINK("http://www.ncbi.nlm.nih.gov/protein/KAF1519688.1","Ryanodine receptor 2, partial")</f>
        <v>Ryanodine receptor 2, partial</v>
      </c>
      <c r="J3802">
        <v>6735.59</v>
      </c>
      <c r="K3802" t="s">
        <v>22</v>
      </c>
      <c r="L3802">
        <v>76</v>
      </c>
      <c r="M3802">
        <v>12.58</v>
      </c>
      <c r="N3802">
        <v>66.290000000000006</v>
      </c>
      <c r="O3802" t="s">
        <v>19</v>
      </c>
      <c r="P3802" t="s">
        <v>1320</v>
      </c>
      <c r="Q3802" t="s">
        <v>19</v>
      </c>
      <c r="R3802" t="str">
        <f>HYPERLINK("https://cfpub.epa.gov/ecotox/explore.cfm?ncbi=345258","Explore in ECOTOX")</f>
        <v>Explore in ECOTOX</v>
      </c>
    </row>
    <row r="3803" spans="1:18" x14ac:dyDescent="0.45">
      <c r="A3803" t="s">
        <v>1265</v>
      </c>
      <c r="B3803">
        <v>8</v>
      </c>
      <c r="C3803" t="str">
        <f>HYPERLINK("http://www.ncbi.nlm.nih.gov/protein/KAF1505299.1","KAF1505299.1")</f>
        <v>KAF1505299.1</v>
      </c>
      <c r="D3803">
        <v>15009</v>
      </c>
      <c r="E3803" t="str">
        <f>HYPERLINK("http://www.ncbi.nlm.nih.gov/Taxonomy/Browser/wwwtax.cgi?mode=Info&amp;id=2052820&amp;lvl=3&amp;lin=f&amp;keep=1&amp;srchmode=1&amp;unlock","2052820")</f>
        <v>2052820</v>
      </c>
      <c r="F3803" t="s">
        <v>241</v>
      </c>
      <c r="G3803" t="str">
        <f>HYPERLINK("http://www.ncbi.nlm.nih.gov/Taxonomy/Browser/wwwtax.cgi?mode=Info&amp;id=2052820&amp;lvl=3&amp;lin=f&amp;keep=1&amp;srchmode=1&amp;unlock","Eudyptula novaehollandiae")</f>
        <v>Eudyptula novaehollandiae</v>
      </c>
      <c r="H3803" t="s">
        <v>664</v>
      </c>
      <c r="I3803" t="str">
        <f>HYPERLINK("http://www.ncbi.nlm.nih.gov/protein/KAF1505299.1","Ryanodine receptor 2, partial")</f>
        <v>Ryanodine receptor 2, partial</v>
      </c>
      <c r="J3803">
        <v>6735.2</v>
      </c>
      <c r="K3803" t="s">
        <v>22</v>
      </c>
      <c r="L3803">
        <v>76</v>
      </c>
      <c r="M3803">
        <v>12.58</v>
      </c>
      <c r="N3803">
        <v>66.290000000000006</v>
      </c>
      <c r="O3803" t="s">
        <v>19</v>
      </c>
      <c r="P3803" t="s">
        <v>1320</v>
      </c>
      <c r="Q3803" t="s">
        <v>19</v>
      </c>
      <c r="R3803" t="str">
        <f>HYPERLINK("https://cfpub.epa.gov/ecotox/explore.cfm?ncbi=2052820","Explore in ECOTOX")</f>
        <v>Explore in ECOTOX</v>
      </c>
    </row>
    <row r="3804" spans="1:18" x14ac:dyDescent="0.45">
      <c r="A3804" t="s">
        <v>1265</v>
      </c>
      <c r="B3804">
        <v>8</v>
      </c>
      <c r="C3804" t="str">
        <f>HYPERLINK("http://www.ncbi.nlm.nih.gov/protein/NXI45354.1","NXI45354.1")</f>
        <v>NXI45354.1</v>
      </c>
      <c r="D3804">
        <v>14683</v>
      </c>
      <c r="E3804" t="str">
        <f>HYPERLINK("http://www.ncbi.nlm.nih.gov/Taxonomy/Browser/wwwtax.cgi?mode=Info&amp;id=1109041&amp;lvl=3&amp;lin=f&amp;keep=1&amp;srchmode=1&amp;unlock","1109041")</f>
        <v>1109041</v>
      </c>
      <c r="F3804" t="s">
        <v>241</v>
      </c>
      <c r="G3804" t="str">
        <f>HYPERLINK("http://www.ncbi.nlm.nih.gov/Taxonomy/Browser/wwwtax.cgi?mode=Info&amp;id=1109041&amp;lvl=3&amp;lin=f&amp;keep=1&amp;srchmode=1&amp;unlock","Galbula dea")</f>
        <v>Galbula dea</v>
      </c>
      <c r="H3804" t="s">
        <v>456</v>
      </c>
      <c r="I3804" t="str">
        <f>HYPERLINK("http://www.ncbi.nlm.nih.gov/protein/NXI45354.1","RYR2 protein")</f>
        <v>RYR2 protein</v>
      </c>
      <c r="J3804">
        <v>6734.82</v>
      </c>
      <c r="K3804" t="s">
        <v>22</v>
      </c>
      <c r="L3804">
        <v>76</v>
      </c>
      <c r="M3804">
        <v>12.58</v>
      </c>
      <c r="N3804">
        <v>66.28</v>
      </c>
      <c r="O3804" t="s">
        <v>19</v>
      </c>
      <c r="P3804" t="s">
        <v>1320</v>
      </c>
      <c r="Q3804" t="s">
        <v>19</v>
      </c>
      <c r="R3804" t="str">
        <f>HYPERLINK("https://cfpub.epa.gov/ecotox/explore.cfm?ncbi=1109041","Explore in ECOTOX")</f>
        <v>Explore in ECOTOX</v>
      </c>
    </row>
    <row r="3805" spans="1:18" x14ac:dyDescent="0.45">
      <c r="A3805" t="s">
        <v>1265</v>
      </c>
      <c r="B3805">
        <v>8</v>
      </c>
      <c r="C3805" t="str">
        <f>HYPERLINK("http://www.ncbi.nlm.nih.gov/protein/NWW24151.1","NWW24151.1")</f>
        <v>NWW24151.1</v>
      </c>
      <c r="D3805">
        <v>14502</v>
      </c>
      <c r="E3805" t="str">
        <f>HYPERLINK("http://www.ncbi.nlm.nih.gov/Taxonomy/Browser/wwwtax.cgi?mode=Info&amp;id=254539&amp;lvl=3&amp;lin=f&amp;keep=1&amp;srchmode=1&amp;unlock","254539")</f>
        <v>254539</v>
      </c>
      <c r="F3805" t="s">
        <v>241</v>
      </c>
      <c r="G3805" t="str">
        <f>HYPERLINK("http://www.ncbi.nlm.nih.gov/Taxonomy/Browser/wwwtax.cgi?mode=Info&amp;id=254539&amp;lvl=3&amp;lin=f&amp;keep=1&amp;srchmode=1&amp;unlock","Falcunculus frontatus")</f>
        <v>Falcunculus frontatus</v>
      </c>
      <c r="H3805" t="s">
        <v>653</v>
      </c>
      <c r="I3805" t="str">
        <f>HYPERLINK("http://www.ncbi.nlm.nih.gov/protein/NWW24151.1","RYR2 protein")</f>
        <v>RYR2 protein</v>
      </c>
      <c r="J3805">
        <v>6734.82</v>
      </c>
      <c r="K3805" t="s">
        <v>22</v>
      </c>
      <c r="L3805">
        <v>76</v>
      </c>
      <c r="M3805">
        <v>12.58</v>
      </c>
      <c r="N3805">
        <v>66.28</v>
      </c>
      <c r="O3805" t="s">
        <v>19</v>
      </c>
      <c r="P3805" t="s">
        <v>1320</v>
      </c>
      <c r="Q3805" t="s">
        <v>19</v>
      </c>
      <c r="R3805" t="str">
        <f>HYPERLINK("https://cfpub.epa.gov/ecotox/explore.cfm?ncbi=254539","Explore in ECOTOX")</f>
        <v>Explore in ECOTOX</v>
      </c>
    </row>
    <row r="3806" spans="1:18" x14ac:dyDescent="0.45">
      <c r="A3806" t="s">
        <v>1265</v>
      </c>
      <c r="B3806">
        <v>8</v>
      </c>
      <c r="C3806" t="str">
        <f>HYPERLINK("http://www.ncbi.nlm.nih.gov/protein/NXY04260.1","NXY04260.1")</f>
        <v>NXY04260.1</v>
      </c>
      <c r="D3806">
        <v>11998</v>
      </c>
      <c r="E3806" t="str">
        <f>HYPERLINK("http://www.ncbi.nlm.nih.gov/Taxonomy/Browser/wwwtax.cgi?mode=Info&amp;id=357074&amp;lvl=3&amp;lin=f&amp;keep=1&amp;srchmode=1&amp;unlock","357074")</f>
        <v>357074</v>
      </c>
      <c r="F3806" t="s">
        <v>241</v>
      </c>
      <c r="G3806" t="str">
        <f>HYPERLINK("http://www.ncbi.nlm.nih.gov/Taxonomy/Browser/wwwtax.cgi?mode=Info&amp;id=357074&amp;lvl=3&amp;lin=f&amp;keep=1&amp;srchmode=1&amp;unlock","Pteruthius melanotis")</f>
        <v>Pteruthius melanotis</v>
      </c>
      <c r="H3806" t="s">
        <v>667</v>
      </c>
      <c r="I3806" t="str">
        <f>HYPERLINK("http://www.ncbi.nlm.nih.gov/protein/NXY04260.1","RYR2 protein")</f>
        <v>RYR2 protein</v>
      </c>
      <c r="J3806">
        <v>6734.43</v>
      </c>
      <c r="K3806" t="s">
        <v>22</v>
      </c>
      <c r="L3806">
        <v>76</v>
      </c>
      <c r="M3806">
        <v>12.58</v>
      </c>
      <c r="N3806">
        <v>66.28</v>
      </c>
      <c r="O3806" t="s">
        <v>19</v>
      </c>
      <c r="P3806" t="s">
        <v>1320</v>
      </c>
      <c r="Q3806" t="s">
        <v>19</v>
      </c>
      <c r="R3806" t="str">
        <f>HYPERLINK("https://cfpub.epa.gov/ecotox/explore.cfm?ncbi=357074","Explore in ECOTOX")</f>
        <v>Explore in ECOTOX</v>
      </c>
    </row>
    <row r="3807" spans="1:18" x14ac:dyDescent="0.45">
      <c r="A3807" t="s">
        <v>1265</v>
      </c>
      <c r="B3807">
        <v>8</v>
      </c>
      <c r="C3807" t="str">
        <f>HYPERLINK("http://www.ncbi.nlm.nih.gov/protein/NXA38190.1","NXA38190.1")</f>
        <v>NXA38190.1</v>
      </c>
      <c r="D3807">
        <v>13777</v>
      </c>
      <c r="E3807" t="str">
        <f>HYPERLINK("http://www.ncbi.nlm.nih.gov/Taxonomy/Browser/wwwtax.cgi?mode=Info&amp;id=8805&amp;lvl=3&amp;lin=f&amp;keep=1&amp;srchmode=1&amp;unlock","8805")</f>
        <v>8805</v>
      </c>
      <c r="F3807" t="s">
        <v>241</v>
      </c>
      <c r="G3807" t="str">
        <f>HYPERLINK("http://www.ncbi.nlm.nih.gov/Taxonomy/Browser/wwwtax.cgi?mode=Info&amp;id=8805&amp;lvl=3&amp;lin=f&amp;keep=1&amp;srchmode=1&amp;unlock","Eudromia elegans")</f>
        <v>Eudromia elegans</v>
      </c>
      <c r="H3807" t="s">
        <v>462</v>
      </c>
      <c r="I3807" t="str">
        <f>HYPERLINK("http://www.ncbi.nlm.nih.gov/protein/NXA38190.1","RYR2 protein")</f>
        <v>RYR2 protein</v>
      </c>
      <c r="J3807">
        <v>6734.43</v>
      </c>
      <c r="K3807" t="s">
        <v>22</v>
      </c>
      <c r="L3807">
        <v>76</v>
      </c>
      <c r="M3807">
        <v>12.58</v>
      </c>
      <c r="N3807">
        <v>66.28</v>
      </c>
      <c r="O3807" t="s">
        <v>19</v>
      </c>
      <c r="P3807" t="s">
        <v>1320</v>
      </c>
      <c r="Q3807" t="s">
        <v>19</v>
      </c>
      <c r="R3807" t="str">
        <f>HYPERLINK("https://cfpub.epa.gov/ecotox/explore.cfm?ncbi=8805","Explore in ECOTOX")</f>
        <v>Explore in ECOTOX</v>
      </c>
    </row>
    <row r="3808" spans="1:18" x14ac:dyDescent="0.45">
      <c r="A3808" t="s">
        <v>1265</v>
      </c>
      <c r="B3808">
        <v>8</v>
      </c>
      <c r="C3808" t="str">
        <f>HYPERLINK("http://www.ncbi.nlm.nih.gov/protein/NXK07670.1","NXK07670.1")</f>
        <v>NXK07670.1</v>
      </c>
      <c r="D3808">
        <v>14398</v>
      </c>
      <c r="E3808" t="str">
        <f>HYPERLINK("http://www.ncbi.nlm.nih.gov/Taxonomy/Browser/wwwtax.cgi?mode=Info&amp;id=56343&amp;lvl=3&amp;lin=f&amp;keep=1&amp;srchmode=1&amp;unlock","56343")</f>
        <v>56343</v>
      </c>
      <c r="F3808" t="s">
        <v>241</v>
      </c>
      <c r="G3808" t="str">
        <f>HYPERLINK("http://www.ncbi.nlm.nih.gov/Taxonomy/Browser/wwwtax.cgi?mode=Info&amp;id=56343&amp;lvl=3&amp;lin=f&amp;keep=1&amp;srchmode=1&amp;unlock","Herpetotheres cachinnans")</f>
        <v>Herpetotheres cachinnans</v>
      </c>
      <c r="H3808" t="s">
        <v>457</v>
      </c>
      <c r="I3808" t="str">
        <f>HYPERLINK("http://www.ncbi.nlm.nih.gov/protein/NXK07670.1","RYR2 protein")</f>
        <v>RYR2 protein</v>
      </c>
      <c r="J3808">
        <v>6733.66</v>
      </c>
      <c r="K3808" t="s">
        <v>22</v>
      </c>
      <c r="L3808">
        <v>76</v>
      </c>
      <c r="M3808">
        <v>12.58</v>
      </c>
      <c r="N3808">
        <v>66.27</v>
      </c>
      <c r="O3808" t="s">
        <v>19</v>
      </c>
      <c r="P3808" t="s">
        <v>1320</v>
      </c>
      <c r="Q3808" t="s">
        <v>19</v>
      </c>
      <c r="R3808" t="str">
        <f>HYPERLINK("https://cfpub.epa.gov/ecotox/explore.cfm?ncbi=56343","Explore in ECOTOX")</f>
        <v>Explore in ECOTOX</v>
      </c>
    </row>
    <row r="3809" spans="1:18" x14ac:dyDescent="0.45">
      <c r="A3809" t="s">
        <v>1265</v>
      </c>
      <c r="B3809">
        <v>8</v>
      </c>
      <c r="C3809" t="str">
        <f>HYPERLINK("http://www.ncbi.nlm.nih.gov/protein/KAF1673942.1","KAF1673942.1")</f>
        <v>KAF1673942.1</v>
      </c>
      <c r="D3809">
        <v>46886</v>
      </c>
      <c r="E3809" t="str">
        <f>HYPERLINK("http://www.ncbi.nlm.nih.gov/Taxonomy/Browser/wwwtax.cgi?mode=Info&amp;id=30457&amp;lvl=3&amp;lin=f&amp;keep=1&amp;srchmode=1&amp;unlock","30457")</f>
        <v>30457</v>
      </c>
      <c r="F3809" t="s">
        <v>241</v>
      </c>
      <c r="G3809" t="str">
        <f>HYPERLINK("http://www.ncbi.nlm.nih.gov/Taxonomy/Browser/wwwtax.cgi?mode=Info&amp;id=30457&amp;lvl=3&amp;lin=f&amp;keep=1&amp;srchmode=1&amp;unlock","Pygoscelis papua")</f>
        <v>Pygoscelis papua</v>
      </c>
      <c r="H3809" t="s">
        <v>673</v>
      </c>
      <c r="I3809" t="str">
        <f>HYPERLINK("http://www.ncbi.nlm.nih.gov/protein/KAF1673942.1","Ryanodine receptor 2, partial")</f>
        <v>Ryanodine receptor 2, partial</v>
      </c>
      <c r="J3809">
        <v>6733.27</v>
      </c>
      <c r="K3809" t="s">
        <v>22</v>
      </c>
      <c r="L3809">
        <v>76</v>
      </c>
      <c r="M3809">
        <v>12.58</v>
      </c>
      <c r="N3809">
        <v>66.27</v>
      </c>
      <c r="O3809" t="s">
        <v>19</v>
      </c>
      <c r="P3809" t="s">
        <v>1320</v>
      </c>
      <c r="Q3809" t="s">
        <v>19</v>
      </c>
      <c r="R3809" t="str">
        <f>HYPERLINK("https://cfpub.epa.gov/ecotox/explore.cfm?ncbi=30457","Explore in ECOTOX")</f>
        <v>Explore in ECOTOX</v>
      </c>
    </row>
    <row r="3810" spans="1:18" x14ac:dyDescent="0.45">
      <c r="A3810" t="s">
        <v>1265</v>
      </c>
      <c r="B3810">
        <v>8</v>
      </c>
      <c r="C3810" t="str">
        <f>HYPERLINK("http://www.ncbi.nlm.nih.gov/protein/NWV93301.1","NWV93301.1")</f>
        <v>NWV93301.1</v>
      </c>
      <c r="D3810">
        <v>13983</v>
      </c>
      <c r="E3810" t="str">
        <f>HYPERLINK("http://www.ncbi.nlm.nih.gov/Taxonomy/Browser/wwwtax.cgi?mode=Info&amp;id=1160894&amp;lvl=3&amp;lin=f&amp;keep=1&amp;srchmode=1&amp;unlock","1160894")</f>
        <v>1160894</v>
      </c>
      <c r="F3810" t="s">
        <v>241</v>
      </c>
      <c r="G3810" t="str">
        <f>HYPERLINK("http://www.ncbi.nlm.nih.gov/Taxonomy/Browser/wwwtax.cgi?mode=Info&amp;id=1160894&amp;lvl=3&amp;lin=f&amp;keep=1&amp;srchmode=1&amp;unlock","Machaerirhynchus nigripectus")</f>
        <v>Machaerirhynchus nigripectus</v>
      </c>
      <c r="H3810" t="s">
        <v>435</v>
      </c>
      <c r="I3810" t="str">
        <f>HYPERLINK("http://www.ncbi.nlm.nih.gov/protein/NWV93301.1","RYR2 protein")</f>
        <v>RYR2 protein</v>
      </c>
      <c r="J3810">
        <v>6733.27</v>
      </c>
      <c r="K3810" t="s">
        <v>22</v>
      </c>
      <c r="L3810">
        <v>76</v>
      </c>
      <c r="M3810">
        <v>12.58</v>
      </c>
      <c r="N3810">
        <v>66.27</v>
      </c>
      <c r="O3810" t="s">
        <v>19</v>
      </c>
      <c r="P3810" t="s">
        <v>1320</v>
      </c>
      <c r="Q3810" t="s">
        <v>19</v>
      </c>
      <c r="R3810" t="str">
        <f>HYPERLINK("https://cfpub.epa.gov/ecotox/explore.cfm?ncbi=1160894","Explore in ECOTOX")</f>
        <v>Explore in ECOTOX</v>
      </c>
    </row>
    <row r="3811" spans="1:18" x14ac:dyDescent="0.45">
      <c r="A3811" t="s">
        <v>1265</v>
      </c>
      <c r="B3811">
        <v>8</v>
      </c>
      <c r="C3811" t="str">
        <f>HYPERLINK("http://www.ncbi.nlm.nih.gov/protein/NWW56487.1","NWW56487.1")</f>
        <v>NWW56487.1</v>
      </c>
      <c r="D3811">
        <v>14068</v>
      </c>
      <c r="E3811" t="str">
        <f>HYPERLINK("http://www.ncbi.nlm.nih.gov/Taxonomy/Browser/wwwtax.cgi?mode=Info&amp;id=461245&amp;lvl=3&amp;lin=f&amp;keep=1&amp;srchmode=1&amp;unlock","461245")</f>
        <v>461245</v>
      </c>
      <c r="F3811" t="s">
        <v>241</v>
      </c>
      <c r="G3811" t="str">
        <f>HYPERLINK("http://www.ncbi.nlm.nih.gov/Taxonomy/Browser/wwwtax.cgi?mode=Info&amp;id=461245&amp;lvl=3&amp;lin=f&amp;keep=1&amp;srchmode=1&amp;unlock","Ifrita kowaldi")</f>
        <v>Ifrita kowaldi</v>
      </c>
      <c r="H3811" t="s">
        <v>646</v>
      </c>
      <c r="I3811" t="str">
        <f>HYPERLINK("http://www.ncbi.nlm.nih.gov/protein/NWW56487.1","RYR2 protein")</f>
        <v>RYR2 protein</v>
      </c>
      <c r="J3811">
        <v>6732.89</v>
      </c>
      <c r="K3811" t="s">
        <v>22</v>
      </c>
      <c r="L3811">
        <v>76</v>
      </c>
      <c r="M3811">
        <v>12.58</v>
      </c>
      <c r="N3811">
        <v>66.260000000000005</v>
      </c>
      <c r="O3811" t="s">
        <v>19</v>
      </c>
      <c r="P3811" t="s">
        <v>1320</v>
      </c>
      <c r="Q3811" t="s">
        <v>19</v>
      </c>
      <c r="R3811" t="str">
        <f>HYPERLINK("https://cfpub.epa.gov/ecotox/explore.cfm?ncbi=461245","Explore in ECOTOX")</f>
        <v>Explore in ECOTOX</v>
      </c>
    </row>
    <row r="3812" spans="1:18" x14ac:dyDescent="0.45">
      <c r="A3812" t="s">
        <v>1265</v>
      </c>
      <c r="B3812">
        <v>8</v>
      </c>
      <c r="C3812" t="str">
        <f>HYPERLINK("http://www.ncbi.nlm.nih.gov/protein/NWX29868.1","NWX29868.1")</f>
        <v>NWX29868.1</v>
      </c>
      <c r="D3812">
        <v>13735</v>
      </c>
      <c r="E3812" t="str">
        <f>HYPERLINK("http://www.ncbi.nlm.nih.gov/Taxonomy/Browser/wwwtax.cgi?mode=Info&amp;id=366454&amp;lvl=3&amp;lin=f&amp;keep=1&amp;srchmode=1&amp;unlock","366454")</f>
        <v>366454</v>
      </c>
      <c r="F3812" t="s">
        <v>241</v>
      </c>
      <c r="G3812" t="str">
        <f>HYPERLINK("http://www.ncbi.nlm.nih.gov/Taxonomy/Browser/wwwtax.cgi?mode=Info&amp;id=366454&amp;lvl=3&amp;lin=f&amp;keep=1&amp;srchmode=1&amp;unlock","Notiomystis cincta")</f>
        <v>Notiomystis cincta</v>
      </c>
      <c r="H3812" t="s">
        <v>435</v>
      </c>
      <c r="I3812" t="str">
        <f>HYPERLINK("http://www.ncbi.nlm.nih.gov/protein/NWX29868.1","RYR2 protein")</f>
        <v>RYR2 protein</v>
      </c>
      <c r="J3812">
        <v>6732.89</v>
      </c>
      <c r="K3812" t="s">
        <v>22</v>
      </c>
      <c r="L3812">
        <v>76</v>
      </c>
      <c r="M3812">
        <v>12.58</v>
      </c>
      <c r="N3812">
        <v>66.260000000000005</v>
      </c>
      <c r="O3812" t="s">
        <v>19</v>
      </c>
      <c r="P3812" t="s">
        <v>1320</v>
      </c>
      <c r="Q3812" t="s">
        <v>19</v>
      </c>
      <c r="R3812" t="str">
        <f>HYPERLINK("https://cfpub.epa.gov/ecotox/explore.cfm?ncbi=366454","Explore in ECOTOX")</f>
        <v>Explore in ECOTOX</v>
      </c>
    </row>
    <row r="3813" spans="1:18" x14ac:dyDescent="0.45">
      <c r="A3813" t="s">
        <v>1265</v>
      </c>
      <c r="B3813">
        <v>8</v>
      </c>
      <c r="C3813" t="str">
        <f>HYPERLINK("http://www.ncbi.nlm.nih.gov/protein/NXH91733.1","NXH91733.1")</f>
        <v>NXH91733.1</v>
      </c>
      <c r="D3813">
        <v>13686</v>
      </c>
      <c r="E3813" t="str">
        <f>HYPERLINK("http://www.ncbi.nlm.nih.gov/Taxonomy/Browser/wwwtax.cgi?mode=Info&amp;id=2585810&amp;lvl=3&amp;lin=f&amp;keep=1&amp;srchmode=1&amp;unlock","2585810")</f>
        <v>2585810</v>
      </c>
      <c r="F3813" t="s">
        <v>241</v>
      </c>
      <c r="G3813" t="str">
        <f>HYPERLINK("http://www.ncbi.nlm.nih.gov/Taxonomy/Browser/wwwtax.cgi?mode=Info&amp;id=2585810&amp;lvl=3&amp;lin=f&amp;keep=1&amp;srchmode=1&amp;unlock","Edolisoma coerulescens")</f>
        <v>Edolisoma coerulescens</v>
      </c>
      <c r="H3813" t="s">
        <v>643</v>
      </c>
      <c r="I3813" t="str">
        <f>HYPERLINK("http://www.ncbi.nlm.nih.gov/protein/NXH91733.1","RYR2 protein")</f>
        <v>RYR2 protein</v>
      </c>
      <c r="J3813">
        <v>6732.5</v>
      </c>
      <c r="K3813" t="s">
        <v>22</v>
      </c>
      <c r="L3813">
        <v>76</v>
      </c>
      <c r="M3813">
        <v>12.58</v>
      </c>
      <c r="N3813">
        <v>66.260000000000005</v>
      </c>
      <c r="O3813" t="s">
        <v>19</v>
      </c>
      <c r="P3813" t="s">
        <v>1320</v>
      </c>
      <c r="Q3813" t="s">
        <v>19</v>
      </c>
      <c r="R3813" t="str">
        <f>HYPERLINK("https://cfpub.epa.gov/ecotox/explore.cfm?ncbi=2585810","Explore in ECOTOX")</f>
        <v>Explore in ECOTOX</v>
      </c>
    </row>
    <row r="3814" spans="1:18" x14ac:dyDescent="0.45">
      <c r="A3814" t="s">
        <v>1265</v>
      </c>
      <c r="B3814">
        <v>8</v>
      </c>
      <c r="C3814" t="str">
        <f>HYPERLINK("http://www.ncbi.nlm.nih.gov/protein/NWR99510.1","NWR99510.1")</f>
        <v>NWR99510.1</v>
      </c>
      <c r="D3814">
        <v>13667</v>
      </c>
      <c r="E3814" t="str">
        <f>HYPERLINK("http://www.ncbi.nlm.nih.gov/Taxonomy/Browser/wwwtax.cgi?mode=Info&amp;id=45807&amp;lvl=3&amp;lin=f&amp;keep=1&amp;srchmode=1&amp;unlock","45807")</f>
        <v>45807</v>
      </c>
      <c r="F3814" t="s">
        <v>241</v>
      </c>
      <c r="G3814" t="str">
        <f>HYPERLINK("http://www.ncbi.nlm.nih.gov/Taxonomy/Browser/wwwtax.cgi?mode=Info&amp;id=45807&amp;lvl=3&amp;lin=f&amp;keep=1&amp;srchmode=1&amp;unlock","Motacilla alba")</f>
        <v>Motacilla alba</v>
      </c>
      <c r="H3814" t="s">
        <v>558</v>
      </c>
      <c r="I3814" t="str">
        <f>HYPERLINK("http://www.ncbi.nlm.nih.gov/protein/NWR99510.1","RYR2 protein")</f>
        <v>RYR2 protein</v>
      </c>
      <c r="J3814">
        <v>6730.96</v>
      </c>
      <c r="K3814" t="s">
        <v>22</v>
      </c>
      <c r="L3814">
        <v>76</v>
      </c>
      <c r="M3814">
        <v>12.58</v>
      </c>
      <c r="N3814">
        <v>66.239999999999995</v>
      </c>
      <c r="O3814" t="s">
        <v>19</v>
      </c>
      <c r="P3814" t="s">
        <v>1320</v>
      </c>
      <c r="Q3814" t="s">
        <v>19</v>
      </c>
      <c r="R3814" t="str">
        <f>HYPERLINK("https://cfpub.epa.gov/ecotox/explore.cfm?ncbi=45807","Explore in ECOTOX")</f>
        <v>Explore in ECOTOX</v>
      </c>
    </row>
    <row r="3815" spans="1:18" x14ac:dyDescent="0.45">
      <c r="A3815" t="s">
        <v>1265</v>
      </c>
      <c r="B3815">
        <v>8</v>
      </c>
      <c r="C3815" t="str">
        <f>HYPERLINK("http://www.ncbi.nlm.nih.gov/protein/NWU44989.1","NWU44989.1")</f>
        <v>NWU44989.1</v>
      </c>
      <c r="D3815">
        <v>13565</v>
      </c>
      <c r="E3815" t="str">
        <f>HYPERLINK("http://www.ncbi.nlm.nih.gov/Taxonomy/Browser/wwwtax.cgi?mode=Info&amp;id=208073&amp;lvl=3&amp;lin=f&amp;keep=1&amp;srchmode=1&amp;unlock","208073")</f>
        <v>208073</v>
      </c>
      <c r="F3815" t="s">
        <v>241</v>
      </c>
      <c r="G3815" t="str">
        <f>HYPERLINK("http://www.ncbi.nlm.nih.gov/Taxonomy/Browser/wwwtax.cgi?mode=Info&amp;id=208073&amp;lvl=3&amp;lin=f&amp;keep=1&amp;srchmode=1&amp;unlock","Hylia prasina")</f>
        <v>Hylia prasina</v>
      </c>
      <c r="H3815" t="s">
        <v>669</v>
      </c>
      <c r="I3815" t="str">
        <f>HYPERLINK("http://www.ncbi.nlm.nih.gov/protein/NWU44989.1","RYR2 protein")</f>
        <v>RYR2 protein</v>
      </c>
      <c r="J3815">
        <v>6730.58</v>
      </c>
      <c r="K3815" t="s">
        <v>22</v>
      </c>
      <c r="L3815">
        <v>76</v>
      </c>
      <c r="M3815">
        <v>12.58</v>
      </c>
      <c r="N3815">
        <v>66.239999999999995</v>
      </c>
      <c r="O3815" t="s">
        <v>19</v>
      </c>
      <c r="P3815" t="s">
        <v>1320</v>
      </c>
      <c r="Q3815" t="s">
        <v>19</v>
      </c>
      <c r="R3815" t="str">
        <f>HYPERLINK("https://cfpub.epa.gov/ecotox/explore.cfm?ncbi=208073","Explore in ECOTOX")</f>
        <v>Explore in ECOTOX</v>
      </c>
    </row>
    <row r="3816" spans="1:18" x14ac:dyDescent="0.45">
      <c r="A3816" t="s">
        <v>1265</v>
      </c>
      <c r="B3816">
        <v>8</v>
      </c>
      <c r="C3816" t="str">
        <f>HYPERLINK("http://www.ncbi.nlm.nih.gov/protein/NXO29348.1","NXO29348.1")</f>
        <v>NXO29348.1</v>
      </c>
      <c r="D3816">
        <v>13484</v>
      </c>
      <c r="E3816" t="str">
        <f>HYPERLINK("http://www.ncbi.nlm.nih.gov/Taxonomy/Browser/wwwtax.cgi?mode=Info&amp;id=52622&amp;lvl=3&amp;lin=f&amp;keep=1&amp;srchmode=1&amp;unlock","52622")</f>
        <v>52622</v>
      </c>
      <c r="F3816" t="s">
        <v>241</v>
      </c>
      <c r="G3816" t="str">
        <f>HYPERLINK("http://www.ncbi.nlm.nih.gov/Taxonomy/Browser/wwwtax.cgi?mode=Info&amp;id=52622&amp;lvl=3&amp;lin=f&amp;keep=1&amp;srchmode=1&amp;unlock","Cisticola juncidis")</f>
        <v>Cisticola juncidis</v>
      </c>
      <c r="H3816" t="s">
        <v>435</v>
      </c>
      <c r="I3816" t="str">
        <f>HYPERLINK("http://www.ncbi.nlm.nih.gov/protein/NXO29348.1","RYR2 protein")</f>
        <v>RYR2 protein</v>
      </c>
      <c r="J3816">
        <v>6729.42</v>
      </c>
      <c r="K3816" t="s">
        <v>22</v>
      </c>
      <c r="L3816">
        <v>76</v>
      </c>
      <c r="M3816">
        <v>12.58</v>
      </c>
      <c r="N3816">
        <v>66.23</v>
      </c>
      <c r="O3816" t="s">
        <v>19</v>
      </c>
      <c r="P3816" t="s">
        <v>1320</v>
      </c>
      <c r="Q3816" t="s">
        <v>19</v>
      </c>
      <c r="R3816" t="str">
        <f>HYPERLINK("https://cfpub.epa.gov/ecotox/explore.cfm?ncbi=52622","Explore in ECOTOX")</f>
        <v>Explore in ECOTOX</v>
      </c>
    </row>
    <row r="3817" spans="1:18" x14ac:dyDescent="0.45">
      <c r="A3817" t="s">
        <v>1265</v>
      </c>
      <c r="B3817">
        <v>8</v>
      </c>
      <c r="C3817" t="str">
        <f>HYPERLINK("http://www.ncbi.nlm.nih.gov/protein/XP_025022800.1","XP_025022800.1")</f>
        <v>XP_025022800.1</v>
      </c>
      <c r="D3817">
        <v>32865</v>
      </c>
      <c r="E3817" t="str">
        <f>HYPERLINK("http://www.ncbi.nlm.nih.gov/Taxonomy/Browser/wwwtax.cgi?mode=Info&amp;id=176946&amp;lvl=3&amp;lin=f&amp;keep=1&amp;srchmode=1&amp;unlock","176946")</f>
        <v>176946</v>
      </c>
      <c r="F3817" t="s">
        <v>192</v>
      </c>
      <c r="G3817" t="str">
        <f>HYPERLINK("http://www.ncbi.nlm.nih.gov/Taxonomy/Browser/wwwtax.cgi?mode=Info&amp;id=176946&amp;lvl=3&amp;lin=f&amp;keep=1&amp;srchmode=1&amp;unlock","Python bivittatus")</f>
        <v>Python bivittatus</v>
      </c>
      <c r="H3817" t="s">
        <v>473</v>
      </c>
      <c r="I3817" t="str">
        <f>HYPERLINK("http://www.ncbi.nlm.nih.gov/protein/XP_025022800.1","ryanodine receptor 2")</f>
        <v>ryanodine receptor 2</v>
      </c>
      <c r="J3817">
        <v>6729.04</v>
      </c>
      <c r="K3817" t="s">
        <v>22</v>
      </c>
      <c r="L3817">
        <v>76</v>
      </c>
      <c r="M3817">
        <v>12.58</v>
      </c>
      <c r="N3817">
        <v>66.23</v>
      </c>
      <c r="O3817" t="s">
        <v>19</v>
      </c>
      <c r="P3817" t="s">
        <v>1320</v>
      </c>
      <c r="Q3817" t="s">
        <v>19</v>
      </c>
      <c r="R3817" t="str">
        <f>HYPERLINK("https://cfpub.epa.gov/ecotox/explore.cfm?ncbi=176946","Explore in ECOTOX")</f>
        <v>Explore in ECOTOX</v>
      </c>
    </row>
    <row r="3818" spans="1:18" x14ac:dyDescent="0.45">
      <c r="A3818" t="s">
        <v>1265</v>
      </c>
      <c r="B3818">
        <v>8</v>
      </c>
      <c r="C3818" t="str">
        <f>HYPERLINK("http://www.ncbi.nlm.nih.gov/protein/NWT49560.1","NWT49560.1")</f>
        <v>NWT49560.1</v>
      </c>
      <c r="D3818">
        <v>14073</v>
      </c>
      <c r="E3818" t="str">
        <f>HYPERLINK("http://www.ncbi.nlm.nih.gov/Taxonomy/Browser/wwwtax.cgi?mode=Info&amp;id=107208&amp;lvl=3&amp;lin=f&amp;keep=1&amp;srchmode=1&amp;unlock","107208")</f>
        <v>107208</v>
      </c>
      <c r="F3818" t="s">
        <v>241</v>
      </c>
      <c r="G3818" t="str">
        <f>HYPERLINK("http://www.ncbi.nlm.nih.gov/Taxonomy/Browser/wwwtax.cgi?mode=Info&amp;id=107208&amp;lvl=3&amp;lin=f&amp;keep=1&amp;srchmode=1&amp;unlock","Erythrocercus mccallii")</f>
        <v>Erythrocercus mccallii</v>
      </c>
      <c r="H3818" t="s">
        <v>435</v>
      </c>
      <c r="I3818" t="str">
        <f>HYPERLINK("http://www.ncbi.nlm.nih.gov/protein/NWT49560.1","RYR2 protein")</f>
        <v>RYR2 protein</v>
      </c>
      <c r="J3818">
        <v>6728.65</v>
      </c>
      <c r="K3818" t="s">
        <v>22</v>
      </c>
      <c r="L3818">
        <v>76</v>
      </c>
      <c r="M3818">
        <v>12.58</v>
      </c>
      <c r="N3818">
        <v>66.22</v>
      </c>
      <c r="O3818" t="s">
        <v>19</v>
      </c>
      <c r="P3818" t="s">
        <v>1320</v>
      </c>
      <c r="Q3818" t="s">
        <v>19</v>
      </c>
      <c r="R3818" t="str">
        <f>HYPERLINK("https://cfpub.epa.gov/ecotox/explore.cfm?ncbi=107208","Explore in ECOTOX")</f>
        <v>Explore in ECOTOX</v>
      </c>
    </row>
    <row r="3819" spans="1:18" x14ac:dyDescent="0.45">
      <c r="A3819" t="s">
        <v>1265</v>
      </c>
      <c r="B3819">
        <v>8</v>
      </c>
      <c r="C3819" t="str">
        <f>HYPERLINK("http://www.ncbi.nlm.nih.gov/protein/NWT64449.1","NWT64449.1")</f>
        <v>NWT64449.1</v>
      </c>
      <c r="D3819">
        <v>13939</v>
      </c>
      <c r="E3819" t="str">
        <f>HYPERLINK("http://www.ncbi.nlm.nih.gov/Taxonomy/Browser/wwwtax.cgi?mode=Info&amp;id=670356&amp;lvl=3&amp;lin=f&amp;keep=1&amp;srchmode=1&amp;unlock","670356")</f>
        <v>670356</v>
      </c>
      <c r="F3819" t="s">
        <v>241</v>
      </c>
      <c r="G3819" t="str">
        <f>HYPERLINK("http://www.ncbi.nlm.nih.gov/Taxonomy/Browser/wwwtax.cgi?mode=Info&amp;id=670356&amp;lvl=3&amp;lin=f&amp;keep=1&amp;srchmode=1&amp;unlock","Prunella himalayana")</f>
        <v>Prunella himalayana</v>
      </c>
      <c r="H3819" t="s">
        <v>435</v>
      </c>
      <c r="I3819" t="str">
        <f>HYPERLINK("http://www.ncbi.nlm.nih.gov/protein/NWT64449.1","RYR2 protein")</f>
        <v>RYR2 protein</v>
      </c>
      <c r="J3819">
        <v>6727.88</v>
      </c>
      <c r="K3819" t="s">
        <v>22</v>
      </c>
      <c r="L3819">
        <v>76</v>
      </c>
      <c r="M3819">
        <v>12.58</v>
      </c>
      <c r="N3819">
        <v>66.209999999999994</v>
      </c>
      <c r="O3819" t="s">
        <v>19</v>
      </c>
      <c r="P3819" t="s">
        <v>1320</v>
      </c>
      <c r="Q3819" t="s">
        <v>19</v>
      </c>
      <c r="R3819" t="str">
        <f>HYPERLINK("https://cfpub.epa.gov/ecotox/explore.cfm?ncbi=670356","Explore in ECOTOX")</f>
        <v>Explore in ECOTOX</v>
      </c>
    </row>
    <row r="3820" spans="1:18" x14ac:dyDescent="0.45">
      <c r="A3820" t="s">
        <v>1265</v>
      </c>
      <c r="B3820">
        <v>8</v>
      </c>
      <c r="C3820" t="str">
        <f>HYPERLINK("http://www.ncbi.nlm.nih.gov/protein/NXI29750.1","NXI29750.1")</f>
        <v>NXI29750.1</v>
      </c>
      <c r="D3820">
        <v>13252</v>
      </c>
      <c r="E3820" t="str">
        <f>HYPERLINK("http://www.ncbi.nlm.nih.gov/Taxonomy/Browser/wwwtax.cgi?mode=Info&amp;id=2585820&amp;lvl=3&amp;lin=f&amp;keep=1&amp;srchmode=1&amp;unlock","2585820")</f>
        <v>2585820</v>
      </c>
      <c r="F3820" t="s">
        <v>241</v>
      </c>
      <c r="G3820" t="str">
        <f>HYPERLINK("http://www.ncbi.nlm.nih.gov/Taxonomy/Browser/wwwtax.cgi?mode=Info&amp;id=2585820&amp;lvl=3&amp;lin=f&amp;keep=1&amp;srchmode=1&amp;unlock","Sterrhoptilus dennistouni")</f>
        <v>Sterrhoptilus dennistouni</v>
      </c>
      <c r="H3820" t="s">
        <v>670</v>
      </c>
      <c r="I3820" t="str">
        <f>HYPERLINK("http://www.ncbi.nlm.nih.gov/protein/NXI29750.1","RYR2 protein")</f>
        <v>RYR2 protein</v>
      </c>
      <c r="J3820">
        <v>6727.5</v>
      </c>
      <c r="K3820" t="s">
        <v>22</v>
      </c>
      <c r="L3820">
        <v>76</v>
      </c>
      <c r="M3820">
        <v>12.58</v>
      </c>
      <c r="N3820">
        <v>66.209999999999994</v>
      </c>
      <c r="O3820" t="s">
        <v>19</v>
      </c>
      <c r="P3820" t="s">
        <v>1320</v>
      </c>
      <c r="Q3820" t="s">
        <v>19</v>
      </c>
      <c r="R3820" t="str">
        <f>HYPERLINK("https://cfpub.epa.gov/ecotox/explore.cfm?ncbi=2585820","Explore in ECOTOX")</f>
        <v>Explore in ECOTOX</v>
      </c>
    </row>
    <row r="3821" spans="1:18" x14ac:dyDescent="0.45">
      <c r="A3821" t="s">
        <v>1265</v>
      </c>
      <c r="B3821">
        <v>8</v>
      </c>
      <c r="C3821" t="str">
        <f>HYPERLINK("http://www.ncbi.nlm.nih.gov/protein/NXD93569.1","NXD93569.1")</f>
        <v>NXD93569.1</v>
      </c>
      <c r="D3821">
        <v>14358</v>
      </c>
      <c r="E3821" t="str">
        <f>HYPERLINK("http://www.ncbi.nlm.nih.gov/Taxonomy/Browser/wwwtax.cgi?mode=Info&amp;id=254446&amp;lvl=3&amp;lin=f&amp;keep=1&amp;srchmode=1&amp;unlock","254446")</f>
        <v>254446</v>
      </c>
      <c r="F3821" t="s">
        <v>241</v>
      </c>
      <c r="G3821" t="str">
        <f>HYPERLINK("http://www.ncbi.nlm.nih.gov/Taxonomy/Browser/wwwtax.cgi?mode=Info&amp;id=254446&amp;lvl=3&amp;lin=f&amp;keep=1&amp;srchmode=1&amp;unlock","Chaetorhynchus papuensis")</f>
        <v>Chaetorhynchus papuensis</v>
      </c>
      <c r="H3821" t="s">
        <v>662</v>
      </c>
      <c r="I3821" t="str">
        <f>HYPERLINK("http://www.ncbi.nlm.nih.gov/protein/NXD93569.1","RYR2 protein")</f>
        <v>RYR2 protein</v>
      </c>
      <c r="J3821">
        <v>6727.11</v>
      </c>
      <c r="K3821" t="s">
        <v>22</v>
      </c>
      <c r="L3821">
        <v>76</v>
      </c>
      <c r="M3821">
        <v>12.58</v>
      </c>
      <c r="N3821">
        <v>66.209999999999994</v>
      </c>
      <c r="O3821" t="s">
        <v>19</v>
      </c>
      <c r="P3821" t="s">
        <v>1320</v>
      </c>
      <c r="Q3821" t="s">
        <v>19</v>
      </c>
      <c r="R3821" t="str">
        <f>HYPERLINK("https://cfpub.epa.gov/ecotox/explore.cfm?ncbi=254446","Explore in ECOTOX")</f>
        <v>Explore in ECOTOX</v>
      </c>
    </row>
    <row r="3822" spans="1:18" x14ac:dyDescent="0.45">
      <c r="A3822" t="s">
        <v>1265</v>
      </c>
      <c r="B3822">
        <v>8</v>
      </c>
      <c r="C3822" t="str">
        <f>HYPERLINK("http://www.ncbi.nlm.nih.gov/protein/NXQ35610.1","NXQ35610.1")</f>
        <v>NXQ35610.1</v>
      </c>
      <c r="D3822">
        <v>14402</v>
      </c>
      <c r="E3822" t="str">
        <f>HYPERLINK("http://www.ncbi.nlm.nih.gov/Taxonomy/Browser/wwwtax.cgi?mode=Info&amp;id=670337&amp;lvl=3&amp;lin=f&amp;keep=1&amp;srchmode=1&amp;unlock","670337")</f>
        <v>670337</v>
      </c>
      <c r="F3822" t="s">
        <v>241</v>
      </c>
      <c r="G3822" t="str">
        <f>HYPERLINK("http://www.ncbi.nlm.nih.gov/Taxonomy/Browser/wwwtax.cgi?mode=Info&amp;id=670337&amp;lvl=3&amp;lin=f&amp;keep=1&amp;srchmode=1&amp;unlock","Alaudala cheleensis")</f>
        <v>Alaudala cheleensis</v>
      </c>
      <c r="H3822" t="s">
        <v>678</v>
      </c>
      <c r="I3822" t="str">
        <f>HYPERLINK("http://www.ncbi.nlm.nih.gov/protein/NXQ35610.1","RYR2 protein")</f>
        <v>RYR2 protein</v>
      </c>
      <c r="J3822">
        <v>6727.11</v>
      </c>
      <c r="K3822" t="s">
        <v>22</v>
      </c>
      <c r="L3822">
        <v>76</v>
      </c>
      <c r="M3822">
        <v>12.58</v>
      </c>
      <c r="N3822">
        <v>66.209999999999994</v>
      </c>
      <c r="O3822" t="s">
        <v>19</v>
      </c>
      <c r="P3822" t="s">
        <v>1320</v>
      </c>
      <c r="Q3822" t="s">
        <v>19</v>
      </c>
      <c r="R3822" t="str">
        <f>HYPERLINK("https://cfpub.epa.gov/ecotox/explore.cfm?ncbi=670337","Explore in ECOTOX")</f>
        <v>Explore in ECOTOX</v>
      </c>
    </row>
    <row r="3823" spans="1:18" x14ac:dyDescent="0.45">
      <c r="A3823" t="s">
        <v>1265</v>
      </c>
      <c r="B3823">
        <v>8</v>
      </c>
      <c r="C3823" t="str">
        <f>HYPERLINK("http://www.ncbi.nlm.nih.gov/protein/NXA99462.1","NXA99462.1")</f>
        <v>NXA99462.1</v>
      </c>
      <c r="D3823">
        <v>14160</v>
      </c>
      <c r="E3823" t="str">
        <f>HYPERLINK("http://www.ncbi.nlm.nih.gov/Taxonomy/Browser/wwwtax.cgi?mode=Info&amp;id=254448&amp;lvl=3&amp;lin=f&amp;keep=1&amp;srchmode=1&amp;unlock","254448")</f>
        <v>254448</v>
      </c>
      <c r="F3823" t="s">
        <v>241</v>
      </c>
      <c r="G3823" t="str">
        <f>HYPERLINK("http://www.ncbi.nlm.nih.gov/Taxonomy/Browser/wwwtax.cgi?mode=Info&amp;id=254448&amp;lvl=3&amp;lin=f&amp;keep=1&amp;srchmode=1&amp;unlock","Cnemophilus loriae")</f>
        <v>Cnemophilus loriae</v>
      </c>
      <c r="H3823" t="s">
        <v>666</v>
      </c>
      <c r="I3823" t="str">
        <f>HYPERLINK("http://www.ncbi.nlm.nih.gov/protein/NXA99462.1","RYR2 protein")</f>
        <v>RYR2 protein</v>
      </c>
      <c r="J3823">
        <v>6727.11</v>
      </c>
      <c r="K3823" t="s">
        <v>22</v>
      </c>
      <c r="L3823">
        <v>76</v>
      </c>
      <c r="M3823">
        <v>12.58</v>
      </c>
      <c r="N3823">
        <v>66.209999999999994</v>
      </c>
      <c r="O3823" t="s">
        <v>19</v>
      </c>
      <c r="P3823" t="s">
        <v>1320</v>
      </c>
      <c r="Q3823" t="s">
        <v>19</v>
      </c>
      <c r="R3823" t="str">
        <f>HYPERLINK("https://cfpub.epa.gov/ecotox/explore.cfm?ncbi=254448","Explore in ECOTOX")</f>
        <v>Explore in ECOTOX</v>
      </c>
    </row>
    <row r="3824" spans="1:18" x14ac:dyDescent="0.45">
      <c r="A3824" t="s">
        <v>1265</v>
      </c>
      <c r="B3824">
        <v>8</v>
      </c>
      <c r="C3824" t="str">
        <f>HYPERLINK("http://www.ncbi.nlm.nih.gov/protein/KAF1405008.1","KAF1405008.1")</f>
        <v>KAF1405008.1</v>
      </c>
      <c r="D3824">
        <v>14633</v>
      </c>
      <c r="E3824" t="str">
        <f>HYPERLINK("http://www.ncbi.nlm.nih.gov/Taxonomy/Browser/wwwtax.cgi?mode=Info&amp;id=156760&amp;lvl=3&amp;lin=f&amp;keep=1&amp;srchmode=1&amp;unlock","156760")</f>
        <v>156760</v>
      </c>
      <c r="F3824" t="s">
        <v>241</v>
      </c>
      <c r="G3824" t="str">
        <f>HYPERLINK("http://www.ncbi.nlm.nih.gov/Taxonomy/Browser/wwwtax.cgi?mode=Info&amp;id=156760&amp;lvl=3&amp;lin=f&amp;keep=1&amp;srchmode=1&amp;unlock","Spheniscus mendiculus")</f>
        <v>Spheniscus mendiculus</v>
      </c>
      <c r="H3824" t="s">
        <v>644</v>
      </c>
      <c r="I3824" t="str">
        <f>HYPERLINK("http://www.ncbi.nlm.nih.gov/protein/KAF1405008.1","Ryanodine receptor 2, partial")</f>
        <v>Ryanodine receptor 2, partial</v>
      </c>
      <c r="J3824">
        <v>6725.57</v>
      </c>
      <c r="K3824" t="s">
        <v>22</v>
      </c>
      <c r="L3824">
        <v>76</v>
      </c>
      <c r="M3824">
        <v>12.58</v>
      </c>
      <c r="N3824">
        <v>66.19</v>
      </c>
      <c r="O3824" t="s">
        <v>19</v>
      </c>
      <c r="P3824" t="s">
        <v>1320</v>
      </c>
      <c r="Q3824" t="s">
        <v>19</v>
      </c>
      <c r="R3824" t="str">
        <f>HYPERLINK("https://cfpub.epa.gov/ecotox/explore.cfm?ncbi=156760","Explore in ECOTOX")</f>
        <v>Explore in ECOTOX</v>
      </c>
    </row>
    <row r="3825" spans="1:18" x14ac:dyDescent="0.45">
      <c r="A3825" t="s">
        <v>1265</v>
      </c>
      <c r="B3825">
        <v>8</v>
      </c>
      <c r="C3825" t="str">
        <f>HYPERLINK("http://www.ncbi.nlm.nih.gov/protein/NWZ45024.1","NWZ45024.1")</f>
        <v>NWZ45024.1</v>
      </c>
      <c r="D3825">
        <v>12885</v>
      </c>
      <c r="E3825" t="str">
        <f>HYPERLINK("http://www.ncbi.nlm.nih.gov/Taxonomy/Browser/wwwtax.cgi?mode=Info&amp;id=182895&amp;lvl=3&amp;lin=f&amp;keep=1&amp;srchmode=1&amp;unlock","182895")</f>
        <v>182895</v>
      </c>
      <c r="F3825" t="s">
        <v>241</v>
      </c>
      <c r="G3825" t="str">
        <f>HYPERLINK("http://www.ncbi.nlm.nih.gov/Taxonomy/Browser/wwwtax.cgi?mode=Info&amp;id=182895&amp;lvl=3&amp;lin=f&amp;keep=1&amp;srchmode=1&amp;unlock","Brachypodius atriceps")</f>
        <v>Brachypodius atriceps</v>
      </c>
      <c r="H3825" t="s">
        <v>677</v>
      </c>
      <c r="I3825" t="str">
        <f>HYPERLINK("http://www.ncbi.nlm.nih.gov/protein/NWZ45024.1","RYR2 protein")</f>
        <v>RYR2 protein</v>
      </c>
      <c r="J3825">
        <v>6724.8</v>
      </c>
      <c r="K3825" t="s">
        <v>22</v>
      </c>
      <c r="L3825">
        <v>76</v>
      </c>
      <c r="M3825">
        <v>12.58</v>
      </c>
      <c r="N3825">
        <v>66.180000000000007</v>
      </c>
      <c r="O3825" t="s">
        <v>19</v>
      </c>
      <c r="P3825" t="s">
        <v>1320</v>
      </c>
      <c r="Q3825" t="s">
        <v>19</v>
      </c>
      <c r="R3825" t="str">
        <f>HYPERLINK("https://cfpub.epa.gov/ecotox/explore.cfm?ncbi=182895","Explore in ECOTOX")</f>
        <v>Explore in ECOTOX</v>
      </c>
    </row>
    <row r="3826" spans="1:18" x14ac:dyDescent="0.45">
      <c r="A3826" t="s">
        <v>1265</v>
      </c>
      <c r="B3826">
        <v>8</v>
      </c>
      <c r="C3826" t="str">
        <f>HYPERLINK("http://www.ncbi.nlm.nih.gov/protein/KAF1463728.1","KAF1463728.1")</f>
        <v>KAF1463728.1</v>
      </c>
      <c r="D3826">
        <v>14293</v>
      </c>
      <c r="E3826" t="str">
        <f>HYPERLINK("http://www.ncbi.nlm.nih.gov/Taxonomy/Browser/wwwtax.cgi?mode=Info&amp;id=92683&amp;lvl=3&amp;lin=f&amp;keep=1&amp;srchmode=1&amp;unlock","92683")</f>
        <v>92683</v>
      </c>
      <c r="F3826" t="s">
        <v>241</v>
      </c>
      <c r="G3826" t="str">
        <f>HYPERLINK("http://www.ncbi.nlm.nih.gov/Taxonomy/Browser/wwwtax.cgi?mode=Info&amp;id=92683&amp;lvl=3&amp;lin=f&amp;keep=1&amp;srchmode=1&amp;unlock","Spheniscus demersus")</f>
        <v>Spheniscus demersus</v>
      </c>
      <c r="H3826" t="s">
        <v>640</v>
      </c>
      <c r="I3826" t="str">
        <f>HYPERLINK("http://www.ncbi.nlm.nih.gov/protein/KAF1463728.1","Ryanodine receptor 2, partial")</f>
        <v>Ryanodine receptor 2, partial</v>
      </c>
      <c r="J3826">
        <v>6724.8</v>
      </c>
      <c r="K3826" t="s">
        <v>22</v>
      </c>
      <c r="L3826">
        <v>76</v>
      </c>
      <c r="M3826">
        <v>12.58</v>
      </c>
      <c r="N3826">
        <v>66.180000000000007</v>
      </c>
      <c r="O3826" t="s">
        <v>19</v>
      </c>
      <c r="P3826" t="s">
        <v>1320</v>
      </c>
      <c r="Q3826" t="s">
        <v>19</v>
      </c>
      <c r="R3826" t="str">
        <f>HYPERLINK("https://cfpub.epa.gov/ecotox/explore.cfm?ncbi=92683","Explore in ECOTOX")</f>
        <v>Explore in ECOTOX</v>
      </c>
    </row>
    <row r="3827" spans="1:18" x14ac:dyDescent="0.45">
      <c r="A3827" t="s">
        <v>1265</v>
      </c>
      <c r="B3827">
        <v>8</v>
      </c>
      <c r="C3827" t="str">
        <f>HYPERLINK("http://www.ncbi.nlm.nih.gov/protein/NXL43224.1","NXL43224.1")</f>
        <v>NXL43224.1</v>
      </c>
      <c r="D3827">
        <v>14232</v>
      </c>
      <c r="E3827" t="str">
        <f>HYPERLINK("http://www.ncbi.nlm.nih.gov/Taxonomy/Browser/wwwtax.cgi?mode=Info&amp;id=9252&amp;lvl=3&amp;lin=f&amp;keep=1&amp;srchmode=1&amp;unlock","9252")</f>
        <v>9252</v>
      </c>
      <c r="F3827" t="s">
        <v>241</v>
      </c>
      <c r="G3827" t="str">
        <f>HYPERLINK("http://www.ncbi.nlm.nih.gov/Taxonomy/Browser/wwwtax.cgi?mode=Info&amp;id=9252&amp;lvl=3&amp;lin=f&amp;keep=1&amp;srchmode=1&amp;unlock","Podilymbus podiceps")</f>
        <v>Podilymbus podiceps</v>
      </c>
      <c r="H3827" t="s">
        <v>474</v>
      </c>
      <c r="I3827" t="str">
        <f>HYPERLINK("http://www.ncbi.nlm.nih.gov/protein/NXL43224.1","RYR2 protein")</f>
        <v>RYR2 protein</v>
      </c>
      <c r="J3827">
        <v>6724.41</v>
      </c>
      <c r="K3827" t="s">
        <v>22</v>
      </c>
      <c r="L3827">
        <v>76</v>
      </c>
      <c r="M3827">
        <v>12.58</v>
      </c>
      <c r="N3827">
        <v>66.180000000000007</v>
      </c>
      <c r="O3827" t="s">
        <v>19</v>
      </c>
      <c r="P3827" t="s">
        <v>1320</v>
      </c>
      <c r="Q3827" t="s">
        <v>19</v>
      </c>
      <c r="R3827" t="str">
        <f>HYPERLINK("https://cfpub.epa.gov/ecotox/explore.cfm?ncbi=9252","Explore in ECOTOX")</f>
        <v>Explore in ECOTOX</v>
      </c>
    </row>
    <row r="3828" spans="1:18" x14ac:dyDescent="0.45">
      <c r="A3828" t="s">
        <v>1265</v>
      </c>
      <c r="B3828">
        <v>8</v>
      </c>
      <c r="C3828" t="str">
        <f>HYPERLINK("http://www.ncbi.nlm.nih.gov/protein/NWY65460.1","NWY65460.1")</f>
        <v>NWY65460.1</v>
      </c>
      <c r="D3828">
        <v>13930</v>
      </c>
      <c r="E3828" t="str">
        <f>HYPERLINK("http://www.ncbi.nlm.nih.gov/Taxonomy/Browser/wwwtax.cgi?mode=Info&amp;id=37610&amp;lvl=3&amp;lin=f&amp;keep=1&amp;srchmode=1&amp;unlock","37610")</f>
        <v>37610</v>
      </c>
      <c r="F3828" t="s">
        <v>241</v>
      </c>
      <c r="G3828" t="str">
        <f>HYPERLINK("http://www.ncbi.nlm.nih.gov/Taxonomy/Browser/wwwtax.cgi?mode=Info&amp;id=37610&amp;lvl=3&amp;lin=f&amp;keep=1&amp;srchmode=1&amp;unlock","Erithacus rubecula")</f>
        <v>Erithacus rubecula</v>
      </c>
      <c r="H3828" t="s">
        <v>459</v>
      </c>
      <c r="I3828" t="str">
        <f>HYPERLINK("http://www.ncbi.nlm.nih.gov/protein/NWY65460.1","RYR2 protein")</f>
        <v>RYR2 protein</v>
      </c>
      <c r="J3828">
        <v>6724.41</v>
      </c>
      <c r="K3828" t="s">
        <v>22</v>
      </c>
      <c r="L3828">
        <v>76</v>
      </c>
      <c r="M3828">
        <v>12.58</v>
      </c>
      <c r="N3828">
        <v>66.180000000000007</v>
      </c>
      <c r="O3828" t="s">
        <v>19</v>
      </c>
      <c r="P3828" t="s">
        <v>1320</v>
      </c>
      <c r="Q3828" t="s">
        <v>19</v>
      </c>
      <c r="R3828" t="str">
        <f>HYPERLINK("https://cfpub.epa.gov/ecotox/explore.cfm?ncbi=37610","Explore in ECOTOX")</f>
        <v>Explore in ECOTOX</v>
      </c>
    </row>
    <row r="3829" spans="1:18" x14ac:dyDescent="0.45">
      <c r="A3829" t="s">
        <v>1265</v>
      </c>
      <c r="B3829">
        <v>8</v>
      </c>
      <c r="C3829" t="str">
        <f>HYPERLINK("http://www.ncbi.nlm.nih.gov/protein/KAF1401898.1","KAF1401898.1")</f>
        <v>KAF1401898.1</v>
      </c>
      <c r="D3829">
        <v>15617</v>
      </c>
      <c r="E3829" t="str">
        <f>HYPERLINK("http://www.ncbi.nlm.nih.gov/Taxonomy/Browser/wwwtax.cgi?mode=Info&amp;id=37081&amp;lvl=3&amp;lin=f&amp;keep=1&amp;srchmode=1&amp;unlock","37081")</f>
        <v>37081</v>
      </c>
      <c r="F3829" t="s">
        <v>241</v>
      </c>
      <c r="G3829" t="str">
        <f>HYPERLINK("http://www.ncbi.nlm.nih.gov/Taxonomy/Browser/wwwtax.cgi?mode=Info&amp;id=37081&amp;lvl=3&amp;lin=f&amp;keep=1&amp;srchmode=1&amp;unlock","Spheniscus magellanicus")</f>
        <v>Spheniscus magellanicus</v>
      </c>
      <c r="H3829" t="s">
        <v>637</v>
      </c>
      <c r="I3829" t="str">
        <f>HYPERLINK("http://www.ncbi.nlm.nih.gov/protein/KAF1401898.1","Ryanodine receptor 2, partial")</f>
        <v>Ryanodine receptor 2, partial</v>
      </c>
      <c r="J3829">
        <v>6724.03</v>
      </c>
      <c r="K3829" t="s">
        <v>22</v>
      </c>
      <c r="L3829">
        <v>76</v>
      </c>
      <c r="M3829">
        <v>12.58</v>
      </c>
      <c r="N3829">
        <v>66.180000000000007</v>
      </c>
      <c r="O3829" t="s">
        <v>19</v>
      </c>
      <c r="P3829" t="s">
        <v>1320</v>
      </c>
      <c r="Q3829" t="s">
        <v>19</v>
      </c>
      <c r="R3829" t="str">
        <f>HYPERLINK("https://cfpub.epa.gov/ecotox/explore.cfm?ncbi=37081","Explore in ECOTOX")</f>
        <v>Explore in ECOTOX</v>
      </c>
    </row>
    <row r="3830" spans="1:18" x14ac:dyDescent="0.45">
      <c r="A3830" t="s">
        <v>1265</v>
      </c>
      <c r="B3830">
        <v>8</v>
      </c>
      <c r="C3830" t="str">
        <f>HYPERLINK("http://www.ncbi.nlm.nih.gov/protein/KAF1427970.1","KAF1427970.1")</f>
        <v>KAF1427970.1</v>
      </c>
      <c r="D3830">
        <v>15400</v>
      </c>
      <c r="E3830" t="str">
        <f>HYPERLINK("http://www.ncbi.nlm.nih.gov/Taxonomy/Browser/wwwtax.cgi?mode=Info&amp;id=9240&amp;lvl=3&amp;lin=f&amp;keep=1&amp;srchmode=1&amp;unlock","9240")</f>
        <v>9240</v>
      </c>
      <c r="F3830" t="s">
        <v>241</v>
      </c>
      <c r="G3830" t="str">
        <f>HYPERLINK("http://www.ncbi.nlm.nih.gov/Taxonomy/Browser/wwwtax.cgi?mode=Info&amp;id=9240&amp;lvl=3&amp;lin=f&amp;keep=1&amp;srchmode=1&amp;unlock","Spheniscus humboldti")</f>
        <v>Spheniscus humboldti</v>
      </c>
      <c r="H3830" t="s">
        <v>655</v>
      </c>
      <c r="I3830" t="str">
        <f>HYPERLINK("http://www.ncbi.nlm.nih.gov/protein/KAF1427970.1","Ryanodine receptor 2, partial")</f>
        <v>Ryanodine receptor 2, partial</v>
      </c>
      <c r="J3830">
        <v>6722.87</v>
      </c>
      <c r="K3830" t="s">
        <v>22</v>
      </c>
      <c r="L3830">
        <v>76</v>
      </c>
      <c r="M3830">
        <v>12.58</v>
      </c>
      <c r="N3830">
        <v>66.16</v>
      </c>
      <c r="O3830" t="s">
        <v>19</v>
      </c>
      <c r="P3830" t="s">
        <v>1320</v>
      </c>
      <c r="Q3830" t="s">
        <v>19</v>
      </c>
      <c r="R3830" t="str">
        <f>HYPERLINK("https://cfpub.epa.gov/ecotox/explore.cfm?ncbi=9240","Explore in ECOTOX")</f>
        <v>Explore in ECOTOX</v>
      </c>
    </row>
    <row r="3831" spans="1:18" x14ac:dyDescent="0.45">
      <c r="A3831" t="s">
        <v>1265</v>
      </c>
      <c r="B3831">
        <v>8</v>
      </c>
      <c r="C3831" t="str">
        <f>HYPERLINK("http://www.ncbi.nlm.nih.gov/protein/NXM21844.1","NXM21844.1")</f>
        <v>NXM21844.1</v>
      </c>
      <c r="D3831">
        <v>13548</v>
      </c>
      <c r="E3831" t="str">
        <f>HYPERLINK("http://www.ncbi.nlm.nih.gov/Taxonomy/Browser/wwwtax.cgi?mode=Info&amp;id=441696&amp;lvl=3&amp;lin=f&amp;keep=1&amp;srchmode=1&amp;unlock","441696")</f>
        <v>441696</v>
      </c>
      <c r="F3831" t="s">
        <v>241</v>
      </c>
      <c r="G3831" t="str">
        <f>HYPERLINK("http://www.ncbi.nlm.nih.gov/Taxonomy/Browser/wwwtax.cgi?mode=Info&amp;id=441696&amp;lvl=3&amp;lin=f&amp;keep=1&amp;srchmode=1&amp;unlock","Ploceus nigricollis")</f>
        <v>Ploceus nigricollis</v>
      </c>
      <c r="H3831" t="s">
        <v>435</v>
      </c>
      <c r="I3831" t="str">
        <f>HYPERLINK("http://www.ncbi.nlm.nih.gov/protein/NXM21844.1","RYR2 protein")</f>
        <v>RYR2 protein</v>
      </c>
      <c r="J3831">
        <v>6722.1</v>
      </c>
      <c r="K3831" t="s">
        <v>22</v>
      </c>
      <c r="L3831">
        <v>76</v>
      </c>
      <c r="M3831">
        <v>12.58</v>
      </c>
      <c r="N3831">
        <v>66.16</v>
      </c>
      <c r="O3831" t="s">
        <v>19</v>
      </c>
      <c r="P3831" t="s">
        <v>1320</v>
      </c>
      <c r="Q3831" t="s">
        <v>19</v>
      </c>
      <c r="R3831" t="str">
        <f>HYPERLINK("https://cfpub.epa.gov/ecotox/explore.cfm?ncbi=441696","Explore in ECOTOX")</f>
        <v>Explore in ECOTOX</v>
      </c>
    </row>
    <row r="3832" spans="1:18" x14ac:dyDescent="0.45">
      <c r="A3832" t="s">
        <v>1265</v>
      </c>
      <c r="B3832">
        <v>8</v>
      </c>
      <c r="C3832" t="str">
        <f>HYPERLINK("http://www.ncbi.nlm.nih.gov/protein/NXY64415.1","NXY64415.1")</f>
        <v>NXY64415.1</v>
      </c>
      <c r="D3832">
        <v>14612</v>
      </c>
      <c r="E3832" t="str">
        <f>HYPERLINK("http://www.ncbi.nlm.nih.gov/Taxonomy/Browser/wwwtax.cgi?mode=Info&amp;id=1347786&amp;lvl=3&amp;lin=f&amp;keep=1&amp;srchmode=1&amp;unlock","1347786")</f>
        <v>1347786</v>
      </c>
      <c r="F3832" t="s">
        <v>241</v>
      </c>
      <c r="G3832" t="str">
        <f>HYPERLINK("http://www.ncbi.nlm.nih.gov/Taxonomy/Browser/wwwtax.cgi?mode=Info&amp;id=1347786&amp;lvl=3&amp;lin=f&amp;keep=1&amp;srchmode=1&amp;unlock","Callaeas wilsoni")</f>
        <v>Callaeas wilsoni</v>
      </c>
      <c r="H3832" t="s">
        <v>674</v>
      </c>
      <c r="I3832" t="str">
        <f>HYPERLINK("http://www.ncbi.nlm.nih.gov/protein/NXY64415.1","RYR2 protein")</f>
        <v>RYR2 protein</v>
      </c>
      <c r="J3832">
        <v>6722.1</v>
      </c>
      <c r="K3832" t="s">
        <v>22</v>
      </c>
      <c r="L3832">
        <v>76</v>
      </c>
      <c r="M3832">
        <v>12.58</v>
      </c>
      <c r="N3832">
        <v>66.16</v>
      </c>
      <c r="O3832" t="s">
        <v>19</v>
      </c>
      <c r="P3832" t="s">
        <v>1320</v>
      </c>
      <c r="Q3832" t="s">
        <v>19</v>
      </c>
      <c r="R3832" t="str">
        <f>HYPERLINK("https://cfpub.epa.gov/ecotox/explore.cfm?ncbi=1347786","Explore in ECOTOX")</f>
        <v>Explore in ECOTOX</v>
      </c>
    </row>
    <row r="3833" spans="1:18" x14ac:dyDescent="0.45">
      <c r="A3833" t="s">
        <v>1265</v>
      </c>
      <c r="B3833">
        <v>8</v>
      </c>
      <c r="C3833" t="str">
        <f>HYPERLINK("http://www.ncbi.nlm.nih.gov/protein/NXY29416.1","NXY29416.1")</f>
        <v>NXY29416.1</v>
      </c>
      <c r="D3833">
        <v>13354</v>
      </c>
      <c r="E3833" t="str">
        <f>HYPERLINK("http://www.ncbi.nlm.nih.gov/Taxonomy/Browser/wwwtax.cgi?mode=Info&amp;id=932028&amp;lvl=3&amp;lin=f&amp;keep=1&amp;srchmode=1&amp;unlock","932028")</f>
        <v>932028</v>
      </c>
      <c r="F3833" t="s">
        <v>241</v>
      </c>
      <c r="G3833" t="str">
        <f>HYPERLINK("http://www.ncbi.nlm.nih.gov/Taxonomy/Browser/wwwtax.cgi?mode=Info&amp;id=932028&amp;lvl=3&amp;lin=f&amp;keep=1&amp;srchmode=1&amp;unlock","Pomatorhinus ruficollis")</f>
        <v>Pomatorhinus ruficollis</v>
      </c>
      <c r="H3833" t="s">
        <v>681</v>
      </c>
      <c r="I3833" t="str">
        <f>HYPERLINK("http://www.ncbi.nlm.nih.gov/protein/NXY29416.1","RYR2 protein")</f>
        <v>RYR2 protein</v>
      </c>
      <c r="J3833">
        <v>6721.33</v>
      </c>
      <c r="K3833" t="s">
        <v>22</v>
      </c>
      <c r="L3833">
        <v>76</v>
      </c>
      <c r="M3833">
        <v>12.58</v>
      </c>
      <c r="N3833">
        <v>66.150000000000006</v>
      </c>
      <c r="O3833" t="s">
        <v>19</v>
      </c>
      <c r="P3833" t="s">
        <v>1320</v>
      </c>
      <c r="Q3833" t="s">
        <v>19</v>
      </c>
      <c r="R3833" t="str">
        <f>HYPERLINK("https://cfpub.epa.gov/ecotox/explore.cfm?ncbi=932028","Explore in ECOTOX")</f>
        <v>Explore in ECOTOX</v>
      </c>
    </row>
    <row r="3834" spans="1:18" x14ac:dyDescent="0.45">
      <c r="A3834" t="s">
        <v>1265</v>
      </c>
      <c r="B3834">
        <v>8</v>
      </c>
      <c r="C3834" t="str">
        <f>HYPERLINK("http://www.ncbi.nlm.nih.gov/protein/NXA91172.1","NXA91172.1")</f>
        <v>NXA91172.1</v>
      </c>
      <c r="D3834">
        <v>14035</v>
      </c>
      <c r="E3834" t="str">
        <f>HYPERLINK("http://www.ncbi.nlm.nih.gov/Taxonomy/Browser/wwwtax.cgi?mode=Info&amp;id=254552&amp;lvl=3&amp;lin=f&amp;keep=1&amp;srchmode=1&amp;unlock","254552")</f>
        <v>254552</v>
      </c>
      <c r="F3834" t="s">
        <v>241</v>
      </c>
      <c r="G3834" t="str">
        <f>HYPERLINK("http://www.ncbi.nlm.nih.gov/Taxonomy/Browser/wwwtax.cgi?mode=Info&amp;id=254552&amp;lvl=3&amp;lin=f&amp;keep=1&amp;srchmode=1&amp;unlock","Melanocharis versteri")</f>
        <v>Melanocharis versteri</v>
      </c>
      <c r="H3834" t="s">
        <v>676</v>
      </c>
      <c r="I3834" t="str">
        <f>HYPERLINK("http://www.ncbi.nlm.nih.gov/protein/NXA91172.1","RYR2 protein")</f>
        <v>RYR2 protein</v>
      </c>
      <c r="J3834">
        <v>6720.56</v>
      </c>
      <c r="K3834" t="s">
        <v>22</v>
      </c>
      <c r="L3834">
        <v>76</v>
      </c>
      <c r="M3834">
        <v>12.58</v>
      </c>
      <c r="N3834">
        <v>66.14</v>
      </c>
      <c r="O3834" t="s">
        <v>19</v>
      </c>
      <c r="P3834" t="s">
        <v>1320</v>
      </c>
      <c r="Q3834" t="s">
        <v>19</v>
      </c>
      <c r="R3834" t="str">
        <f>HYPERLINK("https://cfpub.epa.gov/ecotox/explore.cfm?ncbi=254552","Explore in ECOTOX")</f>
        <v>Explore in ECOTOX</v>
      </c>
    </row>
    <row r="3835" spans="1:18" x14ac:dyDescent="0.45">
      <c r="A3835" t="s">
        <v>1265</v>
      </c>
      <c r="B3835">
        <v>8</v>
      </c>
      <c r="C3835" t="str">
        <f>HYPERLINK("http://www.ncbi.nlm.nih.gov/protein/NXN88130.1","NXN88130.1")</f>
        <v>NXN88130.1</v>
      </c>
      <c r="D3835">
        <v>13879</v>
      </c>
      <c r="E3835" t="str">
        <f>HYPERLINK("http://www.ncbi.nlm.nih.gov/Taxonomy/Browser/wwwtax.cgi?mode=Info&amp;id=125297&amp;lvl=3&amp;lin=f&amp;keep=1&amp;srchmode=1&amp;unlock","125297")</f>
        <v>125297</v>
      </c>
      <c r="F3835" t="s">
        <v>241</v>
      </c>
      <c r="G3835" t="str">
        <f>HYPERLINK("http://www.ncbi.nlm.nih.gov/Taxonomy/Browser/wwwtax.cgi?mode=Info&amp;id=125297&amp;lvl=3&amp;lin=f&amp;keep=1&amp;srchmode=1&amp;unlock","Bombycilla garrulus")</f>
        <v>Bombycilla garrulus</v>
      </c>
      <c r="H3835" t="s">
        <v>671</v>
      </c>
      <c r="I3835" t="str">
        <f>HYPERLINK("http://www.ncbi.nlm.nih.gov/protein/NXN88130.1","RYR2 protein")</f>
        <v>RYR2 protein</v>
      </c>
      <c r="J3835">
        <v>6719.79</v>
      </c>
      <c r="K3835" t="s">
        <v>22</v>
      </c>
      <c r="L3835">
        <v>76</v>
      </c>
      <c r="M3835">
        <v>12.58</v>
      </c>
      <c r="N3835">
        <v>66.13</v>
      </c>
      <c r="O3835" t="s">
        <v>19</v>
      </c>
      <c r="P3835" t="s">
        <v>1320</v>
      </c>
      <c r="Q3835" t="s">
        <v>19</v>
      </c>
      <c r="R3835" t="str">
        <f>HYPERLINK("https://cfpub.epa.gov/ecotox/explore.cfm?ncbi=125297","Explore in ECOTOX")</f>
        <v>Explore in ECOTOX</v>
      </c>
    </row>
    <row r="3836" spans="1:18" x14ac:dyDescent="0.45">
      <c r="A3836" t="s">
        <v>1265</v>
      </c>
      <c r="B3836">
        <v>8</v>
      </c>
      <c r="C3836" t="str">
        <f>HYPERLINK("http://www.ncbi.nlm.nih.gov/protein/NWR71433.1","NWR71433.1")</f>
        <v>NWR71433.1</v>
      </c>
      <c r="D3836">
        <v>14036</v>
      </c>
      <c r="E3836" t="str">
        <f>HYPERLINK("http://www.ncbi.nlm.nih.gov/Taxonomy/Browser/wwwtax.cgi?mode=Info&amp;id=1118519&amp;lvl=3&amp;lin=f&amp;keep=1&amp;srchmode=1&amp;unlock","1118519")</f>
        <v>1118519</v>
      </c>
      <c r="F3836" t="s">
        <v>241</v>
      </c>
      <c r="G3836" t="str">
        <f>HYPERLINK("http://www.ncbi.nlm.nih.gov/Taxonomy/Browser/wwwtax.cgi?mode=Info&amp;id=1118519&amp;lvl=3&amp;lin=f&amp;keep=1&amp;srchmode=1&amp;unlock","Centropus unirufus")</f>
        <v>Centropus unirufus</v>
      </c>
      <c r="H3836" t="s">
        <v>468</v>
      </c>
      <c r="I3836" t="str">
        <f>HYPERLINK("http://www.ncbi.nlm.nih.gov/protein/NWR71433.1","RYR2 protein")</f>
        <v>RYR2 protein</v>
      </c>
      <c r="J3836">
        <v>6719.02</v>
      </c>
      <c r="K3836" t="s">
        <v>22</v>
      </c>
      <c r="L3836">
        <v>76</v>
      </c>
      <c r="M3836">
        <v>12.58</v>
      </c>
      <c r="N3836">
        <v>66.13</v>
      </c>
      <c r="O3836" t="s">
        <v>19</v>
      </c>
      <c r="P3836" t="s">
        <v>1320</v>
      </c>
      <c r="Q3836" t="s">
        <v>19</v>
      </c>
      <c r="R3836" t="str">
        <f>HYPERLINK("https://cfpub.epa.gov/ecotox/explore.cfm?ncbi=1118519","Explore in ECOTOX")</f>
        <v>Explore in ECOTOX</v>
      </c>
    </row>
    <row r="3837" spans="1:18" x14ac:dyDescent="0.45">
      <c r="A3837" t="s">
        <v>1265</v>
      </c>
      <c r="B3837">
        <v>8</v>
      </c>
      <c r="C3837" t="str">
        <f>HYPERLINK("http://www.ncbi.nlm.nih.gov/protein/NXH47069.1","NXH47069.1")</f>
        <v>NXH47069.1</v>
      </c>
      <c r="D3837">
        <v>13663</v>
      </c>
      <c r="E3837" t="str">
        <f>HYPERLINK("http://www.ncbi.nlm.nih.gov/Taxonomy/Browser/wwwtax.cgi?mode=Info&amp;id=667154&amp;lvl=3&amp;lin=f&amp;keep=1&amp;srchmode=1&amp;unlock","667154")</f>
        <v>667154</v>
      </c>
      <c r="F3837" t="s">
        <v>241</v>
      </c>
      <c r="G3837" t="str">
        <f>HYPERLINK("http://www.ncbi.nlm.nih.gov/Taxonomy/Browser/wwwtax.cgi?mode=Info&amp;id=667154&amp;lvl=3&amp;lin=f&amp;keep=1&amp;srchmode=1&amp;unlock","Dicaeum eximium")</f>
        <v>Dicaeum eximium</v>
      </c>
      <c r="H3837" t="s">
        <v>435</v>
      </c>
      <c r="I3837" t="str">
        <f>HYPERLINK("http://www.ncbi.nlm.nih.gov/protein/NXH47069.1","RYR2 protein")</f>
        <v>RYR2 protein</v>
      </c>
      <c r="J3837">
        <v>6718.25</v>
      </c>
      <c r="K3837" t="s">
        <v>22</v>
      </c>
      <c r="L3837">
        <v>76</v>
      </c>
      <c r="M3837">
        <v>12.58</v>
      </c>
      <c r="N3837">
        <v>66.12</v>
      </c>
      <c r="O3837" t="s">
        <v>19</v>
      </c>
      <c r="P3837" t="s">
        <v>1320</v>
      </c>
      <c r="Q3837" t="s">
        <v>19</v>
      </c>
      <c r="R3837" t="str">
        <f>HYPERLINK("https://cfpub.epa.gov/ecotox/explore.cfm?ncbi=667154","Explore in ECOTOX")</f>
        <v>Explore in ECOTOX</v>
      </c>
    </row>
    <row r="3838" spans="1:18" x14ac:dyDescent="0.45">
      <c r="A3838" t="s">
        <v>1265</v>
      </c>
      <c r="B3838">
        <v>8</v>
      </c>
      <c r="C3838" t="str">
        <f>HYPERLINK("http://www.ncbi.nlm.nih.gov/protein/XP_060497089.1","XP_060497089.1")</f>
        <v>XP_060497089.1</v>
      </c>
      <c r="D3838">
        <v>55633</v>
      </c>
      <c r="E3838" t="str">
        <f>HYPERLINK("http://www.ncbi.nlm.nih.gov/Taxonomy/Browser/wwwtax.cgi?mode=Info&amp;id=9690&amp;lvl=3&amp;lin=f&amp;keep=1&amp;srchmode=1&amp;unlock","9690")</f>
        <v>9690</v>
      </c>
      <c r="F3838" t="s">
        <v>96</v>
      </c>
      <c r="G3838" t="str">
        <f>HYPERLINK("http://www.ncbi.nlm.nih.gov/Taxonomy/Browser/wwwtax.cgi?mode=Info&amp;id=9690&amp;lvl=3&amp;lin=f&amp;keep=1&amp;srchmode=1&amp;unlock","Panthera onca")</f>
        <v>Panthera onca</v>
      </c>
      <c r="H3838" t="s">
        <v>461</v>
      </c>
      <c r="I3838" t="str">
        <f>HYPERLINK("http://www.ncbi.nlm.nih.gov/protein/XP_060497089.1","ryanodine receptor 2")</f>
        <v>ryanodine receptor 2</v>
      </c>
      <c r="J3838">
        <v>6716.33</v>
      </c>
      <c r="K3838" t="s">
        <v>22</v>
      </c>
      <c r="L3838">
        <v>76</v>
      </c>
      <c r="M3838">
        <v>12.58</v>
      </c>
      <c r="N3838">
        <v>66.099999999999994</v>
      </c>
      <c r="O3838" t="s">
        <v>19</v>
      </c>
      <c r="P3838" t="s">
        <v>1320</v>
      </c>
      <c r="Q3838" t="s">
        <v>19</v>
      </c>
      <c r="R3838" t="str">
        <f>HYPERLINK("https://cfpub.epa.gov/ecotox/explore.cfm?ncbi=9690","Explore in ECOTOX")</f>
        <v>Explore in ECOTOX</v>
      </c>
    </row>
    <row r="3839" spans="1:18" x14ac:dyDescent="0.45">
      <c r="A3839" t="s">
        <v>1265</v>
      </c>
      <c r="B3839">
        <v>8</v>
      </c>
      <c r="C3839" t="str">
        <f>HYPERLINK("http://www.ncbi.nlm.nih.gov/protein/NXD34525.1","NXD34525.1")</f>
        <v>NXD34525.1</v>
      </c>
      <c r="D3839">
        <v>14417</v>
      </c>
      <c r="E3839" t="str">
        <f>HYPERLINK("http://www.ncbi.nlm.nih.gov/Taxonomy/Browser/wwwtax.cgi?mode=Info&amp;id=797021&amp;lvl=3&amp;lin=f&amp;keep=1&amp;srchmode=1&amp;unlock","797021")</f>
        <v>797021</v>
      </c>
      <c r="F3839" t="s">
        <v>241</v>
      </c>
      <c r="G3839" t="str">
        <f>HYPERLINK("http://www.ncbi.nlm.nih.gov/Taxonomy/Browser/wwwtax.cgi?mode=Info&amp;id=797021&amp;lvl=3&amp;lin=f&amp;keep=1&amp;srchmode=1&amp;unlock","Copsychus sechellarum")</f>
        <v>Copsychus sechellarum</v>
      </c>
      <c r="H3839" t="s">
        <v>682</v>
      </c>
      <c r="I3839" t="str">
        <f>HYPERLINK("http://www.ncbi.nlm.nih.gov/protein/NXD34525.1","RYR2 protein")</f>
        <v>RYR2 protein</v>
      </c>
      <c r="J3839">
        <v>6711.32</v>
      </c>
      <c r="K3839" t="s">
        <v>22</v>
      </c>
      <c r="L3839">
        <v>76</v>
      </c>
      <c r="M3839">
        <v>12.58</v>
      </c>
      <c r="N3839">
        <v>66.05</v>
      </c>
      <c r="O3839" t="s">
        <v>19</v>
      </c>
      <c r="P3839" t="s">
        <v>1320</v>
      </c>
      <c r="Q3839" t="s">
        <v>19</v>
      </c>
      <c r="R3839" t="str">
        <f>HYPERLINK("https://cfpub.epa.gov/ecotox/explore.cfm?ncbi=797021","Explore in ECOTOX")</f>
        <v>Explore in ECOTOX</v>
      </c>
    </row>
    <row r="3840" spans="1:18" x14ac:dyDescent="0.45">
      <c r="A3840" t="s">
        <v>1265</v>
      </c>
      <c r="B3840">
        <v>8</v>
      </c>
      <c r="C3840" t="str">
        <f>HYPERLINK("http://www.ncbi.nlm.nih.gov/protein/NWZ03734.1","NWZ03734.1")</f>
        <v>NWZ03734.1</v>
      </c>
      <c r="D3840">
        <v>14648</v>
      </c>
      <c r="E3840" t="str">
        <f>HYPERLINK("http://www.ncbi.nlm.nih.gov/Taxonomy/Browser/wwwtax.cgi?mode=Info&amp;id=64802&amp;lvl=3&amp;lin=f&amp;keep=1&amp;srchmode=1&amp;unlock","64802")</f>
        <v>64802</v>
      </c>
      <c r="F3840" t="s">
        <v>241</v>
      </c>
      <c r="G3840" t="str">
        <f>HYPERLINK("http://www.ncbi.nlm.nih.gov/Taxonomy/Browser/wwwtax.cgi?mode=Info&amp;id=64802&amp;lvl=3&amp;lin=f&amp;keep=1&amp;srchmode=1&amp;unlock","Loxia curvirostra")</f>
        <v>Loxia curvirostra</v>
      </c>
      <c r="H3840" t="s">
        <v>679</v>
      </c>
      <c r="I3840" t="str">
        <f>HYPERLINK("http://www.ncbi.nlm.nih.gov/protein/NWZ03734.1","RYR2 protein")</f>
        <v>RYR2 protein</v>
      </c>
      <c r="J3840">
        <v>6711.32</v>
      </c>
      <c r="K3840" t="s">
        <v>22</v>
      </c>
      <c r="L3840">
        <v>76</v>
      </c>
      <c r="M3840">
        <v>12.58</v>
      </c>
      <c r="N3840">
        <v>66.05</v>
      </c>
      <c r="O3840" t="s">
        <v>19</v>
      </c>
      <c r="P3840" t="s">
        <v>1320</v>
      </c>
      <c r="Q3840" t="s">
        <v>19</v>
      </c>
      <c r="R3840" t="str">
        <f>HYPERLINK("https://cfpub.epa.gov/ecotox/explore.cfm?ncbi=64802","Explore in ECOTOX")</f>
        <v>Explore in ECOTOX</v>
      </c>
    </row>
    <row r="3841" spans="1:18" x14ac:dyDescent="0.45">
      <c r="A3841" t="s">
        <v>1265</v>
      </c>
      <c r="B3841">
        <v>8</v>
      </c>
      <c r="C3841" t="str">
        <f>HYPERLINK("http://www.ncbi.nlm.nih.gov/protein/NXG97260.1","NXG97260.1")</f>
        <v>NXG97260.1</v>
      </c>
      <c r="D3841">
        <v>14012</v>
      </c>
      <c r="E3841" t="str">
        <f>HYPERLINK("http://www.ncbi.nlm.nih.gov/Taxonomy/Browser/wwwtax.cgi?mode=Info&amp;id=96539&amp;lvl=3&amp;lin=f&amp;keep=1&amp;srchmode=1&amp;unlock","96539")</f>
        <v>96539</v>
      </c>
      <c r="F3841" t="s">
        <v>241</v>
      </c>
      <c r="G3841" t="str">
        <f>HYPERLINK("http://www.ncbi.nlm.nih.gov/Taxonomy/Browser/wwwtax.cgi?mode=Info&amp;id=96539&amp;lvl=3&amp;lin=f&amp;keep=1&amp;srchmode=1&amp;unlock","Loxia leucoptera")</f>
        <v>Loxia leucoptera</v>
      </c>
      <c r="H3841" t="s">
        <v>675</v>
      </c>
      <c r="I3841" t="str">
        <f>HYPERLINK("http://www.ncbi.nlm.nih.gov/protein/NXG97260.1","RYR2 protein")</f>
        <v>RYR2 protein</v>
      </c>
      <c r="J3841">
        <v>6709.78</v>
      </c>
      <c r="K3841" t="s">
        <v>22</v>
      </c>
      <c r="L3841">
        <v>76</v>
      </c>
      <c r="M3841">
        <v>12.58</v>
      </c>
      <c r="N3841">
        <v>66.040000000000006</v>
      </c>
      <c r="O3841" t="s">
        <v>19</v>
      </c>
      <c r="P3841" t="s">
        <v>1320</v>
      </c>
      <c r="Q3841" t="s">
        <v>19</v>
      </c>
      <c r="R3841" t="str">
        <f>HYPERLINK("https://cfpub.epa.gov/ecotox/explore.cfm?ncbi=96539","Explore in ECOTOX")</f>
        <v>Explore in ECOTOX</v>
      </c>
    </row>
    <row r="3842" spans="1:18" x14ac:dyDescent="0.45">
      <c r="A3842" t="s">
        <v>1265</v>
      </c>
      <c r="B3842">
        <v>8</v>
      </c>
      <c r="C3842" t="str">
        <f>HYPERLINK("http://www.ncbi.nlm.nih.gov/protein/NXO78085.1","NXO78085.1")</f>
        <v>NXO78085.1</v>
      </c>
      <c r="D3842">
        <v>13780</v>
      </c>
      <c r="E3842" t="str">
        <f>HYPERLINK("http://www.ncbi.nlm.nih.gov/Taxonomy/Browser/wwwtax.cgi?mode=Info&amp;id=50251&amp;lvl=3&amp;lin=f&amp;keep=1&amp;srchmode=1&amp;unlock","50251")</f>
        <v>50251</v>
      </c>
      <c r="F3842" t="s">
        <v>241</v>
      </c>
      <c r="G3842" t="str">
        <f>HYPERLINK("http://www.ncbi.nlm.nih.gov/Taxonomy/Browser/wwwtax.cgi?mode=Info&amp;id=50251&amp;lvl=3&amp;lin=f&amp;keep=1&amp;srchmode=1&amp;unlock","Sitta europaea")</f>
        <v>Sitta europaea</v>
      </c>
      <c r="H3842" t="s">
        <v>680</v>
      </c>
      <c r="I3842" t="str">
        <f>HYPERLINK("http://www.ncbi.nlm.nih.gov/protein/NXO78085.1","RYR2 protein")</f>
        <v>RYR2 protein</v>
      </c>
      <c r="J3842">
        <v>6709.01</v>
      </c>
      <c r="K3842" t="s">
        <v>22</v>
      </c>
      <c r="L3842">
        <v>76</v>
      </c>
      <c r="M3842">
        <v>12.58</v>
      </c>
      <c r="N3842">
        <v>66.03</v>
      </c>
      <c r="O3842" t="s">
        <v>19</v>
      </c>
      <c r="P3842" t="s">
        <v>1320</v>
      </c>
      <c r="Q3842" t="s">
        <v>19</v>
      </c>
      <c r="R3842" t="str">
        <f>HYPERLINK("https://cfpub.epa.gov/ecotox/explore.cfm?ncbi=50251","Explore in ECOTOX")</f>
        <v>Explore in ECOTOX</v>
      </c>
    </row>
    <row r="3843" spans="1:18" x14ac:dyDescent="0.45">
      <c r="A3843" t="s">
        <v>1265</v>
      </c>
      <c r="B3843">
        <v>8</v>
      </c>
      <c r="C3843" t="str">
        <f>HYPERLINK("http://www.ncbi.nlm.nih.gov/protein/NXX75670.1","NXX75670.1")</f>
        <v>NXX75670.1</v>
      </c>
      <c r="D3843">
        <v>14124</v>
      </c>
      <c r="E3843" t="str">
        <f>HYPERLINK("http://www.ncbi.nlm.nih.gov/Taxonomy/Browser/wwwtax.cgi?mode=Info&amp;id=458196&amp;lvl=3&amp;lin=f&amp;keep=1&amp;srchmode=1&amp;unlock","458196")</f>
        <v>458196</v>
      </c>
      <c r="F3843" t="s">
        <v>241</v>
      </c>
      <c r="G3843" t="str">
        <f>HYPERLINK("http://www.ncbi.nlm.nih.gov/Taxonomy/Browser/wwwtax.cgi?mode=Info&amp;id=458196&amp;lvl=3&amp;lin=f&amp;keep=1&amp;srchmode=1&amp;unlock","Urocolius indicus")</f>
        <v>Urocolius indicus</v>
      </c>
      <c r="H3843" t="s">
        <v>480</v>
      </c>
      <c r="I3843" t="str">
        <f>HYPERLINK("http://www.ncbi.nlm.nih.gov/protein/NXX75670.1","RYR2 protein")</f>
        <v>RYR2 protein</v>
      </c>
      <c r="J3843">
        <v>6708.24</v>
      </c>
      <c r="K3843" t="s">
        <v>22</v>
      </c>
      <c r="L3843">
        <v>76</v>
      </c>
      <c r="M3843">
        <v>12.58</v>
      </c>
      <c r="N3843">
        <v>66.02</v>
      </c>
      <c r="O3843" t="s">
        <v>19</v>
      </c>
      <c r="P3843" t="s">
        <v>1320</v>
      </c>
      <c r="Q3843" t="s">
        <v>19</v>
      </c>
      <c r="R3843" t="str">
        <f>HYPERLINK("https://cfpub.epa.gov/ecotox/explore.cfm?ncbi=458196","Explore in ECOTOX")</f>
        <v>Explore in ECOTOX</v>
      </c>
    </row>
    <row r="3844" spans="1:18" x14ac:dyDescent="0.45">
      <c r="A3844" t="s">
        <v>1265</v>
      </c>
      <c r="B3844">
        <v>8</v>
      </c>
      <c r="C3844" t="str">
        <f>HYPERLINK("http://www.ncbi.nlm.nih.gov/protein/NXB80218.1","NXB80218.1")</f>
        <v>NXB80218.1</v>
      </c>
      <c r="D3844">
        <v>13760</v>
      </c>
      <c r="E3844" t="str">
        <f>HYPERLINK("http://www.ncbi.nlm.nih.gov/Taxonomy/Browser/wwwtax.cgi?mode=Info&amp;id=237420&amp;lvl=3&amp;lin=f&amp;keep=1&amp;srchmode=1&amp;unlock","237420")</f>
        <v>237420</v>
      </c>
      <c r="F3844" t="s">
        <v>241</v>
      </c>
      <c r="G3844" t="str">
        <f>HYPERLINK("http://www.ncbi.nlm.nih.gov/Taxonomy/Browser/wwwtax.cgi?mode=Info&amp;id=237420&amp;lvl=3&amp;lin=f&amp;keep=1&amp;srchmode=1&amp;unlock","Donacobius atricapilla")</f>
        <v>Donacobius atricapilla</v>
      </c>
      <c r="H3844" t="s">
        <v>435</v>
      </c>
      <c r="I3844" t="str">
        <f>HYPERLINK("http://www.ncbi.nlm.nih.gov/protein/NXB80218.1","RYR2 protein")</f>
        <v>RYR2 protein</v>
      </c>
      <c r="J3844">
        <v>6706.7</v>
      </c>
      <c r="K3844" t="s">
        <v>22</v>
      </c>
      <c r="L3844">
        <v>76</v>
      </c>
      <c r="M3844">
        <v>12.58</v>
      </c>
      <c r="N3844">
        <v>66.010000000000005</v>
      </c>
      <c r="O3844" t="s">
        <v>19</v>
      </c>
      <c r="P3844" t="s">
        <v>1320</v>
      </c>
      <c r="Q3844" t="s">
        <v>19</v>
      </c>
      <c r="R3844" t="str">
        <f>HYPERLINK("https://cfpub.epa.gov/ecotox/explore.cfm?ncbi=237420","Explore in ECOTOX")</f>
        <v>Explore in ECOTOX</v>
      </c>
    </row>
    <row r="3845" spans="1:18" x14ac:dyDescent="0.45">
      <c r="A3845" t="s">
        <v>1265</v>
      </c>
      <c r="B3845">
        <v>8</v>
      </c>
      <c r="C3845" t="str">
        <f>HYPERLINK("http://www.ncbi.nlm.nih.gov/protein/XP_015674514.1","XP_015674514.1")</f>
        <v>XP_015674514.1</v>
      </c>
      <c r="D3845">
        <v>23997</v>
      </c>
      <c r="E3845" t="str">
        <f>HYPERLINK("http://www.ncbi.nlm.nih.gov/Taxonomy/Browser/wwwtax.cgi?mode=Info&amp;id=103944&amp;lvl=3&amp;lin=f&amp;keep=1&amp;srchmode=1&amp;unlock","103944")</f>
        <v>103944</v>
      </c>
      <c r="F3845" t="s">
        <v>192</v>
      </c>
      <c r="G3845" t="str">
        <f>HYPERLINK("http://www.ncbi.nlm.nih.gov/Taxonomy/Browser/wwwtax.cgi?mode=Info&amp;id=103944&amp;lvl=3&amp;lin=f&amp;keep=1&amp;srchmode=1&amp;unlock","Protobothrops mucrosquamatus")</f>
        <v>Protobothrops mucrosquamatus</v>
      </c>
      <c r="H3845" t="s">
        <v>463</v>
      </c>
      <c r="I3845" t="str">
        <f>HYPERLINK("http://www.ncbi.nlm.nih.gov/protein/XP_015674514.1","ryanodine receptor 2")</f>
        <v>ryanodine receptor 2</v>
      </c>
      <c r="J3845">
        <v>6702.84</v>
      </c>
      <c r="K3845" t="s">
        <v>22</v>
      </c>
      <c r="L3845">
        <v>76</v>
      </c>
      <c r="M3845">
        <v>12.58</v>
      </c>
      <c r="N3845">
        <v>65.97</v>
      </c>
      <c r="O3845" t="s">
        <v>19</v>
      </c>
      <c r="P3845" t="s">
        <v>1320</v>
      </c>
      <c r="Q3845" t="s">
        <v>19</v>
      </c>
      <c r="R3845" t="str">
        <f>HYPERLINK("https://cfpub.epa.gov/ecotox/explore.cfm?ncbi=103944","Explore in ECOTOX")</f>
        <v>Explore in ECOTOX</v>
      </c>
    </row>
    <row r="3846" spans="1:18" x14ac:dyDescent="0.45">
      <c r="A3846" t="s">
        <v>1265</v>
      </c>
      <c r="B3846">
        <v>8</v>
      </c>
      <c r="C3846" t="str">
        <f>HYPERLINK("http://www.ncbi.nlm.nih.gov/protein/NXM89875.1","NXM89875.1")</f>
        <v>NXM89875.1</v>
      </c>
      <c r="D3846">
        <v>13842</v>
      </c>
      <c r="E3846" t="str">
        <f>HYPERLINK("http://www.ncbi.nlm.nih.gov/Taxonomy/Browser/wwwtax.cgi?mode=Info&amp;id=279966&amp;lvl=3&amp;lin=f&amp;keep=1&amp;srchmode=1&amp;unlock","279966")</f>
        <v>279966</v>
      </c>
      <c r="F3846" t="s">
        <v>241</v>
      </c>
      <c r="G3846" t="str">
        <f>HYPERLINK("http://www.ncbi.nlm.nih.gov/Taxonomy/Browser/wwwtax.cgi?mode=Info&amp;id=279966&amp;lvl=3&amp;lin=f&amp;keep=1&amp;srchmode=1&amp;unlock","Oenanthe oenanthe")</f>
        <v>Oenanthe oenanthe</v>
      </c>
      <c r="H3846" t="s">
        <v>685</v>
      </c>
      <c r="I3846" t="str">
        <f>HYPERLINK("http://www.ncbi.nlm.nih.gov/protein/NXM89875.1","RYR2 protein")</f>
        <v>RYR2 protein</v>
      </c>
      <c r="J3846">
        <v>6699.38</v>
      </c>
      <c r="K3846" t="s">
        <v>22</v>
      </c>
      <c r="L3846">
        <v>76</v>
      </c>
      <c r="M3846">
        <v>12.58</v>
      </c>
      <c r="N3846">
        <v>65.930000000000007</v>
      </c>
      <c r="O3846" t="s">
        <v>19</v>
      </c>
      <c r="P3846" t="s">
        <v>1320</v>
      </c>
      <c r="Q3846" t="s">
        <v>19</v>
      </c>
      <c r="R3846" t="str">
        <f>HYPERLINK("https://cfpub.epa.gov/ecotox/explore.cfm?ncbi=279966","Explore in ECOTOX")</f>
        <v>Explore in ECOTOX</v>
      </c>
    </row>
    <row r="3847" spans="1:18" x14ac:dyDescent="0.45">
      <c r="A3847" t="s">
        <v>1265</v>
      </c>
      <c r="B3847">
        <v>8</v>
      </c>
      <c r="C3847" t="str">
        <f>HYPERLINK("http://www.ncbi.nlm.nih.gov/protein/XP_023686622.1","XP_023686622.1")</f>
        <v>XP_023686622.1</v>
      </c>
      <c r="D3847">
        <v>55302</v>
      </c>
      <c r="E3847" t="str">
        <f>HYPERLINK("http://www.ncbi.nlm.nih.gov/Taxonomy/Browser/wwwtax.cgi?mode=Info&amp;id=1676925&amp;lvl=3&amp;lin=f&amp;keep=1&amp;srchmode=1&amp;unlock","1676925")</f>
        <v>1676925</v>
      </c>
      <c r="F3847" t="s">
        <v>17</v>
      </c>
      <c r="G3847" t="str">
        <f>HYPERLINK("http://www.ncbi.nlm.nih.gov/Taxonomy/Browser/wwwtax.cgi?mode=Info&amp;id=1676925&amp;lvl=3&amp;lin=f&amp;keep=1&amp;srchmode=1&amp;unlock","Paramormyrops kingsleyae")</f>
        <v>Paramormyrops kingsleyae</v>
      </c>
      <c r="H3847" t="s">
        <v>79</v>
      </c>
      <c r="I3847" t="str">
        <f>HYPERLINK("http://www.ncbi.nlm.nih.gov/protein/XP_023686622.1","ryanodine receptor 2 isoform X3")</f>
        <v>ryanodine receptor 2 isoform X3</v>
      </c>
      <c r="J3847">
        <v>6697.84</v>
      </c>
      <c r="K3847" t="s">
        <v>22</v>
      </c>
      <c r="L3847">
        <v>76</v>
      </c>
      <c r="M3847">
        <v>12.58</v>
      </c>
      <c r="N3847">
        <v>65.92</v>
      </c>
      <c r="O3847" t="s">
        <v>19</v>
      </c>
      <c r="P3847" t="s">
        <v>1320</v>
      </c>
      <c r="Q3847" t="s">
        <v>19</v>
      </c>
      <c r="R3847" t="str">
        <f>HYPERLINK("https://cfpub.epa.gov/ecotox/explore.cfm?ncbi=1676925","Explore in ECOTOX")</f>
        <v>Explore in ECOTOX</v>
      </c>
    </row>
    <row r="3848" spans="1:18" x14ac:dyDescent="0.45">
      <c r="A3848" t="s">
        <v>1265</v>
      </c>
      <c r="B3848">
        <v>8</v>
      </c>
      <c r="C3848" t="str">
        <f>HYPERLINK("http://www.ncbi.nlm.nih.gov/protein/XP_020644001.1","XP_020644001.1")</f>
        <v>XP_020644001.1</v>
      </c>
      <c r="D3848">
        <v>38822</v>
      </c>
      <c r="E3848" t="str">
        <f>HYPERLINK("http://www.ncbi.nlm.nih.gov/Taxonomy/Browser/wwwtax.cgi?mode=Info&amp;id=103695&amp;lvl=3&amp;lin=f&amp;keep=1&amp;srchmode=1&amp;unlock","103695")</f>
        <v>103695</v>
      </c>
      <c r="F3848" t="s">
        <v>192</v>
      </c>
      <c r="G3848" t="str">
        <f>HYPERLINK("http://www.ncbi.nlm.nih.gov/Taxonomy/Browser/wwwtax.cgi?mode=Info&amp;id=103695&amp;lvl=3&amp;lin=f&amp;keep=1&amp;srchmode=1&amp;unlock","Pogona vitticeps")</f>
        <v>Pogona vitticeps</v>
      </c>
      <c r="H3848" t="s">
        <v>488</v>
      </c>
      <c r="I3848" t="str">
        <f>HYPERLINK("http://www.ncbi.nlm.nih.gov/protein/XP_020644001.1","ryanodine receptor 2")</f>
        <v>ryanodine receptor 2</v>
      </c>
      <c r="J3848">
        <v>6696.68</v>
      </c>
      <c r="K3848" t="s">
        <v>22</v>
      </c>
      <c r="L3848">
        <v>76</v>
      </c>
      <c r="M3848">
        <v>12.58</v>
      </c>
      <c r="N3848">
        <v>65.91</v>
      </c>
      <c r="O3848" t="s">
        <v>19</v>
      </c>
      <c r="P3848" t="s">
        <v>1320</v>
      </c>
      <c r="Q3848" t="s">
        <v>19</v>
      </c>
      <c r="R3848" t="str">
        <f>HYPERLINK("https://cfpub.epa.gov/ecotox/explore.cfm?ncbi=103695","Explore in ECOTOX")</f>
        <v>Explore in ECOTOX</v>
      </c>
    </row>
    <row r="3849" spans="1:18" x14ac:dyDescent="0.45">
      <c r="A3849" t="s">
        <v>1265</v>
      </c>
      <c r="B3849">
        <v>8</v>
      </c>
      <c r="C3849" t="str">
        <f>HYPERLINK("http://www.ncbi.nlm.nih.gov/protein/KAK0151041.1","KAK0151041.1")</f>
        <v>KAK0151041.1</v>
      </c>
      <c r="D3849">
        <v>26145</v>
      </c>
      <c r="E3849" t="str">
        <f>HYPERLINK("http://www.ncbi.nlm.nih.gov/Taxonomy/Browser/wwwtax.cgi?mode=Info&amp;id=89951&amp;lvl=3&amp;lin=f&amp;keep=1&amp;srchmode=1&amp;unlock","89951")</f>
        <v>89951</v>
      </c>
      <c r="F3849" t="s">
        <v>17</v>
      </c>
      <c r="G3849" t="str">
        <f>HYPERLINK("http://www.ncbi.nlm.nih.gov/Taxonomy/Browser/wwwtax.cgi?mode=Info&amp;id=89951&amp;lvl=3&amp;lin=f&amp;keep=1&amp;srchmode=1&amp;unlock","Merluccius polli")</f>
        <v>Merluccius polli</v>
      </c>
      <c r="H3849" t="s">
        <v>156</v>
      </c>
      <c r="I3849" t="str">
        <f>HYPERLINK("http://www.ncbi.nlm.nih.gov/protein/KAK0151041.1","Ryanodine receptor 3")</f>
        <v>Ryanodine receptor 3</v>
      </c>
      <c r="J3849">
        <v>6692.83</v>
      </c>
      <c r="K3849" t="s">
        <v>22</v>
      </c>
      <c r="L3849">
        <v>76</v>
      </c>
      <c r="M3849">
        <v>12.58</v>
      </c>
      <c r="N3849">
        <v>65.87</v>
      </c>
      <c r="O3849" t="s">
        <v>19</v>
      </c>
      <c r="P3849" t="s">
        <v>1320</v>
      </c>
      <c r="Q3849" t="s">
        <v>19</v>
      </c>
      <c r="R3849" t="str">
        <f>HYPERLINK("https://cfpub.epa.gov/ecotox/explore.cfm?ncbi=89951","Explore in ECOTOX")</f>
        <v>Explore in ECOTOX</v>
      </c>
    </row>
    <row r="3850" spans="1:18" x14ac:dyDescent="0.45">
      <c r="A3850" t="s">
        <v>1265</v>
      </c>
      <c r="B3850">
        <v>8</v>
      </c>
      <c r="C3850" t="str">
        <f>HYPERLINK("http://www.ncbi.nlm.nih.gov/protein/KAF1527931.1","KAF1527931.1")</f>
        <v>KAF1527931.1</v>
      </c>
      <c r="D3850">
        <v>12829</v>
      </c>
      <c r="E3850" t="str">
        <f>HYPERLINK("http://www.ncbi.nlm.nih.gov/Taxonomy/Browser/wwwtax.cgi?mode=Info&amp;id=92688&amp;lvl=3&amp;lin=f&amp;keep=1&amp;srchmode=1&amp;unlock","92688")</f>
        <v>92688</v>
      </c>
      <c r="F3850" t="s">
        <v>241</v>
      </c>
      <c r="G3850" t="str">
        <f>HYPERLINK("http://www.ncbi.nlm.nih.gov/Taxonomy/Browser/wwwtax.cgi?mode=Info&amp;id=92688&amp;lvl=3&amp;lin=f&amp;keep=1&amp;srchmode=1&amp;unlock","Eudyptes sclateri")</f>
        <v>Eudyptes sclateri</v>
      </c>
      <c r="H3850" t="s">
        <v>683</v>
      </c>
      <c r="I3850" t="str">
        <f>HYPERLINK("http://www.ncbi.nlm.nih.gov/protein/KAF1527931.1","Ryanodine receptor 2, partial")</f>
        <v>Ryanodine receptor 2, partial</v>
      </c>
      <c r="J3850">
        <v>6690.52</v>
      </c>
      <c r="K3850" t="s">
        <v>22</v>
      </c>
      <c r="L3850">
        <v>76</v>
      </c>
      <c r="M3850">
        <v>12.58</v>
      </c>
      <c r="N3850">
        <v>65.849999999999994</v>
      </c>
      <c r="O3850" t="s">
        <v>19</v>
      </c>
      <c r="P3850" t="s">
        <v>1320</v>
      </c>
      <c r="Q3850" t="s">
        <v>19</v>
      </c>
      <c r="R3850" t="str">
        <f>HYPERLINK("https://cfpub.epa.gov/ecotox/explore.cfm?ncbi=92688","Explore in ECOTOX")</f>
        <v>Explore in ECOTOX</v>
      </c>
    </row>
    <row r="3851" spans="1:18" x14ac:dyDescent="0.45">
      <c r="A3851" t="s">
        <v>1265</v>
      </c>
      <c r="B3851">
        <v>8</v>
      </c>
      <c r="C3851" t="str">
        <f>HYPERLINK("http://www.ncbi.nlm.nih.gov/protein/NWX14037.1","NWX14037.1")</f>
        <v>NWX14037.1</v>
      </c>
      <c r="D3851">
        <v>13717</v>
      </c>
      <c r="E3851" t="str">
        <f>HYPERLINK("http://www.ncbi.nlm.nih.gov/Taxonomy/Browser/wwwtax.cgi?mode=Info&amp;id=48278&amp;lvl=3&amp;lin=f&amp;keep=1&amp;srchmode=1&amp;unlock","48278")</f>
        <v>48278</v>
      </c>
      <c r="F3851" t="s">
        <v>241</v>
      </c>
      <c r="G3851" t="str">
        <f>HYPERLINK("http://www.ncbi.nlm.nih.gov/Taxonomy/Browser/wwwtax.cgi?mode=Info&amp;id=48278&amp;lvl=3&amp;lin=f&amp;keep=1&amp;srchmode=1&amp;unlock","Aegotheles bennettii")</f>
        <v>Aegotheles bennettii</v>
      </c>
      <c r="H3851" t="s">
        <v>687</v>
      </c>
      <c r="I3851" t="str">
        <f>HYPERLINK("http://www.ncbi.nlm.nih.gov/protein/NWX14037.1","RYR2 protein")</f>
        <v>RYR2 protein</v>
      </c>
      <c r="J3851">
        <v>6683.58</v>
      </c>
      <c r="K3851" t="s">
        <v>22</v>
      </c>
      <c r="L3851">
        <v>76</v>
      </c>
      <c r="M3851">
        <v>12.58</v>
      </c>
      <c r="N3851">
        <v>65.78</v>
      </c>
      <c r="O3851" t="s">
        <v>19</v>
      </c>
      <c r="P3851" t="s">
        <v>1320</v>
      </c>
      <c r="Q3851" t="s">
        <v>19</v>
      </c>
      <c r="R3851" t="str">
        <f>HYPERLINK("https://cfpub.epa.gov/ecotox/explore.cfm?ncbi=48278","Explore in ECOTOX")</f>
        <v>Explore in ECOTOX</v>
      </c>
    </row>
    <row r="3852" spans="1:18" x14ac:dyDescent="0.45">
      <c r="A3852" t="s">
        <v>1265</v>
      </c>
      <c r="B3852">
        <v>8</v>
      </c>
      <c r="C3852" t="str">
        <f>HYPERLINK("http://www.ncbi.nlm.nih.gov/protein/NXU43788.1","NXU43788.1")</f>
        <v>NXU43788.1</v>
      </c>
      <c r="D3852">
        <v>13604</v>
      </c>
      <c r="E3852" t="str">
        <f>HYPERLINK("http://www.ncbi.nlm.nih.gov/Taxonomy/Browser/wwwtax.cgi?mode=Info&amp;id=626378&amp;lvl=3&amp;lin=f&amp;keep=1&amp;srchmode=1&amp;unlock","626378")</f>
        <v>626378</v>
      </c>
      <c r="F3852" t="s">
        <v>241</v>
      </c>
      <c r="G3852" t="str">
        <f>HYPERLINK("http://www.ncbi.nlm.nih.gov/Taxonomy/Browser/wwwtax.cgi?mode=Info&amp;id=626378&amp;lvl=3&amp;lin=f&amp;keep=1&amp;srchmode=1&amp;unlock","Drymodes brunneopygia")</f>
        <v>Drymodes brunneopygia</v>
      </c>
      <c r="H3852" t="s">
        <v>688</v>
      </c>
      <c r="I3852" t="str">
        <f>HYPERLINK("http://www.ncbi.nlm.nih.gov/protein/NXU43788.1","RYR2 protein")</f>
        <v>RYR2 protein</v>
      </c>
      <c r="J3852">
        <v>6682.43</v>
      </c>
      <c r="K3852" t="s">
        <v>22</v>
      </c>
      <c r="L3852">
        <v>76</v>
      </c>
      <c r="M3852">
        <v>12.58</v>
      </c>
      <c r="N3852">
        <v>65.77</v>
      </c>
      <c r="O3852" t="s">
        <v>19</v>
      </c>
      <c r="P3852" t="s">
        <v>1320</v>
      </c>
      <c r="Q3852" t="s">
        <v>19</v>
      </c>
      <c r="R3852" t="str">
        <f>HYPERLINK("https://cfpub.epa.gov/ecotox/explore.cfm?ncbi=626378","Explore in ECOTOX")</f>
        <v>Explore in ECOTOX</v>
      </c>
    </row>
    <row r="3853" spans="1:18" x14ac:dyDescent="0.45">
      <c r="A3853" t="s">
        <v>1265</v>
      </c>
      <c r="B3853">
        <v>8</v>
      </c>
      <c r="C3853" t="str">
        <f>HYPERLINK("http://www.ncbi.nlm.nih.gov/protein/NWZ97534.1","NWZ97534.1")</f>
        <v>NWZ97534.1</v>
      </c>
      <c r="D3853">
        <v>14106</v>
      </c>
      <c r="E3853" t="str">
        <f>HYPERLINK("http://www.ncbi.nlm.nih.gov/Taxonomy/Browser/wwwtax.cgi?mode=Info&amp;id=381881&amp;lvl=3&amp;lin=f&amp;keep=1&amp;srchmode=1&amp;unlock","381881")</f>
        <v>381881</v>
      </c>
      <c r="F3853" t="s">
        <v>241</v>
      </c>
      <c r="G3853" t="str">
        <f>HYPERLINK("http://www.ncbi.nlm.nih.gov/Taxonomy/Browser/wwwtax.cgi?mode=Info&amp;id=381881&amp;lvl=3&amp;lin=f&amp;keep=1&amp;srchmode=1&amp;unlock","Nesospiza acunhae")</f>
        <v>Nesospiza acunhae</v>
      </c>
      <c r="H3853" t="s">
        <v>561</v>
      </c>
      <c r="I3853" t="str">
        <f>HYPERLINK("http://www.ncbi.nlm.nih.gov/protein/NWZ97534.1","RYR2 protein")</f>
        <v>RYR2 protein</v>
      </c>
      <c r="J3853">
        <v>6676.26</v>
      </c>
      <c r="K3853" t="s">
        <v>22</v>
      </c>
      <c r="L3853">
        <v>76</v>
      </c>
      <c r="M3853">
        <v>12.58</v>
      </c>
      <c r="N3853">
        <v>65.709999999999994</v>
      </c>
      <c r="O3853" t="s">
        <v>19</v>
      </c>
      <c r="P3853" t="s">
        <v>1320</v>
      </c>
      <c r="Q3853" t="s">
        <v>19</v>
      </c>
      <c r="R3853" t="str">
        <f>HYPERLINK("https://cfpub.epa.gov/ecotox/explore.cfm?ncbi=381881","Explore in ECOTOX")</f>
        <v>Explore in ECOTOX</v>
      </c>
    </row>
    <row r="3854" spans="1:18" x14ac:dyDescent="0.45">
      <c r="A3854" t="s">
        <v>1265</v>
      </c>
      <c r="B3854">
        <v>8</v>
      </c>
      <c r="C3854" t="str">
        <f>HYPERLINK("http://www.ncbi.nlm.nih.gov/protein/NWU60664.1","NWU60664.1")</f>
        <v>NWU60664.1</v>
      </c>
      <c r="D3854">
        <v>13883</v>
      </c>
      <c r="E3854" t="str">
        <f>HYPERLINK("http://www.ncbi.nlm.nih.gov/Taxonomy/Browser/wwwtax.cgi?mode=Info&amp;id=2585816&amp;lvl=3&amp;lin=f&amp;keep=1&amp;srchmode=1&amp;unlock","2585816")</f>
        <v>2585816</v>
      </c>
      <c r="F3854" t="s">
        <v>241</v>
      </c>
      <c r="G3854" t="str">
        <f>HYPERLINK("http://www.ncbi.nlm.nih.gov/Taxonomy/Browser/wwwtax.cgi?mode=Info&amp;id=2585816&amp;lvl=3&amp;lin=f&amp;keep=1&amp;srchmode=1&amp;unlock","Pterocles burchelli")</f>
        <v>Pterocles burchelli</v>
      </c>
      <c r="H3854" t="s">
        <v>419</v>
      </c>
      <c r="I3854" t="str">
        <f>HYPERLINK("http://www.ncbi.nlm.nih.gov/protein/NWU60664.1","RYR2 protein")</f>
        <v>RYR2 protein</v>
      </c>
      <c r="J3854">
        <v>6672.8</v>
      </c>
      <c r="K3854" t="s">
        <v>22</v>
      </c>
      <c r="L3854">
        <v>76</v>
      </c>
      <c r="M3854">
        <v>12.58</v>
      </c>
      <c r="N3854">
        <v>65.67</v>
      </c>
      <c r="O3854" t="s">
        <v>19</v>
      </c>
      <c r="P3854" t="s">
        <v>1320</v>
      </c>
      <c r="Q3854" t="s">
        <v>19</v>
      </c>
      <c r="R3854" t="str">
        <f>HYPERLINK("https://cfpub.epa.gov/ecotox/explore.cfm?ncbi=2585816","Explore in ECOTOX")</f>
        <v>Explore in ECOTOX</v>
      </c>
    </row>
    <row r="3855" spans="1:18" x14ac:dyDescent="0.45">
      <c r="A3855" t="s">
        <v>1265</v>
      </c>
      <c r="B3855">
        <v>8</v>
      </c>
      <c r="C3855" t="str">
        <f>HYPERLINK("http://www.ncbi.nlm.nih.gov/protein/MBN3320313.1","MBN3320313.1")</f>
        <v>MBN3320313.1</v>
      </c>
      <c r="D3855">
        <v>15567</v>
      </c>
      <c r="E3855" t="str">
        <f>HYPERLINK("http://www.ncbi.nlm.nih.gov/Taxonomy/Browser/wwwtax.cgi?mode=Info&amp;id=7917&amp;lvl=3&amp;lin=f&amp;keep=1&amp;srchmode=1&amp;unlock","7917")</f>
        <v>7917</v>
      </c>
      <c r="F3855" t="s">
        <v>17</v>
      </c>
      <c r="G3855" t="str">
        <f>HYPERLINK("http://www.ncbi.nlm.nih.gov/Taxonomy/Browser/wwwtax.cgi?mode=Info&amp;id=7917&amp;lvl=3&amp;lin=f&amp;keep=1&amp;srchmode=1&amp;unlock","Atractosteus spatula")</f>
        <v>Atractosteus spatula</v>
      </c>
      <c r="H3855" t="s">
        <v>498</v>
      </c>
      <c r="I3855" t="str">
        <f>HYPERLINK("http://www.ncbi.nlm.nih.gov/protein/MBN3320313.1","RYR2 protein")</f>
        <v>RYR2 protein</v>
      </c>
      <c r="J3855">
        <v>6662.78</v>
      </c>
      <c r="K3855" t="s">
        <v>22</v>
      </c>
      <c r="L3855">
        <v>76</v>
      </c>
      <c r="M3855">
        <v>12.58</v>
      </c>
      <c r="N3855">
        <v>65.569999999999993</v>
      </c>
      <c r="O3855" t="s">
        <v>19</v>
      </c>
      <c r="P3855" t="s">
        <v>1320</v>
      </c>
      <c r="Q3855" t="s">
        <v>19</v>
      </c>
      <c r="R3855" t="str">
        <f>HYPERLINK("https://cfpub.epa.gov/ecotox/explore.cfm?ncbi=7917","Explore in ECOTOX")</f>
        <v>Explore in ECOTOX</v>
      </c>
    </row>
    <row r="3856" spans="1:18" x14ac:dyDescent="0.45">
      <c r="A3856" t="s">
        <v>1265</v>
      </c>
      <c r="B3856">
        <v>8</v>
      </c>
      <c r="C3856" t="str">
        <f>HYPERLINK("http://www.ncbi.nlm.nih.gov/protein/NXP83938.1","NXP83938.1")</f>
        <v>NXP83938.1</v>
      </c>
      <c r="D3856">
        <v>13042</v>
      </c>
      <c r="E3856" t="str">
        <f>HYPERLINK("http://www.ncbi.nlm.nih.gov/Taxonomy/Browser/wwwtax.cgi?mode=Info&amp;id=142471&amp;lvl=3&amp;lin=f&amp;keep=1&amp;srchmode=1&amp;unlock","142471")</f>
        <v>142471</v>
      </c>
      <c r="F3856" t="s">
        <v>241</v>
      </c>
      <c r="G3856" t="str">
        <f>HYPERLINK("http://www.ncbi.nlm.nih.gov/Taxonomy/Browser/wwwtax.cgi?mode=Info&amp;id=142471&amp;lvl=3&amp;lin=f&amp;keep=1&amp;srchmode=1&amp;unlock","Passerina amoena")</f>
        <v>Passerina amoena</v>
      </c>
      <c r="H3856" t="s">
        <v>435</v>
      </c>
      <c r="I3856" t="str">
        <f>HYPERLINK("http://www.ncbi.nlm.nih.gov/protein/NXP83938.1","RYR2 protein")</f>
        <v>RYR2 protein</v>
      </c>
      <c r="J3856">
        <v>6662.78</v>
      </c>
      <c r="K3856" t="s">
        <v>22</v>
      </c>
      <c r="L3856">
        <v>76</v>
      </c>
      <c r="M3856">
        <v>12.58</v>
      </c>
      <c r="N3856">
        <v>65.569999999999993</v>
      </c>
      <c r="O3856" t="s">
        <v>19</v>
      </c>
      <c r="P3856" t="s">
        <v>1320</v>
      </c>
      <c r="Q3856" t="s">
        <v>19</v>
      </c>
      <c r="R3856" t="str">
        <f>HYPERLINK("https://cfpub.epa.gov/ecotox/explore.cfm?ncbi=142471","Explore in ECOTOX")</f>
        <v>Explore in ECOTOX</v>
      </c>
    </row>
    <row r="3857" spans="1:18" x14ac:dyDescent="0.45">
      <c r="A3857" t="s">
        <v>1265</v>
      </c>
      <c r="B3857">
        <v>8</v>
      </c>
      <c r="C3857" t="str">
        <f>HYPERLINK("http://www.ncbi.nlm.nih.gov/protein/NXL86064.1","NXL86064.1")</f>
        <v>NXL86064.1</v>
      </c>
      <c r="D3857">
        <v>13506</v>
      </c>
      <c r="E3857" t="str">
        <f>HYPERLINK("http://www.ncbi.nlm.nih.gov/Taxonomy/Browser/wwwtax.cgi?mode=Info&amp;id=81907&amp;lvl=3&amp;lin=f&amp;keep=1&amp;srchmode=1&amp;unlock","81907")</f>
        <v>81907</v>
      </c>
      <c r="F3857" t="s">
        <v>241</v>
      </c>
      <c r="G3857" t="str">
        <f>HYPERLINK("http://www.ncbi.nlm.nih.gov/Taxonomy/Browser/wwwtax.cgi?mode=Info&amp;id=81907&amp;lvl=3&amp;lin=f&amp;keep=1&amp;srchmode=1&amp;unlock","Alectura lathami")</f>
        <v>Alectura lathami</v>
      </c>
      <c r="H3857" t="s">
        <v>495</v>
      </c>
      <c r="I3857" t="str">
        <f>HYPERLINK("http://www.ncbi.nlm.nih.gov/protein/NXL86064.1","RYR2 protein")</f>
        <v>RYR2 protein</v>
      </c>
      <c r="J3857">
        <v>6650.07</v>
      </c>
      <c r="K3857" t="s">
        <v>22</v>
      </c>
      <c r="L3857">
        <v>76</v>
      </c>
      <c r="M3857">
        <v>12.58</v>
      </c>
      <c r="N3857">
        <v>65.45</v>
      </c>
      <c r="O3857" t="s">
        <v>19</v>
      </c>
      <c r="P3857" t="s">
        <v>1320</v>
      </c>
      <c r="Q3857" t="s">
        <v>19</v>
      </c>
      <c r="R3857" t="str">
        <f>HYPERLINK("https://cfpub.epa.gov/ecotox/explore.cfm?ncbi=81907","Explore in ECOTOX")</f>
        <v>Explore in ECOTOX</v>
      </c>
    </row>
    <row r="3858" spans="1:18" x14ac:dyDescent="0.45">
      <c r="A3858" t="s">
        <v>1265</v>
      </c>
      <c r="B3858">
        <v>8</v>
      </c>
      <c r="C3858" t="str">
        <f>HYPERLINK("http://www.ncbi.nlm.nih.gov/protein/NXG65947.1","NXG65947.1")</f>
        <v>NXG65947.1</v>
      </c>
      <c r="D3858">
        <v>13817</v>
      </c>
      <c r="E3858" t="str">
        <f>HYPERLINK("http://www.ncbi.nlm.nih.gov/Taxonomy/Browser/wwwtax.cgi?mode=Info&amp;id=243314&amp;lvl=3&amp;lin=f&amp;keep=1&amp;srchmode=1&amp;unlock","243314")</f>
        <v>243314</v>
      </c>
      <c r="F3858" t="s">
        <v>241</v>
      </c>
      <c r="G3858" t="str">
        <f>HYPERLINK("http://www.ncbi.nlm.nih.gov/Taxonomy/Browser/wwwtax.cgi?mode=Info&amp;id=243314&amp;lvl=3&amp;lin=f&amp;keep=1&amp;srchmode=1&amp;unlock","Hemiprocne comata")</f>
        <v>Hemiprocne comata</v>
      </c>
      <c r="H3858" t="s">
        <v>500</v>
      </c>
      <c r="I3858" t="str">
        <f>HYPERLINK("http://www.ncbi.nlm.nih.gov/protein/NXG65947.1","RYR2 protein")</f>
        <v>RYR2 protein</v>
      </c>
      <c r="J3858">
        <v>6648.92</v>
      </c>
      <c r="K3858" t="s">
        <v>22</v>
      </c>
      <c r="L3858">
        <v>76</v>
      </c>
      <c r="M3858">
        <v>12.58</v>
      </c>
      <c r="N3858">
        <v>65.44</v>
      </c>
      <c r="O3858" t="s">
        <v>19</v>
      </c>
      <c r="P3858" t="s">
        <v>1320</v>
      </c>
      <c r="Q3858" t="s">
        <v>19</v>
      </c>
      <c r="R3858" t="str">
        <f>HYPERLINK("https://cfpub.epa.gov/ecotox/explore.cfm?ncbi=243314","Explore in ECOTOX")</f>
        <v>Explore in ECOTOX</v>
      </c>
    </row>
    <row r="3859" spans="1:18" x14ac:dyDescent="0.45">
      <c r="A3859" t="s">
        <v>1265</v>
      </c>
      <c r="B3859">
        <v>8</v>
      </c>
      <c r="C3859" t="str">
        <f>HYPERLINK("http://www.ncbi.nlm.nih.gov/protein/NXK60112.1","NXK60112.1")</f>
        <v>NXK60112.1</v>
      </c>
      <c r="D3859">
        <v>13823</v>
      </c>
      <c r="E3859" t="str">
        <f>HYPERLINK("http://www.ncbi.nlm.nih.gov/Taxonomy/Browser/wwwtax.cgi?mode=Info&amp;id=208069&amp;lvl=3&amp;lin=f&amp;keep=1&amp;srchmode=1&amp;unlock","208069")</f>
        <v>208069</v>
      </c>
      <c r="F3859" t="s">
        <v>241</v>
      </c>
      <c r="G3859" t="str">
        <f>HYPERLINK("http://www.ncbi.nlm.nih.gov/Taxonomy/Browser/wwwtax.cgi?mode=Info&amp;id=208069&amp;lvl=3&amp;lin=f&amp;keep=1&amp;srchmode=1&amp;unlock","Sylvietta virens")</f>
        <v>Sylvietta virens</v>
      </c>
      <c r="H3859" t="s">
        <v>690</v>
      </c>
      <c r="I3859" t="str">
        <f>HYPERLINK("http://www.ncbi.nlm.nih.gov/protein/NXK60112.1","RYR2 protein")</f>
        <v>RYR2 protein</v>
      </c>
      <c r="J3859">
        <v>6647.76</v>
      </c>
      <c r="K3859" t="s">
        <v>22</v>
      </c>
      <c r="L3859">
        <v>76</v>
      </c>
      <c r="M3859">
        <v>12.58</v>
      </c>
      <c r="N3859">
        <v>65.430000000000007</v>
      </c>
      <c r="O3859" t="s">
        <v>19</v>
      </c>
      <c r="P3859" t="s">
        <v>1320</v>
      </c>
      <c r="Q3859" t="s">
        <v>19</v>
      </c>
      <c r="R3859" t="str">
        <f>HYPERLINK("https://cfpub.epa.gov/ecotox/explore.cfm?ncbi=208069","Explore in ECOTOX")</f>
        <v>Explore in ECOTOX</v>
      </c>
    </row>
    <row r="3860" spans="1:18" x14ac:dyDescent="0.45">
      <c r="A3860" t="s">
        <v>1265</v>
      </c>
      <c r="B3860">
        <v>8</v>
      </c>
      <c r="C3860" t="str">
        <f>HYPERLINK("http://www.ncbi.nlm.nih.gov/protein/NXC92830.1","NXC92830.1")</f>
        <v>NXC92830.1</v>
      </c>
      <c r="D3860">
        <v>13258</v>
      </c>
      <c r="E3860" t="str">
        <f>HYPERLINK("http://www.ncbi.nlm.nih.gov/Taxonomy/Browser/wwwtax.cgi?mode=Info&amp;id=73333&amp;lvl=3&amp;lin=f&amp;keep=1&amp;srchmode=1&amp;unlock","73333")</f>
        <v>73333</v>
      </c>
      <c r="F3860" t="s">
        <v>241</v>
      </c>
      <c r="G3860" t="str">
        <f>HYPERLINK("http://www.ncbi.nlm.nih.gov/Taxonomy/Browser/wwwtax.cgi?mode=Info&amp;id=73333&amp;lvl=3&amp;lin=f&amp;keep=1&amp;srchmode=1&amp;unlock","Certhia familiaris")</f>
        <v>Certhia familiaris</v>
      </c>
      <c r="H3860" t="s">
        <v>691</v>
      </c>
      <c r="I3860" t="str">
        <f>HYPERLINK("http://www.ncbi.nlm.nih.gov/protein/NXC92830.1","RYR2 protein")</f>
        <v>RYR2 protein</v>
      </c>
      <c r="J3860">
        <v>6625.8</v>
      </c>
      <c r="K3860" t="s">
        <v>22</v>
      </c>
      <c r="L3860">
        <v>76</v>
      </c>
      <c r="M3860">
        <v>12.58</v>
      </c>
      <c r="N3860">
        <v>65.209999999999994</v>
      </c>
      <c r="O3860" t="s">
        <v>19</v>
      </c>
      <c r="P3860" t="s">
        <v>1320</v>
      </c>
      <c r="Q3860" t="s">
        <v>19</v>
      </c>
      <c r="R3860" t="str">
        <f>HYPERLINK("https://cfpub.epa.gov/ecotox/explore.cfm?ncbi=73333","Explore in ECOTOX")</f>
        <v>Explore in ECOTOX</v>
      </c>
    </row>
    <row r="3861" spans="1:18" x14ac:dyDescent="0.45">
      <c r="A3861" t="s">
        <v>1265</v>
      </c>
      <c r="B3861">
        <v>8</v>
      </c>
      <c r="C3861" t="str">
        <f>HYPERLINK("http://www.ncbi.nlm.nih.gov/protein/NWQ74070.1","NWQ74070.1")</f>
        <v>NWQ74070.1</v>
      </c>
      <c r="D3861">
        <v>12327</v>
      </c>
      <c r="E3861" t="str">
        <f>HYPERLINK("http://www.ncbi.nlm.nih.gov/Taxonomy/Browser/wwwtax.cgi?mode=Info&amp;id=115618&amp;lvl=3&amp;lin=f&amp;keep=1&amp;srchmode=1&amp;unlock","115618")</f>
        <v>115618</v>
      </c>
      <c r="F3861" t="s">
        <v>241</v>
      </c>
      <c r="G3861" t="str">
        <f>HYPERLINK("http://www.ncbi.nlm.nih.gov/Taxonomy/Browser/wwwtax.cgi?mode=Info&amp;id=115618&amp;lvl=3&amp;lin=f&amp;keep=1&amp;srchmode=1&amp;unlock","Columbina picui")</f>
        <v>Columbina picui</v>
      </c>
      <c r="H3861" t="s">
        <v>693</v>
      </c>
      <c r="I3861" t="str">
        <f>HYPERLINK("http://www.ncbi.nlm.nih.gov/protein/NWQ74070.1","RYR2 protein")</f>
        <v>RYR2 protein</v>
      </c>
      <c r="J3861">
        <v>6613.86</v>
      </c>
      <c r="K3861" t="s">
        <v>22</v>
      </c>
      <c r="L3861">
        <v>76</v>
      </c>
      <c r="M3861">
        <v>12.58</v>
      </c>
      <c r="N3861">
        <v>65.09</v>
      </c>
      <c r="O3861" t="s">
        <v>19</v>
      </c>
      <c r="P3861" t="s">
        <v>1320</v>
      </c>
      <c r="Q3861" t="s">
        <v>19</v>
      </c>
      <c r="R3861" t="str">
        <f>HYPERLINK("https://cfpub.epa.gov/ecotox/explore.cfm?ncbi=115618","Explore in ECOTOX")</f>
        <v>Explore in ECOTOX</v>
      </c>
    </row>
    <row r="3862" spans="1:18" x14ac:dyDescent="0.45">
      <c r="A3862" t="s">
        <v>1265</v>
      </c>
      <c r="B3862">
        <v>8</v>
      </c>
      <c r="C3862" t="str">
        <f>HYPERLINK("http://www.ncbi.nlm.nih.gov/protein/NWR16548.1","NWR16548.1")</f>
        <v>NWR16548.1</v>
      </c>
      <c r="D3862">
        <v>13259</v>
      </c>
      <c r="E3862" t="str">
        <f>HYPERLINK("http://www.ncbi.nlm.nih.gov/Taxonomy/Browser/wwwtax.cgi?mode=Info&amp;id=337179&amp;lvl=3&amp;lin=f&amp;keep=1&amp;srchmode=1&amp;unlock","337179")</f>
        <v>337179</v>
      </c>
      <c r="F3862" t="s">
        <v>241</v>
      </c>
      <c r="G3862" t="str">
        <f>HYPERLINK("http://www.ncbi.nlm.nih.gov/Taxonomy/Browser/wwwtax.cgi?mode=Info&amp;id=337179&amp;lvl=3&amp;lin=f&amp;keep=1&amp;srchmode=1&amp;unlock","Emberiza fucata")</f>
        <v>Emberiza fucata</v>
      </c>
      <c r="H3862" t="s">
        <v>694</v>
      </c>
      <c r="I3862" t="str">
        <f>HYPERLINK("http://www.ncbi.nlm.nih.gov/protein/NWR16548.1","RYR2 protein")</f>
        <v>RYR2 protein</v>
      </c>
      <c r="J3862">
        <v>6611.94</v>
      </c>
      <c r="K3862" t="s">
        <v>22</v>
      </c>
      <c r="L3862">
        <v>76</v>
      </c>
      <c r="M3862">
        <v>12.58</v>
      </c>
      <c r="N3862">
        <v>65.069999999999993</v>
      </c>
      <c r="O3862" t="s">
        <v>19</v>
      </c>
      <c r="P3862" t="s">
        <v>1320</v>
      </c>
      <c r="Q3862" t="s">
        <v>19</v>
      </c>
      <c r="R3862" t="str">
        <f>HYPERLINK("https://cfpub.epa.gov/ecotox/explore.cfm?ncbi=337179","Explore in ECOTOX")</f>
        <v>Explore in ECOTOX</v>
      </c>
    </row>
    <row r="3863" spans="1:18" x14ac:dyDescent="0.45">
      <c r="A3863" t="s">
        <v>1265</v>
      </c>
      <c r="B3863">
        <v>8</v>
      </c>
      <c r="C3863" t="str">
        <f>HYPERLINK("http://www.ncbi.nlm.nih.gov/protein/KAF0870432.1","KAF0870432.1")</f>
        <v>KAF0870432.1</v>
      </c>
      <c r="D3863">
        <v>17554</v>
      </c>
      <c r="E3863" t="str">
        <f>HYPERLINK("http://www.ncbi.nlm.nih.gov/Taxonomy/Browser/wwwtax.cgi?mode=Info&amp;id=9678&amp;lvl=3&amp;lin=f&amp;keep=1&amp;srchmode=1&amp;unlock","9678")</f>
        <v>9678</v>
      </c>
      <c r="F3863" t="s">
        <v>96</v>
      </c>
      <c r="G3863" t="str">
        <f>HYPERLINK("http://www.ncbi.nlm.nih.gov/Taxonomy/Browser/wwwtax.cgi?mode=Info&amp;id=9678&amp;lvl=3&amp;lin=f&amp;keep=1&amp;srchmode=1&amp;unlock","Crocuta crocuta")</f>
        <v>Crocuta crocuta</v>
      </c>
      <c r="H3863" t="s">
        <v>745</v>
      </c>
      <c r="I3863" t="str">
        <f>HYPERLINK("http://www.ncbi.nlm.nih.gov/protein/KAF0870432.1","RYR2 protein, partial")</f>
        <v>RYR2 protein, partial</v>
      </c>
      <c r="J3863">
        <v>6607.7</v>
      </c>
      <c r="K3863" t="s">
        <v>22</v>
      </c>
      <c r="L3863">
        <v>76</v>
      </c>
      <c r="M3863">
        <v>12.58</v>
      </c>
      <c r="N3863">
        <v>65.03</v>
      </c>
      <c r="O3863" t="s">
        <v>19</v>
      </c>
      <c r="P3863" t="s">
        <v>1320</v>
      </c>
      <c r="Q3863" t="s">
        <v>19</v>
      </c>
      <c r="R3863" t="str">
        <f>HYPERLINK("https://cfpub.epa.gov/ecotox/explore.cfm?ncbi=9678","Explore in ECOTOX")</f>
        <v>Explore in ECOTOX</v>
      </c>
    </row>
    <row r="3864" spans="1:18" x14ac:dyDescent="0.45">
      <c r="A3864" t="s">
        <v>1265</v>
      </c>
      <c r="B3864">
        <v>8</v>
      </c>
      <c r="C3864" t="str">
        <f>HYPERLINK("http://www.ncbi.nlm.nih.gov/protein/KAJ6664647.1","KAJ6664647.1")</f>
        <v>KAJ6664647.1</v>
      </c>
      <c r="D3864">
        <v>21094</v>
      </c>
      <c r="E3864" t="str">
        <f>HYPERLINK("http://www.ncbi.nlm.nih.gov/Taxonomy/Browser/wwwtax.cgi?mode=Info&amp;id=470340&amp;lvl=3&amp;lin=f&amp;keep=1&amp;srchmode=1&amp;unlock","470340")</f>
        <v>470340</v>
      </c>
      <c r="F3864" t="s">
        <v>192</v>
      </c>
      <c r="G3864" t="str">
        <f>HYPERLINK("http://www.ncbi.nlm.nih.gov/Taxonomy/Browser/wwwtax.cgi?mode=Info&amp;id=470340&amp;lvl=3&amp;lin=f&amp;keep=1&amp;srchmode=1&amp;unlock","Lerista edwardsae")</f>
        <v>Lerista edwardsae</v>
      </c>
      <c r="H3864" t="s">
        <v>696</v>
      </c>
      <c r="I3864" t="str">
        <f>HYPERLINK("http://www.ncbi.nlm.nih.gov/protein/KAJ6664647.1","hypothetical protein lerEdw1_006220")</f>
        <v>hypothetical protein lerEdw1_006220</v>
      </c>
      <c r="J3864">
        <v>6591.91</v>
      </c>
      <c r="K3864" t="s">
        <v>22</v>
      </c>
      <c r="L3864">
        <v>76</v>
      </c>
      <c r="M3864">
        <v>12.58</v>
      </c>
      <c r="N3864">
        <v>64.88</v>
      </c>
      <c r="O3864" t="s">
        <v>19</v>
      </c>
      <c r="P3864" t="s">
        <v>1320</v>
      </c>
      <c r="Q3864" t="s">
        <v>19</v>
      </c>
      <c r="R3864" t="str">
        <f>HYPERLINK("https://cfpub.epa.gov/ecotox/explore.cfm?ncbi=470340","Explore in ECOTOX")</f>
        <v>Explore in ECOTOX</v>
      </c>
    </row>
    <row r="3865" spans="1:18" x14ac:dyDescent="0.45">
      <c r="A3865" t="s">
        <v>1265</v>
      </c>
      <c r="B3865">
        <v>8</v>
      </c>
      <c r="C3865" t="str">
        <f>HYPERLINK("http://www.ncbi.nlm.nih.gov/protein/RMC12770.1","RMC12770.1")</f>
        <v>RMC12770.1</v>
      </c>
      <c r="D3865">
        <v>35222</v>
      </c>
      <c r="E3865" t="str">
        <f>HYPERLINK("http://www.ncbi.nlm.nih.gov/Taxonomy/Browser/wwwtax.cgi?mode=Info&amp;id=333673&amp;lvl=3&amp;lin=f&amp;keep=1&amp;srchmode=1&amp;unlock","333673")</f>
        <v>333673</v>
      </c>
      <c r="F3865" t="s">
        <v>241</v>
      </c>
      <c r="G3865" t="str">
        <f>HYPERLINK("http://www.ncbi.nlm.nih.gov/Taxonomy/Browser/wwwtax.cgi?mode=Info&amp;id=333673&amp;lvl=3&amp;lin=f&amp;keep=1&amp;srchmode=1&amp;unlock","Hirundo rustica rustica")</f>
        <v>Hirundo rustica rustica</v>
      </c>
      <c r="H3865" t="s">
        <v>549</v>
      </c>
      <c r="I3865" t="str">
        <f>HYPERLINK("http://www.ncbi.nlm.nih.gov/protein/RMC12770.1","hypothetical protein DUI87_10295")</f>
        <v>hypothetical protein DUI87_10295</v>
      </c>
      <c r="J3865">
        <v>6554.93</v>
      </c>
      <c r="K3865" t="s">
        <v>22</v>
      </c>
      <c r="L3865">
        <v>76</v>
      </c>
      <c r="M3865">
        <v>12.58</v>
      </c>
      <c r="N3865">
        <v>64.510000000000005</v>
      </c>
      <c r="O3865" t="s">
        <v>19</v>
      </c>
      <c r="P3865" t="s">
        <v>1320</v>
      </c>
      <c r="Q3865" t="s">
        <v>19</v>
      </c>
      <c r="R3865" t="str">
        <f>HYPERLINK("https://cfpub.epa.gov/ecotox/explore.cfm?ncbi=333673","Explore in ECOTOX")</f>
        <v>Explore in ECOTOX</v>
      </c>
    </row>
    <row r="3866" spans="1:18" x14ac:dyDescent="0.45">
      <c r="A3866" t="s">
        <v>1265</v>
      </c>
      <c r="B3866">
        <v>8</v>
      </c>
      <c r="C3866" t="str">
        <f>HYPERLINK("http://www.ncbi.nlm.nih.gov/protein/NXQ89279.1","NXQ89279.1")</f>
        <v>NXQ89279.1</v>
      </c>
      <c r="D3866">
        <v>14112</v>
      </c>
      <c r="E3866" t="str">
        <f>HYPERLINK("http://www.ncbi.nlm.nih.gov/Taxonomy/Browser/wwwtax.cgi?mode=Info&amp;id=48427&amp;lvl=3&amp;lin=f&amp;keep=1&amp;srchmode=1&amp;unlock","48427")</f>
        <v>48427</v>
      </c>
      <c r="F3866" t="s">
        <v>241</v>
      </c>
      <c r="G3866" t="str">
        <f>HYPERLINK("http://www.ncbi.nlm.nih.gov/Taxonomy/Browser/wwwtax.cgi?mode=Info&amp;id=48427&amp;lvl=3&amp;lin=f&amp;keep=1&amp;srchmode=1&amp;unlock","Nyctibius grandis")</f>
        <v>Nyctibius grandis</v>
      </c>
      <c r="H3866" t="s">
        <v>687</v>
      </c>
      <c r="I3866" t="str">
        <f>HYPERLINK("http://www.ncbi.nlm.nih.gov/protein/NXQ89279.1","RYR3 protein")</f>
        <v>RYR3 protein</v>
      </c>
      <c r="J3866">
        <v>6524.5</v>
      </c>
      <c r="K3866" t="s">
        <v>22</v>
      </c>
      <c r="L3866">
        <v>76</v>
      </c>
      <c r="M3866">
        <v>12.58</v>
      </c>
      <c r="N3866">
        <v>64.209999999999994</v>
      </c>
      <c r="O3866" t="s">
        <v>19</v>
      </c>
      <c r="P3866" t="s">
        <v>1320</v>
      </c>
      <c r="Q3866" t="s">
        <v>19</v>
      </c>
      <c r="R3866" t="str">
        <f>HYPERLINK("https://cfpub.epa.gov/ecotox/explore.cfm?ncbi=48427","Explore in ECOTOX")</f>
        <v>Explore in ECOTOX</v>
      </c>
    </row>
    <row r="3867" spans="1:18" x14ac:dyDescent="0.45">
      <c r="A3867" t="s">
        <v>1265</v>
      </c>
      <c r="B3867">
        <v>8</v>
      </c>
      <c r="C3867" t="str">
        <f>HYPERLINK("http://www.ncbi.nlm.nih.gov/protein/NWY06141.1","NWY06141.1")</f>
        <v>NWY06141.1</v>
      </c>
      <c r="D3867">
        <v>13760</v>
      </c>
      <c r="E3867" t="str">
        <f>HYPERLINK("http://www.ncbi.nlm.nih.gov/Taxonomy/Browser/wwwtax.cgi?mode=Info&amp;id=83376&amp;lvl=3&amp;lin=f&amp;keep=1&amp;srchmode=1&amp;unlock","83376")</f>
        <v>83376</v>
      </c>
      <c r="F3867" t="s">
        <v>241</v>
      </c>
      <c r="G3867" t="str">
        <f>HYPERLINK("http://www.ncbi.nlm.nih.gov/Taxonomy/Browser/wwwtax.cgi?mode=Info&amp;id=83376&amp;lvl=3&amp;lin=f&amp;keep=1&amp;srchmode=1&amp;unlock","Nothoprocta ornata")</f>
        <v>Nothoprocta ornata</v>
      </c>
      <c r="H3867" t="s">
        <v>367</v>
      </c>
      <c r="I3867" t="str">
        <f>HYPERLINK("http://www.ncbi.nlm.nih.gov/protein/NWY06141.1","RYR2 protein")</f>
        <v>RYR2 protein</v>
      </c>
      <c r="J3867">
        <v>6519.49</v>
      </c>
      <c r="K3867" t="s">
        <v>22</v>
      </c>
      <c r="L3867">
        <v>76</v>
      </c>
      <c r="M3867">
        <v>12.58</v>
      </c>
      <c r="N3867">
        <v>64.16</v>
      </c>
      <c r="O3867" t="s">
        <v>19</v>
      </c>
      <c r="P3867" t="s">
        <v>1320</v>
      </c>
      <c r="Q3867" t="s">
        <v>19</v>
      </c>
      <c r="R3867" t="str">
        <f>HYPERLINK("https://cfpub.epa.gov/ecotox/explore.cfm?ncbi=83376","Explore in ECOTOX")</f>
        <v>Explore in ECOTOX</v>
      </c>
    </row>
    <row r="3868" spans="1:18" x14ac:dyDescent="0.45">
      <c r="A3868" t="s">
        <v>1265</v>
      </c>
      <c r="B3868">
        <v>8</v>
      </c>
      <c r="C3868" t="str">
        <f>HYPERLINK("http://www.ncbi.nlm.nih.gov/protein/KAG9346042.1","KAG9346042.1")</f>
        <v>KAG9346042.1</v>
      </c>
      <c r="D3868">
        <v>28330</v>
      </c>
      <c r="E3868" t="str">
        <f>HYPERLINK("http://www.ncbi.nlm.nih.gov/Taxonomy/Browser/wwwtax.cgi?mode=Info&amp;id=121402&amp;lvl=3&amp;lin=f&amp;keep=1&amp;srchmode=1&amp;unlock","121402")</f>
        <v>121402</v>
      </c>
      <c r="F3868" t="s">
        <v>17</v>
      </c>
      <c r="G3868" t="str">
        <f>HYPERLINK("http://www.ncbi.nlm.nih.gov/Taxonomy/Browser/wwwtax.cgi?mode=Info&amp;id=121402&amp;lvl=3&amp;lin=f&amp;keep=1&amp;srchmode=1&amp;unlock","Albula glossodonta")</f>
        <v>Albula glossodonta</v>
      </c>
      <c r="H3868" t="s">
        <v>234</v>
      </c>
      <c r="I3868" t="str">
        <f>HYPERLINK("http://www.ncbi.nlm.nih.gov/protein/KAG9346042.1","hypothetical protein JZ751_007858")</f>
        <v>hypothetical protein JZ751_007858</v>
      </c>
      <c r="J3868">
        <v>6427.81</v>
      </c>
      <c r="K3868" t="s">
        <v>22</v>
      </c>
      <c r="L3868">
        <v>76</v>
      </c>
      <c r="M3868">
        <v>12.58</v>
      </c>
      <c r="N3868">
        <v>63.26</v>
      </c>
      <c r="O3868" t="s">
        <v>19</v>
      </c>
      <c r="P3868" t="s">
        <v>1320</v>
      </c>
      <c r="Q3868" t="s">
        <v>19</v>
      </c>
      <c r="R3868" t="str">
        <f>HYPERLINK("https://cfpub.epa.gov/ecotox/explore.cfm?ncbi=121402","Explore in ECOTOX")</f>
        <v>Explore in ECOTOX</v>
      </c>
    </row>
    <row r="3869" spans="1:18" x14ac:dyDescent="0.45">
      <c r="A3869" t="s">
        <v>1265</v>
      </c>
      <c r="B3869">
        <v>8</v>
      </c>
      <c r="C3869" t="str">
        <f>HYPERLINK("http://www.ncbi.nlm.nih.gov/protein/XP_009960230.1","XP_009960230.1")</f>
        <v>XP_009960230.1</v>
      </c>
      <c r="D3869">
        <v>28808</v>
      </c>
      <c r="E3869" t="str">
        <f>HYPERLINK("http://www.ncbi.nlm.nih.gov/Taxonomy/Browser/wwwtax.cgi?mode=Info&amp;id=188344&amp;lvl=3&amp;lin=f&amp;keep=1&amp;srchmode=1&amp;unlock","188344")</f>
        <v>188344</v>
      </c>
      <c r="F3869" t="s">
        <v>241</v>
      </c>
      <c r="G3869" t="str">
        <f>HYPERLINK("http://www.ncbi.nlm.nih.gov/Taxonomy/Browser/wwwtax.cgi?mode=Info&amp;id=188344&amp;lvl=3&amp;lin=f&amp;keep=1&amp;srchmode=1&amp;unlock","Leptosomus discolor")</f>
        <v>Leptosomus discolor</v>
      </c>
      <c r="H3869" t="s">
        <v>508</v>
      </c>
      <c r="I3869" t="str">
        <f>HYPERLINK("http://www.ncbi.nlm.nih.gov/protein/XP_009960230.1","PREDICTED: ryanodine receptor 2, partial")</f>
        <v>PREDICTED: ryanodine receptor 2, partial</v>
      </c>
      <c r="J3869">
        <v>6422.03</v>
      </c>
      <c r="K3869" t="s">
        <v>22</v>
      </c>
      <c r="L3869">
        <v>76</v>
      </c>
      <c r="M3869">
        <v>12.58</v>
      </c>
      <c r="N3869">
        <v>63.2</v>
      </c>
      <c r="O3869" t="s">
        <v>19</v>
      </c>
      <c r="P3869" t="s">
        <v>1320</v>
      </c>
      <c r="Q3869" t="s">
        <v>19</v>
      </c>
      <c r="R3869" t="str">
        <f>HYPERLINK("https://cfpub.epa.gov/ecotox/explore.cfm?ncbi=188344","Explore in ECOTOX")</f>
        <v>Explore in ECOTOX</v>
      </c>
    </row>
    <row r="3870" spans="1:18" x14ac:dyDescent="0.45">
      <c r="A3870" t="s">
        <v>1265</v>
      </c>
      <c r="B3870">
        <v>8</v>
      </c>
      <c r="C3870" t="str">
        <f>HYPERLINK("http://www.ncbi.nlm.nih.gov/protein/XP_008582266.1","XP_008582266.1")</f>
        <v>XP_008582266.1</v>
      </c>
      <c r="D3870">
        <v>32194</v>
      </c>
      <c r="E3870" t="str">
        <f>HYPERLINK("http://www.ncbi.nlm.nih.gov/Taxonomy/Browser/wwwtax.cgi?mode=Info&amp;id=482537&amp;lvl=3&amp;lin=f&amp;keep=1&amp;srchmode=1&amp;unlock","482537")</f>
        <v>482537</v>
      </c>
      <c r="F3870" t="s">
        <v>96</v>
      </c>
      <c r="G3870" t="str">
        <f>HYPERLINK("http://www.ncbi.nlm.nih.gov/Taxonomy/Browser/wwwtax.cgi?mode=Info&amp;id=482537&amp;lvl=3&amp;lin=f&amp;keep=1&amp;srchmode=1&amp;unlock","Galeopterus variegatus")</f>
        <v>Galeopterus variegatus</v>
      </c>
      <c r="H3870" t="s">
        <v>752</v>
      </c>
      <c r="I3870" t="str">
        <f>HYPERLINK("http://www.ncbi.nlm.nih.gov/protein/XP_008582266.1","PREDICTED: ryanodine receptor 3, partial")</f>
        <v>PREDICTED: ryanodine receptor 3, partial</v>
      </c>
      <c r="J3870">
        <v>6418.57</v>
      </c>
      <c r="K3870" t="s">
        <v>22</v>
      </c>
      <c r="L3870">
        <v>76</v>
      </c>
      <c r="M3870">
        <v>12.58</v>
      </c>
      <c r="N3870">
        <v>63.17</v>
      </c>
      <c r="O3870" t="s">
        <v>19</v>
      </c>
      <c r="P3870" t="s">
        <v>1320</v>
      </c>
      <c r="Q3870" t="s">
        <v>19</v>
      </c>
      <c r="R3870" t="str">
        <f>HYPERLINK("https://cfpub.epa.gov/ecotox/explore.cfm?ncbi=482537","Explore in ECOTOX")</f>
        <v>Explore in ECOTOX</v>
      </c>
    </row>
    <row r="3871" spans="1:18" x14ac:dyDescent="0.45">
      <c r="A3871" t="s">
        <v>1265</v>
      </c>
      <c r="B3871">
        <v>8</v>
      </c>
      <c r="C3871" t="str">
        <f>HYPERLINK("http://www.ncbi.nlm.nih.gov/protein/XP_020732882.1","XP_020732882.1")</f>
        <v>XP_020732882.1</v>
      </c>
      <c r="D3871">
        <v>48222</v>
      </c>
      <c r="E3871" t="str">
        <f>HYPERLINK("http://www.ncbi.nlm.nih.gov/Taxonomy/Browser/wwwtax.cgi?mode=Info&amp;id=9880&amp;lvl=3&amp;lin=f&amp;keep=1&amp;srchmode=1&amp;unlock","9880")</f>
        <v>9880</v>
      </c>
      <c r="F3871" t="s">
        <v>96</v>
      </c>
      <c r="G3871" t="str">
        <f>HYPERLINK("http://www.ncbi.nlm.nih.gov/Taxonomy/Browser/wwwtax.cgi?mode=Info&amp;id=9880&amp;lvl=3&amp;lin=f&amp;keep=1&amp;srchmode=1&amp;unlock","Odocoileus virginianus texanus")</f>
        <v>Odocoileus virginianus texanus</v>
      </c>
      <c r="H3871" t="s">
        <v>511</v>
      </c>
      <c r="I3871" t="str">
        <f>HYPERLINK("http://www.ncbi.nlm.nih.gov/protein/XP_020732882.1","ryanodine receptor 2")</f>
        <v>ryanodine receptor 2</v>
      </c>
      <c r="J3871">
        <v>6390.06</v>
      </c>
      <c r="K3871" t="s">
        <v>22</v>
      </c>
      <c r="L3871">
        <v>76</v>
      </c>
      <c r="M3871">
        <v>12.58</v>
      </c>
      <c r="N3871">
        <v>62.89</v>
      </c>
      <c r="O3871" t="s">
        <v>19</v>
      </c>
      <c r="P3871" t="s">
        <v>1320</v>
      </c>
      <c r="Q3871" t="s">
        <v>19</v>
      </c>
      <c r="R3871" t="str">
        <f>HYPERLINK("https://cfpub.epa.gov/ecotox/explore.cfm?ncbi=9880","Explore in ECOTOX")</f>
        <v>Explore in ECOTOX</v>
      </c>
    </row>
    <row r="3872" spans="1:18" x14ac:dyDescent="0.45">
      <c r="A3872" t="s">
        <v>1265</v>
      </c>
      <c r="B3872">
        <v>8</v>
      </c>
      <c r="C3872" t="str">
        <f>HYPERLINK("http://www.ncbi.nlm.nih.gov/protein/XP_009068059.1","XP_009068059.1")</f>
        <v>XP_009068059.1</v>
      </c>
      <c r="D3872">
        <v>28093</v>
      </c>
      <c r="E3872" t="str">
        <f>HYPERLINK("http://www.ncbi.nlm.nih.gov/Taxonomy/Browser/wwwtax.cgi?mode=Info&amp;id=57068&amp;lvl=3&amp;lin=f&amp;keep=1&amp;srchmode=1&amp;unlock","57068")</f>
        <v>57068</v>
      </c>
      <c r="F3872" t="s">
        <v>241</v>
      </c>
      <c r="G3872" t="str">
        <f>HYPERLINK("http://www.ncbi.nlm.nih.gov/Taxonomy/Browser/wwwtax.cgi?mode=Info&amp;id=57068&amp;lvl=3&amp;lin=f&amp;keep=1&amp;srchmode=1&amp;unlock","Acanthisitta chloris")</f>
        <v>Acanthisitta chloris</v>
      </c>
      <c r="H3872" t="s">
        <v>510</v>
      </c>
      <c r="I3872" t="str">
        <f>HYPERLINK("http://www.ncbi.nlm.nih.gov/protein/XP_009068059.1","PREDICTED: ryanodine receptor 2, partial")</f>
        <v>PREDICTED: ryanodine receptor 2, partial</v>
      </c>
      <c r="J3872">
        <v>6355.39</v>
      </c>
      <c r="K3872" t="s">
        <v>22</v>
      </c>
      <c r="L3872">
        <v>76</v>
      </c>
      <c r="M3872">
        <v>12.58</v>
      </c>
      <c r="N3872">
        <v>62.55</v>
      </c>
      <c r="O3872" t="s">
        <v>19</v>
      </c>
      <c r="P3872" t="s">
        <v>1320</v>
      </c>
      <c r="Q3872" t="s">
        <v>19</v>
      </c>
      <c r="R3872" t="str">
        <f>HYPERLINK("https://cfpub.epa.gov/ecotox/explore.cfm?ncbi=57068","Explore in ECOTOX")</f>
        <v>Explore in ECOTOX</v>
      </c>
    </row>
    <row r="3873" spans="1:18" x14ac:dyDescent="0.45">
      <c r="A3873" t="s">
        <v>1265</v>
      </c>
      <c r="B3873">
        <v>8</v>
      </c>
      <c r="C3873" t="str">
        <f>HYPERLINK("http://www.ncbi.nlm.nih.gov/protein/NXH96549.1","NXH96549.1")</f>
        <v>NXH96549.1</v>
      </c>
      <c r="D3873">
        <v>13430</v>
      </c>
      <c r="E3873" t="str">
        <f>HYPERLINK("http://www.ncbi.nlm.nih.gov/Taxonomy/Browser/wwwtax.cgi?mode=Info&amp;id=449367&amp;lvl=3&amp;lin=f&amp;keep=1&amp;srchmode=1&amp;unlock","449367")</f>
        <v>449367</v>
      </c>
      <c r="F3873" t="s">
        <v>241</v>
      </c>
      <c r="G3873" t="str">
        <f>HYPERLINK("http://www.ncbi.nlm.nih.gov/Taxonomy/Browser/wwwtax.cgi?mode=Info&amp;id=449367&amp;lvl=3&amp;lin=f&amp;keep=1&amp;srchmode=1&amp;unlock","Pachycephala philippinensis")</f>
        <v>Pachycephala philippinensis</v>
      </c>
      <c r="H3873" t="s">
        <v>635</v>
      </c>
      <c r="I3873" t="str">
        <f>HYPERLINK("http://www.ncbi.nlm.nih.gov/protein/NXH96549.1","RYR2 protein")</f>
        <v>RYR2 protein</v>
      </c>
      <c r="J3873">
        <v>6272.96</v>
      </c>
      <c r="K3873" t="s">
        <v>22</v>
      </c>
      <c r="L3873">
        <v>76</v>
      </c>
      <c r="M3873">
        <v>12.58</v>
      </c>
      <c r="N3873">
        <v>61.74</v>
      </c>
      <c r="O3873" t="s">
        <v>19</v>
      </c>
      <c r="P3873" t="s">
        <v>1320</v>
      </c>
      <c r="Q3873" t="s">
        <v>19</v>
      </c>
      <c r="R3873" t="str">
        <f>HYPERLINK("https://cfpub.epa.gov/ecotox/explore.cfm?ncbi=449367","Explore in ECOTOX")</f>
        <v>Explore in ECOTOX</v>
      </c>
    </row>
    <row r="3874" spans="1:18" x14ac:dyDescent="0.45">
      <c r="A3874" t="s">
        <v>1265</v>
      </c>
      <c r="B3874">
        <v>8</v>
      </c>
      <c r="C3874" t="str">
        <f>HYPERLINK("http://www.ncbi.nlm.nih.gov/protein/NXI54774.1","NXI54774.1")</f>
        <v>NXI54774.1</v>
      </c>
      <c r="D3874">
        <v>12275</v>
      </c>
      <c r="E3874" t="str">
        <f>HYPERLINK("http://www.ncbi.nlm.nih.gov/Taxonomy/Browser/wwwtax.cgi?mode=Info&amp;id=176938&amp;lvl=3&amp;lin=f&amp;keep=1&amp;srchmode=1&amp;unlock","176938")</f>
        <v>176938</v>
      </c>
      <c r="F3874" t="s">
        <v>241</v>
      </c>
      <c r="G3874" t="str">
        <f>HYPERLINK("http://www.ncbi.nlm.nih.gov/Taxonomy/Browser/wwwtax.cgi?mode=Info&amp;id=176938&amp;lvl=3&amp;lin=f&amp;keep=1&amp;srchmode=1&amp;unlock","Chloroceryle aenea")</f>
        <v>Chloroceryle aenea</v>
      </c>
      <c r="H3874" t="s">
        <v>600</v>
      </c>
      <c r="I3874" t="str">
        <f>HYPERLINK("http://www.ncbi.nlm.nih.gov/protein/NXI54774.1","RYR2 protein")</f>
        <v>RYR2 protein</v>
      </c>
      <c r="J3874">
        <v>6246.77</v>
      </c>
      <c r="K3874" t="s">
        <v>22</v>
      </c>
      <c r="L3874">
        <v>76</v>
      </c>
      <c r="M3874">
        <v>12.58</v>
      </c>
      <c r="N3874">
        <v>61.48</v>
      </c>
      <c r="O3874" t="s">
        <v>19</v>
      </c>
      <c r="P3874" t="s">
        <v>1320</v>
      </c>
      <c r="Q3874" t="s">
        <v>19</v>
      </c>
      <c r="R3874" t="str">
        <f>HYPERLINK("https://cfpub.epa.gov/ecotox/explore.cfm?ncbi=176938","Explore in ECOTOX")</f>
        <v>Explore in ECOTOX</v>
      </c>
    </row>
    <row r="3875" spans="1:18" x14ac:dyDescent="0.45">
      <c r="A3875" t="s">
        <v>1265</v>
      </c>
      <c r="B3875">
        <v>8</v>
      </c>
      <c r="C3875" t="str">
        <f>HYPERLINK("http://www.ncbi.nlm.nih.gov/protein/NXY19261.1","NXY19261.1")</f>
        <v>NXY19261.1</v>
      </c>
      <c r="D3875">
        <v>14635</v>
      </c>
      <c r="E3875" t="str">
        <f>HYPERLINK("http://www.ncbi.nlm.nih.gov/Taxonomy/Browser/wwwtax.cgi?mode=Info&amp;id=449594&amp;lvl=3&amp;lin=f&amp;keep=1&amp;srchmode=1&amp;unlock","449594")</f>
        <v>449594</v>
      </c>
      <c r="F3875" t="s">
        <v>241</v>
      </c>
      <c r="G3875" t="str">
        <f>HYPERLINK("http://www.ncbi.nlm.nih.gov/Taxonomy/Browser/wwwtax.cgi?mode=Info&amp;id=449594&amp;lvl=3&amp;lin=f&amp;keep=1&amp;srchmode=1&amp;unlock","Atrichornis clamosus")</f>
        <v>Atrichornis clamosus</v>
      </c>
      <c r="H3875" t="s">
        <v>435</v>
      </c>
      <c r="I3875" t="str">
        <f>HYPERLINK("http://www.ncbi.nlm.nih.gov/protein/NXY19261.1","RYR2 protein")</f>
        <v>RYR2 protein</v>
      </c>
      <c r="J3875">
        <v>6243.69</v>
      </c>
      <c r="K3875" t="s">
        <v>22</v>
      </c>
      <c r="L3875">
        <v>76</v>
      </c>
      <c r="M3875">
        <v>12.58</v>
      </c>
      <c r="N3875">
        <v>61.45</v>
      </c>
      <c r="O3875" t="s">
        <v>19</v>
      </c>
      <c r="P3875" t="s">
        <v>1320</v>
      </c>
      <c r="Q3875" t="s">
        <v>19</v>
      </c>
      <c r="R3875" t="str">
        <f>HYPERLINK("https://cfpub.epa.gov/ecotox/explore.cfm?ncbi=449594","Explore in ECOTOX")</f>
        <v>Explore in ECOTOX</v>
      </c>
    </row>
    <row r="3876" spans="1:18" x14ac:dyDescent="0.45">
      <c r="A3876" t="s">
        <v>1265</v>
      </c>
      <c r="B3876">
        <v>8</v>
      </c>
      <c r="C3876" t="str">
        <f>HYPERLINK("http://www.ncbi.nlm.nih.gov/protein/NWV63945.1","NWV63945.1")</f>
        <v>NWV63945.1</v>
      </c>
      <c r="D3876">
        <v>14078</v>
      </c>
      <c r="E3876" t="str">
        <f>HYPERLINK("http://www.ncbi.nlm.nih.gov/Taxonomy/Browser/wwwtax.cgi?mode=Info&amp;id=720584&amp;lvl=3&amp;lin=f&amp;keep=1&amp;srchmode=1&amp;unlock","720584")</f>
        <v>720584</v>
      </c>
      <c r="F3876" t="s">
        <v>241</v>
      </c>
      <c r="G3876" t="str">
        <f>HYPERLINK("http://www.ncbi.nlm.nih.gov/Taxonomy/Browser/wwwtax.cgi?mode=Info&amp;id=720584&amp;lvl=3&amp;lin=f&amp;keep=1&amp;srchmode=1&amp;unlock","Malurus elegans")</f>
        <v>Malurus elegans</v>
      </c>
      <c r="H3876" t="s">
        <v>650</v>
      </c>
      <c r="I3876" t="str">
        <f>HYPERLINK("http://www.ncbi.nlm.nih.gov/protein/NWV63945.1","RYR2 protein")</f>
        <v>RYR2 protein</v>
      </c>
      <c r="J3876">
        <v>6232.9</v>
      </c>
      <c r="K3876" t="s">
        <v>22</v>
      </c>
      <c r="L3876">
        <v>76</v>
      </c>
      <c r="M3876">
        <v>12.58</v>
      </c>
      <c r="N3876">
        <v>61.34</v>
      </c>
      <c r="O3876" t="s">
        <v>19</v>
      </c>
      <c r="P3876" t="s">
        <v>1320</v>
      </c>
      <c r="Q3876" t="s">
        <v>19</v>
      </c>
      <c r="R3876" t="str">
        <f>HYPERLINK("https://cfpub.epa.gov/ecotox/explore.cfm?ncbi=720584","Explore in ECOTOX")</f>
        <v>Explore in ECOTOX</v>
      </c>
    </row>
    <row r="3877" spans="1:18" x14ac:dyDescent="0.45">
      <c r="A3877" t="s">
        <v>1265</v>
      </c>
      <c r="B3877">
        <v>8</v>
      </c>
      <c r="C3877" t="str">
        <f>HYPERLINK("http://www.ncbi.nlm.nih.gov/protein/XP_009482892.1","XP_009482892.1")</f>
        <v>XP_009482892.1</v>
      </c>
      <c r="D3877">
        <v>28625</v>
      </c>
      <c r="E3877" t="str">
        <f>HYPERLINK("http://www.ncbi.nlm.nih.gov/Taxonomy/Browser/wwwtax.cgi?mode=Info&amp;id=36300&amp;lvl=3&amp;lin=f&amp;keep=1&amp;srchmode=1&amp;unlock","36300")</f>
        <v>36300</v>
      </c>
      <c r="F3877" t="s">
        <v>241</v>
      </c>
      <c r="G3877" t="str">
        <f>HYPERLINK("http://www.ncbi.nlm.nih.gov/Taxonomy/Browser/wwwtax.cgi?mode=Info&amp;id=36300&amp;lvl=3&amp;lin=f&amp;keep=1&amp;srchmode=1&amp;unlock","Pelecanus crispus")</f>
        <v>Pelecanus crispus</v>
      </c>
      <c r="H3877" t="s">
        <v>732</v>
      </c>
      <c r="I3877" t="str">
        <f>HYPERLINK("http://www.ncbi.nlm.nih.gov/protein/XP_009482892.1","PREDICTED: LOW QUALITY PROTEIN: ryanodine receptor 3-like, partial")</f>
        <v>PREDICTED: LOW QUALITY PROTEIN: ryanodine receptor 3-like, partial</v>
      </c>
      <c r="J3877">
        <v>6228.28</v>
      </c>
      <c r="K3877" t="s">
        <v>22</v>
      </c>
      <c r="L3877">
        <v>76</v>
      </c>
      <c r="M3877">
        <v>12.58</v>
      </c>
      <c r="N3877">
        <v>61.3</v>
      </c>
      <c r="O3877" t="s">
        <v>19</v>
      </c>
      <c r="P3877" t="s">
        <v>1320</v>
      </c>
      <c r="Q3877" t="s">
        <v>19</v>
      </c>
      <c r="R3877" t="str">
        <f>HYPERLINK("https://cfpub.epa.gov/ecotox/explore.cfm?ncbi=36300","Explore in ECOTOX")</f>
        <v>Explore in ECOTOX</v>
      </c>
    </row>
    <row r="3878" spans="1:18" x14ac:dyDescent="0.45">
      <c r="A3878" t="s">
        <v>1265</v>
      </c>
      <c r="B3878">
        <v>8</v>
      </c>
      <c r="C3878" t="str">
        <f>HYPERLINK("http://www.ncbi.nlm.nih.gov/protein/NWJ07526.1","NWJ07526.1")</f>
        <v>NWJ07526.1</v>
      </c>
      <c r="D3878">
        <v>14090</v>
      </c>
      <c r="E3878" t="str">
        <f>HYPERLINK("http://www.ncbi.nlm.nih.gov/Taxonomy/Browser/wwwtax.cgi?mode=Info&amp;id=48396&amp;lvl=3&amp;lin=f&amp;keep=1&amp;srchmode=1&amp;unlock","48396")</f>
        <v>48396</v>
      </c>
      <c r="F3878" t="s">
        <v>241</v>
      </c>
      <c r="G3878" t="str">
        <f>HYPERLINK("http://www.ncbi.nlm.nih.gov/Taxonomy/Browser/wwwtax.cgi?mode=Info&amp;id=48396&amp;lvl=3&amp;lin=f&amp;keep=1&amp;srchmode=1&amp;unlock","Crypturellus undulatus")</f>
        <v>Crypturellus undulatus</v>
      </c>
      <c r="H3878" t="s">
        <v>367</v>
      </c>
      <c r="I3878" t="str">
        <f>HYPERLINK("http://www.ncbi.nlm.nih.gov/protein/NWJ07526.1","RYR2 protein")</f>
        <v>RYR2 protein</v>
      </c>
      <c r="J3878">
        <v>6225.97</v>
      </c>
      <c r="K3878" t="s">
        <v>22</v>
      </c>
      <c r="L3878">
        <v>76</v>
      </c>
      <c r="M3878">
        <v>12.58</v>
      </c>
      <c r="N3878">
        <v>61.27</v>
      </c>
      <c r="O3878" t="s">
        <v>19</v>
      </c>
      <c r="P3878" t="s">
        <v>1320</v>
      </c>
      <c r="Q3878" t="s">
        <v>19</v>
      </c>
      <c r="R3878" t="str">
        <f>HYPERLINK("https://cfpub.epa.gov/ecotox/explore.cfm?ncbi=48396","Explore in ECOTOX")</f>
        <v>Explore in ECOTOX</v>
      </c>
    </row>
    <row r="3879" spans="1:18" x14ac:dyDescent="0.45">
      <c r="A3879" t="s">
        <v>1265</v>
      </c>
      <c r="B3879">
        <v>8</v>
      </c>
      <c r="C3879" t="str">
        <f>HYPERLINK("http://www.ncbi.nlm.nih.gov/protein/NXF57726.1","NXF57726.1")</f>
        <v>NXF57726.1</v>
      </c>
      <c r="D3879">
        <v>13848</v>
      </c>
      <c r="E3879" t="str">
        <f>HYPERLINK("http://www.ncbi.nlm.nih.gov/Taxonomy/Browser/wwwtax.cgi?mode=Info&amp;id=1118524&amp;lvl=3&amp;lin=f&amp;keep=1&amp;srchmode=1&amp;unlock","1118524")</f>
        <v>1118524</v>
      </c>
      <c r="F3879" t="s">
        <v>241</v>
      </c>
      <c r="G3879" t="str">
        <f>HYPERLINK("http://www.ncbi.nlm.nih.gov/Taxonomy/Browser/wwwtax.cgi?mode=Info&amp;id=1118524&amp;lvl=3&amp;lin=f&amp;keep=1&amp;srchmode=1&amp;unlock","Ciccaba nigrolineata")</f>
        <v>Ciccaba nigrolineata</v>
      </c>
      <c r="H3879" t="s">
        <v>634</v>
      </c>
      <c r="I3879" t="str">
        <f>HYPERLINK("http://www.ncbi.nlm.nih.gov/protein/NXF57726.1","RYR2 protein")</f>
        <v>RYR2 protein</v>
      </c>
      <c r="J3879">
        <v>6193.61</v>
      </c>
      <c r="K3879" t="s">
        <v>22</v>
      </c>
      <c r="L3879">
        <v>76</v>
      </c>
      <c r="M3879">
        <v>12.58</v>
      </c>
      <c r="N3879">
        <v>60.96</v>
      </c>
      <c r="O3879" t="s">
        <v>19</v>
      </c>
      <c r="P3879" t="s">
        <v>1320</v>
      </c>
      <c r="Q3879" t="s">
        <v>19</v>
      </c>
      <c r="R3879" t="str">
        <f>HYPERLINK("https://cfpub.epa.gov/ecotox/explore.cfm?ncbi=1118524","Explore in ECOTOX")</f>
        <v>Explore in ECOTOX</v>
      </c>
    </row>
    <row r="3880" spans="1:18" x14ac:dyDescent="0.45">
      <c r="A3880" t="s">
        <v>1265</v>
      </c>
      <c r="B3880">
        <v>8</v>
      </c>
      <c r="C3880" t="str">
        <f>HYPERLINK("http://www.ncbi.nlm.nih.gov/protein/TSL04189.1","TSL04189.1")</f>
        <v>TSL04189.1</v>
      </c>
      <c r="D3880">
        <v>17329</v>
      </c>
      <c r="E3880" t="str">
        <f>HYPERLINK("http://www.ncbi.nlm.nih.gov/Taxonomy/Browser/wwwtax.cgi?mode=Info&amp;id=175774&amp;lvl=3&amp;lin=f&amp;keep=1&amp;srchmode=1&amp;unlock","175774")</f>
        <v>175774</v>
      </c>
      <c r="F3880" t="s">
        <v>17</v>
      </c>
      <c r="G3880" t="str">
        <f>HYPERLINK("http://www.ncbi.nlm.nih.gov/Taxonomy/Browser/wwwtax.cgi?mode=Info&amp;id=175774&amp;lvl=3&amp;lin=f&amp;keep=1&amp;srchmode=1&amp;unlock","Bagarius yarrelli")</f>
        <v>Bagarius yarrelli</v>
      </c>
      <c r="H3880" t="s">
        <v>518</v>
      </c>
      <c r="I3880" t="str">
        <f>HYPERLINK("http://www.ncbi.nlm.nih.gov/protein/TSL04189.1","Ryanodine receptor 2")</f>
        <v>Ryanodine receptor 2</v>
      </c>
      <c r="J3880">
        <v>6180.51</v>
      </c>
      <c r="K3880" t="s">
        <v>22</v>
      </c>
      <c r="L3880">
        <v>76</v>
      </c>
      <c r="M3880">
        <v>12.58</v>
      </c>
      <c r="N3880">
        <v>60.83</v>
      </c>
      <c r="O3880" t="s">
        <v>19</v>
      </c>
      <c r="P3880" t="s">
        <v>1320</v>
      </c>
      <c r="Q3880" t="s">
        <v>19</v>
      </c>
      <c r="R3880" t="str">
        <f>HYPERLINK("https://cfpub.epa.gov/ecotox/explore.cfm?ncbi=175774","Explore in ECOTOX")</f>
        <v>Explore in ECOTOX</v>
      </c>
    </row>
    <row r="3881" spans="1:18" x14ac:dyDescent="0.45">
      <c r="A3881" t="s">
        <v>1265</v>
      </c>
      <c r="B3881">
        <v>8</v>
      </c>
      <c r="C3881" t="str">
        <f>HYPERLINK("http://www.ncbi.nlm.nih.gov/protein/KAA0711620.1","KAA0711620.1")</f>
        <v>KAA0711620.1</v>
      </c>
      <c r="D3881">
        <v>24360</v>
      </c>
      <c r="E3881" t="str">
        <f>HYPERLINK("http://www.ncbi.nlm.nih.gov/Taxonomy/Browser/wwwtax.cgi?mode=Info&amp;id=1572043&amp;lvl=3&amp;lin=f&amp;keep=1&amp;srchmode=1&amp;unlock","1572043")</f>
        <v>1572043</v>
      </c>
      <c r="F3881" t="s">
        <v>17</v>
      </c>
      <c r="G3881" t="str">
        <f>HYPERLINK("http://www.ncbi.nlm.nih.gov/Taxonomy/Browser/wwwtax.cgi?mode=Info&amp;id=1572043&amp;lvl=3&amp;lin=f&amp;keep=1&amp;srchmode=1&amp;unlock","Triplophysa tibetana")</f>
        <v>Triplophysa tibetana</v>
      </c>
      <c r="H3881" t="s">
        <v>33</v>
      </c>
      <c r="I3881" t="str">
        <f>HYPERLINK("http://www.ncbi.nlm.nih.gov/protein/KAA0711620.1","Ryanodine receptor 3")</f>
        <v>Ryanodine receptor 3</v>
      </c>
      <c r="J3881">
        <v>6132.36</v>
      </c>
      <c r="K3881" t="s">
        <v>22</v>
      </c>
      <c r="L3881">
        <v>76</v>
      </c>
      <c r="M3881">
        <v>12.58</v>
      </c>
      <c r="N3881">
        <v>60.35</v>
      </c>
      <c r="O3881" t="s">
        <v>19</v>
      </c>
      <c r="P3881" t="s">
        <v>1320</v>
      </c>
      <c r="Q3881" t="s">
        <v>19</v>
      </c>
      <c r="R3881" t="str">
        <f>HYPERLINK("https://cfpub.epa.gov/ecotox/explore.cfm?ncbi=1572043","Explore in ECOTOX")</f>
        <v>Explore in ECOTOX</v>
      </c>
    </row>
    <row r="3882" spans="1:18" x14ac:dyDescent="0.45">
      <c r="A3882" t="s">
        <v>1265</v>
      </c>
      <c r="B3882">
        <v>8</v>
      </c>
      <c r="C3882" t="str">
        <f>HYPERLINK("http://www.ncbi.nlm.nih.gov/protein/KAF1585575.1","KAF1585575.1")</f>
        <v>KAF1585575.1</v>
      </c>
      <c r="D3882">
        <v>15582</v>
      </c>
      <c r="E3882" t="str">
        <f>HYPERLINK("http://www.ncbi.nlm.nih.gov/Taxonomy/Browser/wwwtax.cgi?mode=Info&amp;id=345251&amp;lvl=3&amp;lin=f&amp;keep=1&amp;srchmode=1&amp;unlock","345251")</f>
        <v>345251</v>
      </c>
      <c r="F3882" t="s">
        <v>241</v>
      </c>
      <c r="G3882" t="str">
        <f>HYPERLINK("http://www.ncbi.nlm.nih.gov/Taxonomy/Browser/wwwtax.cgi?mode=Info&amp;id=345251&amp;lvl=3&amp;lin=f&amp;keep=1&amp;srchmode=1&amp;unlock","Eudyptes robustus")</f>
        <v>Eudyptes robustus</v>
      </c>
      <c r="H3882" t="s">
        <v>684</v>
      </c>
      <c r="I3882" t="str">
        <f>HYPERLINK("http://www.ncbi.nlm.nih.gov/protein/KAF1585575.1","Ryanodine receptor 2, partial")</f>
        <v>Ryanodine receptor 2, partial</v>
      </c>
      <c r="J3882">
        <v>6115.8</v>
      </c>
      <c r="K3882" t="s">
        <v>22</v>
      </c>
      <c r="L3882">
        <v>76</v>
      </c>
      <c r="M3882">
        <v>12.58</v>
      </c>
      <c r="N3882">
        <v>60.19</v>
      </c>
      <c r="O3882" t="s">
        <v>19</v>
      </c>
      <c r="P3882" t="s">
        <v>1320</v>
      </c>
      <c r="Q3882" t="s">
        <v>19</v>
      </c>
      <c r="R3882" t="str">
        <f>HYPERLINK("https://cfpub.epa.gov/ecotox/explore.cfm?ncbi=345251","Explore in ECOTOX")</f>
        <v>Explore in ECOTOX</v>
      </c>
    </row>
    <row r="3883" spans="1:18" x14ac:dyDescent="0.45">
      <c r="A3883" t="s">
        <v>1265</v>
      </c>
      <c r="B3883">
        <v>8</v>
      </c>
      <c r="C3883" t="str">
        <f>HYPERLINK("http://www.ncbi.nlm.nih.gov/protein/XP_010137660.1","XP_010137660.1")</f>
        <v>XP_010137660.1</v>
      </c>
      <c r="D3883">
        <v>27222</v>
      </c>
      <c r="E3883" t="str">
        <f>HYPERLINK("http://www.ncbi.nlm.nih.gov/Taxonomy/Browser/wwwtax.cgi?mode=Info&amp;id=175836&amp;lvl=3&amp;lin=f&amp;keep=1&amp;srchmode=1&amp;unlock","175836")</f>
        <v>175836</v>
      </c>
      <c r="F3883" t="s">
        <v>241</v>
      </c>
      <c r="G3883" t="str">
        <f>HYPERLINK("http://www.ncbi.nlm.nih.gov/Taxonomy/Browser/wwwtax.cgi?mode=Info&amp;id=175836&amp;lvl=3&amp;lin=f&amp;keep=1&amp;srchmode=1&amp;unlock","Buceros rhinoceros silvestris")</f>
        <v>Buceros rhinoceros silvestris</v>
      </c>
      <c r="H3883" t="s">
        <v>786</v>
      </c>
      <c r="I3883" t="str">
        <f>HYPERLINK("http://www.ncbi.nlm.nih.gov/protein/XP_010137660.1","PREDICTED: ryanodine receptor 3, partial")</f>
        <v>PREDICTED: ryanodine receptor 3, partial</v>
      </c>
      <c r="J3883">
        <v>6009.1</v>
      </c>
      <c r="K3883" t="s">
        <v>22</v>
      </c>
      <c r="L3883">
        <v>76</v>
      </c>
      <c r="M3883">
        <v>12.58</v>
      </c>
      <c r="N3883">
        <v>59.14</v>
      </c>
      <c r="O3883" t="s">
        <v>19</v>
      </c>
      <c r="P3883" t="s">
        <v>1320</v>
      </c>
      <c r="Q3883" t="s">
        <v>19</v>
      </c>
      <c r="R3883" t="str">
        <f>HYPERLINK("https://cfpub.epa.gov/ecotox/explore.cfm?ncbi=175836","Explore in ECOTOX")</f>
        <v>Explore in ECOTOX</v>
      </c>
    </row>
    <row r="3884" spans="1:18" x14ac:dyDescent="0.45">
      <c r="A3884" t="s">
        <v>1265</v>
      </c>
      <c r="B3884">
        <v>8</v>
      </c>
      <c r="C3884" t="str">
        <f>HYPERLINK("http://www.ncbi.nlm.nih.gov/protein/KAK3542401.1","KAK3542401.1")</f>
        <v>KAK3542401.1</v>
      </c>
      <c r="D3884">
        <v>70122</v>
      </c>
      <c r="E3884" t="str">
        <f>HYPERLINK("http://www.ncbi.nlm.nih.gov/Taxonomy/Browser/wwwtax.cgi?mode=Info&amp;id=175788&amp;lvl=3&amp;lin=f&amp;keep=1&amp;srchmode=1&amp;unlock","175788")</f>
        <v>175788</v>
      </c>
      <c r="F3884" t="s">
        <v>17</v>
      </c>
      <c r="G3884" t="str">
        <f>HYPERLINK("http://www.ncbi.nlm.nih.gov/Taxonomy/Browser/wwwtax.cgi?mode=Info&amp;id=175788&amp;lvl=3&amp;lin=f&amp;keep=1&amp;srchmode=1&amp;unlock","Hemibagrus guttatus")</f>
        <v>Hemibagrus guttatus</v>
      </c>
      <c r="H3884" t="s">
        <v>45</v>
      </c>
      <c r="I3884" t="str">
        <f>HYPERLINK("http://www.ncbi.nlm.nih.gov/protein/KAK3542401.1","hypothetical protein QTP86_025825")</f>
        <v>hypothetical protein QTP86_025825</v>
      </c>
      <c r="J3884">
        <v>5923.2</v>
      </c>
      <c r="K3884" t="s">
        <v>22</v>
      </c>
      <c r="L3884">
        <v>76</v>
      </c>
      <c r="M3884">
        <v>12.58</v>
      </c>
      <c r="N3884">
        <v>58.29</v>
      </c>
      <c r="O3884" t="s">
        <v>19</v>
      </c>
      <c r="P3884" t="s">
        <v>1320</v>
      </c>
      <c r="Q3884" t="s">
        <v>19</v>
      </c>
      <c r="R3884" t="str">
        <f>HYPERLINK("https://cfpub.epa.gov/ecotox/explore.cfm?ncbi=175788","Explore in ECOTOX")</f>
        <v>Explore in ECOTOX</v>
      </c>
    </row>
    <row r="3885" spans="1:18" x14ac:dyDescent="0.45">
      <c r="A3885" t="s">
        <v>1265</v>
      </c>
      <c r="B3885">
        <v>8</v>
      </c>
      <c r="C3885" t="str">
        <f>HYPERLINK("http://www.ncbi.nlm.nih.gov/protein/KAJ4939120.1","KAJ4939120.1")</f>
        <v>KAJ4939120.1</v>
      </c>
      <c r="D3885">
        <v>31147</v>
      </c>
      <c r="E3885" t="str">
        <f>HYPERLINK("http://www.ncbi.nlm.nih.gov/Taxonomy/Browser/wwwtax.cgi?mode=Info&amp;id=1090488&amp;lvl=3&amp;lin=f&amp;keep=1&amp;srchmode=1&amp;unlock","1090488")</f>
        <v>1090488</v>
      </c>
      <c r="F3885" t="s">
        <v>17</v>
      </c>
      <c r="G3885" t="str">
        <f>HYPERLINK("http://www.ncbi.nlm.nih.gov/Taxonomy/Browser/wwwtax.cgi?mode=Info&amp;id=1090488&amp;lvl=3&amp;lin=f&amp;keep=1&amp;srchmode=1&amp;unlock","Pogonophryne albipinna")</f>
        <v>Pogonophryne albipinna</v>
      </c>
      <c r="H3885" t="s">
        <v>719</v>
      </c>
      <c r="I3885" t="str">
        <f>HYPERLINK("http://www.ncbi.nlm.nih.gov/protein/KAJ4939120.1","hypothetical protein JOQ06_028581, partial")</f>
        <v>hypothetical protein JOQ06_028581, partial</v>
      </c>
      <c r="J3885">
        <v>5880.44</v>
      </c>
      <c r="K3885" t="s">
        <v>22</v>
      </c>
      <c r="L3885">
        <v>76</v>
      </c>
      <c r="M3885">
        <v>12.58</v>
      </c>
      <c r="N3885">
        <v>57.87</v>
      </c>
      <c r="O3885" t="s">
        <v>19</v>
      </c>
      <c r="P3885" t="s">
        <v>1320</v>
      </c>
      <c r="Q3885" t="s">
        <v>19</v>
      </c>
      <c r="R3885" t="str">
        <f>HYPERLINK("https://cfpub.epa.gov/ecotox/explore.cfm?ncbi=1090488","Explore in ECOTOX")</f>
        <v>Explore in ECOTOX</v>
      </c>
    </row>
    <row r="3886" spans="1:18" x14ac:dyDescent="0.45">
      <c r="A3886" t="s">
        <v>1265</v>
      </c>
      <c r="B3886">
        <v>8</v>
      </c>
      <c r="C3886" t="str">
        <f>HYPERLINK("http://www.ncbi.nlm.nih.gov/protein/KAB0343153.1","KAB0343153.1")</f>
        <v>KAB0343153.1</v>
      </c>
      <c r="D3886">
        <v>25803</v>
      </c>
      <c r="E3886" t="str">
        <f>HYPERLINK("http://www.ncbi.nlm.nih.gov/Taxonomy/Browser/wwwtax.cgi?mode=Info&amp;id=9888&amp;lvl=3&amp;lin=f&amp;keep=1&amp;srchmode=1&amp;unlock","9888")</f>
        <v>9888</v>
      </c>
      <c r="F3886" t="s">
        <v>96</v>
      </c>
      <c r="G3886" t="str">
        <f>HYPERLINK("http://www.ncbi.nlm.nih.gov/Taxonomy/Browser/wwwtax.cgi?mode=Info&amp;id=9888&amp;lvl=3&amp;lin=f&amp;keep=1&amp;srchmode=1&amp;unlock","Muntiacus muntjak")</f>
        <v>Muntiacus muntjak</v>
      </c>
      <c r="H3886" t="s">
        <v>706</v>
      </c>
      <c r="I3886" t="str">
        <f>HYPERLINK("http://www.ncbi.nlm.nih.gov/protein/KAB0343153.1","hypothetical protein FD754_020079, partial")</f>
        <v>hypothetical protein FD754_020079, partial</v>
      </c>
      <c r="J3886">
        <v>5858.49</v>
      </c>
      <c r="K3886" t="s">
        <v>19</v>
      </c>
      <c r="L3886">
        <v>76</v>
      </c>
      <c r="M3886">
        <v>12.58</v>
      </c>
      <c r="N3886">
        <v>57.66</v>
      </c>
      <c r="O3886" t="s">
        <v>19</v>
      </c>
      <c r="P3886" t="s">
        <v>1320</v>
      </c>
      <c r="Q3886" t="s">
        <v>19</v>
      </c>
      <c r="R3886" t="str">
        <f>HYPERLINK("https://cfpub.epa.gov/ecotox/explore.cfm?ncbi=9888","Explore in ECOTOX")</f>
        <v>Explore in ECOTOX</v>
      </c>
    </row>
    <row r="3887" spans="1:18" x14ac:dyDescent="0.45">
      <c r="A3887" t="s">
        <v>1265</v>
      </c>
      <c r="B3887">
        <v>8</v>
      </c>
      <c r="C3887" t="str">
        <f>HYPERLINK("http://www.ncbi.nlm.nih.gov/protein/KAB0383362.1","KAB0383362.1")</f>
        <v>KAB0383362.1</v>
      </c>
      <c r="D3887">
        <v>26182</v>
      </c>
      <c r="E3887" t="str">
        <f>HYPERLINK("http://www.ncbi.nlm.nih.gov/Taxonomy/Browser/wwwtax.cgi?mode=Info&amp;id=9886&amp;lvl=3&amp;lin=f&amp;keep=1&amp;srchmode=1&amp;unlock","9886")</f>
        <v>9886</v>
      </c>
      <c r="F3887" t="s">
        <v>96</v>
      </c>
      <c r="G3887" t="str">
        <f>HYPERLINK("http://www.ncbi.nlm.nih.gov/Taxonomy/Browser/wwwtax.cgi?mode=Info&amp;id=9886&amp;lvl=3&amp;lin=f&amp;keep=1&amp;srchmode=1&amp;unlock","Muntiacus reevesi")</f>
        <v>Muntiacus reevesi</v>
      </c>
      <c r="H3887" t="s">
        <v>698</v>
      </c>
      <c r="I3887" t="str">
        <f>HYPERLINK("http://www.ncbi.nlm.nih.gov/protein/KAB0383362.1","hypothetical protein FD755_005279")</f>
        <v>hypothetical protein FD755_005279</v>
      </c>
      <c r="J3887">
        <v>5804.56</v>
      </c>
      <c r="K3887" t="s">
        <v>22</v>
      </c>
      <c r="L3887">
        <v>76</v>
      </c>
      <c r="M3887">
        <v>12.58</v>
      </c>
      <c r="N3887">
        <v>57.13</v>
      </c>
      <c r="O3887" t="s">
        <v>19</v>
      </c>
      <c r="P3887" t="s">
        <v>1320</v>
      </c>
      <c r="Q3887" t="s">
        <v>19</v>
      </c>
      <c r="R3887" t="str">
        <f>HYPERLINK("https://cfpub.epa.gov/ecotox/explore.cfm?ncbi=9886","Explore in ECOTOX")</f>
        <v>Explore in ECOTOX</v>
      </c>
    </row>
    <row r="3888" spans="1:18" x14ac:dyDescent="0.45">
      <c r="A3888" t="s">
        <v>1265</v>
      </c>
      <c r="B3888">
        <v>8</v>
      </c>
      <c r="C3888" t="str">
        <f>HYPERLINK("http://www.ncbi.nlm.nih.gov/protein/ROL51313.1","ROL51313.1")</f>
        <v>ROL51313.1</v>
      </c>
      <c r="D3888">
        <v>23913</v>
      </c>
      <c r="E3888" t="str">
        <f>HYPERLINK("http://www.ncbi.nlm.nih.gov/Taxonomy/Browser/wwwtax.cgi?mode=Info&amp;id=495550&amp;lvl=3&amp;lin=f&amp;keep=1&amp;srchmode=1&amp;unlock","495550")</f>
        <v>495550</v>
      </c>
      <c r="F3888" t="s">
        <v>17</v>
      </c>
      <c r="G3888" t="str">
        <f>HYPERLINK("http://www.ncbi.nlm.nih.gov/Taxonomy/Browser/wwwtax.cgi?mode=Info&amp;id=495550&amp;lvl=3&amp;lin=f&amp;keep=1&amp;srchmode=1&amp;unlock","Anabarilius grahami")</f>
        <v>Anabarilius grahami</v>
      </c>
      <c r="H3888" t="s">
        <v>21</v>
      </c>
      <c r="I3888" t="str">
        <f>HYPERLINK("http://www.ncbi.nlm.nih.gov/protein/ROL51313.1","Ryanodine receptor 3")</f>
        <v>Ryanodine receptor 3</v>
      </c>
      <c r="J3888">
        <v>5782.22</v>
      </c>
      <c r="K3888" t="s">
        <v>19</v>
      </c>
      <c r="L3888">
        <v>76</v>
      </c>
      <c r="M3888">
        <v>12.58</v>
      </c>
      <c r="N3888">
        <v>56.91</v>
      </c>
      <c r="O3888" t="s">
        <v>19</v>
      </c>
      <c r="P3888" t="s">
        <v>1320</v>
      </c>
      <c r="Q3888" t="s">
        <v>19</v>
      </c>
      <c r="R3888" t="str">
        <f>HYPERLINK("https://cfpub.epa.gov/ecotox/explore.cfm?ncbi=495550","Explore in ECOTOX")</f>
        <v>Explore in ECOTOX</v>
      </c>
    </row>
    <row r="3889" spans="1:18" x14ac:dyDescent="0.45">
      <c r="A3889" t="s">
        <v>1265</v>
      </c>
      <c r="B3889">
        <v>8</v>
      </c>
      <c r="C3889" t="str">
        <f>HYPERLINK("http://www.ncbi.nlm.nih.gov/protein/XP_010079144.1","XP_010079144.1")</f>
        <v>XP_010079144.1</v>
      </c>
      <c r="D3889">
        <v>27073</v>
      </c>
      <c r="E3889" t="str">
        <f>HYPERLINK("http://www.ncbi.nlm.nih.gov/Taxonomy/Browser/wwwtax.cgi?mode=Info&amp;id=240206&amp;lvl=3&amp;lin=f&amp;keep=1&amp;srchmode=1&amp;unlock","240206")</f>
        <v>240206</v>
      </c>
      <c r="F3889" t="s">
        <v>241</v>
      </c>
      <c r="G3889" t="str">
        <f>HYPERLINK("http://www.ncbi.nlm.nih.gov/Taxonomy/Browser/wwwtax.cgi?mode=Info&amp;id=240206&amp;lvl=3&amp;lin=f&amp;keep=1&amp;srchmode=1&amp;unlock","Pterocles gutturalis")</f>
        <v>Pterocles gutturalis</v>
      </c>
      <c r="H3889" t="s">
        <v>784</v>
      </c>
      <c r="I3889" t="str">
        <f>HYPERLINK("http://www.ncbi.nlm.nih.gov/protein/XP_010079144.1","PREDICTED: LOW QUALITY PROTEIN: ryanodine receptor 3-like, partial")</f>
        <v>PREDICTED: LOW QUALITY PROTEIN: ryanodine receptor 3-like, partial</v>
      </c>
      <c r="J3889">
        <v>5689.38</v>
      </c>
      <c r="K3889" t="s">
        <v>22</v>
      </c>
      <c r="L3889">
        <v>76</v>
      </c>
      <c r="M3889">
        <v>12.58</v>
      </c>
      <c r="N3889">
        <v>55.99</v>
      </c>
      <c r="O3889" t="s">
        <v>19</v>
      </c>
      <c r="P3889" t="s">
        <v>1320</v>
      </c>
      <c r="Q3889" t="s">
        <v>19</v>
      </c>
      <c r="R3889" t="str">
        <f>HYPERLINK("https://cfpub.epa.gov/ecotox/explore.cfm?ncbi=240206","Explore in ECOTOX")</f>
        <v>Explore in ECOTOX</v>
      </c>
    </row>
    <row r="3890" spans="1:18" x14ac:dyDescent="0.45">
      <c r="A3890" t="s">
        <v>1265</v>
      </c>
      <c r="B3890">
        <v>8</v>
      </c>
      <c r="C3890" t="str">
        <f>HYPERLINK("http://www.ncbi.nlm.nih.gov/protein/ETE69398.1","ETE69398.1")</f>
        <v>ETE69398.1</v>
      </c>
      <c r="D3890">
        <v>18859</v>
      </c>
      <c r="E3890" t="str">
        <f>HYPERLINK("http://www.ncbi.nlm.nih.gov/Taxonomy/Browser/wwwtax.cgi?mode=Info&amp;id=8665&amp;lvl=3&amp;lin=f&amp;keep=1&amp;srchmode=1&amp;unlock","8665")</f>
        <v>8665</v>
      </c>
      <c r="F3890" t="s">
        <v>192</v>
      </c>
      <c r="G3890" t="str">
        <f>HYPERLINK("http://www.ncbi.nlm.nih.gov/Taxonomy/Browser/wwwtax.cgi?mode=Info&amp;id=8665&amp;lvl=3&amp;lin=f&amp;keep=1&amp;srchmode=1&amp;unlock","Ophiophagus hannah")</f>
        <v>Ophiophagus hannah</v>
      </c>
      <c r="H3890" t="s">
        <v>700</v>
      </c>
      <c r="I3890" t="str">
        <f>HYPERLINK("http://www.ncbi.nlm.nih.gov/protein/ETE69398.1","Ryanodine receptor 3, partial")</f>
        <v>Ryanodine receptor 3, partial</v>
      </c>
      <c r="J3890">
        <v>5627.37</v>
      </c>
      <c r="K3890" t="s">
        <v>22</v>
      </c>
      <c r="L3890">
        <v>76</v>
      </c>
      <c r="M3890">
        <v>12.58</v>
      </c>
      <c r="N3890">
        <v>55.38</v>
      </c>
      <c r="O3890" t="s">
        <v>19</v>
      </c>
      <c r="P3890" t="s">
        <v>1320</v>
      </c>
      <c r="Q3890" t="s">
        <v>19</v>
      </c>
      <c r="R3890" t="str">
        <f>HYPERLINK("https://cfpub.epa.gov/ecotox/explore.cfm?ncbi=8665","Explore in ECOTOX")</f>
        <v>Explore in ECOTOX</v>
      </c>
    </row>
    <row r="3891" spans="1:18" x14ac:dyDescent="0.45">
      <c r="A3891" t="s">
        <v>1265</v>
      </c>
      <c r="B3891">
        <v>8</v>
      </c>
      <c r="C3891" t="str">
        <f>HYPERLINK("http://www.ncbi.nlm.nih.gov/protein/KAJ7407276.1","KAJ7407276.1")</f>
        <v>KAJ7407276.1</v>
      </c>
      <c r="D3891">
        <v>16638</v>
      </c>
      <c r="E3891" t="str">
        <f>HYPERLINK("http://www.ncbi.nlm.nih.gov/Taxonomy/Browser/wwwtax.cgi?mode=Info&amp;id=1566151&amp;lvl=3&amp;lin=f&amp;keep=1&amp;srchmode=1&amp;unlock","1566151")</f>
        <v>1566151</v>
      </c>
      <c r="F3891" t="s">
        <v>241</v>
      </c>
      <c r="G3891" t="str">
        <f>HYPERLINK("http://www.ncbi.nlm.nih.gov/Taxonomy/Browser/wwwtax.cgi?mode=Info&amp;id=1566151&amp;lvl=3&amp;lin=f&amp;keep=1&amp;srchmode=1&amp;unlock","Willisornis vidua")</f>
        <v>Willisornis vidua</v>
      </c>
      <c r="H3891" t="s">
        <v>702</v>
      </c>
      <c r="I3891" t="str">
        <f>HYPERLINK("http://www.ncbi.nlm.nih.gov/protein/KAJ7407276.1","Ryanodine receptor 2")</f>
        <v>Ryanodine receptor 2</v>
      </c>
      <c r="J3891">
        <v>5575.75</v>
      </c>
      <c r="K3891" t="s">
        <v>22</v>
      </c>
      <c r="L3891">
        <v>76</v>
      </c>
      <c r="M3891">
        <v>12.58</v>
      </c>
      <c r="N3891">
        <v>54.88</v>
      </c>
      <c r="O3891" t="s">
        <v>19</v>
      </c>
      <c r="P3891" t="s">
        <v>1320</v>
      </c>
      <c r="Q3891" t="s">
        <v>19</v>
      </c>
      <c r="R3891" t="str">
        <f>HYPERLINK("https://cfpub.epa.gov/ecotox/explore.cfm?ncbi=1566151","Explore in ECOTOX")</f>
        <v>Explore in ECOTOX</v>
      </c>
    </row>
    <row r="3892" spans="1:18" x14ac:dyDescent="0.45">
      <c r="A3892" t="s">
        <v>1265</v>
      </c>
      <c r="B3892">
        <v>8</v>
      </c>
      <c r="C3892" t="str">
        <f>HYPERLINK("http://www.ncbi.nlm.nih.gov/protein/KAK1889355.1","KAK1889355.1")</f>
        <v>KAK1889355.1</v>
      </c>
      <c r="D3892">
        <v>67997</v>
      </c>
      <c r="E3892" t="str">
        <f>HYPERLINK("http://www.ncbi.nlm.nih.gov/Taxonomy/Browser/wwwtax.cgi?mode=Info&amp;id=100907&amp;lvl=3&amp;lin=f&amp;keep=1&amp;srchmode=1&amp;unlock","100907")</f>
        <v>100907</v>
      </c>
      <c r="F3892" t="s">
        <v>17</v>
      </c>
      <c r="G3892" t="str">
        <f>HYPERLINK("http://www.ncbi.nlm.nih.gov/Taxonomy/Browser/wwwtax.cgi?mode=Info&amp;id=100907&amp;lvl=3&amp;lin=f&amp;keep=1&amp;srchmode=1&amp;unlock","Dissostichus eleginoides")</f>
        <v>Dissostichus eleginoides</v>
      </c>
      <c r="H3892" t="s">
        <v>362</v>
      </c>
      <c r="I3892" t="str">
        <f>HYPERLINK("http://www.ncbi.nlm.nih.gov/protein/KAK1889355.1","Ryanodine receptor 3, partial")</f>
        <v>Ryanodine receptor 3, partial</v>
      </c>
      <c r="J3892">
        <v>5522.21</v>
      </c>
      <c r="K3892" t="s">
        <v>22</v>
      </c>
      <c r="L3892">
        <v>76</v>
      </c>
      <c r="M3892">
        <v>12.58</v>
      </c>
      <c r="N3892">
        <v>54.35</v>
      </c>
      <c r="O3892" t="s">
        <v>19</v>
      </c>
      <c r="P3892" t="s">
        <v>1320</v>
      </c>
      <c r="Q3892" t="s">
        <v>19</v>
      </c>
      <c r="R3892" t="str">
        <f>HYPERLINK("https://cfpub.epa.gov/ecotox/explore.cfm?ncbi=100907","Explore in ECOTOX")</f>
        <v>Explore in ECOTOX</v>
      </c>
    </row>
    <row r="3893" spans="1:18" x14ac:dyDescent="0.45">
      <c r="A3893" t="s">
        <v>1265</v>
      </c>
      <c r="B3893">
        <v>8</v>
      </c>
      <c r="C3893" t="str">
        <f>HYPERLINK("http://www.ncbi.nlm.nih.gov/protein/KAI5611303.1","KAI5611303.1")</f>
        <v>KAI5611303.1</v>
      </c>
      <c r="D3893">
        <v>24506</v>
      </c>
      <c r="E3893" t="str">
        <f>HYPERLINK("http://www.ncbi.nlm.nih.gov/Taxonomy/Browser/wwwtax.cgi?mode=Info&amp;id=30991&amp;lvl=3&amp;lin=f&amp;keep=1&amp;srchmode=1&amp;unlock","30991")</f>
        <v>30991</v>
      </c>
      <c r="F3893" t="s">
        <v>17</v>
      </c>
      <c r="G3893" t="str">
        <f>HYPERLINK("http://www.ncbi.nlm.nih.gov/Taxonomy/Browser/wwwtax.cgi?mode=Info&amp;id=30991&amp;lvl=3&amp;lin=f&amp;keep=1&amp;srchmode=1&amp;unlock","Silurus asotus")</f>
        <v>Silurus asotus</v>
      </c>
      <c r="H3893" t="s">
        <v>101</v>
      </c>
      <c r="I3893" t="str">
        <f>HYPERLINK("http://www.ncbi.nlm.nih.gov/protein/KAI5611303.1","ryanodine receptor 3 isoform X3")</f>
        <v>ryanodine receptor 3 isoform X3</v>
      </c>
      <c r="J3893">
        <v>5516.81</v>
      </c>
      <c r="K3893" t="s">
        <v>22</v>
      </c>
      <c r="L3893">
        <v>76</v>
      </c>
      <c r="M3893">
        <v>12.58</v>
      </c>
      <c r="N3893">
        <v>54.3</v>
      </c>
      <c r="O3893" t="s">
        <v>19</v>
      </c>
      <c r="P3893" t="s">
        <v>1320</v>
      </c>
      <c r="Q3893" t="s">
        <v>19</v>
      </c>
      <c r="R3893" t="str">
        <f>HYPERLINK("https://cfpub.epa.gov/ecotox/explore.cfm?ncbi=30991","Explore in ECOTOX")</f>
        <v>Explore in ECOTOX</v>
      </c>
    </row>
    <row r="3894" spans="1:18" x14ac:dyDescent="0.45">
      <c r="A3894" t="s">
        <v>1265</v>
      </c>
      <c r="B3894">
        <v>8</v>
      </c>
      <c r="C3894" t="str">
        <f>HYPERLINK("http://www.ncbi.nlm.nih.gov/protein/KAF3844751.1","KAF3844751.1")</f>
        <v>KAF3844751.1</v>
      </c>
      <c r="D3894">
        <v>29437</v>
      </c>
      <c r="E3894" t="str">
        <f>HYPERLINK("http://www.ncbi.nlm.nih.gov/Taxonomy/Browser/wwwtax.cgi?mode=Info&amp;id=36200&amp;lvl=3&amp;lin=f&amp;keep=1&amp;srchmode=1&amp;unlock","36200")</f>
        <v>36200</v>
      </c>
      <c r="F3894" t="s">
        <v>17</v>
      </c>
      <c r="G3894" t="str">
        <f>HYPERLINK("http://www.ncbi.nlm.nih.gov/Taxonomy/Browser/wwwtax.cgi?mode=Info&amp;id=36200&amp;lvl=3&amp;lin=f&amp;keep=1&amp;srchmode=1&amp;unlock","Dissostichus mawsoni")</f>
        <v>Dissostichus mawsoni</v>
      </c>
      <c r="H3894" t="s">
        <v>827</v>
      </c>
      <c r="I3894" t="str">
        <f>HYPERLINK("http://www.ncbi.nlm.nih.gov/protein/KAF3844751.1","hypothetical protein F7725_007914")</f>
        <v>hypothetical protein F7725_007914</v>
      </c>
      <c r="J3894">
        <v>5456.72</v>
      </c>
      <c r="K3894" t="s">
        <v>22</v>
      </c>
      <c r="L3894">
        <v>76</v>
      </c>
      <c r="M3894">
        <v>12.58</v>
      </c>
      <c r="N3894">
        <v>53.7</v>
      </c>
      <c r="O3894" t="s">
        <v>19</v>
      </c>
      <c r="P3894" t="s">
        <v>1320</v>
      </c>
      <c r="Q3894" t="s">
        <v>19</v>
      </c>
      <c r="R3894" t="str">
        <f>HYPERLINK("https://cfpub.epa.gov/ecotox/explore.cfm?ncbi=36200","Explore in ECOTOX")</f>
        <v>Explore in ECOTOX</v>
      </c>
    </row>
    <row r="3895" spans="1:18" x14ac:dyDescent="0.45">
      <c r="A3895" t="s">
        <v>1265</v>
      </c>
      <c r="B3895">
        <v>8</v>
      </c>
      <c r="C3895" t="str">
        <f>HYPERLINK("http://www.ncbi.nlm.nih.gov/protein/NXL34081.1","NXL34081.1")</f>
        <v>NXL34081.1</v>
      </c>
      <c r="D3895">
        <v>14261</v>
      </c>
      <c r="E3895" t="str">
        <f>HYPERLINK("http://www.ncbi.nlm.nih.gov/Taxonomy/Browser/wwwtax.cgi?mode=Info&amp;id=78217&amp;lvl=3&amp;lin=f&amp;keep=1&amp;srchmode=1&amp;unlock","78217")</f>
        <v>78217</v>
      </c>
      <c r="F3895" t="s">
        <v>241</v>
      </c>
      <c r="G3895" t="str">
        <f>HYPERLINK("http://www.ncbi.nlm.nih.gov/Taxonomy/Browser/wwwtax.cgi?mode=Info&amp;id=78217&amp;lvl=3&amp;lin=f&amp;keep=1&amp;srchmode=1&amp;unlock","Glaucidium brasilianum")</f>
        <v>Glaucidium brasilianum</v>
      </c>
      <c r="H3895" t="s">
        <v>707</v>
      </c>
      <c r="I3895" t="str">
        <f>HYPERLINK("http://www.ncbi.nlm.nih.gov/protein/NXL34081.1","RYR2 protein")</f>
        <v>RYR2 protein</v>
      </c>
      <c r="J3895">
        <v>5379.68</v>
      </c>
      <c r="K3895" t="s">
        <v>22</v>
      </c>
      <c r="L3895">
        <v>76</v>
      </c>
      <c r="M3895">
        <v>12.58</v>
      </c>
      <c r="N3895">
        <v>52.95</v>
      </c>
      <c r="O3895" t="s">
        <v>19</v>
      </c>
      <c r="P3895" t="s">
        <v>1320</v>
      </c>
      <c r="Q3895" t="s">
        <v>19</v>
      </c>
      <c r="R3895" t="str">
        <f>HYPERLINK("https://cfpub.epa.gov/ecotox/explore.cfm?ncbi=78217","Explore in ECOTOX")</f>
        <v>Explore in ECOTOX</v>
      </c>
    </row>
    <row r="3896" spans="1:18" x14ac:dyDescent="0.45">
      <c r="A3896" t="s">
        <v>1265</v>
      </c>
      <c r="B3896">
        <v>8</v>
      </c>
      <c r="C3896" t="str">
        <f>HYPERLINK("http://www.ncbi.nlm.nih.gov/protein/TKS90259.1","TKS90259.1")</f>
        <v>TKS90259.1</v>
      </c>
      <c r="D3896">
        <v>28578</v>
      </c>
      <c r="E3896" t="str">
        <f>HYPERLINK("http://www.ncbi.nlm.nih.gov/Taxonomy/Browser/wwwtax.cgi?mode=Info&amp;id=240159&amp;lvl=3&amp;lin=f&amp;keep=1&amp;srchmode=1&amp;unlock","240159")</f>
        <v>240159</v>
      </c>
      <c r="F3896" t="s">
        <v>17</v>
      </c>
      <c r="G3896" t="str">
        <f>HYPERLINK("http://www.ncbi.nlm.nih.gov/Taxonomy/Browser/wwwtax.cgi?mode=Info&amp;id=240159&amp;lvl=3&amp;lin=f&amp;keep=1&amp;srchmode=1&amp;unlock","Collichthys lucidus")</f>
        <v>Collichthys lucidus</v>
      </c>
      <c r="H3896" t="s">
        <v>712</v>
      </c>
      <c r="I3896" t="str">
        <f>HYPERLINK("http://www.ncbi.nlm.nih.gov/protein/TKS90259.1","Ryanodine receptor 2")</f>
        <v>Ryanodine receptor 2</v>
      </c>
      <c r="J3896">
        <v>5318.44</v>
      </c>
      <c r="K3896" t="s">
        <v>22</v>
      </c>
      <c r="L3896">
        <v>76</v>
      </c>
      <c r="M3896">
        <v>12.58</v>
      </c>
      <c r="N3896">
        <v>52.34</v>
      </c>
      <c r="O3896" t="s">
        <v>19</v>
      </c>
      <c r="P3896" t="s">
        <v>1320</v>
      </c>
      <c r="Q3896" t="s">
        <v>19</v>
      </c>
      <c r="R3896" t="str">
        <f>HYPERLINK("https://cfpub.epa.gov/ecotox/explore.cfm?ncbi=240159","Explore in ECOTOX")</f>
        <v>Explore in ECOTOX</v>
      </c>
    </row>
    <row r="3897" spans="1:18" x14ac:dyDescent="0.45">
      <c r="A3897" t="s">
        <v>1265</v>
      </c>
      <c r="B3897">
        <v>8</v>
      </c>
      <c r="C3897" t="str">
        <f>HYPERLINK("http://www.ncbi.nlm.nih.gov/protein/KFP62263.1","KFP62263.1")</f>
        <v>KFP62263.1</v>
      </c>
      <c r="D3897">
        <v>27816</v>
      </c>
      <c r="E3897" t="str">
        <f>HYPERLINK("http://www.ncbi.nlm.nih.gov/Taxonomy/Browser/wwwtax.cgi?mode=Info&amp;id=54380&amp;lvl=3&amp;lin=f&amp;keep=1&amp;srchmode=1&amp;unlock","54380")</f>
        <v>54380</v>
      </c>
      <c r="F3897" t="s">
        <v>241</v>
      </c>
      <c r="G3897" t="str">
        <f>HYPERLINK("http://www.ncbi.nlm.nih.gov/Taxonomy/Browser/wwwtax.cgi?mode=Info&amp;id=54380&amp;lvl=3&amp;lin=f&amp;keep=1&amp;srchmode=1&amp;unlock","Cariama cristata")</f>
        <v>Cariama cristata</v>
      </c>
      <c r="H3897" t="s">
        <v>828</v>
      </c>
      <c r="I3897" t="str">
        <f>HYPERLINK("http://www.ncbi.nlm.nih.gov/protein/KFP62263.1","Ryanodine receptor 3, partial")</f>
        <v>Ryanodine receptor 3, partial</v>
      </c>
      <c r="J3897">
        <v>5234.08</v>
      </c>
      <c r="K3897" t="s">
        <v>22</v>
      </c>
      <c r="L3897">
        <v>76</v>
      </c>
      <c r="M3897">
        <v>12.58</v>
      </c>
      <c r="N3897">
        <v>51.51</v>
      </c>
      <c r="O3897" t="s">
        <v>19</v>
      </c>
      <c r="P3897" t="s">
        <v>1320</v>
      </c>
      <c r="Q3897" t="s">
        <v>19</v>
      </c>
      <c r="R3897" t="str">
        <f>HYPERLINK("https://cfpub.epa.gov/ecotox/explore.cfm?ncbi=54380","Explore in ECOTOX")</f>
        <v>Explore in ECOTOX</v>
      </c>
    </row>
    <row r="3898" spans="1:18" x14ac:dyDescent="0.45">
      <c r="A3898" t="s">
        <v>1265</v>
      </c>
      <c r="B3898">
        <v>8</v>
      </c>
      <c r="C3898" t="str">
        <f>HYPERLINK("http://www.ncbi.nlm.nih.gov/protein/NXV08112.1","NXV08112.1")</f>
        <v>NXV08112.1</v>
      </c>
      <c r="D3898">
        <v>14925</v>
      </c>
      <c r="E3898" t="str">
        <f>HYPERLINK("http://www.ncbi.nlm.nih.gov/Taxonomy/Browser/wwwtax.cgi?mode=Info&amp;id=68486&amp;lvl=3&amp;lin=f&amp;keep=1&amp;srchmode=1&amp;unlock","68486")</f>
        <v>68486</v>
      </c>
      <c r="F3898" t="s">
        <v>241</v>
      </c>
      <c r="G3898" t="str">
        <f>HYPERLINK("http://www.ncbi.nlm.nih.gov/Taxonomy/Browser/wwwtax.cgi?mode=Info&amp;id=68486&amp;lvl=3&amp;lin=f&amp;keep=1&amp;srchmode=1&amp;unlock","Cettia cetti")</f>
        <v>Cettia cetti</v>
      </c>
      <c r="H3898" t="s">
        <v>733</v>
      </c>
      <c r="I3898" t="str">
        <f>HYPERLINK("http://www.ncbi.nlm.nih.gov/protein/NXV08112.1","RYR2 protein")</f>
        <v>RYR2 protein</v>
      </c>
      <c r="J3898">
        <v>5128.92</v>
      </c>
      <c r="K3898" t="s">
        <v>22</v>
      </c>
      <c r="L3898">
        <v>76</v>
      </c>
      <c r="M3898">
        <v>12.58</v>
      </c>
      <c r="N3898">
        <v>50.48</v>
      </c>
      <c r="O3898" t="s">
        <v>19</v>
      </c>
      <c r="P3898" t="s">
        <v>1320</v>
      </c>
      <c r="Q3898" t="s">
        <v>19</v>
      </c>
      <c r="R3898" t="str">
        <f>HYPERLINK("https://cfpub.epa.gov/ecotox/explore.cfm?ncbi=68486","Explore in ECOTOX")</f>
        <v>Explore in ECOTOX</v>
      </c>
    </row>
    <row r="3899" spans="1:18" x14ac:dyDescent="0.45">
      <c r="A3899" t="s">
        <v>1265</v>
      </c>
      <c r="B3899">
        <v>8</v>
      </c>
      <c r="C3899" t="str">
        <f>HYPERLINK("http://www.ncbi.nlm.nih.gov/protein/NXF87278.1","NXF87278.1")</f>
        <v>NXF87278.1</v>
      </c>
      <c r="D3899">
        <v>14177</v>
      </c>
      <c r="E3899" t="str">
        <f>HYPERLINK("http://www.ncbi.nlm.nih.gov/Taxonomy/Browser/wwwtax.cgi?mode=Info&amp;id=91767&amp;lvl=3&amp;lin=f&amp;keep=1&amp;srchmode=1&amp;unlock","91767")</f>
        <v>91767</v>
      </c>
      <c r="F3899" t="s">
        <v>241</v>
      </c>
      <c r="G3899" t="str">
        <f>HYPERLINK("http://www.ncbi.nlm.nih.gov/Taxonomy/Browser/wwwtax.cgi?mode=Info&amp;id=91767&amp;lvl=3&amp;lin=f&amp;keep=1&amp;srchmode=1&amp;unlock","Eubucco bourcierii")</f>
        <v>Eubucco bourcierii</v>
      </c>
      <c r="H3899" t="s">
        <v>720</v>
      </c>
      <c r="I3899" t="str">
        <f>HYPERLINK("http://www.ncbi.nlm.nih.gov/protein/NXF87278.1","RYR2 protein")</f>
        <v>RYR2 protein</v>
      </c>
      <c r="J3899">
        <v>5053.42</v>
      </c>
      <c r="K3899" t="s">
        <v>22</v>
      </c>
      <c r="L3899">
        <v>76</v>
      </c>
      <c r="M3899">
        <v>12.58</v>
      </c>
      <c r="N3899">
        <v>49.73</v>
      </c>
      <c r="O3899" t="s">
        <v>19</v>
      </c>
      <c r="P3899" t="s">
        <v>1320</v>
      </c>
      <c r="Q3899" t="s">
        <v>19</v>
      </c>
      <c r="R3899" t="str">
        <f>HYPERLINK("https://cfpub.epa.gov/ecotox/explore.cfm?ncbi=91767","Explore in ECOTOX")</f>
        <v>Explore in ECOTOX</v>
      </c>
    </row>
    <row r="3900" spans="1:18" x14ac:dyDescent="0.45">
      <c r="A3900" t="s">
        <v>1265</v>
      </c>
      <c r="B3900">
        <v>8</v>
      </c>
      <c r="C3900" t="str">
        <f>HYPERLINK("http://www.ncbi.nlm.nih.gov/protein/NXN56035.1","NXN56035.1")</f>
        <v>NXN56035.1</v>
      </c>
      <c r="D3900">
        <v>14353</v>
      </c>
      <c r="E3900" t="str">
        <f>HYPERLINK("http://www.ncbi.nlm.nih.gov/Taxonomy/Browser/wwwtax.cgi?mode=Info&amp;id=227184&amp;lvl=3&amp;lin=f&amp;keep=1&amp;srchmode=1&amp;unlock","227184")</f>
        <v>227184</v>
      </c>
      <c r="F3900" t="s">
        <v>241</v>
      </c>
      <c r="G3900" t="str">
        <f>HYPERLINK("http://www.ncbi.nlm.nih.gov/Taxonomy/Browser/wwwtax.cgi?mode=Info&amp;id=227184&amp;lvl=3&amp;lin=f&amp;keep=1&amp;srchmode=1&amp;unlock","Rynchops niger")</f>
        <v>Rynchops niger</v>
      </c>
      <c r="H3900" t="s">
        <v>722</v>
      </c>
      <c r="I3900" t="str">
        <f>HYPERLINK("http://www.ncbi.nlm.nih.gov/protein/NXN56035.1","RYR2 protein")</f>
        <v>RYR2 protein</v>
      </c>
      <c r="J3900">
        <v>5011.05</v>
      </c>
      <c r="K3900" t="s">
        <v>22</v>
      </c>
      <c r="L3900">
        <v>76</v>
      </c>
      <c r="M3900">
        <v>12.58</v>
      </c>
      <c r="N3900">
        <v>49.32</v>
      </c>
      <c r="O3900" t="s">
        <v>19</v>
      </c>
      <c r="P3900" t="s">
        <v>1320</v>
      </c>
      <c r="Q3900" t="s">
        <v>19</v>
      </c>
      <c r="R3900" t="str">
        <f>HYPERLINK("https://cfpub.epa.gov/ecotox/explore.cfm?ncbi=227184","Explore in ECOTOX")</f>
        <v>Explore in ECOTOX</v>
      </c>
    </row>
    <row r="3901" spans="1:18" x14ac:dyDescent="0.45">
      <c r="A3901" t="s">
        <v>1265</v>
      </c>
      <c r="B3901">
        <v>8</v>
      </c>
      <c r="C3901" t="str">
        <f>HYPERLINK("http://www.ncbi.nlm.nih.gov/protein/KFQ34583.1","KFQ34583.1")</f>
        <v>KFQ34583.1</v>
      </c>
      <c r="D3901">
        <v>26771</v>
      </c>
      <c r="E3901" t="str">
        <f>HYPERLINK("http://www.ncbi.nlm.nih.gov/Taxonomy/Browser/wwwtax.cgi?mode=Info&amp;id=57421&amp;lvl=3&amp;lin=f&amp;keep=1&amp;srchmode=1&amp;unlock","57421")</f>
        <v>57421</v>
      </c>
      <c r="F3901" t="s">
        <v>241</v>
      </c>
      <c r="G3901" t="str">
        <f>HYPERLINK("http://www.ncbi.nlm.nih.gov/Taxonomy/Browser/wwwtax.cgi?mode=Info&amp;id=57421&amp;lvl=3&amp;lin=f&amp;keep=1&amp;srchmode=1&amp;unlock","Merops nubicus")</f>
        <v>Merops nubicus</v>
      </c>
      <c r="H3901" t="s">
        <v>723</v>
      </c>
      <c r="I3901" t="str">
        <f>HYPERLINK("http://www.ncbi.nlm.nih.gov/protein/KFQ34583.1","Ryanodine receptor 2, partial")</f>
        <v>Ryanodine receptor 2, partial</v>
      </c>
      <c r="J3901">
        <v>4949.8</v>
      </c>
      <c r="K3901" t="s">
        <v>22</v>
      </c>
      <c r="L3901">
        <v>76</v>
      </c>
      <c r="M3901">
        <v>12.58</v>
      </c>
      <c r="N3901">
        <v>48.71</v>
      </c>
      <c r="O3901" t="s">
        <v>19</v>
      </c>
      <c r="P3901" t="s">
        <v>1320</v>
      </c>
      <c r="Q3901" t="s">
        <v>19</v>
      </c>
      <c r="R3901" t="str">
        <f>HYPERLINK("https://cfpub.epa.gov/ecotox/explore.cfm?ncbi=57421","Explore in ECOTOX")</f>
        <v>Explore in ECOTOX</v>
      </c>
    </row>
    <row r="3902" spans="1:18" x14ac:dyDescent="0.45">
      <c r="A3902" t="s">
        <v>1265</v>
      </c>
      <c r="B3902">
        <v>8</v>
      </c>
      <c r="C3902" t="str">
        <f>HYPERLINK("http://www.ncbi.nlm.nih.gov/protein/GCB71703.1","GCB71703.1")</f>
        <v>GCB71703.1</v>
      </c>
      <c r="D3902">
        <v>27785</v>
      </c>
      <c r="E3902" t="str">
        <f>HYPERLINK("http://www.ncbi.nlm.nih.gov/Taxonomy/Browser/wwwtax.cgi?mode=Info&amp;id=75743&amp;lvl=3&amp;lin=f&amp;keep=1&amp;srchmode=1&amp;unlock","75743")</f>
        <v>75743</v>
      </c>
      <c r="F3902" t="s">
        <v>195</v>
      </c>
      <c r="G3902" t="str">
        <f>HYPERLINK("http://www.ncbi.nlm.nih.gov/Taxonomy/Browser/wwwtax.cgi?mode=Info&amp;id=75743&amp;lvl=3&amp;lin=f&amp;keep=1&amp;srchmode=1&amp;unlock","Scyliorhinus torazame")</f>
        <v>Scyliorhinus torazame</v>
      </c>
      <c r="H3902" t="s">
        <v>209</v>
      </c>
      <c r="I3902" t="str">
        <f>HYPERLINK("http://www.ncbi.nlm.nih.gov/protein/GCB71703.1","hypothetical protein")</f>
        <v>hypothetical protein</v>
      </c>
      <c r="J3902">
        <v>4916.29</v>
      </c>
      <c r="K3902" t="s">
        <v>22</v>
      </c>
      <c r="L3902">
        <v>76</v>
      </c>
      <c r="M3902">
        <v>12.58</v>
      </c>
      <c r="N3902">
        <v>48.38</v>
      </c>
      <c r="O3902" t="s">
        <v>19</v>
      </c>
      <c r="P3902" t="s">
        <v>1320</v>
      </c>
      <c r="Q3902" t="s">
        <v>19</v>
      </c>
      <c r="R3902" t="str">
        <f>HYPERLINK("https://cfpub.epa.gov/ecotox/explore.cfm?ncbi=75743","Explore in ECOTOX")</f>
        <v>Explore in ECOTOX</v>
      </c>
    </row>
    <row r="3903" spans="1:18" x14ac:dyDescent="0.45">
      <c r="A3903" t="s">
        <v>1265</v>
      </c>
      <c r="B3903">
        <v>8</v>
      </c>
      <c r="C3903" t="str">
        <f>HYPERLINK("http://www.ncbi.nlm.nih.gov/protein/XP_008057423.1","XP_008057423.1")</f>
        <v>XP_008057423.1</v>
      </c>
      <c r="D3903">
        <v>33270</v>
      </c>
      <c r="E3903" t="str">
        <f>HYPERLINK("http://www.ncbi.nlm.nih.gov/Taxonomy/Browser/wwwtax.cgi?mode=Info&amp;id=1868482&amp;lvl=3&amp;lin=f&amp;keep=1&amp;srchmode=1&amp;unlock","1868482")</f>
        <v>1868482</v>
      </c>
      <c r="F3903" t="s">
        <v>96</v>
      </c>
      <c r="G3903" t="str">
        <f>HYPERLINK("http://www.ncbi.nlm.nih.gov/Taxonomy/Browser/wwwtax.cgi?mode=Info&amp;id=1868482&amp;lvl=3&amp;lin=f&amp;keep=1&amp;srchmode=1&amp;unlock","Carlito syrichta")</f>
        <v>Carlito syrichta</v>
      </c>
      <c r="H3903" t="s">
        <v>725</v>
      </c>
      <c r="I3903" t="str">
        <f>HYPERLINK("http://www.ncbi.nlm.nih.gov/protein/XP_008057423.1","ryanodine receptor 2, partial")</f>
        <v>ryanodine receptor 2, partial</v>
      </c>
      <c r="J3903">
        <v>4850.03</v>
      </c>
      <c r="K3903" t="s">
        <v>22</v>
      </c>
      <c r="L3903">
        <v>76</v>
      </c>
      <c r="M3903">
        <v>12.58</v>
      </c>
      <c r="N3903">
        <v>47.73</v>
      </c>
      <c r="O3903" t="s">
        <v>19</v>
      </c>
      <c r="P3903" t="s">
        <v>1320</v>
      </c>
      <c r="Q3903" t="s">
        <v>19</v>
      </c>
      <c r="R3903" t="str">
        <f>HYPERLINK("https://cfpub.epa.gov/ecotox/explore.cfm?ncbi=1868482","Explore in ECOTOX")</f>
        <v>Explore in ECOTOX</v>
      </c>
    </row>
    <row r="3904" spans="1:18" x14ac:dyDescent="0.45">
      <c r="A3904" t="s">
        <v>1265</v>
      </c>
      <c r="B3904">
        <v>8</v>
      </c>
      <c r="C3904" t="str">
        <f>HYPERLINK("http://www.ncbi.nlm.nih.gov/protein/XP_027626632.1","XP_027626632.1")</f>
        <v>XP_027626632.1</v>
      </c>
      <c r="D3904">
        <v>59511</v>
      </c>
      <c r="E3904" t="str">
        <f>HYPERLINK("http://www.ncbi.nlm.nih.gov/Taxonomy/Browser/wwwtax.cgi?mode=Info&amp;id=246437&amp;lvl=3&amp;lin=f&amp;keep=1&amp;srchmode=1&amp;unlock","246437")</f>
        <v>246437</v>
      </c>
      <c r="F3904" t="s">
        <v>96</v>
      </c>
      <c r="G3904" t="str">
        <f>HYPERLINK("http://www.ncbi.nlm.nih.gov/Taxonomy/Browser/wwwtax.cgi?mode=Info&amp;id=246437&amp;lvl=3&amp;lin=f&amp;keep=1&amp;srchmode=1&amp;unlock","Tupaia chinensis")</f>
        <v>Tupaia chinensis</v>
      </c>
      <c r="H3904" t="s">
        <v>589</v>
      </c>
      <c r="I3904" t="str">
        <f>HYPERLINK("http://www.ncbi.nlm.nih.gov/protein/XP_027626632.1","ryanodine receptor 2")</f>
        <v>ryanodine receptor 2</v>
      </c>
      <c r="J3904">
        <v>4835.01</v>
      </c>
      <c r="K3904" t="s">
        <v>22</v>
      </c>
      <c r="L3904">
        <v>76</v>
      </c>
      <c r="M3904">
        <v>12.58</v>
      </c>
      <c r="N3904">
        <v>47.58</v>
      </c>
      <c r="O3904" t="s">
        <v>19</v>
      </c>
      <c r="P3904" t="s">
        <v>1320</v>
      </c>
      <c r="Q3904" t="s">
        <v>19</v>
      </c>
      <c r="R3904" t="str">
        <f>HYPERLINK("https://cfpub.epa.gov/ecotox/explore.cfm?ncbi=246437","Explore in ECOTOX")</f>
        <v>Explore in ECOTOX</v>
      </c>
    </row>
    <row r="3905" spans="1:18" x14ac:dyDescent="0.45">
      <c r="A3905" t="s">
        <v>1265</v>
      </c>
      <c r="B3905">
        <v>8</v>
      </c>
      <c r="C3905" t="str">
        <f>HYPERLINK("http://www.ncbi.nlm.nih.gov/protein/NWX73781.1","NWX73781.1")</f>
        <v>NWX73781.1</v>
      </c>
      <c r="D3905">
        <v>14034</v>
      </c>
      <c r="E3905" t="str">
        <f>HYPERLINK("http://www.ncbi.nlm.nih.gov/Taxonomy/Browser/wwwtax.cgi?mode=Info&amp;id=28689&amp;lvl=3&amp;lin=f&amp;keep=1&amp;srchmode=1&amp;unlock","28689")</f>
        <v>28689</v>
      </c>
      <c r="F3905" t="s">
        <v>241</v>
      </c>
      <c r="G3905" t="str">
        <f>HYPERLINK("http://www.ncbi.nlm.nih.gov/Taxonomy/Browser/wwwtax.cgi?mode=Info&amp;id=28689&amp;lvl=3&amp;lin=f&amp;keep=1&amp;srchmode=1&amp;unlock","Alca torda")</f>
        <v>Alca torda</v>
      </c>
      <c r="H3905" t="s">
        <v>730</v>
      </c>
      <c r="I3905" t="str">
        <f>HYPERLINK("http://www.ncbi.nlm.nih.gov/protein/NWX73781.1","RYR2 protein")</f>
        <v>RYR2 protein</v>
      </c>
      <c r="J3905">
        <v>4790.33</v>
      </c>
      <c r="K3905" t="s">
        <v>22</v>
      </c>
      <c r="L3905">
        <v>76</v>
      </c>
      <c r="M3905">
        <v>12.58</v>
      </c>
      <c r="N3905">
        <v>47.15</v>
      </c>
      <c r="O3905" t="s">
        <v>19</v>
      </c>
      <c r="P3905" t="s">
        <v>1320</v>
      </c>
      <c r="Q3905" t="s">
        <v>19</v>
      </c>
      <c r="R3905" t="str">
        <f>HYPERLINK("https://cfpub.epa.gov/ecotox/explore.cfm?ncbi=28689","Explore in ECOTOX")</f>
        <v>Explore in ECOTOX</v>
      </c>
    </row>
    <row r="3906" spans="1:18" x14ac:dyDescent="0.45">
      <c r="A3906" t="s">
        <v>1265</v>
      </c>
      <c r="B3906">
        <v>8</v>
      </c>
      <c r="C3906" t="str">
        <f>HYPERLINK("http://www.ncbi.nlm.nih.gov/protein/XP_061415356.1","XP_061415356.1")</f>
        <v>XP_061415356.1</v>
      </c>
      <c r="D3906">
        <v>35223</v>
      </c>
      <c r="E3906" t="str">
        <f>HYPERLINK("http://www.ncbi.nlm.nih.gov/Taxonomy/Browser/wwwtax.cgi?mode=Info&amp;id=7753&amp;lvl=3&amp;lin=f&amp;keep=1&amp;srchmode=1&amp;unlock","7753")</f>
        <v>7753</v>
      </c>
      <c r="F3906" t="s">
        <v>489</v>
      </c>
      <c r="G3906" t="str">
        <f>HYPERLINK("http://www.ncbi.nlm.nih.gov/Taxonomy/Browser/wwwtax.cgi?mode=Info&amp;id=7753&amp;lvl=3&amp;lin=f&amp;keep=1&amp;srchmode=1&amp;unlock","Lethenteron reissneri")</f>
        <v>Lethenteron reissneri</v>
      </c>
      <c r="H3906" t="s">
        <v>496</v>
      </c>
      <c r="I3906" t="str">
        <f>HYPERLINK("http://www.ncbi.nlm.nih.gov/protein/XP_061415356.1","LOW QUALITY PROTEIN: ryanodine receptor 2-like")</f>
        <v>LOW QUALITY PROTEIN: ryanodine receptor 2-like</v>
      </c>
      <c r="J3906">
        <v>4789.17</v>
      </c>
      <c r="K3906" t="s">
        <v>22</v>
      </c>
      <c r="L3906">
        <v>76</v>
      </c>
      <c r="M3906">
        <v>12.58</v>
      </c>
      <c r="N3906">
        <v>47.13</v>
      </c>
      <c r="O3906" t="s">
        <v>19</v>
      </c>
      <c r="P3906" t="s">
        <v>1320</v>
      </c>
      <c r="Q3906" t="s">
        <v>19</v>
      </c>
      <c r="R3906" t="str">
        <f>HYPERLINK("https://cfpub.epa.gov/ecotox/explore.cfm?ncbi=7753","Explore in ECOTOX")</f>
        <v>Explore in ECOTOX</v>
      </c>
    </row>
    <row r="3907" spans="1:18" x14ac:dyDescent="0.45">
      <c r="A3907" t="s">
        <v>1265</v>
      </c>
      <c r="B3907">
        <v>8</v>
      </c>
      <c r="C3907" t="str">
        <f>HYPERLINK("http://www.ncbi.nlm.nih.gov/protein/XP_032804175.1","XP_032804175.1")</f>
        <v>XP_032804175.1</v>
      </c>
      <c r="D3907">
        <v>40633</v>
      </c>
      <c r="E3907" t="str">
        <f>HYPERLINK("http://www.ncbi.nlm.nih.gov/Taxonomy/Browser/wwwtax.cgi?mode=Info&amp;id=7757&amp;lvl=3&amp;lin=f&amp;keep=1&amp;srchmode=1&amp;unlock","7757")</f>
        <v>7757</v>
      </c>
      <c r="F3907" t="s">
        <v>489</v>
      </c>
      <c r="G3907" t="str">
        <f>HYPERLINK("http://www.ncbi.nlm.nih.gov/Taxonomy/Browser/wwwtax.cgi?mode=Info&amp;id=7757&amp;lvl=3&amp;lin=f&amp;keep=1&amp;srchmode=1&amp;unlock","Petromyzon marinus")</f>
        <v>Petromyzon marinus</v>
      </c>
      <c r="H3907" t="s">
        <v>490</v>
      </c>
      <c r="I3907" t="str">
        <f>HYPERLINK("http://www.ncbi.nlm.nih.gov/protein/XP_032804175.1","ryanodine receptor 2-like isoform X21")</f>
        <v>ryanodine receptor 2-like isoform X21</v>
      </c>
      <c r="J3907">
        <v>4783.78</v>
      </c>
      <c r="K3907" t="s">
        <v>22</v>
      </c>
      <c r="L3907">
        <v>76</v>
      </c>
      <c r="M3907">
        <v>12.58</v>
      </c>
      <c r="N3907">
        <v>47.08</v>
      </c>
      <c r="O3907" t="s">
        <v>19</v>
      </c>
      <c r="P3907" t="s">
        <v>1320</v>
      </c>
      <c r="Q3907" t="s">
        <v>19</v>
      </c>
      <c r="R3907" t="str">
        <f>HYPERLINK("https://cfpub.epa.gov/ecotox/explore.cfm?ncbi=7757","Explore in ECOTOX")</f>
        <v>Explore in ECOTOX</v>
      </c>
    </row>
    <row r="3908" spans="1:18" x14ac:dyDescent="0.45">
      <c r="A3908" t="s">
        <v>1265</v>
      </c>
      <c r="B3908">
        <v>8</v>
      </c>
      <c r="C3908" t="str">
        <f>HYPERLINK("http://www.ncbi.nlm.nih.gov/protein/XP_012515607.1","XP_012515607.1")</f>
        <v>XP_012515607.1</v>
      </c>
      <c r="D3908">
        <v>28381</v>
      </c>
      <c r="E3908" t="str">
        <f>HYPERLINK("http://www.ncbi.nlm.nih.gov/Taxonomy/Browser/wwwtax.cgi?mode=Info&amp;id=379532&amp;lvl=3&amp;lin=f&amp;keep=1&amp;srchmode=1&amp;unlock","379532")</f>
        <v>379532</v>
      </c>
      <c r="F3908" t="s">
        <v>96</v>
      </c>
      <c r="G3908" t="str">
        <f>HYPERLINK("http://www.ncbi.nlm.nih.gov/Taxonomy/Browser/wwwtax.cgi?mode=Info&amp;id=379532&amp;lvl=3&amp;lin=f&amp;keep=1&amp;srchmode=1&amp;unlock","Propithecus coquereli")</f>
        <v>Propithecus coquereli</v>
      </c>
      <c r="H3908" t="s">
        <v>492</v>
      </c>
      <c r="I3908" t="str">
        <f>HYPERLINK("http://www.ncbi.nlm.nih.gov/protein/XP_012515607.1","PREDICTED: LOW QUALITY PROTEIN: ryanodine receptor 2")</f>
        <v>PREDICTED: LOW QUALITY PROTEIN: ryanodine receptor 2</v>
      </c>
      <c r="J3908">
        <v>4774.1499999999996</v>
      </c>
      <c r="K3908" t="s">
        <v>22</v>
      </c>
      <c r="L3908">
        <v>76</v>
      </c>
      <c r="M3908">
        <v>12.58</v>
      </c>
      <c r="N3908">
        <v>46.99</v>
      </c>
      <c r="O3908" t="s">
        <v>19</v>
      </c>
      <c r="P3908" t="s">
        <v>1320</v>
      </c>
      <c r="Q3908" t="s">
        <v>19</v>
      </c>
      <c r="R3908" t="str">
        <f>HYPERLINK("https://cfpub.epa.gov/ecotox/explore.cfm?ncbi=379532","Explore in ECOTOX")</f>
        <v>Explore in ECOTOX</v>
      </c>
    </row>
    <row r="3909" spans="1:18" x14ac:dyDescent="0.45">
      <c r="A3909" t="s">
        <v>1265</v>
      </c>
      <c r="B3909">
        <v>8</v>
      </c>
      <c r="C3909" t="str">
        <f>HYPERLINK("http://www.ncbi.nlm.nih.gov/protein/XP_023383470.1","XP_023383470.1")</f>
        <v>XP_023383470.1</v>
      </c>
      <c r="D3909">
        <v>43884</v>
      </c>
      <c r="E3909" t="str">
        <f>HYPERLINK("http://www.ncbi.nlm.nih.gov/Taxonomy/Browser/wwwtax.cgi?mode=Info&amp;id=132908&amp;lvl=3&amp;lin=f&amp;keep=1&amp;srchmode=1&amp;unlock","132908")</f>
        <v>132908</v>
      </c>
      <c r="F3909" t="s">
        <v>96</v>
      </c>
      <c r="G3909" t="str">
        <f>HYPERLINK("http://www.ncbi.nlm.nih.gov/Taxonomy/Browser/wwwtax.cgi?mode=Info&amp;id=132908&amp;lvl=3&amp;lin=f&amp;keep=1&amp;srchmode=1&amp;unlock","Pteropus vampyrus")</f>
        <v>Pteropus vampyrus</v>
      </c>
      <c r="H3909" t="s">
        <v>783</v>
      </c>
      <c r="I3909" t="str">
        <f>HYPERLINK("http://www.ncbi.nlm.nih.gov/protein/XP_023383470.1","ryanodine receptor 3")</f>
        <v>ryanodine receptor 3</v>
      </c>
      <c r="J3909">
        <v>4768.76</v>
      </c>
      <c r="K3909" t="s">
        <v>22</v>
      </c>
      <c r="L3909">
        <v>76</v>
      </c>
      <c r="M3909">
        <v>12.58</v>
      </c>
      <c r="N3909">
        <v>46.93</v>
      </c>
      <c r="O3909" t="s">
        <v>19</v>
      </c>
      <c r="P3909" t="s">
        <v>1320</v>
      </c>
      <c r="Q3909" t="s">
        <v>19</v>
      </c>
      <c r="R3909" t="str">
        <f>HYPERLINK("https://cfpub.epa.gov/ecotox/explore.cfm?ncbi=132908","Explore in ECOTOX")</f>
        <v>Explore in ECOTOX</v>
      </c>
    </row>
    <row r="3910" spans="1:18" x14ac:dyDescent="0.45">
      <c r="A3910" t="s">
        <v>1265</v>
      </c>
      <c r="B3910">
        <v>8</v>
      </c>
      <c r="C3910" t="str">
        <f>HYPERLINK("http://www.ncbi.nlm.nih.gov/protein/KAG8514615.1","KAG8514615.1")</f>
        <v>KAG8514615.1</v>
      </c>
      <c r="D3910">
        <v>21011</v>
      </c>
      <c r="E3910" t="str">
        <f>HYPERLINK("http://www.ncbi.nlm.nih.gov/Taxonomy/Browser/wwwtax.cgi?mode=Info&amp;id=202257&amp;lvl=3&amp;lin=f&amp;keep=1&amp;srchmode=1&amp;unlock","202257")</f>
        <v>202257</v>
      </c>
      <c r="F3910" t="s">
        <v>96</v>
      </c>
      <c r="G3910" t="str">
        <f>HYPERLINK("http://www.ncbi.nlm.nih.gov/Taxonomy/Browser/wwwtax.cgi?mode=Info&amp;id=202257&amp;lvl=3&amp;lin=f&amp;keep=1&amp;srchmode=1&amp;unlock","Galemys pyrenaicus")</f>
        <v>Galemys pyrenaicus</v>
      </c>
      <c r="H3910" t="s">
        <v>790</v>
      </c>
      <c r="I3910" t="str">
        <f>HYPERLINK("http://www.ncbi.nlm.nih.gov/protein/KAG8514615.1","Ryanodine receptor 3")</f>
        <v>Ryanodine receptor 3</v>
      </c>
      <c r="J3910">
        <v>4599.6499999999996</v>
      </c>
      <c r="K3910" t="s">
        <v>22</v>
      </c>
      <c r="L3910">
        <v>76</v>
      </c>
      <c r="M3910">
        <v>12.58</v>
      </c>
      <c r="N3910">
        <v>45.27</v>
      </c>
      <c r="O3910" t="s">
        <v>19</v>
      </c>
      <c r="P3910" t="s">
        <v>1320</v>
      </c>
      <c r="Q3910" t="s">
        <v>19</v>
      </c>
      <c r="R3910" t="str">
        <f>HYPERLINK("https://cfpub.epa.gov/ecotox/explore.cfm?ncbi=202257","Explore in ECOTOX")</f>
        <v>Explore in ECOTOX</v>
      </c>
    </row>
    <row r="3911" spans="1:18" x14ac:dyDescent="0.45">
      <c r="A3911" t="s">
        <v>1265</v>
      </c>
      <c r="B3911">
        <v>8</v>
      </c>
      <c r="C3911" t="str">
        <f>HYPERLINK("http://www.ncbi.nlm.nih.gov/protein/KAG8126209.1","KAG8126209.1")</f>
        <v>KAG8126209.1</v>
      </c>
      <c r="D3911">
        <v>25952</v>
      </c>
      <c r="E3911" t="str">
        <f>HYPERLINK("http://www.ncbi.nlm.nih.gov/Taxonomy/Browser/wwwtax.cgi?mode=Info&amp;id=35670&amp;lvl=3&amp;lin=f&amp;keep=1&amp;srchmode=1&amp;unlock","35670")</f>
        <v>35670</v>
      </c>
      <c r="F3911" t="s">
        <v>192</v>
      </c>
      <c r="G3911" t="str">
        <f>HYPERLINK("http://www.ncbi.nlm.nih.gov/Taxonomy/Browser/wwwtax.cgi?mode=Info&amp;id=35670&amp;lvl=3&amp;lin=f&amp;keep=1&amp;srchmode=1&amp;unlock","Naja naja")</f>
        <v>Naja naja</v>
      </c>
      <c r="H3911" t="s">
        <v>759</v>
      </c>
      <c r="I3911" t="str">
        <f>HYPERLINK("http://www.ncbi.nlm.nih.gov/protein/KAG8126209.1","hypothetical protein E2320_021498, partial")</f>
        <v>hypothetical protein E2320_021498, partial</v>
      </c>
      <c r="J3911">
        <v>4591.95</v>
      </c>
      <c r="K3911" t="s">
        <v>22</v>
      </c>
      <c r="L3911">
        <v>76</v>
      </c>
      <c r="M3911">
        <v>12.58</v>
      </c>
      <c r="N3911">
        <v>45.19</v>
      </c>
      <c r="O3911" t="s">
        <v>19</v>
      </c>
      <c r="P3911" t="s">
        <v>1320</v>
      </c>
      <c r="Q3911" t="s">
        <v>19</v>
      </c>
      <c r="R3911" t="str">
        <f>HYPERLINK("https://cfpub.epa.gov/ecotox/explore.cfm?ncbi=35670","Explore in ECOTOX")</f>
        <v>Explore in ECOTOX</v>
      </c>
    </row>
    <row r="3912" spans="1:18" x14ac:dyDescent="0.45">
      <c r="A3912" t="s">
        <v>1265</v>
      </c>
      <c r="B3912">
        <v>8</v>
      </c>
      <c r="C3912" t="str">
        <f>HYPERLINK("http://www.ncbi.nlm.nih.gov/protein/KAI4568015.1","KAI4568015.1")</f>
        <v>KAI4568015.1</v>
      </c>
      <c r="D3912">
        <v>40310</v>
      </c>
      <c r="E3912" t="str">
        <f>HYPERLINK("http://www.ncbi.nlm.nih.gov/Taxonomy/Browser/wwwtax.cgi?mode=Info&amp;id=2918886&amp;lvl=3&amp;lin=f&amp;keep=1&amp;srchmode=1&amp;unlock","2918886")</f>
        <v>2918886</v>
      </c>
      <c r="F3912" t="s">
        <v>96</v>
      </c>
      <c r="G3912" t="str">
        <f>HYPERLINK("http://www.ncbi.nlm.nih.gov/Taxonomy/Browser/wwwtax.cgi?mode=Info&amp;id=2918886&amp;lvl=3&amp;lin=f&amp;keep=1&amp;srchmode=1&amp;unlock","Ovis ammon polii x Ovis aries")</f>
        <v>Ovis ammon polii x Ovis aries</v>
      </c>
      <c r="H3912" t="s">
        <v>1005</v>
      </c>
      <c r="I3912" t="str">
        <f>HYPERLINK("http://www.ncbi.nlm.nih.gov/protein/KAI4568015.1","hypothetical protein MJT46_007813")</f>
        <v>hypothetical protein MJT46_007813</v>
      </c>
      <c r="J3912">
        <v>4564.22</v>
      </c>
      <c r="K3912" t="s">
        <v>22</v>
      </c>
      <c r="L3912">
        <v>76</v>
      </c>
      <c r="M3912">
        <v>12.58</v>
      </c>
      <c r="N3912">
        <v>44.92</v>
      </c>
      <c r="O3912" t="s">
        <v>19</v>
      </c>
      <c r="P3912" t="s">
        <v>1320</v>
      </c>
      <c r="Q3912" t="s">
        <v>19</v>
      </c>
      <c r="R3912" t="str">
        <f>HYPERLINK("https://cfpub.epa.gov/ecotox/explore.cfm?ncbi=2918886","Explore in ECOTOX")</f>
        <v>Explore in ECOTOX</v>
      </c>
    </row>
    <row r="3913" spans="1:18" x14ac:dyDescent="0.45">
      <c r="A3913" t="s">
        <v>1265</v>
      </c>
      <c r="B3913">
        <v>8</v>
      </c>
      <c r="C3913" t="str">
        <f>HYPERLINK("http://www.ncbi.nlm.nih.gov/protein/KAI4540342.1","KAI4540342.1")</f>
        <v>KAI4540342.1</v>
      </c>
      <c r="D3913">
        <v>20823</v>
      </c>
      <c r="E3913" t="str">
        <f>HYPERLINK("http://www.ncbi.nlm.nih.gov/Taxonomy/Browser/wwwtax.cgi?mode=Info&amp;id=230172&amp;lvl=3&amp;lin=f&amp;keep=1&amp;srchmode=1&amp;unlock","230172")</f>
        <v>230172</v>
      </c>
      <c r="F3913" t="s">
        <v>96</v>
      </c>
      <c r="G3913" t="str">
        <f>HYPERLINK("http://www.ncbi.nlm.nih.gov/Taxonomy/Browser/wwwtax.cgi?mode=Info&amp;id=230172&amp;lvl=3&amp;lin=f&amp;keep=1&amp;srchmode=1&amp;unlock","Ovis ammon polii")</f>
        <v>Ovis ammon polii</v>
      </c>
      <c r="H3913" t="s">
        <v>1006</v>
      </c>
      <c r="I3913" t="str">
        <f>HYPERLINK("http://www.ncbi.nlm.nih.gov/protein/KAI4540342.1","hypothetical protein MG293_009383")</f>
        <v>hypothetical protein MG293_009383</v>
      </c>
      <c r="J3913">
        <v>4562.67</v>
      </c>
      <c r="K3913" t="s">
        <v>22</v>
      </c>
      <c r="L3913">
        <v>76</v>
      </c>
      <c r="M3913">
        <v>12.58</v>
      </c>
      <c r="N3913">
        <v>44.9</v>
      </c>
      <c r="O3913" t="s">
        <v>19</v>
      </c>
      <c r="P3913" t="s">
        <v>1320</v>
      </c>
      <c r="Q3913" t="s">
        <v>19</v>
      </c>
      <c r="R3913" t="str">
        <f>HYPERLINK("https://cfpub.epa.gov/ecotox/explore.cfm?ncbi=230172","Explore in ECOTOX")</f>
        <v>Explore in ECOTOX</v>
      </c>
    </row>
    <row r="3914" spans="1:18" x14ac:dyDescent="0.45">
      <c r="A3914" t="s">
        <v>1265</v>
      </c>
      <c r="B3914">
        <v>8</v>
      </c>
      <c r="C3914" t="str">
        <f>HYPERLINK("http://www.ncbi.nlm.nih.gov/protein/KAJ3606334.1","KAJ3606334.1")</f>
        <v>KAJ3606334.1</v>
      </c>
      <c r="D3914">
        <v>34688</v>
      </c>
      <c r="E3914" t="str">
        <f>HYPERLINK("http://www.ncbi.nlm.nih.gov/Taxonomy/Browser/wwwtax.cgi?mode=Info&amp;id=630683&amp;lvl=3&amp;lin=f&amp;keep=1&amp;srchmode=1&amp;unlock","630683")</f>
        <v>630683</v>
      </c>
      <c r="F3914" t="s">
        <v>17</v>
      </c>
      <c r="G3914" t="str">
        <f>HYPERLINK("http://www.ncbi.nlm.nih.gov/Taxonomy/Browser/wwwtax.cgi?mode=Info&amp;id=630683&amp;lvl=3&amp;lin=f&amp;keep=1&amp;srchmode=1&amp;unlock","Muraenolepis orangiensis")</f>
        <v>Muraenolepis orangiensis</v>
      </c>
      <c r="H3914" t="s">
        <v>235</v>
      </c>
      <c r="I3914" t="str">
        <f>HYPERLINK("http://www.ncbi.nlm.nih.gov/protein/KAJ3606334.1","hypothetical protein NHX12_025855, partial")</f>
        <v>hypothetical protein NHX12_025855, partial</v>
      </c>
      <c r="J3914">
        <v>4532.63</v>
      </c>
      <c r="K3914" t="s">
        <v>22</v>
      </c>
      <c r="L3914">
        <v>76</v>
      </c>
      <c r="M3914">
        <v>12.58</v>
      </c>
      <c r="N3914">
        <v>44.61</v>
      </c>
      <c r="O3914" t="s">
        <v>19</v>
      </c>
      <c r="P3914" t="s">
        <v>1320</v>
      </c>
      <c r="Q3914" t="s">
        <v>19</v>
      </c>
      <c r="R3914" t="str">
        <f>HYPERLINK("https://cfpub.epa.gov/ecotox/explore.cfm?ncbi=630683","Explore in ECOTOX")</f>
        <v>Explore in ECOTOX</v>
      </c>
    </row>
    <row r="3915" spans="1:18" x14ac:dyDescent="0.45">
      <c r="A3915" t="s">
        <v>1265</v>
      </c>
      <c r="B3915">
        <v>8</v>
      </c>
      <c r="C3915" t="str">
        <f>HYPERLINK("http://www.ncbi.nlm.nih.gov/protein/CAG10072.1","CAG10072.1")</f>
        <v>CAG10072.1</v>
      </c>
      <c r="D3915">
        <v>28644</v>
      </c>
      <c r="E3915" t="str">
        <f>HYPERLINK("http://www.ncbi.nlm.nih.gov/Taxonomy/Browser/wwwtax.cgi?mode=Info&amp;id=99883&amp;lvl=3&amp;lin=f&amp;keep=1&amp;srchmode=1&amp;unlock","99883")</f>
        <v>99883</v>
      </c>
      <c r="F3915" t="s">
        <v>17</v>
      </c>
      <c r="G3915" t="str">
        <f>HYPERLINK("http://www.ncbi.nlm.nih.gov/Taxonomy/Browser/wwwtax.cgi?mode=Info&amp;id=99883&amp;lvl=3&amp;lin=f&amp;keep=1&amp;srchmode=1&amp;unlock","Tetraodon nigroviridis")</f>
        <v>Tetraodon nigroviridis</v>
      </c>
      <c r="H3915" t="s">
        <v>426</v>
      </c>
      <c r="I3915" t="str">
        <f>HYPERLINK("http://www.ncbi.nlm.nih.gov/protein/CAG10072.1","unnamed protein product, partial")</f>
        <v>unnamed protein product, partial</v>
      </c>
      <c r="J3915">
        <v>4457.5200000000004</v>
      </c>
      <c r="K3915" t="s">
        <v>22</v>
      </c>
      <c r="L3915">
        <v>76</v>
      </c>
      <c r="M3915">
        <v>12.58</v>
      </c>
      <c r="N3915">
        <v>43.87</v>
      </c>
      <c r="O3915" t="s">
        <v>19</v>
      </c>
      <c r="P3915" t="s">
        <v>1320</v>
      </c>
      <c r="Q3915" t="s">
        <v>19</v>
      </c>
      <c r="R3915" t="str">
        <f>HYPERLINK("https://cfpub.epa.gov/ecotox/explore.cfm?ncbi=99883","Explore in ECOTOX")</f>
        <v>Explore in ECOTOX</v>
      </c>
    </row>
    <row r="3916" spans="1:18" x14ac:dyDescent="0.45">
      <c r="A3916" t="s">
        <v>1265</v>
      </c>
      <c r="B3916">
        <v>8</v>
      </c>
      <c r="C3916" t="str">
        <f>HYPERLINK("http://www.ncbi.nlm.nih.gov/protein/NXQ62989.1","NXQ62989.1")</f>
        <v>NXQ62989.1</v>
      </c>
      <c r="D3916">
        <v>13596</v>
      </c>
      <c r="E3916" t="str">
        <f>HYPERLINK("http://www.ncbi.nlm.nih.gov/Taxonomy/Browser/wwwtax.cgi?mode=Info&amp;id=156561&amp;lvl=3&amp;lin=f&amp;keep=1&amp;srchmode=1&amp;unlock","156561")</f>
        <v>156561</v>
      </c>
      <c r="F3916" t="s">
        <v>241</v>
      </c>
      <c r="G3916" t="str">
        <f>HYPERLINK("http://www.ncbi.nlm.nih.gov/Taxonomy/Browser/wwwtax.cgi?mode=Info&amp;id=156561&amp;lvl=3&amp;lin=f&amp;keep=1&amp;srchmode=1&amp;unlock","Anthoscopus minutus")</f>
        <v>Anthoscopus minutus</v>
      </c>
      <c r="H3916" t="s">
        <v>1004</v>
      </c>
      <c r="I3916" t="str">
        <f>HYPERLINK("http://www.ncbi.nlm.nih.gov/protein/NXQ62989.1","RYR3 protein")</f>
        <v>RYR3 protein</v>
      </c>
      <c r="J3916">
        <v>4416.68</v>
      </c>
      <c r="K3916" t="s">
        <v>22</v>
      </c>
      <c r="L3916">
        <v>76</v>
      </c>
      <c r="M3916">
        <v>12.58</v>
      </c>
      <c r="N3916">
        <v>43.47</v>
      </c>
      <c r="O3916" t="s">
        <v>19</v>
      </c>
      <c r="P3916" t="s">
        <v>1320</v>
      </c>
      <c r="Q3916" t="s">
        <v>19</v>
      </c>
      <c r="R3916" t="str">
        <f>HYPERLINK("https://cfpub.epa.gov/ecotox/explore.cfm?ncbi=156561","Explore in ECOTOX")</f>
        <v>Explore in ECOTOX</v>
      </c>
    </row>
    <row r="3917" spans="1:18" x14ac:dyDescent="0.45">
      <c r="A3917" t="s">
        <v>1265</v>
      </c>
      <c r="B3917">
        <v>8</v>
      </c>
      <c r="C3917" t="str">
        <f>HYPERLINK("http://www.ncbi.nlm.nih.gov/protein/XP_013913629.1","XP_013913629.1")</f>
        <v>XP_013913629.1</v>
      </c>
      <c r="D3917">
        <v>25664</v>
      </c>
      <c r="E3917" t="str">
        <f>HYPERLINK("http://www.ncbi.nlm.nih.gov/Taxonomy/Browser/wwwtax.cgi?mode=Info&amp;id=35019&amp;lvl=3&amp;lin=f&amp;keep=1&amp;srchmode=1&amp;unlock","35019")</f>
        <v>35019</v>
      </c>
      <c r="F3917" t="s">
        <v>192</v>
      </c>
      <c r="G3917" t="str">
        <f>HYPERLINK("http://www.ncbi.nlm.nih.gov/Taxonomy/Browser/wwwtax.cgi?mode=Info&amp;id=35019&amp;lvl=3&amp;lin=f&amp;keep=1&amp;srchmode=1&amp;unlock","Thamnophis sirtalis")</f>
        <v>Thamnophis sirtalis</v>
      </c>
      <c r="H3917" t="s">
        <v>272</v>
      </c>
      <c r="I3917" t="str">
        <f>HYPERLINK("http://www.ncbi.nlm.nih.gov/protein/XP_013913629.1","PREDICTED: LOW QUALITY PROTEIN: ryanodine receptor 2")</f>
        <v>PREDICTED: LOW QUALITY PROTEIN: ryanodine receptor 2</v>
      </c>
      <c r="J3917">
        <v>4372</v>
      </c>
      <c r="K3917" t="s">
        <v>22</v>
      </c>
      <c r="L3917">
        <v>76</v>
      </c>
      <c r="M3917">
        <v>12.58</v>
      </c>
      <c r="N3917">
        <v>43.03</v>
      </c>
      <c r="O3917" t="s">
        <v>19</v>
      </c>
      <c r="P3917" t="s">
        <v>1320</v>
      </c>
      <c r="Q3917" t="s">
        <v>19</v>
      </c>
      <c r="R3917" t="str">
        <f>HYPERLINK("https://cfpub.epa.gov/ecotox/explore.cfm?ncbi=35019","Explore in ECOTOX")</f>
        <v>Explore in ECOTOX</v>
      </c>
    </row>
    <row r="3918" spans="1:18" x14ac:dyDescent="0.45">
      <c r="A3918" t="s">
        <v>1265</v>
      </c>
      <c r="B3918">
        <v>8</v>
      </c>
      <c r="C3918" t="str">
        <f>HYPERLINK("http://www.ncbi.nlm.nih.gov/protein/KAH0620577.1","KAH0620577.1")</f>
        <v>KAH0620577.1</v>
      </c>
      <c r="D3918">
        <v>16952</v>
      </c>
      <c r="E3918" t="str">
        <f>HYPERLINK("http://www.ncbi.nlm.nih.gov/Taxonomy/Browser/wwwtax.cgi?mode=Info&amp;id=52577&amp;lvl=3&amp;lin=f&amp;keep=1&amp;srchmode=1&amp;unlock","52577")</f>
        <v>52577</v>
      </c>
      <c r="F3918" t="s">
        <v>192</v>
      </c>
      <c r="G3918" t="str">
        <f>HYPERLINK("http://www.ncbi.nlm.nih.gov/Taxonomy/Browser/wwwtax.cgi?mode=Info&amp;id=52577&amp;lvl=3&amp;lin=f&amp;keep=1&amp;srchmode=1&amp;unlock","Phrynosoma platyrhinos")</f>
        <v>Phrynosoma platyrhinos</v>
      </c>
      <c r="H3918" t="s">
        <v>493</v>
      </c>
      <c r="I3918" t="str">
        <f>HYPERLINK("http://www.ncbi.nlm.nih.gov/protein/KAH0620577.1","hypothetical protein JD844_021198")</f>
        <v>hypothetical protein JD844_021198</v>
      </c>
      <c r="J3918">
        <v>4308.83</v>
      </c>
      <c r="K3918" t="s">
        <v>22</v>
      </c>
      <c r="L3918">
        <v>76</v>
      </c>
      <c r="M3918">
        <v>12.58</v>
      </c>
      <c r="N3918">
        <v>42.41</v>
      </c>
      <c r="O3918" t="s">
        <v>19</v>
      </c>
      <c r="P3918" t="s">
        <v>1320</v>
      </c>
      <c r="Q3918" t="s">
        <v>19</v>
      </c>
      <c r="R3918" t="str">
        <f>HYPERLINK("https://cfpub.epa.gov/ecotox/explore.cfm?ncbi=52577","Explore in ECOTOX")</f>
        <v>Explore in ECOTOX</v>
      </c>
    </row>
    <row r="3919" spans="1:18" x14ac:dyDescent="0.45">
      <c r="A3919" t="s">
        <v>1265</v>
      </c>
      <c r="B3919">
        <v>8</v>
      </c>
      <c r="C3919" t="str">
        <f>HYPERLINK("http://www.ncbi.nlm.nih.gov/protein/NXK72125.1","NXK72125.1")</f>
        <v>NXK72125.1</v>
      </c>
      <c r="D3919">
        <v>14236</v>
      </c>
      <c r="E3919" t="str">
        <f>HYPERLINK("http://www.ncbi.nlm.nih.gov/Taxonomy/Browser/wwwtax.cgi?mode=Info&amp;id=175529&amp;lvl=3&amp;lin=f&amp;keep=1&amp;srchmode=1&amp;unlock","175529")</f>
        <v>175529</v>
      </c>
      <c r="F3919" t="s">
        <v>241</v>
      </c>
      <c r="G3919" t="str">
        <f>HYPERLINK("http://www.ncbi.nlm.nih.gov/Taxonomy/Browser/wwwtax.cgi?mode=Info&amp;id=175529&amp;lvl=3&amp;lin=f&amp;keep=1&amp;srchmode=1&amp;unlock","Amazona guildingii")</f>
        <v>Amazona guildingii</v>
      </c>
      <c r="H3919" t="s">
        <v>525</v>
      </c>
      <c r="I3919" t="str">
        <f>HYPERLINK("http://www.ncbi.nlm.nih.gov/protein/NXK72125.1","RYR2 protein")</f>
        <v>RYR2 protein</v>
      </c>
      <c r="J3919">
        <v>4257.21</v>
      </c>
      <c r="K3919" t="s">
        <v>22</v>
      </c>
      <c r="L3919">
        <v>76</v>
      </c>
      <c r="M3919">
        <v>12.58</v>
      </c>
      <c r="N3919">
        <v>41.9</v>
      </c>
      <c r="O3919" t="s">
        <v>19</v>
      </c>
      <c r="P3919" t="s">
        <v>1320</v>
      </c>
      <c r="Q3919" t="s">
        <v>19</v>
      </c>
      <c r="R3919" t="str">
        <f>HYPERLINK("https://cfpub.epa.gov/ecotox/explore.cfm?ncbi=175529","Explore in ECOTOX")</f>
        <v>Explore in ECOTOX</v>
      </c>
    </row>
    <row r="3920" spans="1:18" x14ac:dyDescent="0.45">
      <c r="A3920" t="s">
        <v>1265</v>
      </c>
      <c r="B3920">
        <v>8</v>
      </c>
      <c r="C3920" t="str">
        <f>HYPERLINK("http://www.ncbi.nlm.nih.gov/protein/NXJ07318.1","NXJ07318.1")</f>
        <v>NXJ07318.1</v>
      </c>
      <c r="D3920">
        <v>13852</v>
      </c>
      <c r="E3920" t="str">
        <f>HYPERLINK("http://www.ncbi.nlm.nih.gov/Taxonomy/Browser/wwwtax.cgi?mode=Info&amp;id=886794&amp;lvl=3&amp;lin=f&amp;keep=1&amp;srchmode=1&amp;unlock","886794")</f>
        <v>886794</v>
      </c>
      <c r="F3920" t="s">
        <v>241</v>
      </c>
      <c r="G3920" t="str">
        <f>HYPERLINK("http://www.ncbi.nlm.nih.gov/Taxonomy/Browser/wwwtax.cgi?mode=Info&amp;id=886794&amp;lvl=3&amp;lin=f&amp;keep=1&amp;srchmode=1&amp;unlock","Odontophorus gujanensis")</f>
        <v>Odontophorus gujanensis</v>
      </c>
      <c r="H3920" t="s">
        <v>766</v>
      </c>
      <c r="I3920" t="str">
        <f>HYPERLINK("http://www.ncbi.nlm.nih.gov/protein/NXJ07318.1","RYR2 protein")</f>
        <v>RYR2 protein</v>
      </c>
      <c r="J3920">
        <v>4257.21</v>
      </c>
      <c r="K3920" t="s">
        <v>22</v>
      </c>
      <c r="L3920">
        <v>76</v>
      </c>
      <c r="M3920">
        <v>12.58</v>
      </c>
      <c r="N3920">
        <v>41.9</v>
      </c>
      <c r="O3920" t="s">
        <v>19</v>
      </c>
      <c r="P3920" t="s">
        <v>1320</v>
      </c>
      <c r="Q3920" t="s">
        <v>19</v>
      </c>
      <c r="R3920" t="str">
        <f>HYPERLINK("https://cfpub.epa.gov/ecotox/explore.cfm?ncbi=886794","Explore in ECOTOX")</f>
        <v>Explore in ECOTOX</v>
      </c>
    </row>
    <row r="3921" spans="1:18" x14ac:dyDescent="0.45">
      <c r="A3921" t="s">
        <v>1265</v>
      </c>
      <c r="B3921">
        <v>8</v>
      </c>
      <c r="C3921" t="str">
        <f>HYPERLINK("http://www.ncbi.nlm.nih.gov/protein/KAJ8780551.1","KAJ8780551.1")</f>
        <v>KAJ8780551.1</v>
      </c>
      <c r="D3921">
        <v>34482</v>
      </c>
      <c r="E3921" t="str">
        <f>HYPERLINK("http://www.ncbi.nlm.nih.gov/Taxonomy/Browser/wwwtax.cgi?mode=Info&amp;id=9764&amp;lvl=3&amp;lin=f&amp;keep=1&amp;srchmode=1&amp;unlock","9764")</f>
        <v>9764</v>
      </c>
      <c r="F3921" t="s">
        <v>96</v>
      </c>
      <c r="G3921" t="str">
        <f>HYPERLINK("http://www.ncbi.nlm.nih.gov/Taxonomy/Browser/wwwtax.cgi?mode=Info&amp;id=9764&amp;lvl=3&amp;lin=f&amp;keep=1&amp;srchmode=1&amp;unlock","Eschrichtius robustus")</f>
        <v>Eschrichtius robustus</v>
      </c>
      <c r="H3921" t="s">
        <v>820</v>
      </c>
      <c r="I3921" t="str">
        <f>HYPERLINK("http://www.ncbi.nlm.nih.gov/protein/KAJ8780551.1","hypothetical protein J1605_011466")</f>
        <v>hypothetical protein J1605_011466</v>
      </c>
      <c r="J3921">
        <v>4238.72</v>
      </c>
      <c r="K3921" t="s">
        <v>22</v>
      </c>
      <c r="L3921">
        <v>76</v>
      </c>
      <c r="M3921">
        <v>12.58</v>
      </c>
      <c r="N3921">
        <v>41.72</v>
      </c>
      <c r="O3921" t="s">
        <v>19</v>
      </c>
      <c r="P3921" t="s">
        <v>1320</v>
      </c>
      <c r="Q3921" t="s">
        <v>19</v>
      </c>
      <c r="R3921" t="str">
        <f>HYPERLINK("https://cfpub.epa.gov/ecotox/explore.cfm?ncbi=9764","Explore in ECOTOX")</f>
        <v>Explore in ECOTOX</v>
      </c>
    </row>
    <row r="3922" spans="1:18" x14ac:dyDescent="0.45">
      <c r="A3922" t="s">
        <v>1265</v>
      </c>
      <c r="B3922">
        <v>8</v>
      </c>
      <c r="C3922" t="str">
        <f>HYPERLINK("http://www.ncbi.nlm.nih.gov/protein/KAG8552709.1","KAG8552709.1")</f>
        <v>KAG8552709.1</v>
      </c>
      <c r="D3922">
        <v>64799</v>
      </c>
      <c r="E3922" t="str">
        <f>HYPERLINK("http://www.ncbi.nlm.nih.gov/Taxonomy/Browser/wwwtax.cgi?mode=Info&amp;id=76066&amp;lvl=3&amp;lin=f&amp;keep=1&amp;srchmode=1&amp;unlock","76066")</f>
        <v>76066</v>
      </c>
      <c r="F3922" t="s">
        <v>177</v>
      </c>
      <c r="G3922" t="str">
        <f>HYPERLINK("http://www.ncbi.nlm.nih.gov/Taxonomy/Browser/wwwtax.cgi?mode=Info&amp;id=76066&amp;lvl=3&amp;lin=f&amp;keep=1&amp;srchmode=1&amp;unlock","Engystomops pustulosus")</f>
        <v>Engystomops pustulosus</v>
      </c>
      <c r="H3922" t="s">
        <v>718</v>
      </c>
      <c r="I3922" t="str">
        <f>HYPERLINK("http://www.ncbi.nlm.nih.gov/protein/KAG8552709.1","hypothetical protein GDO81_003010")</f>
        <v>hypothetical protein GDO81_003010</v>
      </c>
      <c r="J3922">
        <v>4212.91</v>
      </c>
      <c r="K3922" t="s">
        <v>22</v>
      </c>
      <c r="L3922">
        <v>76</v>
      </c>
      <c r="M3922">
        <v>12.58</v>
      </c>
      <c r="N3922">
        <v>41.46</v>
      </c>
      <c r="O3922" t="s">
        <v>19</v>
      </c>
      <c r="P3922" t="s">
        <v>1320</v>
      </c>
      <c r="Q3922" t="s">
        <v>19</v>
      </c>
      <c r="R3922" t="str">
        <f>HYPERLINK("https://cfpub.epa.gov/ecotox/explore.cfm?ncbi=76066","Explore in ECOTOX")</f>
        <v>Explore in ECOTOX</v>
      </c>
    </row>
    <row r="3923" spans="1:18" x14ac:dyDescent="0.45">
      <c r="A3923" t="s">
        <v>1265</v>
      </c>
      <c r="B3923">
        <v>8</v>
      </c>
      <c r="C3923" t="str">
        <f>HYPERLINK("http://www.ncbi.nlm.nih.gov/protein/AAB58117.1","AAB58117.1")</f>
        <v>AAB58117.1</v>
      </c>
      <c r="D3923">
        <v>199</v>
      </c>
      <c r="E3923" t="str">
        <f>HYPERLINK("http://www.ncbi.nlm.nih.gov/Taxonomy/Browser/wwwtax.cgi?mode=Info&amp;id=13604&amp;lvl=3&amp;lin=f&amp;keep=1&amp;srchmode=1&amp;unlock","13604")</f>
        <v>13604</v>
      </c>
      <c r="F3923" t="s">
        <v>17</v>
      </c>
      <c r="G3923" t="str">
        <f>HYPERLINK("http://www.ncbi.nlm.nih.gov/Taxonomy/Browser/wwwtax.cgi?mode=Info&amp;id=13604&amp;lvl=3&amp;lin=f&amp;keep=1&amp;srchmode=1&amp;unlock","Makaira nigricans")</f>
        <v>Makaira nigricans</v>
      </c>
      <c r="H3923" t="s">
        <v>154</v>
      </c>
      <c r="I3923" t="str">
        <f>HYPERLINK("http://www.ncbi.nlm.nih.gov/protein/AAB58117.1","ryanodine receptor RyR1 isoform")</f>
        <v>ryanodine receptor RyR1 isoform</v>
      </c>
      <c r="J3923">
        <v>4145.8900000000003</v>
      </c>
      <c r="K3923" t="s">
        <v>22</v>
      </c>
      <c r="L3923">
        <v>76</v>
      </c>
      <c r="M3923">
        <v>12.58</v>
      </c>
      <c r="N3923">
        <v>40.799999999999997</v>
      </c>
      <c r="O3923" t="s">
        <v>19</v>
      </c>
      <c r="P3923" t="s">
        <v>1320</v>
      </c>
      <c r="Q3923" t="s">
        <v>19</v>
      </c>
      <c r="R3923" t="str">
        <f>HYPERLINK("https://cfpub.epa.gov/ecotox/explore.cfm?ncbi=13604","Explore in ECOTOX")</f>
        <v>Explore in ECOTOX</v>
      </c>
    </row>
    <row r="3924" spans="1:18" x14ac:dyDescent="0.45">
      <c r="A3924" t="s">
        <v>1265</v>
      </c>
      <c r="B3924">
        <v>8</v>
      </c>
      <c r="C3924" t="str">
        <f>HYPERLINK("http://www.ncbi.nlm.nih.gov/protein/XP_010795570.1","XP_010795570.1")</f>
        <v>XP_010795570.1</v>
      </c>
      <c r="D3924">
        <v>32366</v>
      </c>
      <c r="E3924" t="str">
        <f>HYPERLINK("http://www.ncbi.nlm.nih.gov/Taxonomy/Browser/wwwtax.cgi?mode=Info&amp;id=8208&amp;lvl=3&amp;lin=f&amp;keep=1&amp;srchmode=1&amp;unlock","8208")</f>
        <v>8208</v>
      </c>
      <c r="F3924" t="s">
        <v>17</v>
      </c>
      <c r="G3924" t="str">
        <f>HYPERLINK("http://www.ncbi.nlm.nih.gov/Taxonomy/Browser/wwwtax.cgi?mode=Info&amp;id=8208&amp;lvl=3&amp;lin=f&amp;keep=1&amp;srchmode=1&amp;unlock","Notothenia coriiceps")</f>
        <v>Notothenia coriiceps</v>
      </c>
      <c r="H3924" t="s">
        <v>171</v>
      </c>
      <c r="I3924" t="str">
        <f>HYPERLINK("http://www.ncbi.nlm.nih.gov/protein/XP_010795570.1","PREDICTED: ryanodine receptor 1, partial")</f>
        <v>PREDICTED: ryanodine receptor 1, partial</v>
      </c>
      <c r="J3924">
        <v>4066.54</v>
      </c>
      <c r="K3924" t="s">
        <v>22</v>
      </c>
      <c r="L3924">
        <v>76</v>
      </c>
      <c r="M3924">
        <v>12.58</v>
      </c>
      <c r="N3924">
        <v>40.020000000000003</v>
      </c>
      <c r="O3924" t="s">
        <v>19</v>
      </c>
      <c r="P3924" t="s">
        <v>1320</v>
      </c>
      <c r="Q3924" t="s">
        <v>19</v>
      </c>
      <c r="R3924" t="str">
        <f>HYPERLINK("https://cfpub.epa.gov/ecotox/explore.cfm?ncbi=8208","Explore in ECOTOX")</f>
        <v>Explore in ECOTOX</v>
      </c>
    </row>
    <row r="3925" spans="1:18" x14ac:dyDescent="0.45">
      <c r="A3925" t="s">
        <v>1265</v>
      </c>
      <c r="B3925">
        <v>8</v>
      </c>
      <c r="C3925" t="str">
        <f>HYPERLINK("http://www.ncbi.nlm.nih.gov/protein/NXW55754.1","NXW55754.1")</f>
        <v>NXW55754.1</v>
      </c>
      <c r="D3925">
        <v>13972</v>
      </c>
      <c r="E3925" t="str">
        <f>HYPERLINK("http://www.ncbi.nlm.nih.gov/Taxonomy/Browser/wwwtax.cgi?mode=Info&amp;id=325343&amp;lvl=3&amp;lin=f&amp;keep=1&amp;srchmode=1&amp;unlock","325343")</f>
        <v>325343</v>
      </c>
      <c r="F3925" t="s">
        <v>241</v>
      </c>
      <c r="G3925" t="str">
        <f>HYPERLINK("http://www.ncbi.nlm.nih.gov/Taxonomy/Browser/wwwtax.cgi?mode=Info&amp;id=325343&amp;lvl=3&amp;lin=f&amp;keep=1&amp;srchmode=1&amp;unlock","Eurystomus gularis")</f>
        <v>Eurystomus gularis</v>
      </c>
      <c r="H3925" t="s">
        <v>778</v>
      </c>
      <c r="I3925" t="str">
        <f>HYPERLINK("http://www.ncbi.nlm.nih.gov/protein/NXW55754.1","RYR2 protein")</f>
        <v>RYR2 protein</v>
      </c>
      <c r="J3925">
        <v>4066.54</v>
      </c>
      <c r="K3925" t="s">
        <v>22</v>
      </c>
      <c r="L3925">
        <v>76</v>
      </c>
      <c r="M3925">
        <v>12.58</v>
      </c>
      <c r="N3925">
        <v>40.020000000000003</v>
      </c>
      <c r="O3925" t="s">
        <v>19</v>
      </c>
      <c r="P3925" t="s">
        <v>1320</v>
      </c>
      <c r="Q3925" t="s">
        <v>19</v>
      </c>
      <c r="R3925" t="str">
        <f>HYPERLINK("https://cfpub.epa.gov/ecotox/explore.cfm?ncbi=325343","Explore in ECOTOX")</f>
        <v>Explore in ECOTOX</v>
      </c>
    </row>
    <row r="3926" spans="1:18" x14ac:dyDescent="0.45">
      <c r="A3926" t="s">
        <v>1265</v>
      </c>
      <c r="B3926">
        <v>8</v>
      </c>
      <c r="C3926" t="str">
        <f>HYPERLINK("http://www.ncbi.nlm.nih.gov/protein/CAI5770592.1","CAI5770592.1")</f>
        <v>CAI5770592.1</v>
      </c>
      <c r="D3926">
        <v>38743</v>
      </c>
      <c r="E3926" t="str">
        <f>HYPERLINK("http://www.ncbi.nlm.nih.gov/Taxonomy/Browser/wwwtax.cgi?mode=Info&amp;id=74358&amp;lvl=3&amp;lin=f&amp;keep=1&amp;srchmode=1&amp;unlock","74358")</f>
        <v>74358</v>
      </c>
      <c r="F3926" t="s">
        <v>192</v>
      </c>
      <c r="G3926" t="str">
        <f>HYPERLINK("http://www.ncbi.nlm.nih.gov/Taxonomy/Browser/wwwtax.cgi?mode=Info&amp;id=74358&amp;lvl=3&amp;lin=f&amp;keep=1&amp;srchmode=1&amp;unlock","Podarcis lilfordi")</f>
        <v>Podarcis lilfordi</v>
      </c>
      <c r="H3926" t="s">
        <v>200</v>
      </c>
      <c r="I3926" t="str">
        <f>HYPERLINK("http://www.ncbi.nlm.nih.gov/protein/CAI5770592.1","ryanodine receptor 2 isoform X3")</f>
        <v>ryanodine receptor 2 isoform X3</v>
      </c>
      <c r="J3926">
        <v>4059.6</v>
      </c>
      <c r="K3926" t="s">
        <v>22</v>
      </c>
      <c r="L3926">
        <v>76</v>
      </c>
      <c r="M3926">
        <v>12.58</v>
      </c>
      <c r="N3926">
        <v>39.950000000000003</v>
      </c>
      <c r="O3926" t="s">
        <v>19</v>
      </c>
      <c r="P3926" t="s">
        <v>1320</v>
      </c>
      <c r="Q3926" t="s">
        <v>19</v>
      </c>
      <c r="R3926" t="str">
        <f>HYPERLINK("https://cfpub.epa.gov/ecotox/explore.cfm?ncbi=74358","Explore in ECOTOX")</f>
        <v>Explore in ECOTOX</v>
      </c>
    </row>
    <row r="3927" spans="1:18" x14ac:dyDescent="0.45">
      <c r="A3927" t="s">
        <v>1265</v>
      </c>
      <c r="B3927">
        <v>8</v>
      </c>
      <c r="C3927" t="str">
        <f>HYPERLINK("http://www.ncbi.nlm.nih.gov/protein/NWI95812.1","NWI95812.1")</f>
        <v>NWI95812.1</v>
      </c>
      <c r="D3927">
        <v>13920</v>
      </c>
      <c r="E3927" t="str">
        <f>HYPERLINK("http://www.ncbi.nlm.nih.gov/Taxonomy/Browser/wwwtax.cgi?mode=Info&amp;id=9163&amp;lvl=3&amp;lin=f&amp;keep=1&amp;srchmode=1&amp;unlock","9163")</f>
        <v>9163</v>
      </c>
      <c r="F3927" t="s">
        <v>241</v>
      </c>
      <c r="G3927" t="str">
        <f>HYPERLINK("http://www.ncbi.nlm.nih.gov/Taxonomy/Browser/wwwtax.cgi?mode=Info&amp;id=9163&amp;lvl=3&amp;lin=f&amp;keep=1&amp;srchmode=1&amp;unlock","Pitta sordida")</f>
        <v>Pitta sordida</v>
      </c>
      <c r="H3927" t="s">
        <v>1045</v>
      </c>
      <c r="I3927" t="str">
        <f>HYPERLINK("http://www.ncbi.nlm.nih.gov/protein/NWI95812.1","RYR3 protein")</f>
        <v>RYR3 protein</v>
      </c>
      <c r="J3927">
        <v>4056.91</v>
      </c>
      <c r="K3927" t="s">
        <v>19</v>
      </c>
      <c r="L3927">
        <v>76</v>
      </c>
      <c r="M3927">
        <v>12.58</v>
      </c>
      <c r="N3927">
        <v>39.93</v>
      </c>
      <c r="O3927" t="s">
        <v>19</v>
      </c>
      <c r="P3927" t="s">
        <v>1320</v>
      </c>
      <c r="Q3927" t="s">
        <v>19</v>
      </c>
      <c r="R3927" t="str">
        <f>HYPERLINK("https://cfpub.epa.gov/ecotox/explore.cfm?ncbi=9163","Explore in ECOTOX")</f>
        <v>Explore in ECOTOX</v>
      </c>
    </row>
    <row r="3928" spans="1:18" x14ac:dyDescent="0.45">
      <c r="A3928" t="s">
        <v>1265</v>
      </c>
      <c r="B3928">
        <v>8</v>
      </c>
      <c r="C3928" t="str">
        <f>HYPERLINK("http://www.ncbi.nlm.nih.gov/protein/XP_010016644.1","XP_010016644.1")</f>
        <v>XP_010016644.1</v>
      </c>
      <c r="D3928">
        <v>27838</v>
      </c>
      <c r="E3928" t="str">
        <f>HYPERLINK("http://www.ncbi.nlm.nih.gov/Taxonomy/Browser/wwwtax.cgi?mode=Info&amp;id=176057&amp;lvl=3&amp;lin=f&amp;keep=1&amp;srchmode=1&amp;unlock","176057")</f>
        <v>176057</v>
      </c>
      <c r="F3928" t="s">
        <v>241</v>
      </c>
      <c r="G3928" t="str">
        <f>HYPERLINK("http://www.ncbi.nlm.nih.gov/Taxonomy/Browser/wwwtax.cgi?mode=Info&amp;id=176057&amp;lvl=3&amp;lin=f&amp;keep=1&amp;srchmode=1&amp;unlock","Nestor notabilis")</f>
        <v>Nestor notabilis</v>
      </c>
      <c r="H3928" t="s">
        <v>823</v>
      </c>
      <c r="I3928" t="str">
        <f>HYPERLINK("http://www.ncbi.nlm.nih.gov/protein/XP_010016644.1","PREDICTED: ryanodine receptor 3, partial")</f>
        <v>PREDICTED: ryanodine receptor 3, partial</v>
      </c>
      <c r="J3928">
        <v>4019.93</v>
      </c>
      <c r="K3928" t="s">
        <v>22</v>
      </c>
      <c r="L3928">
        <v>76</v>
      </c>
      <c r="M3928">
        <v>12.58</v>
      </c>
      <c r="N3928">
        <v>39.56</v>
      </c>
      <c r="O3928" t="s">
        <v>19</v>
      </c>
      <c r="P3928" t="s">
        <v>1320</v>
      </c>
      <c r="Q3928" t="s">
        <v>19</v>
      </c>
      <c r="R3928" t="str">
        <f>HYPERLINK("https://cfpub.epa.gov/ecotox/explore.cfm?ncbi=176057","Explore in ECOTOX")</f>
        <v>Explore in ECOTOX</v>
      </c>
    </row>
    <row r="3929" spans="1:18" x14ac:dyDescent="0.45">
      <c r="A3929" t="s">
        <v>1265</v>
      </c>
      <c r="B3929">
        <v>8</v>
      </c>
      <c r="C3929" t="str">
        <f>HYPERLINK("http://www.ncbi.nlm.nih.gov/protein/NWR53052.1","NWR53052.1")</f>
        <v>NWR53052.1</v>
      </c>
      <c r="D3929">
        <v>13149</v>
      </c>
      <c r="E3929" t="str">
        <f>HYPERLINK("http://www.ncbi.nlm.nih.gov/Taxonomy/Browser/wwwtax.cgi?mode=Info&amp;id=13245&amp;lvl=3&amp;lin=f&amp;keep=1&amp;srchmode=1&amp;unlock","13245")</f>
        <v>13245</v>
      </c>
      <c r="F3929" t="s">
        <v>241</v>
      </c>
      <c r="G3929" t="str">
        <f>HYPERLINK("http://www.ncbi.nlm.nih.gov/Taxonomy/Browser/wwwtax.cgi?mode=Info&amp;id=13245&amp;lvl=3&amp;lin=f&amp;keep=1&amp;srchmode=1&amp;unlock","Regulus satrapa")</f>
        <v>Regulus satrapa</v>
      </c>
      <c r="H3929" t="s">
        <v>1110</v>
      </c>
      <c r="I3929" t="str">
        <f>HYPERLINK("http://www.ncbi.nlm.nih.gov/protein/NWR53052.1","RYR3 protein")</f>
        <v>RYR3 protein</v>
      </c>
      <c r="J3929">
        <v>3986.42</v>
      </c>
      <c r="K3929" t="s">
        <v>22</v>
      </c>
      <c r="L3929">
        <v>76</v>
      </c>
      <c r="M3929">
        <v>12.58</v>
      </c>
      <c r="N3929">
        <v>39.229999999999997</v>
      </c>
      <c r="O3929" t="s">
        <v>19</v>
      </c>
      <c r="P3929" t="s">
        <v>1320</v>
      </c>
      <c r="Q3929" t="s">
        <v>19</v>
      </c>
      <c r="R3929" t="str">
        <f>HYPERLINK("https://cfpub.epa.gov/ecotox/explore.cfm?ncbi=13245","Explore in ECOTOX")</f>
        <v>Explore in ECOTOX</v>
      </c>
    </row>
    <row r="3930" spans="1:18" x14ac:dyDescent="0.45">
      <c r="A3930" t="s">
        <v>1265</v>
      </c>
      <c r="B3930">
        <v>8</v>
      </c>
      <c r="C3930" t="str">
        <f>HYPERLINK("http://www.ncbi.nlm.nih.gov/protein/NXI90335.1","NXI90335.1")</f>
        <v>NXI90335.1</v>
      </c>
      <c r="D3930">
        <v>13920</v>
      </c>
      <c r="E3930" t="str">
        <f>HYPERLINK("http://www.ncbi.nlm.nih.gov/Taxonomy/Browser/wwwtax.cgi?mode=Info&amp;id=54359&amp;lvl=3&amp;lin=f&amp;keep=1&amp;srchmode=1&amp;unlock","54359")</f>
        <v>54359</v>
      </c>
      <c r="F3930" t="s">
        <v>241</v>
      </c>
      <c r="G3930" t="str">
        <f>HYPERLINK("http://www.ncbi.nlm.nih.gov/Taxonomy/Browser/wwwtax.cgi?mode=Info&amp;id=54359&amp;lvl=3&amp;lin=f&amp;keep=1&amp;srchmode=1&amp;unlock","Psophia crepitans")</f>
        <v>Psophia crepitans</v>
      </c>
      <c r="H3930" t="s">
        <v>785</v>
      </c>
      <c r="I3930" t="str">
        <f>HYPERLINK("http://www.ncbi.nlm.nih.gov/protein/NXI90335.1","RYR2 protein")</f>
        <v>RYR2 protein</v>
      </c>
      <c r="J3930">
        <v>3964.07</v>
      </c>
      <c r="K3930" t="s">
        <v>22</v>
      </c>
      <c r="L3930">
        <v>76</v>
      </c>
      <c r="M3930">
        <v>12.58</v>
      </c>
      <c r="N3930">
        <v>39.01</v>
      </c>
      <c r="O3930" t="s">
        <v>19</v>
      </c>
      <c r="P3930" t="s">
        <v>1320</v>
      </c>
      <c r="Q3930" t="s">
        <v>19</v>
      </c>
      <c r="R3930" t="str">
        <f>HYPERLINK("https://cfpub.epa.gov/ecotox/explore.cfm?ncbi=54359","Explore in ECOTOX")</f>
        <v>Explore in ECOTOX</v>
      </c>
    </row>
    <row r="3931" spans="1:18" x14ac:dyDescent="0.45">
      <c r="A3931" t="s">
        <v>1265</v>
      </c>
      <c r="B3931">
        <v>8</v>
      </c>
      <c r="C3931" t="str">
        <f>HYPERLINK("http://www.ncbi.nlm.nih.gov/protein/NWH59077.1","NWH59077.1")</f>
        <v>NWH59077.1</v>
      </c>
      <c r="D3931">
        <v>13557</v>
      </c>
      <c r="E3931" t="str">
        <f>HYPERLINK("http://www.ncbi.nlm.nih.gov/Taxonomy/Browser/wwwtax.cgi?mode=Info&amp;id=8947&amp;lvl=3&amp;lin=f&amp;keep=1&amp;srchmode=1&amp;unlock","8947")</f>
        <v>8947</v>
      </c>
      <c r="F3931" t="s">
        <v>241</v>
      </c>
      <c r="G3931" t="str">
        <f>HYPERLINK("http://www.ncbi.nlm.nih.gov/Taxonomy/Browser/wwwtax.cgi?mode=Info&amp;id=8947&amp;lvl=3&amp;lin=f&amp;keep=1&amp;srchmode=1&amp;unlock","Geococcyx californianus")</f>
        <v>Geococcyx californianus</v>
      </c>
      <c r="H3931" t="s">
        <v>787</v>
      </c>
      <c r="I3931" t="str">
        <f>HYPERLINK("http://www.ncbi.nlm.nih.gov/protein/NWH59077.1","RYR2 protein")</f>
        <v>RYR2 protein</v>
      </c>
      <c r="J3931">
        <v>3934.8</v>
      </c>
      <c r="K3931" t="s">
        <v>22</v>
      </c>
      <c r="L3931">
        <v>76</v>
      </c>
      <c r="M3931">
        <v>12.58</v>
      </c>
      <c r="N3931">
        <v>38.729999999999997</v>
      </c>
      <c r="O3931" t="s">
        <v>19</v>
      </c>
      <c r="P3931" t="s">
        <v>1320</v>
      </c>
      <c r="Q3931" t="s">
        <v>19</v>
      </c>
      <c r="R3931" t="str">
        <f>HYPERLINK("https://cfpub.epa.gov/ecotox/explore.cfm?ncbi=8947","Explore in ECOTOX")</f>
        <v>Explore in ECOTOX</v>
      </c>
    </row>
    <row r="3932" spans="1:18" x14ac:dyDescent="0.45">
      <c r="A3932" t="s">
        <v>1265</v>
      </c>
      <c r="B3932">
        <v>8</v>
      </c>
      <c r="C3932" t="str">
        <f>HYPERLINK("http://www.ncbi.nlm.nih.gov/protein/KAJ7303922.1","KAJ7303922.1")</f>
        <v>KAJ7303922.1</v>
      </c>
      <c r="D3932">
        <v>20655</v>
      </c>
      <c r="E3932" t="str">
        <f>HYPERLINK("http://www.ncbi.nlm.nih.gov/Taxonomy/Browser/wwwtax.cgi?mode=Info&amp;id=171643&amp;lvl=3&amp;lin=f&amp;keep=1&amp;srchmode=1&amp;unlock","171643")</f>
        <v>171643</v>
      </c>
      <c r="F3932" t="s">
        <v>192</v>
      </c>
      <c r="G3932" t="str">
        <f>HYPERLINK("http://www.ncbi.nlm.nih.gov/Taxonomy/Browser/wwwtax.cgi?mode=Info&amp;id=171643&amp;lvl=3&amp;lin=f&amp;keep=1&amp;srchmode=1&amp;unlock","Phrynocephalus forsythii")</f>
        <v>Phrynocephalus forsythii</v>
      </c>
      <c r="H3932" t="s">
        <v>213</v>
      </c>
      <c r="I3932" t="str">
        <f>HYPERLINK("http://www.ncbi.nlm.nih.gov/protein/KAJ7303922.1","hypothetical protein JRQ81_011434")</f>
        <v>hypothetical protein JRQ81_011434</v>
      </c>
      <c r="J3932">
        <v>3920.93</v>
      </c>
      <c r="K3932" t="s">
        <v>22</v>
      </c>
      <c r="L3932">
        <v>76</v>
      </c>
      <c r="M3932">
        <v>12.58</v>
      </c>
      <c r="N3932">
        <v>38.590000000000003</v>
      </c>
      <c r="O3932" t="s">
        <v>19</v>
      </c>
      <c r="P3932" t="s">
        <v>1320</v>
      </c>
      <c r="Q3932" t="s">
        <v>19</v>
      </c>
      <c r="R3932" t="str">
        <f>HYPERLINK("https://cfpub.epa.gov/ecotox/explore.cfm?ncbi=171643","Explore in ECOTOX")</f>
        <v>Explore in ECOTOX</v>
      </c>
    </row>
    <row r="3933" spans="1:18" x14ac:dyDescent="0.45">
      <c r="A3933" t="s">
        <v>1265</v>
      </c>
      <c r="B3933">
        <v>8</v>
      </c>
      <c r="C3933" t="str">
        <f>HYPERLINK("http://www.ncbi.nlm.nih.gov/protein/XP_023320281.1","XP_023320281.1")</f>
        <v>XP_023320281.1</v>
      </c>
      <c r="D3933">
        <v>30482</v>
      </c>
      <c r="E3933" t="str">
        <f>HYPERLINK("http://www.ncbi.nlm.nih.gov/Taxonomy/Browser/wwwtax.cgi?mode=Info&amp;id=1294199&amp;lvl=3&amp;lin=f&amp;keep=1&amp;srchmode=1&amp;unlock","1294199")</f>
        <v>1294199</v>
      </c>
      <c r="F3933" t="s">
        <v>794</v>
      </c>
      <c r="G3933" t="str">
        <f>HYPERLINK("http://www.ncbi.nlm.nih.gov/Taxonomy/Browser/wwwtax.cgi?mode=Info&amp;id=1294199&amp;lvl=3&amp;lin=f&amp;keep=1&amp;srchmode=1&amp;unlock","Eurytemora carolleeae")</f>
        <v>Eurytemora carolleeae</v>
      </c>
      <c r="H3933" t="s">
        <v>795</v>
      </c>
      <c r="I3933" t="str">
        <f>HYPERLINK("http://www.ncbi.nlm.nih.gov/protein/XP_023320281.1","ryanodine receptor isoform X4")</f>
        <v>ryanodine receptor isoform X4</v>
      </c>
      <c r="J3933">
        <v>3919.78</v>
      </c>
      <c r="K3933" t="s">
        <v>22</v>
      </c>
      <c r="L3933">
        <v>76</v>
      </c>
      <c r="M3933">
        <v>12.58</v>
      </c>
      <c r="N3933">
        <v>38.58</v>
      </c>
      <c r="O3933" t="s">
        <v>19</v>
      </c>
      <c r="P3933" t="s">
        <v>1320</v>
      </c>
      <c r="Q3933" t="s">
        <v>19</v>
      </c>
      <c r="R3933" t="str">
        <f>HYPERLINK("https://cfpub.epa.gov/ecotox/explore.cfm?ncbi=1294199","Explore in ECOTOX")</f>
        <v>Explore in ECOTOX</v>
      </c>
    </row>
    <row r="3934" spans="1:18" x14ac:dyDescent="0.45">
      <c r="A3934" t="s">
        <v>1265</v>
      </c>
      <c r="B3934">
        <v>8</v>
      </c>
      <c r="C3934" t="str">
        <f>HYPERLINK("http://www.ncbi.nlm.nih.gov/protein/KAF4800675.1","KAF4800675.1")</f>
        <v>KAF4800675.1</v>
      </c>
      <c r="D3934">
        <v>18371</v>
      </c>
      <c r="E3934" t="str">
        <f>HYPERLINK("http://www.ncbi.nlm.nih.gov/Taxonomy/Browser/wwwtax.cgi?mode=Info&amp;id=311356&amp;lvl=3&amp;lin=f&amp;keep=1&amp;srchmode=1&amp;unlock","311356")</f>
        <v>311356</v>
      </c>
      <c r="F3934" t="s">
        <v>241</v>
      </c>
      <c r="G3934" t="str">
        <f>HYPERLINK("http://www.ncbi.nlm.nih.gov/Taxonomy/Browser/wwwtax.cgi?mode=Info&amp;id=311356&amp;lvl=3&amp;lin=f&amp;keep=1&amp;srchmode=1&amp;unlock","Turdus rufiventris")</f>
        <v>Turdus rufiventris</v>
      </c>
      <c r="H3934" t="s">
        <v>792</v>
      </c>
      <c r="I3934" t="str">
        <f>HYPERLINK("http://www.ncbi.nlm.nih.gov/protein/KAF4800675.1","ryanodine receptor 2")</f>
        <v>ryanodine receptor 2</v>
      </c>
      <c r="J3934">
        <v>3805.76</v>
      </c>
      <c r="K3934" t="s">
        <v>22</v>
      </c>
      <c r="L3934">
        <v>76</v>
      </c>
      <c r="M3934">
        <v>12.58</v>
      </c>
      <c r="N3934">
        <v>37.46</v>
      </c>
      <c r="O3934" t="s">
        <v>19</v>
      </c>
      <c r="P3934" t="s">
        <v>1320</v>
      </c>
      <c r="Q3934" t="s">
        <v>19</v>
      </c>
      <c r="R3934" t="str">
        <f>HYPERLINK("https://cfpub.epa.gov/ecotox/explore.cfm?ncbi=311356","Explore in ECOTOX")</f>
        <v>Explore in ECOTOX</v>
      </c>
    </row>
    <row r="3935" spans="1:18" x14ac:dyDescent="0.45">
      <c r="A3935" t="s">
        <v>1265</v>
      </c>
      <c r="B3935">
        <v>8</v>
      </c>
      <c r="C3935" t="str">
        <f>HYPERLINK("http://www.ncbi.nlm.nih.gov/protein/KAJ7424709.1","KAJ7424709.1")</f>
        <v>KAJ7424709.1</v>
      </c>
      <c r="D3935">
        <v>17517</v>
      </c>
      <c r="E3935" t="str">
        <f>HYPERLINK("http://www.ncbi.nlm.nih.gov/Taxonomy/Browser/wwwtax.cgi?mode=Info&amp;id=371930&amp;lvl=3&amp;lin=f&amp;keep=1&amp;srchmode=1&amp;unlock","371930")</f>
        <v>371930</v>
      </c>
      <c r="F3935" t="s">
        <v>241</v>
      </c>
      <c r="G3935" t="str">
        <f>HYPERLINK("http://www.ncbi.nlm.nih.gov/Taxonomy/Browser/wwwtax.cgi?mode=Info&amp;id=371930&amp;lvl=3&amp;lin=f&amp;keep=1&amp;srchmode=1&amp;unlock","Pitangus sulphuratus")</f>
        <v>Pitangus sulphuratus</v>
      </c>
      <c r="H3935" t="s">
        <v>435</v>
      </c>
      <c r="I3935" t="str">
        <f>HYPERLINK("http://www.ncbi.nlm.nih.gov/protein/KAJ7424709.1","hypothetical protein BTVI_05383")</f>
        <v>hypothetical protein BTVI_05383</v>
      </c>
      <c r="J3935">
        <v>3804.99</v>
      </c>
      <c r="K3935" t="s">
        <v>22</v>
      </c>
      <c r="L3935">
        <v>76</v>
      </c>
      <c r="M3935">
        <v>12.58</v>
      </c>
      <c r="N3935">
        <v>37.450000000000003</v>
      </c>
      <c r="O3935" t="s">
        <v>19</v>
      </c>
      <c r="P3935" t="s">
        <v>1320</v>
      </c>
      <c r="Q3935" t="s">
        <v>19</v>
      </c>
      <c r="R3935" t="str">
        <f>HYPERLINK("https://cfpub.epa.gov/ecotox/explore.cfm?ncbi=371930","Explore in ECOTOX")</f>
        <v>Explore in ECOTOX</v>
      </c>
    </row>
    <row r="3936" spans="1:18" x14ac:dyDescent="0.45">
      <c r="A3936" t="s">
        <v>1265</v>
      </c>
      <c r="B3936">
        <v>8</v>
      </c>
      <c r="C3936" t="str">
        <f>HYPERLINK("http://www.ncbi.nlm.nih.gov/protein/NWT34261.1","NWT34261.1")</f>
        <v>NWT34261.1</v>
      </c>
      <c r="D3936">
        <v>14099</v>
      </c>
      <c r="E3936" t="str">
        <f>HYPERLINK("http://www.ncbi.nlm.nih.gov/Taxonomy/Browser/wwwtax.cgi?mode=Info&amp;id=98964&amp;lvl=3&amp;lin=f&amp;keep=1&amp;srchmode=1&amp;unlock","98964")</f>
        <v>98964</v>
      </c>
      <c r="F3936" t="s">
        <v>241</v>
      </c>
      <c r="G3936" t="str">
        <f>HYPERLINK("http://www.ncbi.nlm.nih.gov/Taxonomy/Browser/wwwtax.cgi?mode=Info&amp;id=98964&amp;lvl=3&amp;lin=f&amp;keep=1&amp;srchmode=1&amp;unlock","Cardinalis cardinalis")</f>
        <v>Cardinalis cardinalis</v>
      </c>
      <c r="H3936" t="s">
        <v>791</v>
      </c>
      <c r="I3936" t="str">
        <f>HYPERLINK("http://www.ncbi.nlm.nih.gov/protein/NWT34261.1","RYR2 protein")</f>
        <v>RYR2 protein</v>
      </c>
      <c r="J3936">
        <v>3796.9</v>
      </c>
      <c r="K3936" t="s">
        <v>22</v>
      </c>
      <c r="L3936">
        <v>76</v>
      </c>
      <c r="M3936">
        <v>12.58</v>
      </c>
      <c r="N3936">
        <v>37.369999999999997</v>
      </c>
      <c r="O3936" t="s">
        <v>19</v>
      </c>
      <c r="P3936" t="s">
        <v>1320</v>
      </c>
      <c r="Q3936" t="s">
        <v>19</v>
      </c>
      <c r="R3936" t="str">
        <f>HYPERLINK("https://cfpub.epa.gov/ecotox/explore.cfm?ncbi=98964","Explore in ECOTOX")</f>
        <v>Explore in ECOTOX</v>
      </c>
    </row>
    <row r="3937" spans="1:18" x14ac:dyDescent="0.45">
      <c r="A3937" t="s">
        <v>1265</v>
      </c>
      <c r="B3937">
        <v>8</v>
      </c>
      <c r="C3937" t="str">
        <f>HYPERLINK("http://www.ncbi.nlm.nih.gov/protein/XP_010296179.1","XP_010296179.1")</f>
        <v>XP_010296179.1</v>
      </c>
      <c r="D3937">
        <v>27939</v>
      </c>
      <c r="E3937" t="str">
        <f>HYPERLINK("http://www.ncbi.nlm.nih.gov/Taxonomy/Browser/wwwtax.cgi?mode=Info&amp;id=100784&amp;lvl=3&amp;lin=f&amp;keep=1&amp;srchmode=1&amp;unlock","100784")</f>
        <v>100784</v>
      </c>
      <c r="F3937" t="s">
        <v>241</v>
      </c>
      <c r="G3937" t="str">
        <f>HYPERLINK("http://www.ncbi.nlm.nih.gov/Taxonomy/Browser/wwwtax.cgi?mode=Info&amp;id=100784&amp;lvl=3&amp;lin=f&amp;keep=1&amp;srchmode=1&amp;unlock","Balearica regulorum gibbericeps")</f>
        <v>Balearica regulorum gibbericeps</v>
      </c>
      <c r="H3937" t="s">
        <v>1014</v>
      </c>
      <c r="I3937" t="str">
        <f>HYPERLINK("http://www.ncbi.nlm.nih.gov/protein/XP_010296179.1","PREDICTED: ryanodine receptor 3-like, partial")</f>
        <v>PREDICTED: ryanodine receptor 3-like, partial</v>
      </c>
      <c r="J3937">
        <v>3716.78</v>
      </c>
      <c r="K3937" t="s">
        <v>22</v>
      </c>
      <c r="L3937">
        <v>76</v>
      </c>
      <c r="M3937">
        <v>12.58</v>
      </c>
      <c r="N3937">
        <v>36.58</v>
      </c>
      <c r="O3937" t="s">
        <v>19</v>
      </c>
      <c r="P3937" t="s">
        <v>1320</v>
      </c>
      <c r="Q3937" t="s">
        <v>19</v>
      </c>
      <c r="R3937" t="str">
        <f>HYPERLINK("https://cfpub.epa.gov/ecotox/explore.cfm?ncbi=100784","Explore in ECOTOX")</f>
        <v>Explore in ECOTOX</v>
      </c>
    </row>
    <row r="3938" spans="1:18" x14ac:dyDescent="0.45">
      <c r="A3938" t="s">
        <v>1265</v>
      </c>
      <c r="B3938">
        <v>8</v>
      </c>
      <c r="C3938" t="str">
        <f>HYPERLINK("http://www.ncbi.nlm.nih.gov/protein/CAG5085744.1","CAG5085744.1")</f>
        <v>CAG5085744.1</v>
      </c>
      <c r="D3938">
        <v>50047</v>
      </c>
      <c r="E3938" t="str">
        <f>HYPERLINK("http://www.ncbi.nlm.nih.gov/Taxonomy/Browser/wwwtax.cgi?mode=Info&amp;id=34765&amp;lvl=3&amp;lin=f&amp;keep=1&amp;srchmode=1&amp;unlock","34765")</f>
        <v>34765</v>
      </c>
      <c r="F3938" t="s">
        <v>800</v>
      </c>
      <c r="G3938" t="str">
        <f>HYPERLINK("http://www.ncbi.nlm.nih.gov/Taxonomy/Browser/wwwtax.cgi?mode=Info&amp;id=34765&amp;lvl=3&amp;lin=f&amp;keep=1&amp;srchmode=1&amp;unlock","Oikopleura dioica")</f>
        <v>Oikopleura dioica</v>
      </c>
      <c r="H3938" t="s">
        <v>801</v>
      </c>
      <c r="I3938" t="str">
        <f>HYPERLINK("http://www.ncbi.nlm.nih.gov/protein/CAG5085744.1","Oidioi.mRNA.OKI2018_I69.PAR.g10990.t2.cds")</f>
        <v>Oidioi.mRNA.OKI2018_I69.PAR.g10990.t2.cds</v>
      </c>
      <c r="J3938">
        <v>3690.58</v>
      </c>
      <c r="K3938" t="s">
        <v>22</v>
      </c>
      <c r="L3938">
        <v>76</v>
      </c>
      <c r="M3938">
        <v>12.58</v>
      </c>
      <c r="N3938">
        <v>36.32</v>
      </c>
      <c r="O3938" t="s">
        <v>19</v>
      </c>
      <c r="P3938" t="s">
        <v>1320</v>
      </c>
      <c r="Q3938" t="s">
        <v>19</v>
      </c>
      <c r="R3938" t="str">
        <f>HYPERLINK("https://cfpub.epa.gov/ecotox/explore.cfm?ncbi=34765","Explore in ECOTOX")</f>
        <v>Explore in ECOTOX</v>
      </c>
    </row>
    <row r="3939" spans="1:18" x14ac:dyDescent="0.45">
      <c r="A3939" t="s">
        <v>1265</v>
      </c>
      <c r="B3939">
        <v>8</v>
      </c>
      <c r="C3939" t="str">
        <f>HYPERLINK("http://www.ncbi.nlm.nih.gov/protein/OXB65702.1","OXB65702.1")</f>
        <v>OXB65702.1</v>
      </c>
      <c r="D3939">
        <v>17178</v>
      </c>
      <c r="E3939" t="str">
        <f>HYPERLINK("http://www.ncbi.nlm.nih.gov/Taxonomy/Browser/wwwtax.cgi?mode=Info&amp;id=9009&amp;lvl=3&amp;lin=f&amp;keep=1&amp;srchmode=1&amp;unlock","9009")</f>
        <v>9009</v>
      </c>
      <c r="F3939" t="s">
        <v>241</v>
      </c>
      <c r="G3939" t="str">
        <f>HYPERLINK("http://www.ncbi.nlm.nih.gov/Taxonomy/Browser/wwwtax.cgi?mode=Info&amp;id=9009&amp;lvl=3&amp;lin=f&amp;keep=1&amp;srchmode=1&amp;unlock","Callipepla squamata")</f>
        <v>Callipepla squamata</v>
      </c>
      <c r="H3939" t="s">
        <v>1070</v>
      </c>
      <c r="I3939" t="str">
        <f>HYPERLINK("http://www.ncbi.nlm.nih.gov/protein/OXB65702.1","hypothetical protein ASZ78_015453")</f>
        <v>hypothetical protein ASZ78_015453</v>
      </c>
      <c r="J3939">
        <v>3613.93</v>
      </c>
      <c r="K3939" t="s">
        <v>22</v>
      </c>
      <c r="L3939">
        <v>76</v>
      </c>
      <c r="M3939">
        <v>12.58</v>
      </c>
      <c r="N3939">
        <v>35.57</v>
      </c>
      <c r="O3939" t="s">
        <v>19</v>
      </c>
      <c r="P3939" t="s">
        <v>1320</v>
      </c>
      <c r="Q3939" t="s">
        <v>19</v>
      </c>
      <c r="R3939" t="str">
        <f>HYPERLINK("https://cfpub.epa.gov/ecotox/explore.cfm?ncbi=9009","Explore in ECOTOX")</f>
        <v>Explore in ECOTOX</v>
      </c>
    </row>
    <row r="3940" spans="1:18" x14ac:dyDescent="0.45">
      <c r="A3940" t="s">
        <v>1265</v>
      </c>
      <c r="B3940">
        <v>8</v>
      </c>
      <c r="C3940" t="str">
        <f>HYPERLINK("http://www.ncbi.nlm.nih.gov/protein/XP_010154938.1","XP_010154938.1")</f>
        <v>XP_010154938.1</v>
      </c>
      <c r="D3940">
        <v>27322</v>
      </c>
      <c r="E3940" t="str">
        <f>HYPERLINK("http://www.ncbi.nlm.nih.gov/Taxonomy/Browser/wwwtax.cgi?mode=Info&amp;id=54383&amp;lvl=3&amp;lin=f&amp;keep=1&amp;srchmode=1&amp;unlock","54383")</f>
        <v>54383</v>
      </c>
      <c r="F3940" t="s">
        <v>241</v>
      </c>
      <c r="G3940" t="str">
        <f>HYPERLINK("http://www.ncbi.nlm.nih.gov/Taxonomy/Browser/wwwtax.cgi?mode=Info&amp;id=54383&amp;lvl=3&amp;lin=f&amp;keep=1&amp;srchmode=1&amp;unlock","Eurypyga helias")</f>
        <v>Eurypyga helias</v>
      </c>
      <c r="H3940" t="s">
        <v>846</v>
      </c>
      <c r="I3940" t="str">
        <f>HYPERLINK("http://www.ncbi.nlm.nih.gov/protein/XP_010154938.1","PREDICTED: LOW QUALITY PROTEIN: ryanodine receptor 3-like, partial")</f>
        <v>PREDICTED: LOW QUALITY PROTEIN: ryanodine receptor 3-like, partial</v>
      </c>
      <c r="J3940">
        <v>3569.25</v>
      </c>
      <c r="K3940" t="s">
        <v>22</v>
      </c>
      <c r="L3940">
        <v>76</v>
      </c>
      <c r="M3940">
        <v>12.58</v>
      </c>
      <c r="N3940">
        <v>35.130000000000003</v>
      </c>
      <c r="O3940" t="s">
        <v>19</v>
      </c>
      <c r="P3940" t="s">
        <v>1320</v>
      </c>
      <c r="Q3940" t="s">
        <v>19</v>
      </c>
      <c r="R3940" t="str">
        <f>HYPERLINK("https://cfpub.epa.gov/ecotox/explore.cfm?ncbi=54383","Explore in ECOTOX")</f>
        <v>Explore in ECOTOX</v>
      </c>
    </row>
    <row r="3941" spans="1:18" x14ac:dyDescent="0.45">
      <c r="A3941" t="s">
        <v>1265</v>
      </c>
      <c r="B3941">
        <v>8</v>
      </c>
      <c r="C3941" t="str">
        <f>HYPERLINK("http://www.ncbi.nlm.nih.gov/protein/XP_030883560.1","XP_030883560.1")</f>
        <v>XP_030883560.1</v>
      </c>
      <c r="D3941">
        <v>40472</v>
      </c>
      <c r="E3941" t="str">
        <f>HYPERLINK("http://www.ncbi.nlm.nih.gov/Taxonomy/Browser/wwwtax.cgi?mode=Info&amp;id=9713&amp;lvl=3&amp;lin=f&amp;keep=1&amp;srchmode=1&amp;unlock","9713")</f>
        <v>9713</v>
      </c>
      <c r="F3941" t="s">
        <v>96</v>
      </c>
      <c r="G3941" t="str">
        <f>HYPERLINK("http://www.ncbi.nlm.nih.gov/Taxonomy/Browser/wwwtax.cgi?mode=Info&amp;id=9713&amp;lvl=3&amp;lin=f&amp;keep=1&amp;srchmode=1&amp;unlock","Leptonychotes weddellii")</f>
        <v>Leptonychotes weddellii</v>
      </c>
      <c r="H3941" t="s">
        <v>798</v>
      </c>
      <c r="I3941" t="str">
        <f>HYPERLINK("http://www.ncbi.nlm.nih.gov/protein/XP_030883560.1","ryanodine receptor 2, partial")</f>
        <v>ryanodine receptor 2, partial</v>
      </c>
      <c r="J3941">
        <v>3558.07</v>
      </c>
      <c r="K3941" t="s">
        <v>22</v>
      </c>
      <c r="L3941">
        <v>76</v>
      </c>
      <c r="M3941">
        <v>12.58</v>
      </c>
      <c r="N3941">
        <v>35.020000000000003</v>
      </c>
      <c r="O3941" t="s">
        <v>19</v>
      </c>
      <c r="P3941" t="s">
        <v>1320</v>
      </c>
      <c r="Q3941" t="s">
        <v>19</v>
      </c>
      <c r="R3941" t="str">
        <f>HYPERLINK("https://cfpub.epa.gov/ecotox/explore.cfm?ncbi=9713","Explore in ECOTOX")</f>
        <v>Explore in ECOTOX</v>
      </c>
    </row>
    <row r="3942" spans="1:18" x14ac:dyDescent="0.45">
      <c r="A3942" t="s">
        <v>1265</v>
      </c>
      <c r="B3942">
        <v>8</v>
      </c>
      <c r="C3942" t="str">
        <f>HYPERLINK("http://www.ncbi.nlm.nih.gov/protein/XP_019482753.1","XP_019482753.1")</f>
        <v>XP_019482753.1</v>
      </c>
      <c r="D3942">
        <v>46105</v>
      </c>
      <c r="E3942" t="str">
        <f>HYPERLINK("http://www.ncbi.nlm.nih.gov/Taxonomy/Browser/wwwtax.cgi?mode=Info&amp;id=186990&amp;lvl=3&amp;lin=f&amp;keep=1&amp;srchmode=1&amp;unlock","186990")</f>
        <v>186990</v>
      </c>
      <c r="F3942" t="s">
        <v>96</v>
      </c>
      <c r="G3942" t="str">
        <f>HYPERLINK("http://www.ncbi.nlm.nih.gov/Taxonomy/Browser/wwwtax.cgi?mode=Info&amp;id=186990&amp;lvl=3&amp;lin=f&amp;keep=1&amp;srchmode=1&amp;unlock","Hipposideros armiger")</f>
        <v>Hipposideros armiger</v>
      </c>
      <c r="H3942" t="s">
        <v>939</v>
      </c>
      <c r="I3942" t="str">
        <f>HYPERLINK("http://www.ncbi.nlm.nih.gov/protein/XP_019482753.1","PREDICTED: ryanodine receptor 3")</f>
        <v>PREDICTED: ryanodine receptor 3</v>
      </c>
      <c r="J3942">
        <v>3521.48</v>
      </c>
      <c r="K3942" t="s">
        <v>22</v>
      </c>
      <c r="L3942">
        <v>76</v>
      </c>
      <c r="M3942">
        <v>12.58</v>
      </c>
      <c r="N3942">
        <v>34.659999999999997</v>
      </c>
      <c r="O3942" t="s">
        <v>19</v>
      </c>
      <c r="P3942" t="s">
        <v>1320</v>
      </c>
      <c r="Q3942" t="s">
        <v>19</v>
      </c>
      <c r="R3942" t="str">
        <f>HYPERLINK("https://cfpub.epa.gov/ecotox/explore.cfm?ncbi=186990","Explore in ECOTOX")</f>
        <v>Explore in ECOTOX</v>
      </c>
    </row>
    <row r="3943" spans="1:18" x14ac:dyDescent="0.45">
      <c r="A3943" t="s">
        <v>1265</v>
      </c>
      <c r="B3943">
        <v>8</v>
      </c>
      <c r="C3943" t="str">
        <f>HYPERLINK("http://www.ncbi.nlm.nih.gov/protein/OXB83885.1","OXB83885.1")</f>
        <v>OXB83885.1</v>
      </c>
      <c r="D3943">
        <v>17234</v>
      </c>
      <c r="E3943" t="str">
        <f>HYPERLINK("http://www.ncbi.nlm.nih.gov/Taxonomy/Browser/wwwtax.cgi?mode=Info&amp;id=9014&amp;lvl=3&amp;lin=f&amp;keep=1&amp;srchmode=1&amp;unlock","9014")</f>
        <v>9014</v>
      </c>
      <c r="F3943" t="s">
        <v>241</v>
      </c>
      <c r="G3943" t="str">
        <f>HYPERLINK("http://www.ncbi.nlm.nih.gov/Taxonomy/Browser/wwwtax.cgi?mode=Info&amp;id=9014&amp;lvl=3&amp;lin=f&amp;keep=1&amp;srchmode=1&amp;unlock","Colinus virginianus")</f>
        <v>Colinus virginianus</v>
      </c>
      <c r="H3943" t="s">
        <v>1097</v>
      </c>
      <c r="I3943" t="str">
        <f>HYPERLINK("http://www.ncbi.nlm.nih.gov/protein/OXB83885.1","hypothetical protein H355_009369")</f>
        <v>hypothetical protein H355_009369</v>
      </c>
      <c r="J3943">
        <v>3520.32</v>
      </c>
      <c r="K3943" t="s">
        <v>22</v>
      </c>
      <c r="L3943">
        <v>76</v>
      </c>
      <c r="M3943">
        <v>12.58</v>
      </c>
      <c r="N3943">
        <v>34.65</v>
      </c>
      <c r="O3943" t="s">
        <v>19</v>
      </c>
      <c r="P3943" t="s">
        <v>1320</v>
      </c>
      <c r="Q3943" t="s">
        <v>19</v>
      </c>
      <c r="R3943" t="str">
        <f>HYPERLINK("https://cfpub.epa.gov/ecotox/explore.cfm?ncbi=9014","Explore in ECOTOX")</f>
        <v>Explore in ECOTOX</v>
      </c>
    </row>
    <row r="3944" spans="1:18" x14ac:dyDescent="0.45">
      <c r="A3944" t="s">
        <v>1265</v>
      </c>
      <c r="B3944">
        <v>8</v>
      </c>
      <c r="C3944" t="str">
        <f>HYPERLINK("http://www.ncbi.nlm.nih.gov/protein/XP_009510893.1","XP_009510893.1")</f>
        <v>XP_009510893.1</v>
      </c>
      <c r="D3944">
        <v>26167</v>
      </c>
      <c r="E3944" t="str">
        <f>HYPERLINK("http://www.ncbi.nlm.nih.gov/Taxonomy/Browser/wwwtax.cgi?mode=Info&amp;id=9209&amp;lvl=3&amp;lin=f&amp;keep=1&amp;srchmode=1&amp;unlock","9209")</f>
        <v>9209</v>
      </c>
      <c r="F3944" t="s">
        <v>241</v>
      </c>
      <c r="G3944" t="str">
        <f>HYPERLINK("http://www.ncbi.nlm.nih.gov/Taxonomy/Browser/wwwtax.cgi?mode=Info&amp;id=9209&amp;lvl=3&amp;lin=f&amp;keep=1&amp;srchmode=1&amp;unlock","Phalacrocorax carbo")</f>
        <v>Phalacrocorax carbo</v>
      </c>
      <c r="H3944" t="s">
        <v>822</v>
      </c>
      <c r="I3944" t="str">
        <f>HYPERLINK("http://www.ncbi.nlm.nih.gov/protein/XP_009510893.1","PREDICTED: ryanodine receptor 2, partial")</f>
        <v>PREDICTED: ryanodine receptor 2, partial</v>
      </c>
      <c r="J3944">
        <v>3501.84</v>
      </c>
      <c r="K3944" t="s">
        <v>22</v>
      </c>
      <c r="L3944">
        <v>76</v>
      </c>
      <c r="M3944">
        <v>12.58</v>
      </c>
      <c r="N3944">
        <v>34.46</v>
      </c>
      <c r="O3944" t="s">
        <v>19</v>
      </c>
      <c r="P3944" t="s">
        <v>1320</v>
      </c>
      <c r="Q3944" t="s">
        <v>19</v>
      </c>
      <c r="R3944" t="str">
        <f>HYPERLINK("https://cfpub.epa.gov/ecotox/explore.cfm?ncbi=9209","Explore in ECOTOX")</f>
        <v>Explore in ECOTOX</v>
      </c>
    </row>
    <row r="3945" spans="1:18" x14ac:dyDescent="0.45">
      <c r="A3945" t="s">
        <v>1265</v>
      </c>
      <c r="B3945">
        <v>8</v>
      </c>
      <c r="C3945" t="str">
        <f>HYPERLINK("http://www.ncbi.nlm.nih.gov/protein/KAK2532204.1","KAK2532204.1")</f>
        <v>KAK2532204.1</v>
      </c>
      <c r="D3945">
        <v>17823</v>
      </c>
      <c r="E3945" t="str">
        <f>HYPERLINK("http://www.ncbi.nlm.nih.gov/Taxonomy/Browser/wwwtax.cgi?mode=Info&amp;id=135627&amp;lvl=3&amp;lin=f&amp;keep=1&amp;srchmode=1&amp;unlock","135627")</f>
        <v>135627</v>
      </c>
      <c r="F3945" t="s">
        <v>241</v>
      </c>
      <c r="G3945" t="str">
        <f>HYPERLINK("http://www.ncbi.nlm.nih.gov/Taxonomy/Browser/wwwtax.cgi?mode=Info&amp;id=135627&amp;lvl=3&amp;lin=f&amp;keep=1&amp;srchmode=1&amp;unlock","Columba guinea")</f>
        <v>Columba guinea</v>
      </c>
      <c r="H3945" t="s">
        <v>1137</v>
      </c>
      <c r="I3945" t="str">
        <f>HYPERLINK("http://www.ncbi.nlm.nih.gov/protein/KAK2532204.1","Ryr3")</f>
        <v>Ryr3</v>
      </c>
      <c r="J3945">
        <v>3485.27</v>
      </c>
      <c r="K3945" t="s">
        <v>22</v>
      </c>
      <c r="L3945">
        <v>76</v>
      </c>
      <c r="M3945">
        <v>12.58</v>
      </c>
      <c r="N3945">
        <v>34.299999999999997</v>
      </c>
      <c r="O3945" t="s">
        <v>19</v>
      </c>
      <c r="P3945" t="s">
        <v>1320</v>
      </c>
      <c r="Q3945" t="s">
        <v>19</v>
      </c>
      <c r="R3945" t="str">
        <f>HYPERLINK("https://cfpub.epa.gov/ecotox/explore.cfm?ncbi=135627","Explore in ECOTOX")</f>
        <v>Explore in ECOTOX</v>
      </c>
    </row>
    <row r="3946" spans="1:18" x14ac:dyDescent="0.45">
      <c r="A3946" t="s">
        <v>1265</v>
      </c>
      <c r="B3946">
        <v>8</v>
      </c>
      <c r="C3946" t="str">
        <f>HYPERLINK("http://www.ncbi.nlm.nih.gov/protein/KQK85619.1","KQK85619.1")</f>
        <v>KQK85619.1</v>
      </c>
      <c r="D3946">
        <v>16224</v>
      </c>
      <c r="E3946" t="str">
        <f>HYPERLINK("http://www.ncbi.nlm.nih.gov/Taxonomy/Browser/wwwtax.cgi?mode=Info&amp;id=12930&amp;lvl=3&amp;lin=f&amp;keep=1&amp;srchmode=1&amp;unlock","12930")</f>
        <v>12930</v>
      </c>
      <c r="F3946" t="s">
        <v>241</v>
      </c>
      <c r="G3946" t="str">
        <f>HYPERLINK("http://www.ncbi.nlm.nih.gov/Taxonomy/Browser/wwwtax.cgi?mode=Info&amp;id=12930&amp;lvl=3&amp;lin=f&amp;keep=1&amp;srchmode=1&amp;unlock","Amazona aestiva")</f>
        <v>Amazona aestiva</v>
      </c>
      <c r="H3946" t="s">
        <v>964</v>
      </c>
      <c r="I3946" t="str">
        <f>HYPERLINK("http://www.ncbi.nlm.nih.gov/protein/KQK85619.1","hypothetical protein AAES_38931")</f>
        <v>hypothetical protein AAES_38931</v>
      </c>
      <c r="J3946">
        <v>3459.85</v>
      </c>
      <c r="K3946" t="s">
        <v>22</v>
      </c>
      <c r="L3946">
        <v>76</v>
      </c>
      <c r="M3946">
        <v>12.58</v>
      </c>
      <c r="N3946">
        <v>34.049999999999997</v>
      </c>
      <c r="O3946" t="s">
        <v>19</v>
      </c>
      <c r="P3946" t="s">
        <v>1320</v>
      </c>
      <c r="Q3946" t="s">
        <v>19</v>
      </c>
      <c r="R3946" t="str">
        <f>HYPERLINK("https://cfpub.epa.gov/ecotox/explore.cfm?ncbi=12930","Explore in ECOTOX")</f>
        <v>Explore in ECOTOX</v>
      </c>
    </row>
    <row r="3947" spans="1:18" x14ac:dyDescent="0.45">
      <c r="A3947" t="s">
        <v>1265</v>
      </c>
      <c r="B3947">
        <v>8</v>
      </c>
      <c r="C3947" t="str">
        <f>HYPERLINK("http://www.ncbi.nlm.nih.gov/protein/XP_039258901.1","XP_039258901.1")</f>
        <v>XP_039258901.1</v>
      </c>
      <c r="D3947">
        <v>27545</v>
      </c>
      <c r="E3947" t="str">
        <f>HYPERLINK("http://www.ncbi.nlm.nih.gov/Taxonomy/Browser/wwwtax.cgi?mode=Info&amp;id=7725&amp;lvl=3&amp;lin=f&amp;keep=1&amp;srchmode=1&amp;unlock","7725")</f>
        <v>7725</v>
      </c>
      <c r="F3947" t="s">
        <v>727</v>
      </c>
      <c r="G3947" t="str">
        <f>HYPERLINK("http://www.ncbi.nlm.nih.gov/Taxonomy/Browser/wwwtax.cgi?mode=Info&amp;id=7725&amp;lvl=3&amp;lin=f&amp;keep=1&amp;srchmode=1&amp;unlock","Styela clava")</f>
        <v>Styela clava</v>
      </c>
      <c r="H3947" t="s">
        <v>728</v>
      </c>
      <c r="I3947" t="str">
        <f>HYPERLINK("http://www.ncbi.nlm.nih.gov/protein/XP_039258901.1","LOW QUALITY PROTEIN: ryanodine receptor 3-like")</f>
        <v>LOW QUALITY PROTEIN: ryanodine receptor 3-like</v>
      </c>
      <c r="J3947">
        <v>3414.39</v>
      </c>
      <c r="K3947" t="s">
        <v>22</v>
      </c>
      <c r="L3947">
        <v>76</v>
      </c>
      <c r="M3947">
        <v>12.58</v>
      </c>
      <c r="N3947">
        <v>33.6</v>
      </c>
      <c r="O3947" t="s">
        <v>19</v>
      </c>
      <c r="P3947" t="s">
        <v>1320</v>
      </c>
      <c r="Q3947" t="s">
        <v>19</v>
      </c>
      <c r="R3947" t="str">
        <f>HYPERLINK("https://cfpub.epa.gov/ecotox/explore.cfm?ncbi=7725","Explore in ECOTOX")</f>
        <v>Explore in ECOTOX</v>
      </c>
    </row>
    <row r="3948" spans="1:18" x14ac:dyDescent="0.45">
      <c r="A3948" t="s">
        <v>1265</v>
      </c>
      <c r="B3948">
        <v>8</v>
      </c>
      <c r="C3948" t="str">
        <f>HYPERLINK("http://www.ncbi.nlm.nih.gov/protein/NXI11248.1","NXI11248.1")</f>
        <v>NXI11248.1</v>
      </c>
      <c r="D3948">
        <v>14281</v>
      </c>
      <c r="E3948" t="str">
        <f>HYPERLINK("http://www.ncbi.nlm.nih.gov/Taxonomy/Browser/wwwtax.cgi?mode=Info&amp;id=175120&amp;lvl=3&amp;lin=f&amp;keep=1&amp;srchmode=1&amp;unlock","175120")</f>
        <v>175120</v>
      </c>
      <c r="F3948" t="s">
        <v>241</v>
      </c>
      <c r="G3948" t="str">
        <f>HYPERLINK("http://www.ncbi.nlm.nih.gov/Taxonomy/Browser/wwwtax.cgi?mode=Info&amp;id=175120&amp;lvl=3&amp;lin=f&amp;keep=1&amp;srchmode=1&amp;unlock","Irena cyanogastra")</f>
        <v>Irena cyanogastra</v>
      </c>
      <c r="H3948" t="s">
        <v>825</v>
      </c>
      <c r="I3948" t="str">
        <f>HYPERLINK("http://www.ncbi.nlm.nih.gov/protein/NXI11248.1","RYR2 protein")</f>
        <v>RYR2 protein</v>
      </c>
      <c r="J3948">
        <v>3403.99</v>
      </c>
      <c r="K3948" t="s">
        <v>22</v>
      </c>
      <c r="L3948">
        <v>76</v>
      </c>
      <c r="M3948">
        <v>12.58</v>
      </c>
      <c r="N3948">
        <v>33.5</v>
      </c>
      <c r="O3948" t="s">
        <v>19</v>
      </c>
      <c r="P3948" t="s">
        <v>1320</v>
      </c>
      <c r="Q3948" t="s">
        <v>19</v>
      </c>
      <c r="R3948" t="str">
        <f>HYPERLINK("https://cfpub.epa.gov/ecotox/explore.cfm?ncbi=175120","Explore in ECOTOX")</f>
        <v>Explore in ECOTOX</v>
      </c>
    </row>
    <row r="3949" spans="1:18" x14ac:dyDescent="0.45">
      <c r="A3949" t="s">
        <v>1265</v>
      </c>
      <c r="B3949">
        <v>8</v>
      </c>
      <c r="C3949" t="str">
        <f>HYPERLINK("http://www.ncbi.nlm.nih.gov/protein/CAB3265843.1","CAB3265843.1")</f>
        <v>CAB3265843.1</v>
      </c>
      <c r="D3949">
        <v>9704</v>
      </c>
      <c r="E3949" t="str">
        <f>HYPERLINK("http://www.ncbi.nlm.nih.gov/Taxonomy/Browser/wwwtax.cgi?mode=Info&amp;id=59560&amp;lvl=3&amp;lin=f&amp;keep=1&amp;srchmode=1&amp;unlock","59560")</f>
        <v>59560</v>
      </c>
      <c r="F3949" t="s">
        <v>727</v>
      </c>
      <c r="G3949" t="str">
        <f>HYPERLINK("http://www.ncbi.nlm.nih.gov/Taxonomy/Browser/wwwtax.cgi?mode=Info&amp;id=59560&amp;lvl=3&amp;lin=f&amp;keep=1&amp;srchmode=1&amp;unlock","Phallusia mammillata")</f>
        <v>Phallusia mammillata</v>
      </c>
      <c r="H3949" t="s">
        <v>746</v>
      </c>
      <c r="I3949" t="str">
        <f>HYPERLINK("http://www.ncbi.nlm.nih.gov/protein/CAB3265843.1","ryanodine receptor 3")</f>
        <v>ryanodine receptor 3</v>
      </c>
      <c r="J3949">
        <v>3390.13</v>
      </c>
      <c r="K3949" t="s">
        <v>22</v>
      </c>
      <c r="L3949">
        <v>76</v>
      </c>
      <c r="M3949">
        <v>12.58</v>
      </c>
      <c r="N3949">
        <v>33.36</v>
      </c>
      <c r="O3949" t="s">
        <v>19</v>
      </c>
      <c r="P3949" t="s">
        <v>1320</v>
      </c>
      <c r="Q3949" t="s">
        <v>19</v>
      </c>
      <c r="R3949" t="str">
        <f>HYPERLINK("https://cfpub.epa.gov/ecotox/explore.cfm?ncbi=59560","Explore in ECOTOX")</f>
        <v>Explore in ECOTOX</v>
      </c>
    </row>
    <row r="3950" spans="1:18" x14ac:dyDescent="0.45">
      <c r="A3950" t="s">
        <v>1265</v>
      </c>
      <c r="B3950">
        <v>8</v>
      </c>
      <c r="C3950" t="str">
        <f>HYPERLINK("http://www.ncbi.nlm.nih.gov/protein/KAG7283030.1","KAG7283030.1")</f>
        <v>KAG7283030.1</v>
      </c>
      <c r="D3950">
        <v>38868</v>
      </c>
      <c r="E3950" t="str">
        <f>HYPERLINK("http://www.ncbi.nlm.nih.gov/Taxonomy/Browser/wwwtax.cgi?mode=Info&amp;id=163118&amp;lvl=3&amp;lin=f&amp;keep=1&amp;srchmode=1&amp;unlock","163118")</f>
        <v>163118</v>
      </c>
      <c r="F3950" t="s">
        <v>17</v>
      </c>
      <c r="G3950" t="str">
        <f>HYPERLINK("http://www.ncbi.nlm.nih.gov/Taxonomy/Browser/wwwtax.cgi?mode=Info&amp;id=163118&amp;lvl=3&amp;lin=f&amp;keep=1&amp;srchmode=1&amp;unlock","Coryphaenoides rupestris")</f>
        <v>Coryphaenoides rupestris</v>
      </c>
      <c r="H3950" t="s">
        <v>765</v>
      </c>
      <c r="I3950" t="str">
        <f>HYPERLINK("http://www.ncbi.nlm.nih.gov/protein/KAG7283030.1","hypothetical protein CRUP_012923")</f>
        <v>hypothetical protein CRUP_012923</v>
      </c>
      <c r="J3950">
        <v>3378.19</v>
      </c>
      <c r="K3950" t="s">
        <v>22</v>
      </c>
      <c r="L3950">
        <v>76</v>
      </c>
      <c r="M3950">
        <v>12.58</v>
      </c>
      <c r="N3950">
        <v>33.25</v>
      </c>
      <c r="O3950" t="s">
        <v>19</v>
      </c>
      <c r="P3950" t="s">
        <v>1320</v>
      </c>
      <c r="Q3950" t="s">
        <v>19</v>
      </c>
      <c r="R3950" t="str">
        <f>HYPERLINK("https://cfpub.epa.gov/ecotox/explore.cfm?ncbi=163118","Explore in ECOTOX")</f>
        <v>Explore in ECOTOX</v>
      </c>
    </row>
    <row r="3951" spans="1:18" x14ac:dyDescent="0.45">
      <c r="A3951" t="s">
        <v>1265</v>
      </c>
      <c r="B3951">
        <v>8</v>
      </c>
      <c r="C3951" t="str">
        <f>HYPERLINK("http://www.ncbi.nlm.nih.gov/protein/XP_040569169.1","XP_040569169.1")</f>
        <v>XP_040569169.1</v>
      </c>
      <c r="D3951">
        <v>58277</v>
      </c>
      <c r="E3951" t="str">
        <f>HYPERLINK("http://www.ncbi.nlm.nih.gov/Taxonomy/Browser/wwwtax.cgi?mode=Info&amp;id=72036&amp;lvl=3&amp;lin=f&amp;keep=1&amp;srchmode=1&amp;unlock","72036")</f>
        <v>72036</v>
      </c>
      <c r="F3951" t="s">
        <v>794</v>
      </c>
      <c r="G3951" t="str">
        <f>HYPERLINK("http://www.ncbi.nlm.nih.gov/Taxonomy/Browser/wwwtax.cgi?mode=Info&amp;id=72036&amp;lvl=3&amp;lin=f&amp;keep=1&amp;srchmode=1&amp;unlock","Lepeophtheirus salmonis")</f>
        <v>Lepeophtheirus salmonis</v>
      </c>
      <c r="H3951" t="s">
        <v>1111</v>
      </c>
      <c r="I3951" t="str">
        <f>HYPERLINK("http://www.ncbi.nlm.nih.gov/protein/XP_040569169.1","LOW QUALITY PROTEIN: ryanodine receptor-like")</f>
        <v>LOW QUALITY PROTEIN: ryanodine receptor-like</v>
      </c>
      <c r="J3951">
        <v>3362.39</v>
      </c>
      <c r="K3951" t="s">
        <v>19</v>
      </c>
      <c r="L3951">
        <v>76</v>
      </c>
      <c r="M3951">
        <v>12.58</v>
      </c>
      <c r="N3951">
        <v>33.090000000000003</v>
      </c>
      <c r="O3951" t="s">
        <v>19</v>
      </c>
      <c r="P3951" t="s">
        <v>1320</v>
      </c>
      <c r="Q3951" t="s">
        <v>19</v>
      </c>
      <c r="R3951" t="str">
        <f>HYPERLINK("https://cfpub.epa.gov/ecotox/explore.cfm?ncbi=72036","Explore in ECOTOX")</f>
        <v>Explore in ECOTOX</v>
      </c>
    </row>
    <row r="3952" spans="1:18" x14ac:dyDescent="0.45">
      <c r="A3952" t="s">
        <v>1265</v>
      </c>
      <c r="B3952">
        <v>8</v>
      </c>
      <c r="C3952" t="str">
        <f>HYPERLINK("http://www.ncbi.nlm.nih.gov/protein/XP_018669433.1","XP_018669433.1")</f>
        <v>XP_018669433.1</v>
      </c>
      <c r="D3952">
        <v>23442</v>
      </c>
      <c r="E3952" t="str">
        <f>HYPERLINK("http://www.ncbi.nlm.nih.gov/Taxonomy/Browser/wwwtax.cgi?mode=Info&amp;id=7719&amp;lvl=3&amp;lin=f&amp;keep=1&amp;srchmode=1&amp;unlock","7719")</f>
        <v>7719</v>
      </c>
      <c r="F3952" t="s">
        <v>727</v>
      </c>
      <c r="G3952" t="str">
        <f>HYPERLINK("http://www.ncbi.nlm.nih.gov/Taxonomy/Browser/wwwtax.cgi?mode=Info&amp;id=7719&amp;lvl=3&amp;lin=f&amp;keep=1&amp;srchmode=1&amp;unlock","Ciona intestinalis")</f>
        <v>Ciona intestinalis</v>
      </c>
      <c r="H3952" t="s">
        <v>753</v>
      </c>
      <c r="I3952" t="str">
        <f>HYPERLINK("http://www.ncbi.nlm.nih.gov/protein/XP_018669433.1","ryanodine receptor 3")</f>
        <v>ryanodine receptor 3</v>
      </c>
      <c r="J3952">
        <v>3317.32</v>
      </c>
      <c r="K3952" t="s">
        <v>22</v>
      </c>
      <c r="L3952">
        <v>76</v>
      </c>
      <c r="M3952">
        <v>12.58</v>
      </c>
      <c r="N3952">
        <v>32.65</v>
      </c>
      <c r="O3952" t="s">
        <v>19</v>
      </c>
      <c r="P3952" t="s">
        <v>1320</v>
      </c>
      <c r="Q3952" t="s">
        <v>19</v>
      </c>
      <c r="R3952" t="str">
        <f>HYPERLINK("https://cfpub.epa.gov/ecotox/explore.cfm?ncbi=7719","Explore in ECOTOX")</f>
        <v>Explore in ECOTOX</v>
      </c>
    </row>
    <row r="3953" spans="1:18" x14ac:dyDescent="0.45">
      <c r="A3953" t="s">
        <v>1265</v>
      </c>
      <c r="B3953">
        <v>8</v>
      </c>
      <c r="C3953" t="str">
        <f>HYPERLINK("http://www.ncbi.nlm.nih.gov/protein/XP_009574679.1","XP_009574679.1")</f>
        <v>XP_009574679.1</v>
      </c>
      <c r="D3953">
        <v>28139</v>
      </c>
      <c r="E3953" t="str">
        <f>HYPERLINK("http://www.ncbi.nlm.nih.gov/Taxonomy/Browser/wwwtax.cgi?mode=Info&amp;id=30455&amp;lvl=3&amp;lin=f&amp;keep=1&amp;srchmode=1&amp;unlock","30455")</f>
        <v>30455</v>
      </c>
      <c r="F3953" t="s">
        <v>241</v>
      </c>
      <c r="G3953" t="str">
        <f>HYPERLINK("http://www.ncbi.nlm.nih.gov/Taxonomy/Browser/wwwtax.cgi?mode=Info&amp;id=30455&amp;lvl=3&amp;lin=f&amp;keep=1&amp;srchmode=1&amp;unlock","Fulmarus glacialis")</f>
        <v>Fulmarus glacialis</v>
      </c>
      <c r="H3953" t="s">
        <v>830</v>
      </c>
      <c r="I3953" t="str">
        <f>HYPERLINK("http://www.ncbi.nlm.nih.gov/protein/XP_009574679.1","PREDICTED: ryanodine receptor 2, partial")</f>
        <v>PREDICTED: ryanodine receptor 2, partial</v>
      </c>
      <c r="J3953">
        <v>3316.55</v>
      </c>
      <c r="K3953" t="s">
        <v>22</v>
      </c>
      <c r="L3953">
        <v>76</v>
      </c>
      <c r="M3953">
        <v>12.58</v>
      </c>
      <c r="N3953">
        <v>32.64</v>
      </c>
      <c r="O3953" t="s">
        <v>19</v>
      </c>
      <c r="P3953" t="s">
        <v>1320</v>
      </c>
      <c r="Q3953" t="s">
        <v>19</v>
      </c>
      <c r="R3953" t="str">
        <f>HYPERLINK("https://cfpub.epa.gov/ecotox/explore.cfm?ncbi=30455","Explore in ECOTOX")</f>
        <v>Explore in ECOTOX</v>
      </c>
    </row>
    <row r="3954" spans="1:18" x14ac:dyDescent="0.45">
      <c r="A3954" t="s">
        <v>1265</v>
      </c>
      <c r="B3954">
        <v>8</v>
      </c>
      <c r="C3954" t="str">
        <f>HYPERLINK("http://www.ncbi.nlm.nih.gov/protein/XP_059086487.1","XP_059086487.1")</f>
        <v>XP_059086487.1</v>
      </c>
      <c r="D3954">
        <v>37877</v>
      </c>
      <c r="E3954" t="str">
        <f>HYPERLINK("http://www.ncbi.nlm.nih.gov/Taxonomy/Browser/wwwtax.cgi?mode=Info&amp;id=6832&amp;lvl=3&amp;lin=f&amp;keep=1&amp;srchmode=1&amp;unlock","6832")</f>
        <v>6832</v>
      </c>
      <c r="F3954" t="s">
        <v>794</v>
      </c>
      <c r="G3954" t="str">
        <f>HYPERLINK("http://www.ncbi.nlm.nih.gov/Taxonomy/Browser/wwwtax.cgi?mode=Info&amp;id=6832&amp;lvl=3&amp;lin=f&amp;keep=1&amp;srchmode=1&amp;unlock","Tigriopus californicus")</f>
        <v>Tigriopus californicus</v>
      </c>
      <c r="H3954" t="s">
        <v>829</v>
      </c>
      <c r="I3954" t="str">
        <f>HYPERLINK("http://www.ncbi.nlm.nih.gov/protein/XP_059086487.1","ryanodine receptor-like")</f>
        <v>ryanodine receptor-like</v>
      </c>
      <c r="J3954">
        <v>3277.65</v>
      </c>
      <c r="K3954" t="s">
        <v>22</v>
      </c>
      <c r="L3954">
        <v>76</v>
      </c>
      <c r="M3954">
        <v>12.58</v>
      </c>
      <c r="N3954">
        <v>32.26</v>
      </c>
      <c r="O3954" t="s">
        <v>19</v>
      </c>
      <c r="P3954" t="s">
        <v>1320</v>
      </c>
      <c r="Q3954" t="s">
        <v>19</v>
      </c>
      <c r="R3954" t="str">
        <f>HYPERLINK("https://cfpub.epa.gov/ecotox/explore.cfm?ncbi=6832","Explore in ECOTOX")</f>
        <v>Explore in ECOTOX</v>
      </c>
    </row>
    <row r="3955" spans="1:18" x14ac:dyDescent="0.45">
      <c r="A3955" t="s">
        <v>1265</v>
      </c>
      <c r="B3955">
        <v>8</v>
      </c>
      <c r="C3955" t="str">
        <f>HYPERLINK("http://www.ncbi.nlm.nih.gov/protein/KAK2507410.1","KAK2507410.1")</f>
        <v>KAK2507410.1</v>
      </c>
      <c r="D3955">
        <v>21901</v>
      </c>
      <c r="E3955" t="str">
        <f>HYPERLINK("http://www.ncbi.nlm.nih.gov/Taxonomy/Browser/wwwtax.cgi?mode=Info&amp;id=1559511&amp;lvl=3&amp;lin=f&amp;keep=1&amp;srchmode=1&amp;unlock","1559511")</f>
        <v>1559511</v>
      </c>
      <c r="F3955" t="s">
        <v>96</v>
      </c>
      <c r="G3955" t="str">
        <f>HYPERLINK("http://www.ncbi.nlm.nih.gov/Taxonomy/Browser/wwwtax.cgi?mode=Info&amp;id=1559511&amp;lvl=3&amp;lin=f&amp;keep=1&amp;srchmode=1&amp;unlock","Smutsia gigantea")</f>
        <v>Smutsia gigantea</v>
      </c>
      <c r="H3955" t="s">
        <v>831</v>
      </c>
      <c r="I3955" t="str">
        <f>HYPERLINK("http://www.ncbi.nlm.nih.gov/protein/KAK2507410.1","hypothetical protein MC885_007629, partial")</f>
        <v>hypothetical protein MC885_007629, partial</v>
      </c>
      <c r="J3955">
        <v>3226.03</v>
      </c>
      <c r="K3955" t="s">
        <v>22</v>
      </c>
      <c r="L3955">
        <v>76</v>
      </c>
      <c r="M3955">
        <v>12.58</v>
      </c>
      <c r="N3955">
        <v>31.75</v>
      </c>
      <c r="O3955" t="s">
        <v>19</v>
      </c>
      <c r="P3955" t="s">
        <v>1320</v>
      </c>
      <c r="Q3955" t="s">
        <v>19</v>
      </c>
      <c r="R3955" t="str">
        <f>HYPERLINK("https://cfpub.epa.gov/ecotox/explore.cfm?ncbi=1559511","Explore in ECOTOX")</f>
        <v>Explore in ECOTOX</v>
      </c>
    </row>
    <row r="3956" spans="1:18" x14ac:dyDescent="0.45">
      <c r="A3956" t="s">
        <v>1265</v>
      </c>
      <c r="B3956">
        <v>8</v>
      </c>
      <c r="C3956" t="str">
        <f>HYPERLINK("http://www.ncbi.nlm.nih.gov/protein/VCW66537.1","VCW66537.1")</f>
        <v>VCW66537.1</v>
      </c>
      <c r="D3956">
        <v>19856</v>
      </c>
      <c r="E3956" t="str">
        <f>HYPERLINK("http://www.ncbi.nlm.nih.gov/Taxonomy/Browser/wwwtax.cgi?mode=Info&amp;id=48420&amp;lvl=3&amp;lin=f&amp;keep=1&amp;srchmode=1&amp;unlock","48420")</f>
        <v>48420</v>
      </c>
      <c r="F3956" t="s">
        <v>96</v>
      </c>
      <c r="G3956" t="str">
        <f>HYPERLINK("http://www.ncbi.nlm.nih.gov/Taxonomy/Browser/wwwtax.cgi?mode=Info&amp;id=48420&amp;lvl=3&amp;lin=f&amp;keep=1&amp;srchmode=1&amp;unlock","Gulo gulo")</f>
        <v>Gulo gulo</v>
      </c>
      <c r="H3956" t="s">
        <v>797</v>
      </c>
      <c r="I3956" t="str">
        <f>HYPERLINK("http://www.ncbi.nlm.nih.gov/protein/VCW66537.1","unnamed protein product, partial")</f>
        <v>unnamed protein product, partial</v>
      </c>
      <c r="J3956">
        <v>3216.79</v>
      </c>
      <c r="K3956" t="s">
        <v>22</v>
      </c>
      <c r="L3956">
        <v>76</v>
      </c>
      <c r="M3956">
        <v>12.58</v>
      </c>
      <c r="N3956">
        <v>31.66</v>
      </c>
      <c r="O3956" t="s">
        <v>19</v>
      </c>
      <c r="P3956" t="s">
        <v>1320</v>
      </c>
      <c r="Q3956" t="s">
        <v>19</v>
      </c>
      <c r="R3956" t="str">
        <f>HYPERLINK("https://cfpub.epa.gov/ecotox/explore.cfm?ncbi=48420","Explore in ECOTOX")</f>
        <v>Explore in ECOTOX</v>
      </c>
    </row>
    <row r="3957" spans="1:18" x14ac:dyDescent="0.45">
      <c r="A3957" t="s">
        <v>1265</v>
      </c>
      <c r="B3957">
        <v>8</v>
      </c>
      <c r="C3957" t="str">
        <f>HYPERLINK("http://www.ncbi.nlm.nih.gov/protein/XP_059162225.1","XP_059162225.1")</f>
        <v>XP_059162225.1</v>
      </c>
      <c r="D3957">
        <v>41931</v>
      </c>
      <c r="E3957" t="str">
        <f>HYPERLINK("http://www.ncbi.nlm.nih.gov/Taxonomy/Browser/wwwtax.cgi?mode=Info&amp;id=109671&amp;lvl=3&amp;lin=f&amp;keep=1&amp;srchmode=1&amp;unlock","109671")</f>
        <v>109671</v>
      </c>
      <c r="F3957" t="s">
        <v>757</v>
      </c>
      <c r="G3957" t="str">
        <f>HYPERLINK("http://www.ncbi.nlm.nih.gov/Taxonomy/Browser/wwwtax.cgi?mode=Info&amp;id=109671&amp;lvl=3&amp;lin=f&amp;keep=1&amp;srchmode=1&amp;unlock","Physella acuta")</f>
        <v>Physella acuta</v>
      </c>
      <c r="H3957" t="s">
        <v>832</v>
      </c>
      <c r="I3957" t="str">
        <f>HYPERLINK("http://www.ncbi.nlm.nih.gov/protein/XP_059162225.1","ryanodine receptor-like")</f>
        <v>ryanodine receptor-like</v>
      </c>
      <c r="J3957">
        <v>3194.45</v>
      </c>
      <c r="K3957" t="s">
        <v>22</v>
      </c>
      <c r="L3957">
        <v>76</v>
      </c>
      <c r="M3957">
        <v>12.58</v>
      </c>
      <c r="N3957">
        <v>31.44</v>
      </c>
      <c r="O3957" t="s">
        <v>19</v>
      </c>
      <c r="P3957" t="s">
        <v>1320</v>
      </c>
      <c r="Q3957" t="s">
        <v>19</v>
      </c>
      <c r="R3957" t="str">
        <f>HYPERLINK("https://cfpub.epa.gov/ecotox/explore.cfm?ncbi=109671","Explore in ECOTOX")</f>
        <v>Explore in ECOTOX</v>
      </c>
    </row>
    <row r="3958" spans="1:18" x14ac:dyDescent="0.45">
      <c r="A3958" t="s">
        <v>1265</v>
      </c>
      <c r="B3958">
        <v>8</v>
      </c>
      <c r="C3958" t="str">
        <f>HYPERLINK("http://www.ncbi.nlm.nih.gov/protein/KAK0046902.1","KAK0046902.1")</f>
        <v>KAK0046902.1</v>
      </c>
      <c r="D3958">
        <v>31133</v>
      </c>
      <c r="E3958" t="str">
        <f>HYPERLINK("http://www.ncbi.nlm.nih.gov/Taxonomy/Browser/wwwtax.cgi?mode=Info&amp;id=112525&amp;lvl=3&amp;lin=f&amp;keep=1&amp;srchmode=1&amp;unlock","112525")</f>
        <v>112525</v>
      </c>
      <c r="F3958" t="s">
        <v>757</v>
      </c>
      <c r="G3958" t="str">
        <f>HYPERLINK("http://www.ncbi.nlm.nih.gov/Taxonomy/Browser/wwwtax.cgi?mode=Info&amp;id=112525&amp;lvl=3&amp;lin=f&amp;keep=1&amp;srchmode=1&amp;unlock","Biomphalaria pfeifferi")</f>
        <v>Biomphalaria pfeifferi</v>
      </c>
      <c r="H3958" t="s">
        <v>832</v>
      </c>
      <c r="I3958" t="str">
        <f>HYPERLINK("http://www.ncbi.nlm.nih.gov/protein/KAK0046902.1","ryanodine receptor 44F, partial")</f>
        <v>ryanodine receptor 44F, partial</v>
      </c>
      <c r="J3958">
        <v>3189.44</v>
      </c>
      <c r="K3958" t="s">
        <v>22</v>
      </c>
      <c r="L3958">
        <v>76</v>
      </c>
      <c r="M3958">
        <v>12.58</v>
      </c>
      <c r="N3958">
        <v>31.39</v>
      </c>
      <c r="O3958" t="s">
        <v>19</v>
      </c>
      <c r="P3958" t="s">
        <v>1320</v>
      </c>
      <c r="Q3958" t="s">
        <v>19</v>
      </c>
      <c r="R3958" t="str">
        <f>HYPERLINK("https://cfpub.epa.gov/ecotox/explore.cfm?ncbi=112525","Explore in ECOTOX")</f>
        <v>Explore in ECOTOX</v>
      </c>
    </row>
    <row r="3959" spans="1:18" x14ac:dyDescent="0.45">
      <c r="A3959" t="s">
        <v>1265</v>
      </c>
      <c r="B3959">
        <v>8</v>
      </c>
      <c r="C3959" t="str">
        <f>HYPERLINK("http://www.ncbi.nlm.nih.gov/protein/XP_060571011.1","XP_060571011.1")</f>
        <v>XP_060571011.1</v>
      </c>
      <c r="D3959">
        <v>58643</v>
      </c>
      <c r="E3959" t="str">
        <f>HYPERLINK("http://www.ncbi.nlm.nih.gov/Taxonomy/Browser/wwwtax.cgi?mode=Info&amp;id=129788&amp;lvl=3&amp;lin=f&amp;keep=1&amp;srchmode=1&amp;unlock","129788")</f>
        <v>129788</v>
      </c>
      <c r="F3959" t="s">
        <v>833</v>
      </c>
      <c r="G3959" t="str">
        <f>HYPERLINK("http://www.ncbi.nlm.nih.gov/Taxonomy/Browser/wwwtax.cgi?mode=Info&amp;id=129788&amp;lvl=3&amp;lin=f&amp;keep=1&amp;srchmode=1&amp;unlock","Ruditapes philippinarum")</f>
        <v>Ruditapes philippinarum</v>
      </c>
      <c r="H3959" t="s">
        <v>842</v>
      </c>
      <c r="I3959" t="str">
        <f>HYPERLINK("http://www.ncbi.nlm.nih.gov/protein/XP_060571011.1","ryanodine receptor-like isoform X3")</f>
        <v>ryanodine receptor-like isoform X3</v>
      </c>
      <c r="J3959">
        <v>3166.33</v>
      </c>
      <c r="K3959" t="s">
        <v>22</v>
      </c>
      <c r="L3959">
        <v>76</v>
      </c>
      <c r="M3959">
        <v>12.58</v>
      </c>
      <c r="N3959">
        <v>31.16</v>
      </c>
      <c r="O3959" t="s">
        <v>19</v>
      </c>
      <c r="P3959" t="s">
        <v>1320</v>
      </c>
      <c r="Q3959" t="s">
        <v>19</v>
      </c>
      <c r="R3959" t="str">
        <f>HYPERLINK("https://cfpub.epa.gov/ecotox/explore.cfm?ncbi=129788","Explore in ECOTOX")</f>
        <v>Explore in ECOTOX</v>
      </c>
    </row>
    <row r="3960" spans="1:18" x14ac:dyDescent="0.45">
      <c r="A3960" t="s">
        <v>1265</v>
      </c>
      <c r="B3960">
        <v>8</v>
      </c>
      <c r="C3960" t="str">
        <f>HYPERLINK("http://www.ncbi.nlm.nih.gov/protein/XP_055878938.1","XP_055878938.1")</f>
        <v>XP_055878938.1</v>
      </c>
      <c r="D3960">
        <v>127041</v>
      </c>
      <c r="E3960" t="str">
        <f>HYPERLINK("http://www.ncbi.nlm.nih.gov/Taxonomy/Browser/wwwtax.cgi?mode=Info&amp;id=6526&amp;lvl=3&amp;lin=f&amp;keep=1&amp;srchmode=1&amp;unlock","6526")</f>
        <v>6526</v>
      </c>
      <c r="F3960" t="s">
        <v>757</v>
      </c>
      <c r="G3960" t="str">
        <f>HYPERLINK("http://www.ncbi.nlm.nih.gov/Taxonomy/Browser/wwwtax.cgi?mode=Info&amp;id=6526&amp;lvl=3&amp;lin=f&amp;keep=1&amp;srchmode=1&amp;unlock","Biomphalaria glabrata")</f>
        <v>Biomphalaria glabrata</v>
      </c>
      <c r="H3960" t="s">
        <v>758</v>
      </c>
      <c r="I3960" t="str">
        <f>HYPERLINK("http://www.ncbi.nlm.nih.gov/protein/XP_055878938.1","ryanodine receptor 2-like isoform X9")</f>
        <v>ryanodine receptor 2-like isoform X9</v>
      </c>
      <c r="J3960">
        <v>3164.79</v>
      </c>
      <c r="K3960" t="s">
        <v>22</v>
      </c>
      <c r="L3960">
        <v>76</v>
      </c>
      <c r="M3960">
        <v>12.58</v>
      </c>
      <c r="N3960">
        <v>31.15</v>
      </c>
      <c r="O3960" t="s">
        <v>19</v>
      </c>
      <c r="P3960" t="s">
        <v>1320</v>
      </c>
      <c r="Q3960" t="s">
        <v>19</v>
      </c>
      <c r="R3960" t="str">
        <f>HYPERLINK("https://cfpub.epa.gov/ecotox/explore.cfm?ncbi=6526","Explore in ECOTOX")</f>
        <v>Explore in ECOTOX</v>
      </c>
    </row>
    <row r="3961" spans="1:18" x14ac:dyDescent="0.45">
      <c r="A3961" t="s">
        <v>1265</v>
      </c>
      <c r="B3961">
        <v>8</v>
      </c>
      <c r="C3961" t="str">
        <f>HYPERLINK("http://www.ncbi.nlm.nih.gov/protein/XP_053408027.1","XP_053408027.1")</f>
        <v>XP_053408027.1</v>
      </c>
      <c r="D3961">
        <v>63352</v>
      </c>
      <c r="E3961" t="str">
        <f>HYPERLINK("http://www.ncbi.nlm.nih.gov/Taxonomy/Browser/wwwtax.cgi?mode=Info&amp;id=6596&amp;lvl=3&amp;lin=f&amp;keep=1&amp;srchmode=1&amp;unlock","6596")</f>
        <v>6596</v>
      </c>
      <c r="F3961" t="s">
        <v>833</v>
      </c>
      <c r="G3961" t="str">
        <f>HYPERLINK("http://www.ncbi.nlm.nih.gov/Taxonomy/Browser/wwwtax.cgi?mode=Info&amp;id=6596&amp;lvl=3&amp;lin=f&amp;keep=1&amp;srchmode=1&amp;unlock","Mercenaria mercenaria")</f>
        <v>Mercenaria mercenaria</v>
      </c>
      <c r="H3961" t="s">
        <v>838</v>
      </c>
      <c r="I3961" t="str">
        <f>HYPERLINK("http://www.ncbi.nlm.nih.gov/protein/XP_053408027.1","ryanodine receptor-like isoform X9")</f>
        <v>ryanodine receptor-like isoform X9</v>
      </c>
      <c r="J3961">
        <v>3151.69</v>
      </c>
      <c r="K3961" t="s">
        <v>22</v>
      </c>
      <c r="L3961">
        <v>76</v>
      </c>
      <c r="M3961">
        <v>12.58</v>
      </c>
      <c r="N3961">
        <v>31.02</v>
      </c>
      <c r="O3961" t="s">
        <v>19</v>
      </c>
      <c r="P3961" t="s">
        <v>1320</v>
      </c>
      <c r="Q3961" t="s">
        <v>19</v>
      </c>
      <c r="R3961" t="str">
        <f>HYPERLINK("https://cfpub.epa.gov/ecotox/explore.cfm?ncbi=6596","Explore in ECOTOX")</f>
        <v>Explore in ECOTOX</v>
      </c>
    </row>
    <row r="3962" spans="1:18" x14ac:dyDescent="0.45">
      <c r="A3962" t="s">
        <v>1265</v>
      </c>
      <c r="B3962">
        <v>8</v>
      </c>
      <c r="C3962" t="str">
        <f>HYPERLINK("http://www.ncbi.nlm.nih.gov/protein/XP_010191529.1","XP_010191529.1")</f>
        <v>XP_010191529.1</v>
      </c>
      <c r="D3962">
        <v>29408</v>
      </c>
      <c r="E3962" t="str">
        <f>HYPERLINK("http://www.ncbi.nlm.nih.gov/Taxonomy/Browser/wwwtax.cgi?mode=Info&amp;id=54374&amp;lvl=3&amp;lin=f&amp;keep=1&amp;srchmode=1&amp;unlock","54374")</f>
        <v>54374</v>
      </c>
      <c r="F3962" t="s">
        <v>241</v>
      </c>
      <c r="G3962" t="str">
        <f>HYPERLINK("http://www.ncbi.nlm.nih.gov/Taxonomy/Browser/wwwtax.cgi?mode=Info&amp;id=54374&amp;lvl=3&amp;lin=f&amp;keep=1&amp;srchmode=1&amp;unlock","Mesitornis unicolor")</f>
        <v>Mesitornis unicolor</v>
      </c>
      <c r="H3962" t="s">
        <v>853</v>
      </c>
      <c r="I3962" t="str">
        <f>HYPERLINK("http://www.ncbi.nlm.nih.gov/protein/XP_010191529.1","PREDICTED: ryanodine receptor 2, partial")</f>
        <v>PREDICTED: ryanodine receptor 2, partial</v>
      </c>
      <c r="J3962">
        <v>3142.44</v>
      </c>
      <c r="K3962" t="s">
        <v>22</v>
      </c>
      <c r="L3962">
        <v>76</v>
      </c>
      <c r="M3962">
        <v>12.58</v>
      </c>
      <c r="N3962">
        <v>30.93</v>
      </c>
      <c r="O3962" t="s">
        <v>19</v>
      </c>
      <c r="P3962" t="s">
        <v>1320</v>
      </c>
      <c r="Q3962" t="s">
        <v>19</v>
      </c>
      <c r="R3962" t="str">
        <f>HYPERLINK("https://cfpub.epa.gov/ecotox/explore.cfm?ncbi=54374","Explore in ECOTOX")</f>
        <v>Explore in ECOTOX</v>
      </c>
    </row>
    <row r="3963" spans="1:18" x14ac:dyDescent="0.45">
      <c r="A3963" t="s">
        <v>1265</v>
      </c>
      <c r="B3963">
        <v>8</v>
      </c>
      <c r="C3963" t="str">
        <f>HYPERLINK("http://www.ncbi.nlm.nih.gov/protein/XP_052768468.1","XP_052768468.1")</f>
        <v>XP_052768468.1</v>
      </c>
      <c r="D3963">
        <v>100629</v>
      </c>
      <c r="E3963" t="str">
        <f>HYPERLINK("http://www.ncbi.nlm.nih.gov/Taxonomy/Browser/wwwtax.cgi?mode=Info&amp;id=6604&amp;lvl=3&amp;lin=f&amp;keep=1&amp;srchmode=1&amp;unlock","6604")</f>
        <v>6604</v>
      </c>
      <c r="F3963" t="s">
        <v>833</v>
      </c>
      <c r="G3963" t="str">
        <f>HYPERLINK("http://www.ncbi.nlm.nih.gov/Taxonomy/Browser/wwwtax.cgi?mode=Info&amp;id=6604&amp;lvl=3&amp;lin=f&amp;keep=1&amp;srchmode=1&amp;unlock","Mya arenaria")</f>
        <v>Mya arenaria</v>
      </c>
      <c r="H3963" t="s">
        <v>839</v>
      </c>
      <c r="I3963" t="str">
        <f>HYPERLINK("http://www.ncbi.nlm.nih.gov/protein/XP_052768468.1","ryanodine receptor-like isoform X6")</f>
        <v>ryanodine receptor-like isoform X6</v>
      </c>
      <c r="J3963">
        <v>3132.43</v>
      </c>
      <c r="K3963" t="s">
        <v>22</v>
      </c>
      <c r="L3963">
        <v>76</v>
      </c>
      <c r="M3963">
        <v>12.58</v>
      </c>
      <c r="N3963">
        <v>30.83</v>
      </c>
      <c r="O3963" t="s">
        <v>19</v>
      </c>
      <c r="P3963" t="s">
        <v>1320</v>
      </c>
      <c r="Q3963" t="s">
        <v>19</v>
      </c>
      <c r="R3963" t="str">
        <f>HYPERLINK("https://cfpub.epa.gov/ecotox/explore.cfm?ncbi=6604","Explore in ECOTOX")</f>
        <v>Explore in ECOTOX</v>
      </c>
    </row>
    <row r="3964" spans="1:18" x14ac:dyDescent="0.45">
      <c r="A3964" t="s">
        <v>1265</v>
      </c>
      <c r="B3964">
        <v>8</v>
      </c>
      <c r="C3964" t="str">
        <f>HYPERLINK("http://www.ncbi.nlm.nih.gov/protein/XP_052269357.1","XP_052269357.1")</f>
        <v>XP_052269357.1</v>
      </c>
      <c r="D3964">
        <v>262975</v>
      </c>
      <c r="E3964" t="str">
        <f>HYPERLINK("http://www.ncbi.nlm.nih.gov/Taxonomy/Browser/wwwtax.cgi?mode=Info&amp;id=45954&amp;lvl=3&amp;lin=f&amp;keep=1&amp;srchmode=1&amp;unlock","45954")</f>
        <v>45954</v>
      </c>
      <c r="F3964" t="s">
        <v>833</v>
      </c>
      <c r="G3964" t="str">
        <f>HYPERLINK("http://www.ncbi.nlm.nih.gov/Taxonomy/Browser/wwwtax.cgi?mode=Info&amp;id=45954&amp;lvl=3&amp;lin=f&amp;keep=1&amp;srchmode=1&amp;unlock","Dreissena polymorpha")</f>
        <v>Dreissena polymorpha</v>
      </c>
      <c r="H3964" t="s">
        <v>1008</v>
      </c>
      <c r="I3964" t="str">
        <f>HYPERLINK("http://www.ncbi.nlm.nih.gov/protein/XP_052269357.1","ryanodine receptor-like")</f>
        <v>ryanodine receptor-like</v>
      </c>
      <c r="J3964">
        <v>3132.43</v>
      </c>
      <c r="K3964" t="s">
        <v>22</v>
      </c>
      <c r="L3964">
        <v>76</v>
      </c>
      <c r="M3964">
        <v>12.58</v>
      </c>
      <c r="N3964">
        <v>30.83</v>
      </c>
      <c r="O3964" t="s">
        <v>19</v>
      </c>
      <c r="P3964" t="s">
        <v>1320</v>
      </c>
      <c r="Q3964" t="s">
        <v>19</v>
      </c>
      <c r="R3964" t="str">
        <f>HYPERLINK("https://cfpub.epa.gov/ecotox/explore.cfm?ncbi=45954","Explore in ECOTOX")</f>
        <v>Explore in ECOTOX</v>
      </c>
    </row>
    <row r="3965" spans="1:18" x14ac:dyDescent="0.45">
      <c r="A3965" t="s">
        <v>1265</v>
      </c>
      <c r="B3965">
        <v>8</v>
      </c>
      <c r="C3965" t="str">
        <f>HYPERLINK("http://www.ncbi.nlm.nih.gov/protein/XP_061163600.1","XP_061163600.1")</f>
        <v>XP_061163600.1</v>
      </c>
      <c r="D3965">
        <v>36242</v>
      </c>
      <c r="E3965" t="str">
        <f>HYPERLINK("http://www.ncbi.nlm.nih.gov/Taxonomy/Browser/wwwtax.cgi?mode=Info&amp;id=191078&amp;lvl=3&amp;lin=f&amp;keep=1&amp;srchmode=1&amp;unlock","191078")</f>
        <v>191078</v>
      </c>
      <c r="F3965" t="s">
        <v>833</v>
      </c>
      <c r="G3965" t="str">
        <f>HYPERLINK("http://www.ncbi.nlm.nih.gov/Taxonomy/Browser/wwwtax.cgi?mode=Info&amp;id=191078&amp;lvl=3&amp;lin=f&amp;keep=1&amp;srchmode=1&amp;unlock","Saccostrea echinata")</f>
        <v>Saccostrea echinata</v>
      </c>
      <c r="H3965" t="s">
        <v>837</v>
      </c>
      <c r="I3965" t="str">
        <f>HYPERLINK("http://www.ncbi.nlm.nih.gov/protein/XP_061163600.1","ryanodine receptor-like isoform X1")</f>
        <v>ryanodine receptor-like isoform X1</v>
      </c>
      <c r="J3965">
        <v>3129.73</v>
      </c>
      <c r="K3965" t="s">
        <v>22</v>
      </c>
      <c r="L3965">
        <v>76</v>
      </c>
      <c r="M3965">
        <v>12.58</v>
      </c>
      <c r="N3965">
        <v>30.8</v>
      </c>
      <c r="O3965" t="s">
        <v>19</v>
      </c>
      <c r="P3965" t="s">
        <v>1320</v>
      </c>
      <c r="Q3965" t="s">
        <v>19</v>
      </c>
      <c r="R3965" t="str">
        <f>HYPERLINK("https://cfpub.epa.gov/ecotox/explore.cfm?ncbi=191078","Explore in ECOTOX")</f>
        <v>Explore in ECOTOX</v>
      </c>
    </row>
    <row r="3966" spans="1:18" x14ac:dyDescent="0.45">
      <c r="A3966" t="s">
        <v>1265</v>
      </c>
      <c r="B3966">
        <v>8</v>
      </c>
      <c r="C3966" t="str">
        <f>HYPERLINK("http://www.ncbi.nlm.nih.gov/protein/KAK3094056.1","KAK3094056.1")</f>
        <v>KAK3094056.1</v>
      </c>
      <c r="D3966">
        <v>25618</v>
      </c>
      <c r="E3966" t="str">
        <f>HYPERLINK("http://www.ncbi.nlm.nih.gov/Taxonomy/Browser/wwwtax.cgi?mode=Info&amp;id=66713&amp;lvl=3&amp;lin=f&amp;keep=1&amp;srchmode=1&amp;unlock","66713")</f>
        <v>66713</v>
      </c>
      <c r="F3966" t="s">
        <v>833</v>
      </c>
      <c r="G3966" t="str">
        <f>HYPERLINK("http://www.ncbi.nlm.nih.gov/Taxonomy/Browser/wwwtax.cgi?mode=Info&amp;id=66713&amp;lvl=3&amp;lin=f&amp;keep=1&amp;srchmode=1&amp;unlock","Pinctada imbricata")</f>
        <v>Pinctada imbricata</v>
      </c>
      <c r="H3966" t="s">
        <v>843</v>
      </c>
      <c r="I3966" t="str">
        <f>HYPERLINK("http://www.ncbi.nlm.nih.gov/protein/KAK3094056.1","hypothetical protein FSP39_023525")</f>
        <v>hypothetical protein FSP39_023525</v>
      </c>
      <c r="J3966">
        <v>3123.57</v>
      </c>
      <c r="K3966" t="s">
        <v>22</v>
      </c>
      <c r="L3966">
        <v>76</v>
      </c>
      <c r="M3966">
        <v>12.58</v>
      </c>
      <c r="N3966">
        <v>30.74</v>
      </c>
      <c r="O3966" t="s">
        <v>19</v>
      </c>
      <c r="P3966" t="s">
        <v>1320</v>
      </c>
      <c r="Q3966" t="s">
        <v>19</v>
      </c>
      <c r="R3966" t="str">
        <f>HYPERLINK("https://cfpub.epa.gov/ecotox/explore.cfm?ncbi=66713","Explore in ECOTOX")</f>
        <v>Explore in ECOTOX</v>
      </c>
    </row>
    <row r="3967" spans="1:18" x14ac:dyDescent="0.45">
      <c r="A3967" t="s">
        <v>1265</v>
      </c>
      <c r="B3967">
        <v>8</v>
      </c>
      <c r="C3967" t="str">
        <f>HYPERLINK("http://www.ncbi.nlm.nih.gov/protein/AQR59331.1","AQR59331.1")</f>
        <v>AQR59331.1</v>
      </c>
      <c r="D3967">
        <v>48191</v>
      </c>
      <c r="E3967" t="str">
        <f>HYPERLINK("http://www.ncbi.nlm.nih.gov/Taxonomy/Browser/wwwtax.cgi?mode=Info&amp;id=7038&amp;lvl=3&amp;lin=f&amp;keep=1&amp;srchmode=1&amp;unlock","7038")</f>
        <v>7038</v>
      </c>
      <c r="F3967" t="s">
        <v>760</v>
      </c>
      <c r="G3967" t="str">
        <f>HYPERLINK("http://www.ncbi.nlm.nih.gov/Taxonomy/Browser/wwwtax.cgi?mode=Info&amp;id=7038&amp;lvl=3&amp;lin=f&amp;keep=1&amp;srchmode=1&amp;unlock","Bemisia tabaci")</f>
        <v>Bemisia tabaci</v>
      </c>
      <c r="H3967" t="s">
        <v>852</v>
      </c>
      <c r="I3967" t="str">
        <f>HYPERLINK("http://www.ncbi.nlm.nih.gov/protein/AQR59331.1","ryanodine receptor")</f>
        <v>ryanodine receptor</v>
      </c>
      <c r="J3967">
        <v>3120.49</v>
      </c>
      <c r="K3967" t="s">
        <v>22</v>
      </c>
      <c r="L3967">
        <v>76</v>
      </c>
      <c r="M3967">
        <v>12.58</v>
      </c>
      <c r="N3967">
        <v>30.71</v>
      </c>
      <c r="O3967" t="s">
        <v>19</v>
      </c>
      <c r="P3967" t="s">
        <v>1320</v>
      </c>
      <c r="Q3967" t="s">
        <v>19</v>
      </c>
      <c r="R3967" t="str">
        <f>HYPERLINK("https://cfpub.epa.gov/ecotox/explore.cfm?ncbi=7038","Explore in ECOTOX")</f>
        <v>Explore in ECOTOX</v>
      </c>
    </row>
    <row r="3968" spans="1:18" x14ac:dyDescent="0.45">
      <c r="A3968" t="s">
        <v>1265</v>
      </c>
      <c r="B3968">
        <v>8</v>
      </c>
      <c r="C3968" t="str">
        <f>HYPERLINK("http://www.ncbi.nlm.nih.gov/protein/XP_009869067.1","XP_009869067.1")</f>
        <v>XP_009869067.1</v>
      </c>
      <c r="D3968">
        <v>26531</v>
      </c>
      <c r="E3968" t="str">
        <f>HYPERLINK("http://www.ncbi.nlm.nih.gov/Taxonomy/Browser/wwwtax.cgi?mode=Info&amp;id=57397&amp;lvl=3&amp;lin=f&amp;keep=1&amp;srchmode=1&amp;unlock","57397")</f>
        <v>57397</v>
      </c>
      <c r="F3968" t="s">
        <v>241</v>
      </c>
      <c r="G3968" t="str">
        <f>HYPERLINK("http://www.ncbi.nlm.nih.gov/Taxonomy/Browser/wwwtax.cgi?mode=Info&amp;id=57397&amp;lvl=3&amp;lin=f&amp;keep=1&amp;srchmode=1&amp;unlock","Apaloderma vittatum")</f>
        <v>Apaloderma vittatum</v>
      </c>
      <c r="H3968" t="s">
        <v>1015</v>
      </c>
      <c r="I3968" t="str">
        <f>HYPERLINK("http://www.ncbi.nlm.nih.gov/protein/XP_009869067.1","PREDICTED: ryanodine receptor 3, partial")</f>
        <v>PREDICTED: ryanodine receptor 3, partial</v>
      </c>
      <c r="J3968">
        <v>3119.33</v>
      </c>
      <c r="K3968" t="s">
        <v>22</v>
      </c>
      <c r="L3968">
        <v>76</v>
      </c>
      <c r="M3968">
        <v>12.58</v>
      </c>
      <c r="N3968">
        <v>30.7</v>
      </c>
      <c r="O3968" t="s">
        <v>19</v>
      </c>
      <c r="P3968" t="s">
        <v>1320</v>
      </c>
      <c r="Q3968" t="s">
        <v>19</v>
      </c>
      <c r="R3968" t="str">
        <f>HYPERLINK("https://cfpub.epa.gov/ecotox/explore.cfm?ncbi=57397","Explore in ECOTOX")</f>
        <v>Explore in ECOTOX</v>
      </c>
    </row>
    <row r="3969" spans="1:18" x14ac:dyDescent="0.45">
      <c r="A3969" t="s">
        <v>1265</v>
      </c>
      <c r="B3969">
        <v>8</v>
      </c>
      <c r="C3969" t="str">
        <f>HYPERLINK("http://www.ncbi.nlm.nih.gov/protein/XP_041985702.1","XP_041985702.1")</f>
        <v>XP_041985702.1</v>
      </c>
      <c r="D3969">
        <v>21792</v>
      </c>
      <c r="E3969" t="str">
        <f>HYPERLINK("http://www.ncbi.nlm.nih.gov/Taxonomy/Browser/wwwtax.cgi?mode=Info&amp;id=91739&amp;lvl=3&amp;lin=f&amp;keep=1&amp;srchmode=1&amp;unlock","91739")</f>
        <v>91739</v>
      </c>
      <c r="F3969" t="s">
        <v>760</v>
      </c>
      <c r="G3969" t="str">
        <f>HYPERLINK("http://www.ncbi.nlm.nih.gov/Taxonomy/Browser/wwwtax.cgi?mode=Info&amp;id=91739&amp;lvl=3&amp;lin=f&amp;keep=1&amp;srchmode=1&amp;unlock","Aricia agestis")</f>
        <v>Aricia agestis</v>
      </c>
      <c r="H3969" t="s">
        <v>768</v>
      </c>
      <c r="I3969" t="str">
        <f>HYPERLINK("http://www.ncbi.nlm.nih.gov/protein/XP_041985702.1","ryanodine receptor isoform X21")</f>
        <v>ryanodine receptor isoform X21</v>
      </c>
      <c r="J3969">
        <v>3112.78</v>
      </c>
      <c r="K3969" t="s">
        <v>22</v>
      </c>
      <c r="L3969">
        <v>76</v>
      </c>
      <c r="M3969">
        <v>12.58</v>
      </c>
      <c r="N3969">
        <v>30.64</v>
      </c>
      <c r="O3969" t="s">
        <v>19</v>
      </c>
      <c r="P3969" t="s">
        <v>1320</v>
      </c>
      <c r="Q3969" t="s">
        <v>19</v>
      </c>
      <c r="R3969" t="str">
        <f>HYPERLINK("https://cfpub.epa.gov/ecotox/explore.cfm?ncbi=91739","Explore in ECOTOX")</f>
        <v>Explore in ECOTOX</v>
      </c>
    </row>
    <row r="3970" spans="1:18" x14ac:dyDescent="0.45">
      <c r="A3970" t="s">
        <v>1265</v>
      </c>
      <c r="B3970">
        <v>8</v>
      </c>
      <c r="C3970" t="str">
        <f>HYPERLINK("http://www.ncbi.nlm.nih.gov/protein/XP_024217614.1","XP_024217614.1")</f>
        <v>XP_024217614.1</v>
      </c>
      <c r="D3970">
        <v>26509</v>
      </c>
      <c r="E3970" t="str">
        <f>HYPERLINK("http://www.ncbi.nlm.nih.gov/Taxonomy/Browser/wwwtax.cgi?mode=Info&amp;id=286706&amp;lvl=3&amp;lin=f&amp;keep=1&amp;srchmode=1&amp;unlock","286706")</f>
        <v>286706</v>
      </c>
      <c r="F3970" t="s">
        <v>760</v>
      </c>
      <c r="G3970" t="str">
        <f>HYPERLINK("http://www.ncbi.nlm.nih.gov/Taxonomy/Browser/wwwtax.cgi?mode=Info&amp;id=286706&amp;lvl=3&amp;lin=f&amp;keep=1&amp;srchmode=1&amp;unlock","Halyomorpha halys")</f>
        <v>Halyomorpha halys</v>
      </c>
      <c r="H3970" t="s">
        <v>855</v>
      </c>
      <c r="I3970" t="str">
        <f>HYPERLINK("http://www.ncbi.nlm.nih.gov/protein/XP_024217614.1","ryanodine receptor")</f>
        <v>ryanodine receptor</v>
      </c>
      <c r="J3970">
        <v>3110.09</v>
      </c>
      <c r="K3970" t="s">
        <v>22</v>
      </c>
      <c r="L3970">
        <v>76</v>
      </c>
      <c r="M3970">
        <v>12.58</v>
      </c>
      <c r="N3970">
        <v>30.61</v>
      </c>
      <c r="O3970" t="s">
        <v>19</v>
      </c>
      <c r="P3970" t="s">
        <v>1320</v>
      </c>
      <c r="Q3970" t="s">
        <v>19</v>
      </c>
      <c r="R3970" t="str">
        <f>HYPERLINK("https://cfpub.epa.gov/ecotox/explore.cfm?ncbi=286706","Explore in ECOTOX")</f>
        <v>Explore in ECOTOX</v>
      </c>
    </row>
    <row r="3971" spans="1:18" x14ac:dyDescent="0.45">
      <c r="A3971" t="s">
        <v>1265</v>
      </c>
      <c r="B3971">
        <v>8</v>
      </c>
      <c r="C3971" t="str">
        <f>HYPERLINK("http://www.ncbi.nlm.nih.gov/protein/KAK3736857.1","KAK3736857.1")</f>
        <v>KAK3736857.1</v>
      </c>
      <c r="D3971">
        <v>70119</v>
      </c>
      <c r="E3971" t="str">
        <f>HYPERLINK("http://www.ncbi.nlm.nih.gov/Taxonomy/Browser/wwwtax.cgi?mode=Info&amp;id=231223&amp;lvl=3&amp;lin=f&amp;keep=1&amp;srchmode=1&amp;unlock","231223")</f>
        <v>231223</v>
      </c>
      <c r="F3971" t="s">
        <v>757</v>
      </c>
      <c r="G3971" t="str">
        <f>HYPERLINK("http://www.ncbi.nlm.nih.gov/Taxonomy/Browser/wwwtax.cgi?mode=Info&amp;id=231223&amp;lvl=3&amp;lin=f&amp;keep=1&amp;srchmode=1&amp;unlock","Elysia crispata")</f>
        <v>Elysia crispata</v>
      </c>
      <c r="H3971" t="s">
        <v>847</v>
      </c>
      <c r="I3971" t="str">
        <f>HYPERLINK("http://www.ncbi.nlm.nih.gov/protein/KAK3736857.1","hypothetical protein RRG08_000604")</f>
        <v>hypothetical protein RRG08_000604</v>
      </c>
      <c r="J3971">
        <v>3108.93</v>
      </c>
      <c r="K3971" t="s">
        <v>22</v>
      </c>
      <c r="L3971">
        <v>76</v>
      </c>
      <c r="M3971">
        <v>12.58</v>
      </c>
      <c r="N3971">
        <v>30.6</v>
      </c>
      <c r="O3971" t="s">
        <v>19</v>
      </c>
      <c r="P3971" t="s">
        <v>1320</v>
      </c>
      <c r="Q3971" t="s">
        <v>19</v>
      </c>
      <c r="R3971" t="str">
        <f>HYPERLINK("https://cfpub.epa.gov/ecotox/explore.cfm?ncbi=231223","Explore in ECOTOX")</f>
        <v>Explore in ECOTOX</v>
      </c>
    </row>
    <row r="3972" spans="1:18" x14ac:dyDescent="0.45">
      <c r="A3972" t="s">
        <v>1265</v>
      </c>
      <c r="B3972">
        <v>8</v>
      </c>
      <c r="C3972" t="str">
        <f>HYPERLINK("http://www.ncbi.nlm.nih.gov/protein/VVC24076.1","VVC24076.1")</f>
        <v>VVC24076.1</v>
      </c>
      <c r="D3972">
        <v>22249</v>
      </c>
      <c r="E3972" t="str">
        <f>HYPERLINK("http://www.ncbi.nlm.nih.gov/Taxonomy/Browser/wwwtax.cgi?mode=Info&amp;id=506608&amp;lvl=3&amp;lin=f&amp;keep=1&amp;srchmode=1&amp;unlock","506608")</f>
        <v>506608</v>
      </c>
      <c r="F3972" t="s">
        <v>760</v>
      </c>
      <c r="G3972" t="str">
        <f>HYPERLINK("http://www.ncbi.nlm.nih.gov/Taxonomy/Browser/wwwtax.cgi?mode=Info&amp;id=506608&amp;lvl=3&amp;lin=f&amp;keep=1&amp;srchmode=1&amp;unlock","Cinara cedri")</f>
        <v>Cinara cedri</v>
      </c>
      <c r="H3972" t="s">
        <v>854</v>
      </c>
      <c r="I3972" t="str">
        <f>HYPERLINK("http://www.ncbi.nlm.nih.gov/protein/VVC24076.1","Concanavalin A-like lectin/glucanase domain,RIH (RyR and IP3R Homology) domain,RyR/IP3R Homology")</f>
        <v>Concanavalin A-like lectin/glucanase domain,RIH (RyR and IP3R Homology) domain,RyR/IP3R Homology</v>
      </c>
      <c r="J3972">
        <v>3105.85</v>
      </c>
      <c r="K3972" t="s">
        <v>22</v>
      </c>
      <c r="L3972">
        <v>76</v>
      </c>
      <c r="M3972">
        <v>12.58</v>
      </c>
      <c r="N3972">
        <v>30.57</v>
      </c>
      <c r="O3972" t="s">
        <v>19</v>
      </c>
      <c r="P3972" t="s">
        <v>1320</v>
      </c>
      <c r="Q3972" t="s">
        <v>19</v>
      </c>
      <c r="R3972" t="str">
        <f>HYPERLINK("https://cfpub.epa.gov/ecotox/explore.cfm?ncbi=506608","Explore in ECOTOX")</f>
        <v>Explore in ECOTOX</v>
      </c>
    </row>
    <row r="3973" spans="1:18" x14ac:dyDescent="0.45">
      <c r="A3973" t="s">
        <v>1265</v>
      </c>
      <c r="B3973">
        <v>8</v>
      </c>
      <c r="C3973" t="str">
        <f>HYPERLINK("http://www.ncbi.nlm.nih.gov/protein/KAK3608599.1","KAK3608599.1")</f>
        <v>KAK3608599.1</v>
      </c>
      <c r="D3973">
        <v>37094</v>
      </c>
      <c r="E3973" t="str">
        <f>HYPERLINK("http://www.ncbi.nlm.nih.gov/Taxonomy/Browser/wwwtax.cgi?mode=Info&amp;id=2493646&amp;lvl=3&amp;lin=f&amp;keep=1&amp;srchmode=1&amp;unlock","2493646")</f>
        <v>2493646</v>
      </c>
      <c r="F3973" t="s">
        <v>833</v>
      </c>
      <c r="G3973" t="str">
        <f>HYPERLINK("http://www.ncbi.nlm.nih.gov/Taxonomy/Browser/wwwtax.cgi?mode=Info&amp;id=2493646&amp;lvl=3&amp;lin=f&amp;keep=1&amp;srchmode=1&amp;unlock","Potamilus streckersoni")</f>
        <v>Potamilus streckersoni</v>
      </c>
      <c r="H3973" t="s">
        <v>845</v>
      </c>
      <c r="I3973" t="str">
        <f>HYPERLINK("http://www.ncbi.nlm.nih.gov/protein/KAK3608599.1","hypothetical protein CHS0354_042592")</f>
        <v>hypothetical protein CHS0354_042592</v>
      </c>
      <c r="J3973">
        <v>3102.77</v>
      </c>
      <c r="K3973" t="s">
        <v>22</v>
      </c>
      <c r="L3973">
        <v>76</v>
      </c>
      <c r="M3973">
        <v>12.58</v>
      </c>
      <c r="N3973">
        <v>30.54</v>
      </c>
      <c r="O3973" t="s">
        <v>19</v>
      </c>
      <c r="P3973" t="s">
        <v>1320</v>
      </c>
      <c r="Q3973" t="s">
        <v>19</v>
      </c>
      <c r="R3973" t="str">
        <f>HYPERLINK("https://cfpub.epa.gov/ecotox/explore.cfm?ncbi=2493646","Explore in ECOTOX")</f>
        <v>Explore in ECOTOX</v>
      </c>
    </row>
    <row r="3974" spans="1:18" x14ac:dyDescent="0.45">
      <c r="A3974" t="s">
        <v>1265</v>
      </c>
      <c r="B3974">
        <v>8</v>
      </c>
      <c r="C3974" t="str">
        <f>HYPERLINK("http://www.ncbi.nlm.nih.gov/protein/XP_034837537.1","XP_034837537.1")</f>
        <v>XP_034837537.1</v>
      </c>
      <c r="D3974">
        <v>18114</v>
      </c>
      <c r="E3974" t="str">
        <f>HYPERLINK("http://www.ncbi.nlm.nih.gov/Taxonomy/Browser/wwwtax.cgi?mode=Info&amp;id=2795564&amp;lvl=3&amp;lin=f&amp;keep=1&amp;srchmode=1&amp;unlock","2795564")</f>
        <v>2795564</v>
      </c>
      <c r="F3974" t="s">
        <v>760</v>
      </c>
      <c r="G3974" t="str">
        <f>HYPERLINK("http://www.ncbi.nlm.nih.gov/Taxonomy/Browser/wwwtax.cgi?mode=Info&amp;id=2795564&amp;lvl=3&amp;lin=f&amp;keep=1&amp;srchmode=1&amp;unlock","Maniola hyperantus")</f>
        <v>Maniola hyperantus</v>
      </c>
      <c r="H3974" t="s">
        <v>872</v>
      </c>
      <c r="I3974" t="str">
        <f>HYPERLINK("http://www.ncbi.nlm.nih.gov/protein/XP_034837537.1","ryanodine receptor isoform X21")</f>
        <v>ryanodine receptor isoform X21</v>
      </c>
      <c r="J3974">
        <v>3102</v>
      </c>
      <c r="K3974" t="s">
        <v>22</v>
      </c>
      <c r="L3974">
        <v>76</v>
      </c>
      <c r="M3974">
        <v>12.58</v>
      </c>
      <c r="N3974">
        <v>30.53</v>
      </c>
      <c r="O3974" t="s">
        <v>19</v>
      </c>
      <c r="P3974" t="s">
        <v>1320</v>
      </c>
      <c r="Q3974" t="s">
        <v>19</v>
      </c>
      <c r="R3974" t="str">
        <f>HYPERLINK("https://cfpub.epa.gov/ecotox/explore.cfm?ncbi=2795564","Explore in ECOTOX")</f>
        <v>Explore in ECOTOX</v>
      </c>
    </row>
    <row r="3975" spans="1:18" x14ac:dyDescent="0.45">
      <c r="A3975" t="s">
        <v>1265</v>
      </c>
      <c r="B3975">
        <v>8</v>
      </c>
      <c r="C3975" t="str">
        <f>HYPERLINK("http://www.ncbi.nlm.nih.gov/protein/XP_045780973.1","XP_045780973.1")</f>
        <v>XP_045780973.1</v>
      </c>
      <c r="D3975">
        <v>26205</v>
      </c>
      <c r="E3975" t="str">
        <f>HYPERLINK("http://www.ncbi.nlm.nih.gov/Taxonomy/Browser/wwwtax.cgi?mode=Info&amp;id=191418&amp;lvl=3&amp;lin=f&amp;keep=1&amp;srchmode=1&amp;unlock","191418")</f>
        <v>191418</v>
      </c>
      <c r="F3975" t="s">
        <v>760</v>
      </c>
      <c r="G3975" t="str">
        <f>HYPERLINK("http://www.ncbi.nlm.nih.gov/Taxonomy/Browser/wwwtax.cgi?mode=Info&amp;id=191418&amp;lvl=3&amp;lin=f&amp;keep=1&amp;srchmode=1&amp;unlock","Maniola jurtina")</f>
        <v>Maniola jurtina</v>
      </c>
      <c r="H3975" t="s">
        <v>761</v>
      </c>
      <c r="I3975" t="str">
        <f>HYPERLINK("http://www.ncbi.nlm.nih.gov/protein/XP_045780973.1","ryanodine receptor isoform X29")</f>
        <v>ryanodine receptor isoform X29</v>
      </c>
      <c r="J3975">
        <v>3101.61</v>
      </c>
      <c r="K3975" t="s">
        <v>22</v>
      </c>
      <c r="L3975">
        <v>76</v>
      </c>
      <c r="M3975">
        <v>12.58</v>
      </c>
      <c r="N3975">
        <v>30.53</v>
      </c>
      <c r="O3975" t="s">
        <v>19</v>
      </c>
      <c r="P3975" t="s">
        <v>1320</v>
      </c>
      <c r="Q3975" t="s">
        <v>19</v>
      </c>
      <c r="R3975" t="str">
        <f>HYPERLINK("https://cfpub.epa.gov/ecotox/explore.cfm?ncbi=191418","Explore in ECOTOX")</f>
        <v>Explore in ECOTOX</v>
      </c>
    </row>
    <row r="3976" spans="1:18" x14ac:dyDescent="0.45">
      <c r="A3976" t="s">
        <v>1265</v>
      </c>
      <c r="B3976">
        <v>8</v>
      </c>
      <c r="C3976" t="str">
        <f>HYPERLINK("http://www.ncbi.nlm.nih.gov/protein/XP_023020685.1","XP_023020685.1")</f>
        <v>XP_023020685.1</v>
      </c>
      <c r="D3976">
        <v>20165</v>
      </c>
      <c r="E3976" t="str">
        <f>HYPERLINK("http://www.ncbi.nlm.nih.gov/Taxonomy/Browser/wwwtax.cgi?mode=Info&amp;id=7539&amp;lvl=3&amp;lin=f&amp;keep=1&amp;srchmode=1&amp;unlock","7539")</f>
        <v>7539</v>
      </c>
      <c r="F3976" t="s">
        <v>760</v>
      </c>
      <c r="G3976" t="str">
        <f>HYPERLINK("http://www.ncbi.nlm.nih.gov/Taxonomy/Browser/wwwtax.cgi?mode=Info&amp;id=7539&amp;lvl=3&amp;lin=f&amp;keep=1&amp;srchmode=1&amp;unlock","Leptinotarsa decemlineata")</f>
        <v>Leptinotarsa decemlineata</v>
      </c>
      <c r="H3976" t="s">
        <v>865</v>
      </c>
      <c r="I3976" t="str">
        <f>HYPERLINK("http://www.ncbi.nlm.nih.gov/protein/XP_023020685.1","ryanodine receptor")</f>
        <v>ryanodine receptor</v>
      </c>
      <c r="J3976">
        <v>3101.23</v>
      </c>
      <c r="K3976" t="s">
        <v>22</v>
      </c>
      <c r="L3976">
        <v>76</v>
      </c>
      <c r="M3976">
        <v>12.58</v>
      </c>
      <c r="N3976">
        <v>30.52</v>
      </c>
      <c r="O3976" t="s">
        <v>19</v>
      </c>
      <c r="P3976" t="s">
        <v>1320</v>
      </c>
      <c r="Q3976" t="s">
        <v>19</v>
      </c>
      <c r="R3976" t="str">
        <f>HYPERLINK("https://cfpub.epa.gov/ecotox/explore.cfm?ncbi=7539","Explore in ECOTOX")</f>
        <v>Explore in ECOTOX</v>
      </c>
    </row>
    <row r="3977" spans="1:18" x14ac:dyDescent="0.45">
      <c r="A3977" t="s">
        <v>1265</v>
      </c>
      <c r="B3977">
        <v>8</v>
      </c>
      <c r="C3977" t="str">
        <f>HYPERLINK("http://www.ncbi.nlm.nih.gov/protein/XP_044728216.1","XP_044728216.1")</f>
        <v>XP_044728216.1</v>
      </c>
      <c r="D3977">
        <v>17743</v>
      </c>
      <c r="E3977" t="str">
        <f>HYPERLINK("http://www.ncbi.nlm.nih.gov/Taxonomy/Browser/wwwtax.cgi?mode=Info&amp;id=189513&amp;lvl=3&amp;lin=f&amp;keep=1&amp;srchmode=1&amp;unlock","189513")</f>
        <v>189513</v>
      </c>
      <c r="F3977" t="s">
        <v>760</v>
      </c>
      <c r="G3977" t="str">
        <f>HYPERLINK("http://www.ncbi.nlm.nih.gov/Taxonomy/Browser/wwwtax.cgi?mode=Info&amp;id=189513&amp;lvl=3&amp;lin=f&amp;keep=1&amp;srchmode=1&amp;unlock","Chrysoperla carnea")</f>
        <v>Chrysoperla carnea</v>
      </c>
      <c r="H3977" t="s">
        <v>860</v>
      </c>
      <c r="I3977" t="str">
        <f>HYPERLINK("http://www.ncbi.nlm.nih.gov/protein/XP_044728216.1","ryanodine receptor")</f>
        <v>ryanodine receptor</v>
      </c>
      <c r="J3977">
        <v>3101.23</v>
      </c>
      <c r="K3977" t="s">
        <v>22</v>
      </c>
      <c r="L3977">
        <v>76</v>
      </c>
      <c r="M3977">
        <v>12.58</v>
      </c>
      <c r="N3977">
        <v>30.52</v>
      </c>
      <c r="O3977" t="s">
        <v>19</v>
      </c>
      <c r="P3977" t="s">
        <v>1320</v>
      </c>
      <c r="Q3977" t="s">
        <v>19</v>
      </c>
      <c r="R3977" t="str">
        <f>HYPERLINK("https://cfpub.epa.gov/ecotox/explore.cfm?ncbi=189513","Explore in ECOTOX")</f>
        <v>Explore in ECOTOX</v>
      </c>
    </row>
    <row r="3978" spans="1:18" x14ac:dyDescent="0.45">
      <c r="A3978" t="s">
        <v>1265</v>
      </c>
      <c r="B3978">
        <v>8</v>
      </c>
      <c r="C3978" t="str">
        <f>HYPERLINK("http://www.ncbi.nlm.nih.gov/protein/XP_026469278.1","XP_026469278.1")</f>
        <v>XP_026469278.1</v>
      </c>
      <c r="D3978">
        <v>22320</v>
      </c>
      <c r="E3978" t="str">
        <f>HYPERLINK("http://www.ncbi.nlm.nih.gov/Taxonomy/Browser/wwwtax.cgi?mode=Info&amp;id=7515&amp;lvl=3&amp;lin=f&amp;keep=1&amp;srchmode=1&amp;unlock","7515")</f>
        <v>7515</v>
      </c>
      <c r="F3978" t="s">
        <v>760</v>
      </c>
      <c r="G3978" t="str">
        <f>HYPERLINK("http://www.ncbi.nlm.nih.gov/Taxonomy/Browser/wwwtax.cgi?mode=Info&amp;id=7515&amp;lvl=3&amp;lin=f&amp;keep=1&amp;srchmode=1&amp;unlock","Ctenocephalides felis")</f>
        <v>Ctenocephalides felis</v>
      </c>
      <c r="H3978" t="s">
        <v>764</v>
      </c>
      <c r="I3978" t="str">
        <f>HYPERLINK("http://www.ncbi.nlm.nih.gov/protein/XP_026469278.1","LOW QUALITY PROTEIN: ryanodine receptor-like")</f>
        <v>LOW QUALITY PROTEIN: ryanodine receptor-like</v>
      </c>
      <c r="J3978">
        <v>3099.3</v>
      </c>
      <c r="K3978" t="s">
        <v>22</v>
      </c>
      <c r="L3978">
        <v>76</v>
      </c>
      <c r="M3978">
        <v>12.58</v>
      </c>
      <c r="N3978">
        <v>30.5</v>
      </c>
      <c r="O3978" t="s">
        <v>19</v>
      </c>
      <c r="P3978" t="s">
        <v>1320</v>
      </c>
      <c r="Q3978" t="s">
        <v>19</v>
      </c>
      <c r="R3978" t="str">
        <f>HYPERLINK("https://cfpub.epa.gov/ecotox/explore.cfm?ncbi=7515","Explore in ECOTOX")</f>
        <v>Explore in ECOTOX</v>
      </c>
    </row>
    <row r="3979" spans="1:18" x14ac:dyDescent="0.45">
      <c r="A3979" t="s">
        <v>1265</v>
      </c>
      <c r="B3979">
        <v>8</v>
      </c>
      <c r="C3979" t="str">
        <f>HYPERLINK("http://www.ncbi.nlm.nih.gov/protein/XP_050444131.1","XP_050444131.1")</f>
        <v>XP_050444131.1</v>
      </c>
      <c r="D3979">
        <v>25067</v>
      </c>
      <c r="E3979" t="str">
        <f>HYPERLINK("http://www.ncbi.nlm.nih.gov/Taxonomy/Browser/wwwtax.cgi?mode=Info&amp;id=133065&amp;lvl=3&amp;lin=f&amp;keep=1&amp;srchmode=1&amp;unlock","133065")</f>
        <v>133065</v>
      </c>
      <c r="F3979" t="s">
        <v>760</v>
      </c>
      <c r="G3979" t="str">
        <f>HYPERLINK("http://www.ncbi.nlm.nih.gov/Taxonomy/Browser/wwwtax.cgi?mode=Info&amp;id=133065&amp;lvl=3&amp;lin=f&amp;keep=1&amp;srchmode=1&amp;unlock","Adelges cooleyi")</f>
        <v>Adelges cooleyi</v>
      </c>
      <c r="H3979" t="s">
        <v>858</v>
      </c>
      <c r="I3979" t="str">
        <f>HYPERLINK("http://www.ncbi.nlm.nih.gov/protein/XP_050444131.1","ryanodine receptor")</f>
        <v>ryanodine receptor</v>
      </c>
      <c r="J3979">
        <v>3098.92</v>
      </c>
      <c r="K3979" t="s">
        <v>22</v>
      </c>
      <c r="L3979">
        <v>76</v>
      </c>
      <c r="M3979">
        <v>12.58</v>
      </c>
      <c r="N3979">
        <v>30.5</v>
      </c>
      <c r="O3979" t="s">
        <v>19</v>
      </c>
      <c r="P3979" t="s">
        <v>1320</v>
      </c>
      <c r="Q3979" t="s">
        <v>19</v>
      </c>
      <c r="R3979" t="str">
        <f>HYPERLINK("https://cfpub.epa.gov/ecotox/explore.cfm?ncbi=133065","Explore in ECOTOX")</f>
        <v>Explore in ECOTOX</v>
      </c>
    </row>
    <row r="3980" spans="1:18" x14ac:dyDescent="0.45">
      <c r="A3980" t="s">
        <v>1265</v>
      </c>
      <c r="B3980">
        <v>8</v>
      </c>
      <c r="C3980" t="str">
        <f>HYPERLINK("http://www.ncbi.nlm.nih.gov/protein/CAG4975031.1","CAG4975031.1")</f>
        <v>CAG4975031.1</v>
      </c>
      <c r="D3980">
        <v>18219</v>
      </c>
      <c r="E3980" t="str">
        <f>HYPERLINK("http://www.ncbi.nlm.nih.gov/Taxonomy/Browser/wwwtax.cgi?mode=Info&amp;id=42296&amp;lvl=3&amp;lin=f&amp;keep=1&amp;srchmode=1&amp;unlock","42296")</f>
        <v>42296</v>
      </c>
      <c r="F3980" t="s">
        <v>760</v>
      </c>
      <c r="G3980" t="str">
        <f>HYPERLINK("http://www.ncbi.nlm.nih.gov/Taxonomy/Browser/wwwtax.cgi?mode=Info&amp;id=42296&amp;lvl=3&amp;lin=f&amp;keep=1&amp;srchmode=1&amp;unlock","Colias eurytheme")</f>
        <v>Colias eurytheme</v>
      </c>
      <c r="H3980" t="s">
        <v>871</v>
      </c>
      <c r="I3980" t="str">
        <f>HYPERLINK("http://www.ncbi.nlm.nih.gov/protein/CAG4975031.1","unnamed protein product")</f>
        <v>unnamed protein product</v>
      </c>
      <c r="J3980">
        <v>3094.68</v>
      </c>
      <c r="K3980" t="s">
        <v>22</v>
      </c>
      <c r="L3980">
        <v>76</v>
      </c>
      <c r="M3980">
        <v>12.58</v>
      </c>
      <c r="N3980">
        <v>30.46</v>
      </c>
      <c r="O3980" t="s">
        <v>19</v>
      </c>
      <c r="P3980" t="s">
        <v>1320</v>
      </c>
      <c r="Q3980" t="s">
        <v>19</v>
      </c>
      <c r="R3980" t="str">
        <f>HYPERLINK("https://cfpub.epa.gov/ecotox/explore.cfm?ncbi=42296","Explore in ECOTOX")</f>
        <v>Explore in ECOTOX</v>
      </c>
    </row>
    <row r="3981" spans="1:18" x14ac:dyDescent="0.45">
      <c r="A3981" t="s">
        <v>1265</v>
      </c>
      <c r="B3981">
        <v>8</v>
      </c>
      <c r="C3981" t="str">
        <f>HYPERLINK("http://www.ncbi.nlm.nih.gov/protein/XP_048731868.2","XP_048731868.2")</f>
        <v>XP_048731868.2</v>
      </c>
      <c r="D3981">
        <v>57629</v>
      </c>
      <c r="E3981" t="str">
        <f>HYPERLINK("http://www.ncbi.nlm.nih.gov/Taxonomy/Browser/wwwtax.cgi?mode=Info&amp;id=37623&amp;lvl=3&amp;lin=f&amp;keep=1&amp;srchmode=1&amp;unlock","37623")</f>
        <v>37623</v>
      </c>
      <c r="F3981" t="s">
        <v>833</v>
      </c>
      <c r="G3981" t="str">
        <f>HYPERLINK("http://www.ncbi.nlm.nih.gov/Taxonomy/Browser/wwwtax.cgi?mode=Info&amp;id=37623&amp;lvl=3&amp;lin=f&amp;keep=1&amp;srchmode=1&amp;unlock","Ostrea edulis")</f>
        <v>Ostrea edulis</v>
      </c>
      <c r="H3981" t="s">
        <v>834</v>
      </c>
      <c r="I3981" t="str">
        <f>HYPERLINK("http://www.ncbi.nlm.nih.gov/protein/XP_048731868.2","ryanodine receptor-like isoform X6")</f>
        <v>ryanodine receptor-like isoform X6</v>
      </c>
      <c r="J3981">
        <v>3093.91</v>
      </c>
      <c r="K3981" t="s">
        <v>22</v>
      </c>
      <c r="L3981">
        <v>76</v>
      </c>
      <c r="M3981">
        <v>12.58</v>
      </c>
      <c r="N3981">
        <v>30.45</v>
      </c>
      <c r="O3981" t="s">
        <v>19</v>
      </c>
      <c r="P3981" t="s">
        <v>1320</v>
      </c>
      <c r="Q3981" t="s">
        <v>19</v>
      </c>
      <c r="R3981" t="str">
        <f>HYPERLINK("https://cfpub.epa.gov/ecotox/explore.cfm?ncbi=37623","Explore in ECOTOX")</f>
        <v>Explore in ECOTOX</v>
      </c>
    </row>
    <row r="3982" spans="1:18" x14ac:dyDescent="0.45">
      <c r="A3982" t="s">
        <v>1265</v>
      </c>
      <c r="B3982">
        <v>8</v>
      </c>
      <c r="C3982" t="str">
        <f>HYPERLINK("http://www.ncbi.nlm.nih.gov/protein/XP_025425821.1","XP_025425821.1")</f>
        <v>XP_025425821.1</v>
      </c>
      <c r="D3982">
        <v>21324</v>
      </c>
      <c r="E3982" t="str">
        <f>HYPERLINK("http://www.ncbi.nlm.nih.gov/Taxonomy/Browser/wwwtax.cgi?mode=Info&amp;id=143950&amp;lvl=3&amp;lin=f&amp;keep=1&amp;srchmode=1&amp;unlock","143950")</f>
        <v>143950</v>
      </c>
      <c r="F3982" t="s">
        <v>760</v>
      </c>
      <c r="G3982" t="str">
        <f>HYPERLINK("http://www.ncbi.nlm.nih.gov/Taxonomy/Browser/wwwtax.cgi?mode=Info&amp;id=143950&amp;lvl=3&amp;lin=f&amp;keep=1&amp;srchmode=1&amp;unlock","Sipha flava")</f>
        <v>Sipha flava</v>
      </c>
      <c r="H3982" t="s">
        <v>857</v>
      </c>
      <c r="I3982" t="str">
        <f>HYPERLINK("http://www.ncbi.nlm.nih.gov/protein/XP_025425821.1","ryanodine receptor")</f>
        <v>ryanodine receptor</v>
      </c>
      <c r="J3982">
        <v>3092.75</v>
      </c>
      <c r="K3982" t="s">
        <v>22</v>
      </c>
      <c r="L3982">
        <v>76</v>
      </c>
      <c r="M3982">
        <v>12.58</v>
      </c>
      <c r="N3982">
        <v>30.44</v>
      </c>
      <c r="O3982" t="s">
        <v>19</v>
      </c>
      <c r="P3982" t="s">
        <v>1320</v>
      </c>
      <c r="Q3982" t="s">
        <v>19</v>
      </c>
      <c r="R3982" t="str">
        <f>HYPERLINK("https://cfpub.epa.gov/ecotox/explore.cfm?ncbi=143950","Explore in ECOTOX")</f>
        <v>Explore in ECOTOX</v>
      </c>
    </row>
    <row r="3983" spans="1:18" x14ac:dyDescent="0.45">
      <c r="A3983" t="s">
        <v>1265</v>
      </c>
      <c r="B3983">
        <v>8</v>
      </c>
      <c r="C3983" t="str">
        <f>HYPERLINK("http://www.ncbi.nlm.nih.gov/protein/XP_044271234.1","XP_044271234.1")</f>
        <v>XP_044271234.1</v>
      </c>
      <c r="D3983">
        <v>20584</v>
      </c>
      <c r="E3983" t="str">
        <f>HYPERLINK("http://www.ncbi.nlm.nih.gov/Taxonomy/Browser/wwwtax.cgi?mode=Info&amp;id=41895&amp;lvl=3&amp;lin=f&amp;keep=1&amp;srchmode=1&amp;unlock","41895")</f>
        <v>41895</v>
      </c>
      <c r="F3983" t="s">
        <v>760</v>
      </c>
      <c r="G3983" t="str">
        <f>HYPERLINK("http://www.ncbi.nlm.nih.gov/Taxonomy/Browser/wwwtax.cgi?mode=Info&amp;id=41895&amp;lvl=3&amp;lin=f&amp;keep=1&amp;srchmode=1&amp;unlock","Tribolium madens")</f>
        <v>Tribolium madens</v>
      </c>
      <c r="H3983" t="s">
        <v>877</v>
      </c>
      <c r="I3983" t="str">
        <f>HYPERLINK("http://www.ncbi.nlm.nih.gov/protein/XP_044271234.1","ryanodine receptor isoform X1")</f>
        <v>ryanodine receptor isoform X1</v>
      </c>
      <c r="J3983">
        <v>3090.83</v>
      </c>
      <c r="K3983" t="s">
        <v>22</v>
      </c>
      <c r="L3983">
        <v>76</v>
      </c>
      <c r="M3983">
        <v>12.58</v>
      </c>
      <c r="N3983">
        <v>30.42</v>
      </c>
      <c r="O3983" t="s">
        <v>19</v>
      </c>
      <c r="P3983" t="s">
        <v>1320</v>
      </c>
      <c r="Q3983" t="s">
        <v>19</v>
      </c>
      <c r="R3983" t="str">
        <f>HYPERLINK("https://cfpub.epa.gov/ecotox/explore.cfm?ncbi=41895","Explore in ECOTOX")</f>
        <v>Explore in ECOTOX</v>
      </c>
    </row>
    <row r="3984" spans="1:18" x14ac:dyDescent="0.45">
      <c r="A3984" t="s">
        <v>1265</v>
      </c>
      <c r="B3984">
        <v>8</v>
      </c>
      <c r="C3984" t="str">
        <f>HYPERLINK("http://www.ncbi.nlm.nih.gov/protein/XP_045540759.1","XP_045540759.1")</f>
        <v>XP_045540759.1</v>
      </c>
      <c r="D3984">
        <v>33909</v>
      </c>
      <c r="E3984" t="str">
        <f>HYPERLINK("http://www.ncbi.nlm.nih.gov/Taxonomy/Browser/wwwtax.cgi?mode=Info&amp;id=76193&amp;lvl=3&amp;lin=f&amp;keep=1&amp;srchmode=1&amp;unlock","76193")</f>
        <v>76193</v>
      </c>
      <c r="F3984" t="s">
        <v>760</v>
      </c>
      <c r="G3984" t="str">
        <f>HYPERLINK("http://www.ncbi.nlm.nih.gov/Taxonomy/Browser/wwwtax.cgi?mode=Info&amp;id=76193&amp;lvl=3&amp;lin=f&amp;keep=1&amp;srchmode=1&amp;unlock","Papilio machaon")</f>
        <v>Papilio machaon</v>
      </c>
      <c r="H3984" t="s">
        <v>895</v>
      </c>
      <c r="I3984" t="str">
        <f>HYPERLINK("http://www.ncbi.nlm.nih.gov/protein/XP_045540759.1","ryanodine receptor isoform X11")</f>
        <v>ryanodine receptor isoform X11</v>
      </c>
      <c r="J3984">
        <v>3090.83</v>
      </c>
      <c r="K3984" t="s">
        <v>22</v>
      </c>
      <c r="L3984">
        <v>76</v>
      </c>
      <c r="M3984">
        <v>12.58</v>
      </c>
      <c r="N3984">
        <v>30.42</v>
      </c>
      <c r="O3984" t="s">
        <v>19</v>
      </c>
      <c r="P3984" t="s">
        <v>1320</v>
      </c>
      <c r="Q3984" t="s">
        <v>19</v>
      </c>
      <c r="R3984" t="str">
        <f>HYPERLINK("https://cfpub.epa.gov/ecotox/explore.cfm?ncbi=76193","Explore in ECOTOX")</f>
        <v>Explore in ECOTOX</v>
      </c>
    </row>
    <row r="3985" spans="1:18" x14ac:dyDescent="0.45">
      <c r="A3985" t="s">
        <v>1265</v>
      </c>
      <c r="B3985">
        <v>8</v>
      </c>
      <c r="C3985" t="str">
        <f>HYPERLINK("http://www.ncbi.nlm.nih.gov/protein/XP_045485472.1","XP_045485472.1")</f>
        <v>XP_045485472.1</v>
      </c>
      <c r="D3985">
        <v>21694</v>
      </c>
      <c r="E3985" t="str">
        <f>HYPERLINK("http://www.ncbi.nlm.nih.gov/Taxonomy/Browser/wwwtax.cgi?mode=Info&amp;id=64459&amp;lvl=3&amp;lin=f&amp;keep=1&amp;srchmode=1&amp;unlock","64459")</f>
        <v>64459</v>
      </c>
      <c r="F3985" t="s">
        <v>760</v>
      </c>
      <c r="G3985" t="str">
        <f>HYPERLINK("http://www.ncbi.nlm.nih.gov/Taxonomy/Browser/wwwtax.cgi?mode=Info&amp;id=64459&amp;lvl=3&amp;lin=f&amp;keep=1&amp;srchmode=1&amp;unlock","Pieris rapae")</f>
        <v>Pieris rapae</v>
      </c>
      <c r="H3985" t="s">
        <v>882</v>
      </c>
      <c r="I3985" t="str">
        <f>HYPERLINK("http://www.ncbi.nlm.nih.gov/protein/XP_045485472.1","ryanodine receptor isoform X2")</f>
        <v>ryanodine receptor isoform X2</v>
      </c>
      <c r="J3985">
        <v>3090.06</v>
      </c>
      <c r="K3985" t="s">
        <v>22</v>
      </c>
      <c r="L3985">
        <v>76</v>
      </c>
      <c r="M3985">
        <v>12.58</v>
      </c>
      <c r="N3985">
        <v>30.41</v>
      </c>
      <c r="O3985" t="s">
        <v>19</v>
      </c>
      <c r="P3985" t="s">
        <v>1320</v>
      </c>
      <c r="Q3985" t="s">
        <v>19</v>
      </c>
      <c r="R3985" t="str">
        <f>HYPERLINK("https://cfpub.epa.gov/ecotox/explore.cfm?ncbi=64459","Explore in ECOTOX")</f>
        <v>Explore in ECOTOX</v>
      </c>
    </row>
    <row r="3986" spans="1:18" x14ac:dyDescent="0.45">
      <c r="A3986" t="s">
        <v>1265</v>
      </c>
      <c r="B3986">
        <v>8</v>
      </c>
      <c r="C3986" t="str">
        <f>HYPERLINK("http://www.ncbi.nlm.nih.gov/protein/CAG4996266.1","CAG4996266.1")</f>
        <v>CAG4996266.1</v>
      </c>
      <c r="D3986">
        <v>30345</v>
      </c>
      <c r="E3986" t="str">
        <f>HYPERLINK("http://www.ncbi.nlm.nih.gov/Taxonomy/Browser/wwwtax.cgi?mode=Info&amp;id=110799&amp;lvl=3&amp;lin=f&amp;keep=1&amp;srchmode=1&amp;unlock","110799")</f>
        <v>110799</v>
      </c>
      <c r="F3986" t="s">
        <v>760</v>
      </c>
      <c r="G3986" t="str">
        <f>HYPERLINK("http://www.ncbi.nlm.nih.gov/Taxonomy/Browser/wwwtax.cgi?mode=Info&amp;id=110799&amp;lvl=3&amp;lin=f&amp;keep=1&amp;srchmode=1&amp;unlock","Parnassius apollo")</f>
        <v>Parnassius apollo</v>
      </c>
      <c r="H3986" t="s">
        <v>870</v>
      </c>
      <c r="I3986" t="str">
        <f>HYPERLINK("http://www.ncbi.nlm.nih.gov/protein/CAG4996266.1","unnamed protein product")</f>
        <v>unnamed protein product</v>
      </c>
      <c r="J3986">
        <v>3090.06</v>
      </c>
      <c r="K3986" t="s">
        <v>22</v>
      </c>
      <c r="L3986">
        <v>76</v>
      </c>
      <c r="M3986">
        <v>12.58</v>
      </c>
      <c r="N3986">
        <v>30.41</v>
      </c>
      <c r="O3986" t="s">
        <v>19</v>
      </c>
      <c r="P3986" t="s">
        <v>1320</v>
      </c>
      <c r="Q3986" t="s">
        <v>19</v>
      </c>
      <c r="R3986" t="str">
        <f>HYPERLINK("https://cfpub.epa.gov/ecotox/explore.cfm?ncbi=110799","Explore in ECOTOX")</f>
        <v>Explore in ECOTOX</v>
      </c>
    </row>
    <row r="3987" spans="1:18" x14ac:dyDescent="0.45">
      <c r="A3987" t="s">
        <v>1265</v>
      </c>
      <c r="B3987">
        <v>8</v>
      </c>
      <c r="C3987" t="str">
        <f>HYPERLINK("http://www.ncbi.nlm.nih.gov/protein/CAH0403750.1","CAH0403750.1")</f>
        <v>CAH0403750.1</v>
      </c>
      <c r="D3987">
        <v>29557</v>
      </c>
      <c r="E3987" t="str">
        <f>HYPERLINK("http://www.ncbi.nlm.nih.gov/Taxonomy/Browser/wwwtax.cgi?mode=Info&amp;id=168631&amp;lvl=3&amp;lin=f&amp;keep=1&amp;srchmode=1&amp;unlock","168631")</f>
        <v>168631</v>
      </c>
      <c r="F3987" t="s">
        <v>760</v>
      </c>
      <c r="G3987" t="str">
        <f>HYPERLINK("http://www.ncbi.nlm.nih.gov/Taxonomy/Browser/wwwtax.cgi?mode=Info&amp;id=168631&amp;lvl=3&amp;lin=f&amp;keep=1&amp;srchmode=1&amp;unlock","Chilo suppressalis")</f>
        <v>Chilo suppressalis</v>
      </c>
      <c r="H3987" t="s">
        <v>898</v>
      </c>
      <c r="I3987" t="str">
        <f>HYPERLINK("http://www.ncbi.nlm.nih.gov/protein/CAH0403750.1","unnamed protein product")</f>
        <v>unnamed protein product</v>
      </c>
      <c r="J3987">
        <v>3089.29</v>
      </c>
      <c r="K3987" t="s">
        <v>22</v>
      </c>
      <c r="L3987">
        <v>76</v>
      </c>
      <c r="M3987">
        <v>12.58</v>
      </c>
      <c r="N3987">
        <v>30.4</v>
      </c>
      <c r="O3987" t="s">
        <v>19</v>
      </c>
      <c r="P3987" t="s">
        <v>1320</v>
      </c>
      <c r="Q3987" t="s">
        <v>19</v>
      </c>
      <c r="R3987" t="str">
        <f>HYPERLINK("https://cfpub.epa.gov/ecotox/explore.cfm?ncbi=168631","Explore in ECOTOX")</f>
        <v>Explore in ECOTOX</v>
      </c>
    </row>
    <row r="3988" spans="1:18" x14ac:dyDescent="0.45">
      <c r="A3988" t="s">
        <v>1265</v>
      </c>
      <c r="B3988">
        <v>8</v>
      </c>
      <c r="C3988" t="str">
        <f>HYPERLINK("http://www.ncbi.nlm.nih.gov/protein/CAH4037531.1","CAH4037531.1")</f>
        <v>CAH4037531.1</v>
      </c>
      <c r="D3988">
        <v>38704</v>
      </c>
      <c r="E3988" t="str">
        <f>HYPERLINK("http://www.ncbi.nlm.nih.gov/Taxonomy/Browser/wwwtax.cgi?mode=Info&amp;id=7116&amp;lvl=3&amp;lin=f&amp;keep=1&amp;srchmode=1&amp;unlock","7116")</f>
        <v>7116</v>
      </c>
      <c r="F3988" t="s">
        <v>760</v>
      </c>
      <c r="G3988" t="str">
        <f>HYPERLINK("http://www.ncbi.nlm.nih.gov/Taxonomy/Browser/wwwtax.cgi?mode=Info&amp;id=7116&amp;lvl=3&amp;lin=f&amp;keep=1&amp;srchmode=1&amp;unlock","Pieris brassicae")</f>
        <v>Pieris brassicae</v>
      </c>
      <c r="H3988" t="s">
        <v>873</v>
      </c>
      <c r="I3988" t="str">
        <f>HYPERLINK("http://www.ncbi.nlm.nih.gov/protein/CAH4037531.1","unnamed protein product")</f>
        <v>unnamed protein product</v>
      </c>
      <c r="J3988">
        <v>3088.9</v>
      </c>
      <c r="K3988" t="s">
        <v>22</v>
      </c>
      <c r="L3988">
        <v>76</v>
      </c>
      <c r="M3988">
        <v>12.58</v>
      </c>
      <c r="N3988">
        <v>30.4</v>
      </c>
      <c r="O3988" t="s">
        <v>19</v>
      </c>
      <c r="P3988" t="s">
        <v>1320</v>
      </c>
      <c r="Q3988" t="s">
        <v>19</v>
      </c>
      <c r="R3988" t="str">
        <f>HYPERLINK("https://cfpub.epa.gov/ecotox/explore.cfm?ncbi=7116","Explore in ECOTOX")</f>
        <v>Explore in ECOTOX</v>
      </c>
    </row>
    <row r="3989" spans="1:18" x14ac:dyDescent="0.45">
      <c r="A3989" t="s">
        <v>1265</v>
      </c>
      <c r="B3989">
        <v>8</v>
      </c>
      <c r="C3989" t="str">
        <f>HYPERLINK("http://www.ncbi.nlm.nih.gov/protein/QCQ73687.1","QCQ73687.1")</f>
        <v>QCQ73687.1</v>
      </c>
      <c r="D3989">
        <v>18032</v>
      </c>
      <c r="E3989" t="str">
        <f>HYPERLINK("http://www.ncbi.nlm.nih.gov/Taxonomy/Browser/wwwtax.cgi?mode=Info&amp;id=271217&amp;lvl=3&amp;lin=f&amp;keep=1&amp;srchmode=1&amp;unlock","271217")</f>
        <v>271217</v>
      </c>
      <c r="F3989" t="s">
        <v>760</v>
      </c>
      <c r="G3989" t="str">
        <f>HYPERLINK("http://www.ncbi.nlm.nih.gov/Taxonomy/Browser/wwwtax.cgi?mode=Info&amp;id=271217&amp;lvl=3&amp;lin=f&amp;keep=1&amp;srchmode=1&amp;unlock","Mythimna separata")</f>
        <v>Mythimna separata</v>
      </c>
      <c r="H3989" t="s">
        <v>889</v>
      </c>
      <c r="I3989" t="str">
        <f>HYPERLINK("http://www.ncbi.nlm.nih.gov/protein/QCQ73687.1","ryanodine receptor")</f>
        <v>ryanodine receptor</v>
      </c>
      <c r="J3989">
        <v>3086.98</v>
      </c>
      <c r="K3989" t="s">
        <v>22</v>
      </c>
      <c r="L3989">
        <v>76</v>
      </c>
      <c r="M3989">
        <v>12.58</v>
      </c>
      <c r="N3989">
        <v>30.38</v>
      </c>
      <c r="O3989" t="s">
        <v>19</v>
      </c>
      <c r="P3989" t="s">
        <v>1320</v>
      </c>
      <c r="Q3989" t="s">
        <v>19</v>
      </c>
      <c r="R3989" t="str">
        <f>HYPERLINK("https://cfpub.epa.gov/ecotox/explore.cfm?ncbi=271217","Explore in ECOTOX")</f>
        <v>Explore in ECOTOX</v>
      </c>
    </row>
    <row r="3990" spans="1:18" x14ac:dyDescent="0.45">
      <c r="A3990" t="s">
        <v>1265</v>
      </c>
      <c r="B3990">
        <v>8</v>
      </c>
      <c r="C3990" t="str">
        <f>HYPERLINK("http://www.ncbi.nlm.nih.gov/protein/WCC58829.1","WCC58829.1")</f>
        <v>WCC58829.1</v>
      </c>
      <c r="D3990">
        <v>157</v>
      </c>
      <c r="E3990" t="str">
        <f>HYPERLINK("http://www.ncbi.nlm.nih.gov/Taxonomy/Browser/wwwtax.cgi?mode=Info&amp;id=1651263&amp;lvl=3&amp;lin=f&amp;keep=1&amp;srchmode=1&amp;unlock","1651263")</f>
        <v>1651263</v>
      </c>
      <c r="F3990" t="s">
        <v>760</v>
      </c>
      <c r="G3990" t="str">
        <f>HYPERLINK("http://www.ncbi.nlm.nih.gov/Taxonomy/Browser/wwwtax.cgi?mode=Info&amp;id=1651263&amp;lvl=3&amp;lin=f&amp;keep=1&amp;srchmode=1&amp;unlock","Galeruca daurica")</f>
        <v>Galeruca daurica</v>
      </c>
      <c r="H3990" t="s">
        <v>876</v>
      </c>
      <c r="I3990" t="str">
        <f>HYPERLINK("http://www.ncbi.nlm.nih.gov/protein/WCC58829.1","ryanodine receptor")</f>
        <v>ryanodine receptor</v>
      </c>
      <c r="J3990">
        <v>3086.59</v>
      </c>
      <c r="K3990" t="s">
        <v>22</v>
      </c>
      <c r="L3990">
        <v>76</v>
      </c>
      <c r="M3990">
        <v>12.58</v>
      </c>
      <c r="N3990">
        <v>30.38</v>
      </c>
      <c r="O3990" t="s">
        <v>19</v>
      </c>
      <c r="P3990" t="s">
        <v>1320</v>
      </c>
      <c r="Q3990" t="s">
        <v>19</v>
      </c>
      <c r="R3990" t="str">
        <f>HYPERLINK("https://cfpub.epa.gov/ecotox/explore.cfm?ncbi=1651263","Explore in ECOTOX")</f>
        <v>Explore in ECOTOX</v>
      </c>
    </row>
    <row r="3991" spans="1:18" x14ac:dyDescent="0.45">
      <c r="A3991" t="s">
        <v>1265</v>
      </c>
      <c r="B3991">
        <v>8</v>
      </c>
      <c r="C3991" t="str">
        <f>HYPERLINK("http://www.ncbi.nlm.nih.gov/protein/KAG5899242.1","KAG5899242.1")</f>
        <v>KAG5899242.1</v>
      </c>
      <c r="D3991">
        <v>40594</v>
      </c>
      <c r="E3991" t="str">
        <f>HYPERLINK("http://www.ncbi.nlm.nih.gov/Taxonomy/Browser/wwwtax.cgi?mode=Info&amp;id=63699&amp;lvl=3&amp;lin=f&amp;keep=1&amp;srchmode=1&amp;unlock","63699")</f>
        <v>63699</v>
      </c>
      <c r="F3991" t="s">
        <v>760</v>
      </c>
      <c r="G3991" t="str">
        <f>HYPERLINK("http://www.ncbi.nlm.nih.gov/Taxonomy/Browser/wwwtax.cgi?mode=Info&amp;id=63699&amp;lvl=3&amp;lin=f&amp;keep=1&amp;srchmode=1&amp;unlock","Gonioctena quinquepunctata")</f>
        <v>Gonioctena quinquepunctata</v>
      </c>
      <c r="H3991" t="s">
        <v>876</v>
      </c>
      <c r="I3991" t="str">
        <f>HYPERLINK("http://www.ncbi.nlm.nih.gov/protein/KAG5899242.1","hypothetical protein JTB14_035422")</f>
        <v>hypothetical protein JTB14_035422</v>
      </c>
      <c r="J3991">
        <v>3084.66</v>
      </c>
      <c r="K3991" t="s">
        <v>22</v>
      </c>
      <c r="L3991">
        <v>76</v>
      </c>
      <c r="M3991">
        <v>12.58</v>
      </c>
      <c r="N3991">
        <v>30.36</v>
      </c>
      <c r="O3991" t="s">
        <v>19</v>
      </c>
      <c r="P3991" t="s">
        <v>1320</v>
      </c>
      <c r="Q3991" t="s">
        <v>19</v>
      </c>
      <c r="R3991" t="str">
        <f>HYPERLINK("https://cfpub.epa.gov/ecotox/explore.cfm?ncbi=63699","Explore in ECOTOX")</f>
        <v>Explore in ECOTOX</v>
      </c>
    </row>
    <row r="3992" spans="1:18" x14ac:dyDescent="0.45">
      <c r="A3992" t="s">
        <v>1265</v>
      </c>
      <c r="B3992">
        <v>8</v>
      </c>
      <c r="C3992" t="str">
        <f>HYPERLINK("http://www.ncbi.nlm.nih.gov/protein/XP_056631715.1","XP_056631715.1")</f>
        <v>XP_056631715.1</v>
      </c>
      <c r="D3992">
        <v>19716</v>
      </c>
      <c r="E3992" t="str">
        <f>HYPERLINK("http://www.ncbi.nlm.nih.gov/Taxonomy/Browser/wwwtax.cgi?mode=Info&amp;id=1163346&amp;lvl=3&amp;lin=f&amp;keep=1&amp;srchmode=1&amp;unlock","1163346")</f>
        <v>1163346</v>
      </c>
      <c r="F3992" t="s">
        <v>760</v>
      </c>
      <c r="G3992" t="str">
        <f>HYPERLINK("http://www.ncbi.nlm.nih.gov/Taxonomy/Browser/wwwtax.cgi?mode=Info&amp;id=1163346&amp;lvl=3&amp;lin=f&amp;keep=1&amp;srchmode=1&amp;unlock","Diorhabda sublineata")</f>
        <v>Diorhabda sublineata</v>
      </c>
      <c r="H3992" t="s">
        <v>876</v>
      </c>
      <c r="I3992" t="str">
        <f>HYPERLINK("http://www.ncbi.nlm.nih.gov/protein/XP_056631715.1","ryanodine receptor isoform X13")</f>
        <v>ryanodine receptor isoform X13</v>
      </c>
      <c r="J3992">
        <v>3083.89</v>
      </c>
      <c r="K3992" t="s">
        <v>22</v>
      </c>
      <c r="L3992">
        <v>76</v>
      </c>
      <c r="M3992">
        <v>12.58</v>
      </c>
      <c r="N3992">
        <v>30.35</v>
      </c>
      <c r="O3992" t="s">
        <v>19</v>
      </c>
      <c r="P3992" t="s">
        <v>1320</v>
      </c>
      <c r="Q3992" t="s">
        <v>19</v>
      </c>
      <c r="R3992" t="str">
        <f>HYPERLINK("https://cfpub.epa.gov/ecotox/explore.cfm?ncbi=1163346","Explore in ECOTOX")</f>
        <v>Explore in ECOTOX</v>
      </c>
    </row>
    <row r="3993" spans="1:18" x14ac:dyDescent="0.45">
      <c r="A3993" t="s">
        <v>1265</v>
      </c>
      <c r="B3993">
        <v>8</v>
      </c>
      <c r="C3993" t="str">
        <f>HYPERLINK("http://www.ncbi.nlm.nih.gov/protein/XP_039761400.1","XP_039761400.1")</f>
        <v>XP_039761400.1</v>
      </c>
      <c r="D3993">
        <v>21135</v>
      </c>
      <c r="E3993" t="str">
        <f>HYPERLINK("http://www.ncbi.nlm.nih.gov/Taxonomy/Browser/wwwtax.cgi?mode=Info&amp;id=116150&amp;lvl=3&amp;lin=f&amp;keep=1&amp;srchmode=1&amp;unlock","116150")</f>
        <v>116150</v>
      </c>
      <c r="F3993" t="s">
        <v>760</v>
      </c>
      <c r="G3993" t="str">
        <f>HYPERLINK("http://www.ncbi.nlm.nih.gov/Taxonomy/Browser/wwwtax.cgi?mode=Info&amp;id=116150&amp;lvl=3&amp;lin=f&amp;keep=1&amp;srchmode=1&amp;unlock","Pararge aegeria")</f>
        <v>Pararge aegeria</v>
      </c>
      <c r="H3993" t="s">
        <v>894</v>
      </c>
      <c r="I3993" t="str">
        <f>HYPERLINK("http://www.ncbi.nlm.nih.gov/protein/XP_039761400.1","ryanodine receptor isoform X18")</f>
        <v>ryanodine receptor isoform X18</v>
      </c>
      <c r="J3993">
        <v>3083.89</v>
      </c>
      <c r="K3993" t="s">
        <v>22</v>
      </c>
      <c r="L3993">
        <v>76</v>
      </c>
      <c r="M3993">
        <v>12.58</v>
      </c>
      <c r="N3993">
        <v>30.35</v>
      </c>
      <c r="O3993" t="s">
        <v>19</v>
      </c>
      <c r="P3993" t="s">
        <v>1320</v>
      </c>
      <c r="Q3993" t="s">
        <v>19</v>
      </c>
      <c r="R3993" t="str">
        <f>HYPERLINK("https://cfpub.epa.gov/ecotox/explore.cfm?ncbi=116150","Explore in ECOTOX")</f>
        <v>Explore in ECOTOX</v>
      </c>
    </row>
    <row r="3994" spans="1:18" x14ac:dyDescent="0.45">
      <c r="A3994" t="s">
        <v>1265</v>
      </c>
      <c r="B3994">
        <v>8</v>
      </c>
      <c r="C3994" t="str">
        <f>HYPERLINK("http://www.ncbi.nlm.nih.gov/protein/KAJ8708052.1","KAJ8708052.1")</f>
        <v>KAJ8708052.1</v>
      </c>
      <c r="D3994">
        <v>16982</v>
      </c>
      <c r="E3994" t="str">
        <f>HYPERLINK("http://www.ncbi.nlm.nih.gov/Taxonomy/Browser/wwwtax.cgi?mode=Info&amp;id=667449&amp;lvl=3&amp;lin=f&amp;keep=1&amp;srchmode=1&amp;unlock","667449")</f>
        <v>667449</v>
      </c>
      <c r="F3994" t="s">
        <v>760</v>
      </c>
      <c r="G3994" t="str">
        <f>HYPERLINK("http://www.ncbi.nlm.nih.gov/Taxonomy/Browser/wwwtax.cgi?mode=Info&amp;id=667449&amp;lvl=3&amp;lin=f&amp;keep=1&amp;srchmode=1&amp;unlock","Mythimna loreyi")</f>
        <v>Mythimna loreyi</v>
      </c>
      <c r="H3994" t="s">
        <v>883</v>
      </c>
      <c r="I3994" t="str">
        <f>HYPERLINK("http://www.ncbi.nlm.nih.gov/protein/KAJ8708052.1","hypothetical protein PYW08_010418")</f>
        <v>hypothetical protein PYW08_010418</v>
      </c>
      <c r="J3994">
        <v>3083.51</v>
      </c>
      <c r="K3994" t="s">
        <v>22</v>
      </c>
      <c r="L3994">
        <v>76</v>
      </c>
      <c r="M3994">
        <v>12.58</v>
      </c>
      <c r="N3994">
        <v>30.35</v>
      </c>
      <c r="O3994" t="s">
        <v>19</v>
      </c>
      <c r="P3994" t="s">
        <v>1320</v>
      </c>
      <c r="Q3994" t="s">
        <v>19</v>
      </c>
      <c r="R3994" t="str">
        <f>HYPERLINK("https://cfpub.epa.gov/ecotox/explore.cfm?ncbi=667449","Explore in ECOTOX")</f>
        <v>Explore in ECOTOX</v>
      </c>
    </row>
    <row r="3995" spans="1:18" x14ac:dyDescent="0.45">
      <c r="A3995" t="s">
        <v>1265</v>
      </c>
      <c r="B3995">
        <v>8</v>
      </c>
      <c r="C3995" t="str">
        <f>HYPERLINK("http://www.ncbi.nlm.nih.gov/protein/XP_052743061.1","XP_052743061.1")</f>
        <v>XP_052743061.1</v>
      </c>
      <c r="D3995">
        <v>22148</v>
      </c>
      <c r="E3995" t="str">
        <f>HYPERLINK("http://www.ncbi.nlm.nih.gov/Taxonomy/Browser/wwwtax.cgi?mode=Info&amp;id=110368&amp;lvl=3&amp;lin=f&amp;keep=1&amp;srchmode=1&amp;unlock","110368")</f>
        <v>110368</v>
      </c>
      <c r="F3995" t="s">
        <v>760</v>
      </c>
      <c r="G3995" t="str">
        <f>HYPERLINK("http://www.ncbi.nlm.nih.gov/Taxonomy/Browser/wwwtax.cgi?mode=Info&amp;id=110368&amp;lvl=3&amp;lin=f&amp;keep=1&amp;srchmode=1&amp;unlock","Bicyclus anynana")</f>
        <v>Bicyclus anynana</v>
      </c>
      <c r="H3995" t="s">
        <v>767</v>
      </c>
      <c r="I3995" t="str">
        <f>HYPERLINK("http://www.ncbi.nlm.nih.gov/protein/XP_052743061.1","ryanodine receptor isoform X13")</f>
        <v>ryanodine receptor isoform X13</v>
      </c>
      <c r="J3995">
        <v>3082.74</v>
      </c>
      <c r="K3995" t="s">
        <v>22</v>
      </c>
      <c r="L3995">
        <v>76</v>
      </c>
      <c r="M3995">
        <v>12.58</v>
      </c>
      <c r="N3995">
        <v>30.34</v>
      </c>
      <c r="O3995" t="s">
        <v>19</v>
      </c>
      <c r="P3995" t="s">
        <v>1320</v>
      </c>
      <c r="Q3995" t="s">
        <v>19</v>
      </c>
      <c r="R3995" t="str">
        <f>HYPERLINK("https://cfpub.epa.gov/ecotox/explore.cfm?ncbi=110368","Explore in ECOTOX")</f>
        <v>Explore in ECOTOX</v>
      </c>
    </row>
    <row r="3996" spans="1:18" x14ac:dyDescent="0.45">
      <c r="A3996" t="s">
        <v>1265</v>
      </c>
      <c r="B3996">
        <v>8</v>
      </c>
      <c r="C3996" t="str">
        <f>HYPERLINK("http://www.ncbi.nlm.nih.gov/protein/XP_057661319.1","XP_057661319.1")</f>
        <v>XP_057661319.1</v>
      </c>
      <c r="D3996">
        <v>22127</v>
      </c>
      <c r="E3996" t="str">
        <f>HYPERLINK("http://www.ncbi.nlm.nih.gov/Taxonomy/Browser/wwwtax.cgi?mode=Info&amp;id=1163345&amp;lvl=3&amp;lin=f&amp;keep=1&amp;srchmode=1&amp;unlock","1163345")</f>
        <v>1163345</v>
      </c>
      <c r="F3996" t="s">
        <v>760</v>
      </c>
      <c r="G3996" t="str">
        <f>HYPERLINK("http://www.ncbi.nlm.nih.gov/Taxonomy/Browser/wwwtax.cgi?mode=Info&amp;id=1163345&amp;lvl=3&amp;lin=f&amp;keep=1&amp;srchmode=1&amp;unlock","Diorhabda carinulata")</f>
        <v>Diorhabda carinulata</v>
      </c>
      <c r="H3996" t="s">
        <v>876</v>
      </c>
      <c r="I3996" t="str">
        <f>HYPERLINK("http://www.ncbi.nlm.nih.gov/protein/XP_057661319.1","ryanodine receptor isoform X14")</f>
        <v>ryanodine receptor isoform X14</v>
      </c>
      <c r="J3996">
        <v>3082.35</v>
      </c>
      <c r="K3996" t="s">
        <v>22</v>
      </c>
      <c r="L3996">
        <v>76</v>
      </c>
      <c r="M3996">
        <v>12.58</v>
      </c>
      <c r="N3996">
        <v>30.34</v>
      </c>
      <c r="O3996" t="s">
        <v>19</v>
      </c>
      <c r="P3996" t="s">
        <v>1320</v>
      </c>
      <c r="Q3996" t="s">
        <v>19</v>
      </c>
      <c r="R3996" t="str">
        <f>HYPERLINK("https://cfpub.epa.gov/ecotox/explore.cfm?ncbi=1163345","Explore in ECOTOX")</f>
        <v>Explore in ECOTOX</v>
      </c>
    </row>
    <row r="3997" spans="1:18" x14ac:dyDescent="0.45">
      <c r="A3997" t="s">
        <v>1265</v>
      </c>
      <c r="B3997">
        <v>8</v>
      </c>
      <c r="C3997" t="str">
        <f>HYPERLINK("http://www.ncbi.nlm.nih.gov/protein/XP_013178494.1","XP_013178494.1")</f>
        <v>XP_013178494.1</v>
      </c>
      <c r="D3997">
        <v>37671</v>
      </c>
      <c r="E3997" t="str">
        <f>HYPERLINK("http://www.ncbi.nlm.nih.gov/Taxonomy/Browser/wwwtax.cgi?mode=Info&amp;id=66420&amp;lvl=3&amp;lin=f&amp;keep=1&amp;srchmode=1&amp;unlock","66420")</f>
        <v>66420</v>
      </c>
      <c r="F3997" t="s">
        <v>760</v>
      </c>
      <c r="G3997" t="str">
        <f>HYPERLINK("http://www.ncbi.nlm.nih.gov/Taxonomy/Browser/wwwtax.cgi?mode=Info&amp;id=66420&amp;lvl=3&amp;lin=f&amp;keep=1&amp;srchmode=1&amp;unlock","Papilio xuthus")</f>
        <v>Papilio xuthus</v>
      </c>
      <c r="H3997" t="s">
        <v>907</v>
      </c>
      <c r="I3997" t="str">
        <f>HYPERLINK("http://www.ncbi.nlm.nih.gov/protein/XP_013178494.1","PREDICTED: ryanodine receptor 44F isoform X2")</f>
        <v>PREDICTED: ryanodine receptor 44F isoform X2</v>
      </c>
      <c r="J3997">
        <v>3081.58</v>
      </c>
      <c r="K3997" t="s">
        <v>22</v>
      </c>
      <c r="L3997">
        <v>76</v>
      </c>
      <c r="M3997">
        <v>12.58</v>
      </c>
      <c r="N3997">
        <v>30.33</v>
      </c>
      <c r="O3997" t="s">
        <v>19</v>
      </c>
      <c r="P3997" t="s">
        <v>1320</v>
      </c>
      <c r="Q3997" t="s">
        <v>19</v>
      </c>
      <c r="R3997" t="str">
        <f>HYPERLINK("https://cfpub.epa.gov/ecotox/explore.cfm?ncbi=66420","Explore in ECOTOX")</f>
        <v>Explore in ECOTOX</v>
      </c>
    </row>
    <row r="3998" spans="1:18" x14ac:dyDescent="0.45">
      <c r="A3998" t="s">
        <v>1265</v>
      </c>
      <c r="B3998">
        <v>8</v>
      </c>
      <c r="C3998" t="str">
        <f>HYPERLINK("http://www.ncbi.nlm.nih.gov/protein/XP_050531213.1","XP_050531213.1")</f>
        <v>XP_050531213.1</v>
      </c>
      <c r="D3998">
        <v>29825</v>
      </c>
      <c r="E3998" t="str">
        <f>HYPERLINK("http://www.ncbi.nlm.nih.gov/Taxonomy/Browser/wwwtax.cgi?mode=Info&amp;id=58002&amp;lvl=3&amp;lin=f&amp;keep=1&amp;srchmode=1&amp;unlock","58002")</f>
        <v>58002</v>
      </c>
      <c r="F3998" t="s">
        <v>760</v>
      </c>
      <c r="G3998" t="str">
        <f>HYPERLINK("http://www.ncbi.nlm.nih.gov/Taxonomy/Browser/wwwtax.cgi?mode=Info&amp;id=58002&amp;lvl=3&amp;lin=f&amp;keep=1&amp;srchmode=1&amp;unlock","Daktulosphaira vitifoliae")</f>
        <v>Daktulosphaira vitifoliae</v>
      </c>
      <c r="H3998" t="s">
        <v>856</v>
      </c>
      <c r="I3998" t="str">
        <f>HYPERLINK("http://www.ncbi.nlm.nih.gov/protein/XP_050531213.1","ryanodine receptor isoform X1")</f>
        <v>ryanodine receptor isoform X1</v>
      </c>
      <c r="J3998">
        <v>3080.81</v>
      </c>
      <c r="K3998" t="s">
        <v>22</v>
      </c>
      <c r="L3998">
        <v>76</v>
      </c>
      <c r="M3998">
        <v>12.58</v>
      </c>
      <c r="N3998">
        <v>30.32</v>
      </c>
      <c r="O3998" t="s">
        <v>19</v>
      </c>
      <c r="P3998" t="s">
        <v>1320</v>
      </c>
      <c r="Q3998" t="s">
        <v>19</v>
      </c>
      <c r="R3998" t="str">
        <f>HYPERLINK("https://cfpub.epa.gov/ecotox/explore.cfm?ncbi=58002","Explore in ECOTOX")</f>
        <v>Explore in ECOTOX</v>
      </c>
    </row>
    <row r="3999" spans="1:18" x14ac:dyDescent="0.45">
      <c r="A3999" t="s">
        <v>1265</v>
      </c>
      <c r="B3999">
        <v>8</v>
      </c>
      <c r="C3999" t="str">
        <f>HYPERLINK("http://www.ncbi.nlm.nih.gov/protein/AHN16453.1","AHN16453.1")</f>
        <v>AHN16453.1</v>
      </c>
      <c r="D3999">
        <v>306</v>
      </c>
      <c r="E3999" t="str">
        <f>HYPERLINK("http://www.ncbi.nlm.nih.gov/Taxonomy/Browser/wwwtax.cgi?mode=Info&amp;id=252295&amp;lvl=3&amp;lin=f&amp;keep=1&amp;srchmode=1&amp;unlock","252295")</f>
        <v>252295</v>
      </c>
      <c r="F3999" t="s">
        <v>760</v>
      </c>
      <c r="G3999" t="str">
        <f>HYPERLINK("http://www.ncbi.nlm.nih.gov/Taxonomy/Browser/wwwtax.cgi?mode=Info&amp;id=252295&amp;lvl=3&amp;lin=f&amp;keep=1&amp;srchmode=1&amp;unlock","Carposina sasakii")</f>
        <v>Carposina sasakii</v>
      </c>
      <c r="H3999" t="s">
        <v>961</v>
      </c>
      <c r="I3999" t="str">
        <f>HYPERLINK("http://www.ncbi.nlm.nih.gov/protein/AHN16453.1","ryanodine receptor")</f>
        <v>ryanodine receptor</v>
      </c>
      <c r="J3999">
        <v>3080.04</v>
      </c>
      <c r="K3999" t="s">
        <v>22</v>
      </c>
      <c r="L3999">
        <v>76</v>
      </c>
      <c r="M3999">
        <v>12.58</v>
      </c>
      <c r="N3999">
        <v>30.31</v>
      </c>
      <c r="O3999" t="s">
        <v>19</v>
      </c>
      <c r="P3999" t="s">
        <v>1320</v>
      </c>
      <c r="Q3999" t="s">
        <v>19</v>
      </c>
      <c r="R3999" t="str">
        <f>HYPERLINK("https://cfpub.epa.gov/ecotox/explore.cfm?ncbi=252295","Explore in ECOTOX")</f>
        <v>Explore in ECOTOX</v>
      </c>
    </row>
    <row r="4000" spans="1:18" x14ac:dyDescent="0.45">
      <c r="A4000" t="s">
        <v>1265</v>
      </c>
      <c r="B4000">
        <v>8</v>
      </c>
      <c r="C4000" t="str">
        <f>HYPERLINK("http://www.ncbi.nlm.nih.gov/protein/XP_047509560.1","XP_047509560.1")</f>
        <v>XP_047509560.1</v>
      </c>
      <c r="D4000">
        <v>23830</v>
      </c>
      <c r="E4000" t="str">
        <f>HYPERLINK("http://www.ncbi.nlm.nih.gov/Taxonomy/Browser/wwwtax.cgi?mode=Info&amp;id=78633&amp;lvl=3&amp;lin=f&amp;keep=1&amp;srchmode=1&amp;unlock","78633")</f>
        <v>78633</v>
      </c>
      <c r="F4000" t="s">
        <v>760</v>
      </c>
      <c r="G4000" t="str">
        <f>HYPERLINK("http://www.ncbi.nlm.nih.gov/Taxonomy/Browser/wwwtax.cgi?mode=Info&amp;id=78633&amp;lvl=3&amp;lin=f&amp;keep=1&amp;srchmode=1&amp;unlock","Pieris napi")</f>
        <v>Pieris napi</v>
      </c>
      <c r="H4000" t="s">
        <v>891</v>
      </c>
      <c r="I4000" t="str">
        <f>HYPERLINK("http://www.ncbi.nlm.nih.gov/protein/XP_047509560.1","ryanodine receptor isoform X6")</f>
        <v>ryanodine receptor isoform X6</v>
      </c>
      <c r="J4000">
        <v>3078.89</v>
      </c>
      <c r="K4000" t="s">
        <v>22</v>
      </c>
      <c r="L4000">
        <v>76</v>
      </c>
      <c r="M4000">
        <v>12.58</v>
      </c>
      <c r="N4000">
        <v>30.3</v>
      </c>
      <c r="O4000" t="s">
        <v>19</v>
      </c>
      <c r="P4000" t="s">
        <v>1320</v>
      </c>
      <c r="Q4000" t="s">
        <v>19</v>
      </c>
      <c r="R4000" t="str">
        <f>HYPERLINK("https://cfpub.epa.gov/ecotox/explore.cfm?ncbi=78633","Explore in ECOTOX")</f>
        <v>Explore in ECOTOX</v>
      </c>
    </row>
    <row r="4001" spans="1:18" x14ac:dyDescent="0.45">
      <c r="A4001" t="s">
        <v>1265</v>
      </c>
      <c r="B4001">
        <v>8</v>
      </c>
      <c r="C4001" t="str">
        <f>HYPERLINK("http://www.ncbi.nlm.nih.gov/protein/XP_049819565.1","XP_049819565.1")</f>
        <v>XP_049819565.1</v>
      </c>
      <c r="D4001">
        <v>21592</v>
      </c>
      <c r="E4001" t="str">
        <f>HYPERLINK("http://www.ncbi.nlm.nih.gov/Taxonomy/Browser/wwwtax.cgi?mode=Info&amp;id=116153&amp;lvl=3&amp;lin=f&amp;keep=1&amp;srchmode=1&amp;unlock","116153")</f>
        <v>116153</v>
      </c>
      <c r="F4001" t="s">
        <v>760</v>
      </c>
      <c r="G4001" t="str">
        <f>HYPERLINK("http://www.ncbi.nlm.nih.gov/Taxonomy/Browser/wwwtax.cgi?mode=Info&amp;id=116153&amp;lvl=3&amp;lin=f&amp;keep=1&amp;srchmode=1&amp;unlock","Aethina tumida")</f>
        <v>Aethina tumida</v>
      </c>
      <c r="H4001" t="s">
        <v>896</v>
      </c>
      <c r="I4001" t="str">
        <f>HYPERLINK("http://www.ncbi.nlm.nih.gov/protein/XP_049819565.1","ryanodine receptor")</f>
        <v>ryanodine receptor</v>
      </c>
      <c r="J4001">
        <v>3076.57</v>
      </c>
      <c r="K4001" t="s">
        <v>22</v>
      </c>
      <c r="L4001">
        <v>76</v>
      </c>
      <c r="M4001">
        <v>12.58</v>
      </c>
      <c r="N4001">
        <v>30.28</v>
      </c>
      <c r="O4001" t="s">
        <v>19</v>
      </c>
      <c r="P4001" t="s">
        <v>1320</v>
      </c>
      <c r="Q4001" t="s">
        <v>19</v>
      </c>
      <c r="R4001" t="str">
        <f>HYPERLINK("https://cfpub.epa.gov/ecotox/explore.cfm?ncbi=116153","Explore in ECOTOX")</f>
        <v>Explore in ECOTOX</v>
      </c>
    </row>
    <row r="4002" spans="1:18" x14ac:dyDescent="0.45">
      <c r="A4002" t="s">
        <v>1265</v>
      </c>
      <c r="B4002">
        <v>8</v>
      </c>
      <c r="C4002" t="str">
        <f>HYPERLINK("http://www.ncbi.nlm.nih.gov/protein/XP_010199537.1","XP_010199537.1")</f>
        <v>XP_010199537.1</v>
      </c>
      <c r="D4002">
        <v>26934</v>
      </c>
      <c r="E4002" t="str">
        <f>HYPERLINK("http://www.ncbi.nlm.nih.gov/Taxonomy/Browser/wwwtax.cgi?mode=Info&amp;id=57412&amp;lvl=3&amp;lin=f&amp;keep=1&amp;srchmode=1&amp;unlock","57412")</f>
        <v>57412</v>
      </c>
      <c r="F4002" t="s">
        <v>241</v>
      </c>
      <c r="G4002" t="str">
        <f>HYPERLINK("http://www.ncbi.nlm.nih.gov/Taxonomy/Browser/wwwtax.cgi?mode=Info&amp;id=57412&amp;lvl=3&amp;lin=f&amp;keep=1&amp;srchmode=1&amp;unlock","Colius striatus")</f>
        <v>Colius striatus</v>
      </c>
      <c r="H4002" t="s">
        <v>914</v>
      </c>
      <c r="I4002" t="str">
        <f>HYPERLINK("http://www.ncbi.nlm.nih.gov/protein/XP_010199537.1","PREDICTED: ryanodine receptor 2, partial")</f>
        <v>PREDICTED: ryanodine receptor 2, partial</v>
      </c>
      <c r="J4002">
        <v>3074.26</v>
      </c>
      <c r="K4002" t="s">
        <v>22</v>
      </c>
      <c r="L4002">
        <v>76</v>
      </c>
      <c r="M4002">
        <v>12.58</v>
      </c>
      <c r="N4002">
        <v>30.26</v>
      </c>
      <c r="O4002" t="s">
        <v>19</v>
      </c>
      <c r="P4002" t="s">
        <v>1320</v>
      </c>
      <c r="Q4002" t="s">
        <v>19</v>
      </c>
      <c r="R4002" t="str">
        <f>HYPERLINK("https://cfpub.epa.gov/ecotox/explore.cfm?ncbi=57412","Explore in ECOTOX")</f>
        <v>Explore in ECOTOX</v>
      </c>
    </row>
    <row r="4003" spans="1:18" x14ac:dyDescent="0.45">
      <c r="A4003" t="s">
        <v>1265</v>
      </c>
      <c r="B4003">
        <v>8</v>
      </c>
      <c r="C4003" t="str">
        <f>HYPERLINK("http://www.ncbi.nlm.nih.gov/protein/AXA98483.1","AXA98483.1")</f>
        <v>AXA98483.1</v>
      </c>
      <c r="D4003">
        <v>350</v>
      </c>
      <c r="E4003" t="str">
        <f>HYPERLINK("http://www.ncbi.nlm.nih.gov/Taxonomy/Browser/wwwtax.cgi?mode=Info&amp;id=492764&amp;lvl=3&amp;lin=f&amp;keep=1&amp;srchmode=1&amp;unlock","492764")</f>
        <v>492764</v>
      </c>
      <c r="F4003" t="s">
        <v>760</v>
      </c>
      <c r="G4003" t="str">
        <f>HYPERLINK("http://www.ncbi.nlm.nih.gov/Taxonomy/Browser/wwwtax.cgi?mode=Info&amp;id=492764&amp;lvl=3&amp;lin=f&amp;keep=1&amp;srchmode=1&amp;unlock","Sesamia inferens")</f>
        <v>Sesamia inferens</v>
      </c>
      <c r="H4003" t="s">
        <v>908</v>
      </c>
      <c r="I4003" t="str">
        <f>HYPERLINK("http://www.ncbi.nlm.nih.gov/protein/AXA98483.1","Ryanodine receptor")</f>
        <v>Ryanodine receptor</v>
      </c>
      <c r="J4003">
        <v>3071.95</v>
      </c>
      <c r="K4003" t="s">
        <v>19</v>
      </c>
      <c r="L4003">
        <v>76</v>
      </c>
      <c r="M4003">
        <v>12.58</v>
      </c>
      <c r="N4003">
        <v>30.23</v>
      </c>
      <c r="O4003" t="s">
        <v>19</v>
      </c>
      <c r="P4003" t="s">
        <v>1320</v>
      </c>
      <c r="Q4003" t="s">
        <v>19</v>
      </c>
      <c r="R4003" t="str">
        <f>HYPERLINK("https://cfpub.epa.gov/ecotox/explore.cfm?ncbi=492764","Explore in ECOTOX")</f>
        <v>Explore in ECOTOX</v>
      </c>
    </row>
    <row r="4004" spans="1:18" x14ac:dyDescent="0.45">
      <c r="A4004" t="s">
        <v>1265</v>
      </c>
      <c r="B4004">
        <v>8</v>
      </c>
      <c r="C4004" t="str">
        <f>HYPERLINK("http://www.ncbi.nlm.nih.gov/protein/XP_058129519.1","XP_058129519.1")</f>
        <v>XP_058129519.1</v>
      </c>
      <c r="D4004">
        <v>15116</v>
      </c>
      <c r="E4004" t="str">
        <f>HYPERLINK("http://www.ncbi.nlm.nih.gov/Taxonomy/Browser/wwwtax.cgi?mode=Info&amp;id=139045&amp;lvl=3&amp;lin=f&amp;keep=1&amp;srchmode=1&amp;unlock","139045")</f>
        <v>139045</v>
      </c>
      <c r="F4004" t="s">
        <v>760</v>
      </c>
      <c r="G4004" t="str">
        <f>HYPERLINK("http://www.ncbi.nlm.nih.gov/Taxonomy/Browser/wwwtax.cgi?mode=Info&amp;id=139045&amp;lvl=3&amp;lin=f&amp;keep=1&amp;srchmode=1&amp;unlock","Anopheles coustani")</f>
        <v>Anopheles coustani</v>
      </c>
      <c r="H4004" t="s">
        <v>917</v>
      </c>
      <c r="I4004" t="str">
        <f>HYPERLINK("http://www.ncbi.nlm.nih.gov/protein/XP_058129519.1","ryanodine receptor isoform X3")</f>
        <v>ryanodine receptor isoform X3</v>
      </c>
      <c r="J4004">
        <v>3069.26</v>
      </c>
      <c r="K4004" t="s">
        <v>22</v>
      </c>
      <c r="L4004">
        <v>76</v>
      </c>
      <c r="M4004">
        <v>12.58</v>
      </c>
      <c r="N4004">
        <v>30.21</v>
      </c>
      <c r="O4004" t="s">
        <v>19</v>
      </c>
      <c r="P4004" t="s">
        <v>1320</v>
      </c>
      <c r="Q4004" t="s">
        <v>19</v>
      </c>
      <c r="R4004" t="str">
        <f>HYPERLINK("https://cfpub.epa.gov/ecotox/explore.cfm?ncbi=139045","Explore in ECOTOX")</f>
        <v>Explore in ECOTOX</v>
      </c>
    </row>
    <row r="4005" spans="1:18" x14ac:dyDescent="0.45">
      <c r="A4005" t="s">
        <v>1265</v>
      </c>
      <c r="B4005">
        <v>8</v>
      </c>
      <c r="C4005" t="str">
        <f>HYPERLINK("http://www.ncbi.nlm.nih.gov/protein/APC65631.1","APC65631.1")</f>
        <v>APC65631.1</v>
      </c>
      <c r="D4005">
        <v>18279</v>
      </c>
      <c r="E4005" t="str">
        <f>HYPERLINK("http://www.ncbi.nlm.nih.gov/Taxonomy/Browser/wwwtax.cgi?mode=Info&amp;id=702717&amp;lvl=3&amp;lin=f&amp;keep=1&amp;srchmode=1&amp;unlock","702717")</f>
        <v>702717</v>
      </c>
      <c r="F4005" t="s">
        <v>760</v>
      </c>
      <c r="G4005" t="str">
        <f>HYPERLINK("http://www.ncbi.nlm.nih.gov/Taxonomy/Browser/wwwtax.cgi?mode=Info&amp;id=702717&amp;lvl=3&amp;lin=f&amp;keep=1&amp;srchmode=1&amp;unlock","Tuta absoluta")</f>
        <v>Tuta absoluta</v>
      </c>
      <c r="H4005" t="s">
        <v>903</v>
      </c>
      <c r="I4005" t="str">
        <f>HYPERLINK("http://www.ncbi.nlm.nih.gov/protein/APC65631.1","ryanodine receptor")</f>
        <v>ryanodine receptor</v>
      </c>
      <c r="J4005">
        <v>3068.49</v>
      </c>
      <c r="K4005" t="s">
        <v>22</v>
      </c>
      <c r="L4005">
        <v>76</v>
      </c>
      <c r="M4005">
        <v>12.58</v>
      </c>
      <c r="N4005">
        <v>30.2</v>
      </c>
      <c r="O4005" t="s">
        <v>19</v>
      </c>
      <c r="P4005" t="s">
        <v>1320</v>
      </c>
      <c r="Q4005" t="s">
        <v>19</v>
      </c>
      <c r="R4005" t="str">
        <f>HYPERLINK("https://cfpub.epa.gov/ecotox/explore.cfm?ncbi=702717","Explore in ECOTOX")</f>
        <v>Explore in ECOTOX</v>
      </c>
    </row>
    <row r="4006" spans="1:18" x14ac:dyDescent="0.45">
      <c r="A4006" t="s">
        <v>1265</v>
      </c>
      <c r="B4006">
        <v>8</v>
      </c>
      <c r="C4006" t="str">
        <f>HYPERLINK("http://www.ncbi.nlm.nih.gov/protein/CAG9853862.1","CAG9853862.1")</f>
        <v>CAG9853862.1</v>
      </c>
      <c r="D4006">
        <v>12584</v>
      </c>
      <c r="E4006" t="str">
        <f>HYPERLINK("http://www.ncbi.nlm.nih.gov/Taxonomy/Browser/wwwtax.cgi?mode=Info&amp;id=444603&amp;lvl=3&amp;lin=f&amp;keep=1&amp;srchmode=1&amp;unlock","444603")</f>
        <v>444603</v>
      </c>
      <c r="F4006" t="s">
        <v>760</v>
      </c>
      <c r="G4006" t="str">
        <f>HYPERLINK("http://www.ncbi.nlm.nih.gov/Taxonomy/Browser/wwwtax.cgi?mode=Info&amp;id=444603&amp;lvl=3&amp;lin=f&amp;keep=1&amp;srchmode=1&amp;unlock","Phyllotreta striolata")</f>
        <v>Phyllotreta striolata</v>
      </c>
      <c r="H4006" t="s">
        <v>900</v>
      </c>
      <c r="I4006" t="str">
        <f>HYPERLINK("http://www.ncbi.nlm.nih.gov/protein/CAG9853862.1","unnamed protein product")</f>
        <v>unnamed protein product</v>
      </c>
      <c r="J4006">
        <v>3067.33</v>
      </c>
      <c r="K4006" t="s">
        <v>22</v>
      </c>
      <c r="L4006">
        <v>76</v>
      </c>
      <c r="M4006">
        <v>12.58</v>
      </c>
      <c r="N4006">
        <v>30.19</v>
      </c>
      <c r="O4006" t="s">
        <v>19</v>
      </c>
      <c r="P4006" t="s">
        <v>1320</v>
      </c>
      <c r="Q4006" t="s">
        <v>19</v>
      </c>
      <c r="R4006" t="str">
        <f>HYPERLINK("https://cfpub.epa.gov/ecotox/explore.cfm?ncbi=444603","Explore in ECOTOX")</f>
        <v>Explore in ECOTOX</v>
      </c>
    </row>
    <row r="4007" spans="1:18" x14ac:dyDescent="0.45">
      <c r="A4007" t="s">
        <v>1265</v>
      </c>
      <c r="B4007">
        <v>8</v>
      </c>
      <c r="C4007" t="str">
        <f>HYPERLINK("http://www.ncbi.nlm.nih.gov/protein/AIA23854.1","AIA23854.1")</f>
        <v>AIA23854.1</v>
      </c>
      <c r="D4007">
        <v>48286</v>
      </c>
      <c r="E4007" t="str">
        <f>HYPERLINK("http://www.ncbi.nlm.nih.gov/Taxonomy/Browser/wwwtax.cgi?mode=Info&amp;id=7107&amp;lvl=3&amp;lin=f&amp;keep=1&amp;srchmode=1&amp;unlock","7107")</f>
        <v>7107</v>
      </c>
      <c r="F4007" t="s">
        <v>760</v>
      </c>
      <c r="G4007" t="str">
        <f>HYPERLINK("http://www.ncbi.nlm.nih.gov/Taxonomy/Browser/wwwtax.cgi?mode=Info&amp;id=7107&amp;lvl=3&amp;lin=f&amp;keep=1&amp;srchmode=1&amp;unlock","Spodoptera exigua")</f>
        <v>Spodoptera exigua</v>
      </c>
      <c r="H4007" t="s">
        <v>861</v>
      </c>
      <c r="I4007" t="str">
        <f>HYPERLINK("http://www.ncbi.nlm.nih.gov/protein/AIA23854.1","ryanodine receptor")</f>
        <v>ryanodine receptor</v>
      </c>
      <c r="J4007">
        <v>3064.25</v>
      </c>
      <c r="K4007" t="s">
        <v>22</v>
      </c>
      <c r="L4007">
        <v>76</v>
      </c>
      <c r="M4007">
        <v>12.58</v>
      </c>
      <c r="N4007">
        <v>30.16</v>
      </c>
      <c r="O4007" t="s">
        <v>19</v>
      </c>
      <c r="P4007" t="s">
        <v>1320</v>
      </c>
      <c r="Q4007" t="s">
        <v>19</v>
      </c>
      <c r="R4007" t="str">
        <f>HYPERLINK("https://cfpub.epa.gov/ecotox/explore.cfm?ncbi=7107","Explore in ECOTOX")</f>
        <v>Explore in ECOTOX</v>
      </c>
    </row>
    <row r="4008" spans="1:18" x14ac:dyDescent="0.45">
      <c r="A4008" t="s">
        <v>1265</v>
      </c>
      <c r="B4008">
        <v>8</v>
      </c>
      <c r="C4008" t="str">
        <f>HYPERLINK("http://www.ncbi.nlm.nih.gov/protein/XP_058173847.1","XP_058173847.1")</f>
        <v>XP_058173847.1</v>
      </c>
      <c r="D4008">
        <v>12920</v>
      </c>
      <c r="E4008" t="str">
        <f>HYPERLINK("http://www.ncbi.nlm.nih.gov/Taxonomy/Browser/wwwtax.cgi?mode=Info&amp;id=345580&amp;lvl=3&amp;lin=f&amp;keep=1&amp;srchmode=1&amp;unlock","345580")</f>
        <v>345580</v>
      </c>
      <c r="F4008" t="s">
        <v>760</v>
      </c>
      <c r="G4008" t="str">
        <f>HYPERLINK("http://www.ncbi.nlm.nih.gov/Taxonomy/Browser/wwwtax.cgi?mode=Info&amp;id=345580&amp;lvl=3&amp;lin=f&amp;keep=1&amp;srchmode=1&amp;unlock","Anopheles ziemanni")</f>
        <v>Anopheles ziemanni</v>
      </c>
      <c r="H4008" t="s">
        <v>917</v>
      </c>
      <c r="I4008" t="str">
        <f>HYPERLINK("http://www.ncbi.nlm.nih.gov/protein/XP_058173847.1","ryanodine receptor")</f>
        <v>ryanodine receptor</v>
      </c>
      <c r="J4008">
        <v>3063.48</v>
      </c>
      <c r="K4008" t="s">
        <v>22</v>
      </c>
      <c r="L4008">
        <v>76</v>
      </c>
      <c r="M4008">
        <v>12.58</v>
      </c>
      <c r="N4008">
        <v>30.15</v>
      </c>
      <c r="O4008" t="s">
        <v>19</v>
      </c>
      <c r="P4008" t="s">
        <v>1320</v>
      </c>
      <c r="Q4008" t="s">
        <v>19</v>
      </c>
      <c r="R4008" t="str">
        <f>HYPERLINK("https://cfpub.epa.gov/ecotox/explore.cfm?ncbi=345580","Explore in ECOTOX")</f>
        <v>Explore in ECOTOX</v>
      </c>
    </row>
    <row r="4009" spans="1:18" x14ac:dyDescent="0.45">
      <c r="A4009" t="s">
        <v>1265</v>
      </c>
      <c r="B4009">
        <v>8</v>
      </c>
      <c r="C4009" t="str">
        <f>HYPERLINK("http://www.ncbi.nlm.nih.gov/protein/XP_030749977.1","XP_030749977.1")</f>
        <v>XP_030749977.1</v>
      </c>
      <c r="D4009">
        <v>23907</v>
      </c>
      <c r="E4009" t="str">
        <f>HYPERLINK("http://www.ncbi.nlm.nih.gov/Taxonomy/Browser/wwwtax.cgi?mode=Info&amp;id=7048&amp;lvl=3&amp;lin=f&amp;keep=1&amp;srchmode=1&amp;unlock","7048")</f>
        <v>7048</v>
      </c>
      <c r="F4009" t="s">
        <v>760</v>
      </c>
      <c r="G4009" t="str">
        <f>HYPERLINK("http://www.ncbi.nlm.nih.gov/Taxonomy/Browser/wwwtax.cgi?mode=Info&amp;id=7048&amp;lvl=3&amp;lin=f&amp;keep=1&amp;srchmode=1&amp;unlock","Sitophilus oryzae")</f>
        <v>Sitophilus oryzae</v>
      </c>
      <c r="H4009" t="s">
        <v>931</v>
      </c>
      <c r="I4009" t="str">
        <f>HYPERLINK("http://www.ncbi.nlm.nih.gov/protein/XP_030749977.1","ryanodine receptor isoform X3")</f>
        <v>ryanodine receptor isoform X3</v>
      </c>
      <c r="J4009">
        <v>3060.4</v>
      </c>
      <c r="K4009" t="s">
        <v>22</v>
      </c>
      <c r="L4009">
        <v>76</v>
      </c>
      <c r="M4009">
        <v>12.58</v>
      </c>
      <c r="N4009">
        <v>30.12</v>
      </c>
      <c r="O4009" t="s">
        <v>19</v>
      </c>
      <c r="P4009" t="s">
        <v>1320</v>
      </c>
      <c r="Q4009" t="s">
        <v>19</v>
      </c>
      <c r="R4009" t="str">
        <f>HYPERLINK("https://cfpub.epa.gov/ecotox/explore.cfm?ncbi=7048","Explore in ECOTOX")</f>
        <v>Explore in ECOTOX</v>
      </c>
    </row>
    <row r="4010" spans="1:18" x14ac:dyDescent="0.45">
      <c r="A4010" t="s">
        <v>1265</v>
      </c>
      <c r="B4010">
        <v>8</v>
      </c>
      <c r="C4010" t="str">
        <f>HYPERLINK("http://www.ncbi.nlm.nih.gov/protein/KAI4471407.1","KAI4471407.1")</f>
        <v>KAI4471407.1</v>
      </c>
      <c r="D4010">
        <v>19443</v>
      </c>
      <c r="E4010" t="str">
        <f>HYPERLINK("http://www.ncbi.nlm.nih.gov/Taxonomy/Browser/wwwtax.cgi?mode=Info&amp;id=644536&amp;lvl=3&amp;lin=f&amp;keep=1&amp;srchmode=1&amp;unlock","644536")</f>
        <v>644536</v>
      </c>
      <c r="F4010" t="s">
        <v>760</v>
      </c>
      <c r="G4010" t="str">
        <f>HYPERLINK("http://www.ncbi.nlm.nih.gov/Taxonomy/Browser/wwwtax.cgi?mode=Info&amp;id=644536&amp;lvl=3&amp;lin=f&amp;keep=1&amp;srchmode=1&amp;unlock","Holotrichia oblita")</f>
        <v>Holotrichia oblita</v>
      </c>
      <c r="H4010" t="s">
        <v>906</v>
      </c>
      <c r="I4010" t="str">
        <f>HYPERLINK("http://www.ncbi.nlm.nih.gov/protein/KAI4471407.1","ran binding protein 9-related")</f>
        <v>ran binding protein 9-related</v>
      </c>
      <c r="J4010">
        <v>3059.63</v>
      </c>
      <c r="K4010" t="s">
        <v>22</v>
      </c>
      <c r="L4010">
        <v>76</v>
      </c>
      <c r="M4010">
        <v>12.58</v>
      </c>
      <c r="N4010">
        <v>30.11</v>
      </c>
      <c r="O4010" t="s">
        <v>19</v>
      </c>
      <c r="P4010" t="s">
        <v>1320</v>
      </c>
      <c r="Q4010" t="s">
        <v>19</v>
      </c>
      <c r="R4010" t="str">
        <f>HYPERLINK("https://cfpub.epa.gov/ecotox/explore.cfm?ncbi=644536","Explore in ECOTOX")</f>
        <v>Explore in ECOTOX</v>
      </c>
    </row>
    <row r="4011" spans="1:18" x14ac:dyDescent="0.45">
      <c r="A4011" t="s">
        <v>1265</v>
      </c>
      <c r="B4011">
        <v>8</v>
      </c>
      <c r="C4011" t="str">
        <f>HYPERLINK("http://www.ncbi.nlm.nih.gov/protein/AIA23855.1","AIA23855.1")</f>
        <v>AIA23855.1</v>
      </c>
      <c r="D4011">
        <v>47394</v>
      </c>
      <c r="E4011" t="str">
        <f>HYPERLINK("http://www.ncbi.nlm.nih.gov/Taxonomy/Browser/wwwtax.cgi?mode=Info&amp;id=29058&amp;lvl=3&amp;lin=f&amp;keep=1&amp;srchmode=1&amp;unlock","29058")</f>
        <v>29058</v>
      </c>
      <c r="F4011" t="s">
        <v>760</v>
      </c>
      <c r="G4011" t="str">
        <f>HYPERLINK("http://www.ncbi.nlm.nih.gov/Taxonomy/Browser/wwwtax.cgi?mode=Info&amp;id=29058&amp;lvl=3&amp;lin=f&amp;keep=1&amp;srchmode=1&amp;unlock","Helicoverpa armigera")</f>
        <v>Helicoverpa armigera</v>
      </c>
      <c r="H4011" t="s">
        <v>763</v>
      </c>
      <c r="I4011" t="str">
        <f>HYPERLINK("http://www.ncbi.nlm.nih.gov/protein/AIA23855.1","ryanodine receptor")</f>
        <v>ryanodine receptor</v>
      </c>
      <c r="J4011">
        <v>3058.47</v>
      </c>
      <c r="K4011" t="s">
        <v>22</v>
      </c>
      <c r="L4011">
        <v>76</v>
      </c>
      <c r="M4011">
        <v>12.58</v>
      </c>
      <c r="N4011">
        <v>30.1</v>
      </c>
      <c r="O4011" t="s">
        <v>19</v>
      </c>
      <c r="P4011" t="s">
        <v>1320</v>
      </c>
      <c r="Q4011" t="s">
        <v>19</v>
      </c>
      <c r="R4011" t="str">
        <f>HYPERLINK("https://cfpub.epa.gov/ecotox/explore.cfm?ncbi=29058","Explore in ECOTOX")</f>
        <v>Explore in ECOTOX</v>
      </c>
    </row>
    <row r="4012" spans="1:18" x14ac:dyDescent="0.45">
      <c r="A4012" t="s">
        <v>1265</v>
      </c>
      <c r="B4012">
        <v>8</v>
      </c>
      <c r="C4012" t="str">
        <f>HYPERLINK("http://www.ncbi.nlm.nih.gov/protein/XP_035212318.1","XP_035212318.1")</f>
        <v>XP_035212318.1</v>
      </c>
      <c r="D4012">
        <v>29860</v>
      </c>
      <c r="E4012" t="str">
        <f>HYPERLINK("http://www.ncbi.nlm.nih.gov/Taxonomy/Browser/wwwtax.cgi?mode=Info&amp;id=202533&amp;lvl=3&amp;lin=f&amp;keep=1&amp;srchmode=1&amp;unlock","202533")</f>
        <v>202533</v>
      </c>
      <c r="F4012" t="s">
        <v>904</v>
      </c>
      <c r="G4012" t="str">
        <f>HYPERLINK("http://www.ncbi.nlm.nih.gov/Taxonomy/Browser/wwwtax.cgi?mode=Info&amp;id=202533&amp;lvl=3&amp;lin=f&amp;keep=1&amp;srchmode=1&amp;unlock","Stegodyphus dumicola")</f>
        <v>Stegodyphus dumicola</v>
      </c>
      <c r="H4012" t="s">
        <v>905</v>
      </c>
      <c r="I4012" t="str">
        <f>HYPERLINK("http://www.ncbi.nlm.nih.gov/protein/XP_035212318.1","ryanodine receptor-like isoform X2")</f>
        <v>ryanodine receptor-like isoform X2</v>
      </c>
      <c r="J4012">
        <v>3058.09</v>
      </c>
      <c r="K4012" t="s">
        <v>22</v>
      </c>
      <c r="L4012">
        <v>76</v>
      </c>
      <c r="M4012">
        <v>12.58</v>
      </c>
      <c r="N4012">
        <v>30.1</v>
      </c>
      <c r="O4012" t="s">
        <v>19</v>
      </c>
      <c r="P4012" t="s">
        <v>1320</v>
      </c>
      <c r="Q4012" t="s">
        <v>19</v>
      </c>
      <c r="R4012" t="str">
        <f>HYPERLINK("https://cfpub.epa.gov/ecotox/explore.cfm?ncbi=202533","Explore in ECOTOX")</f>
        <v>Explore in ECOTOX</v>
      </c>
    </row>
    <row r="4013" spans="1:18" x14ac:dyDescent="0.45">
      <c r="A4013" t="s">
        <v>1265</v>
      </c>
      <c r="B4013">
        <v>8</v>
      </c>
      <c r="C4013" t="str">
        <f>HYPERLINK("http://www.ncbi.nlm.nih.gov/protein/XP_015367530.1","XP_015367530.1")</f>
        <v>XP_015367530.1</v>
      </c>
      <c r="D4013">
        <v>17638</v>
      </c>
      <c r="E4013" t="str">
        <f>HYPERLINK("http://www.ncbi.nlm.nih.gov/Taxonomy/Browser/wwwtax.cgi?mode=Info&amp;id=143948&amp;lvl=3&amp;lin=f&amp;keep=1&amp;srchmode=1&amp;unlock","143948")</f>
        <v>143948</v>
      </c>
      <c r="F4013" t="s">
        <v>760</v>
      </c>
      <c r="G4013" t="str">
        <f>HYPERLINK("http://www.ncbi.nlm.nih.gov/Taxonomy/Browser/wwwtax.cgi?mode=Info&amp;id=143948&amp;lvl=3&amp;lin=f&amp;keep=1&amp;srchmode=1&amp;unlock","Diuraphis noxia")</f>
        <v>Diuraphis noxia</v>
      </c>
      <c r="H4013" t="s">
        <v>913</v>
      </c>
      <c r="I4013" t="str">
        <f>HYPERLINK("http://www.ncbi.nlm.nih.gov/protein/XP_015367530.1","PREDICTED: ryanodine receptor")</f>
        <v>PREDICTED: ryanodine receptor</v>
      </c>
      <c r="J4013">
        <v>3057.7</v>
      </c>
      <c r="K4013" t="s">
        <v>22</v>
      </c>
      <c r="L4013">
        <v>76</v>
      </c>
      <c r="M4013">
        <v>12.58</v>
      </c>
      <c r="N4013">
        <v>30.09</v>
      </c>
      <c r="O4013" t="s">
        <v>19</v>
      </c>
      <c r="P4013" t="s">
        <v>1320</v>
      </c>
      <c r="Q4013" t="s">
        <v>19</v>
      </c>
      <c r="R4013" t="str">
        <f>HYPERLINK("https://cfpub.epa.gov/ecotox/explore.cfm?ncbi=143948","Explore in ECOTOX")</f>
        <v>Explore in ECOTOX</v>
      </c>
    </row>
    <row r="4014" spans="1:18" x14ac:dyDescent="0.45">
      <c r="A4014" t="s">
        <v>1265</v>
      </c>
      <c r="B4014">
        <v>8</v>
      </c>
      <c r="C4014" t="str">
        <f>HYPERLINK("http://www.ncbi.nlm.nih.gov/protein/XP_044760792.1","XP_044760792.1")</f>
        <v>XP_044760792.1</v>
      </c>
      <c r="D4014">
        <v>23389</v>
      </c>
      <c r="E4014" t="str">
        <f>HYPERLINK("http://www.ncbi.nlm.nih.gov/Taxonomy/Browser/wwwtax.cgi?mode=Info&amp;id=41139&amp;lvl=3&amp;lin=f&amp;keep=1&amp;srchmode=1&amp;unlock","41139")</f>
        <v>41139</v>
      </c>
      <c r="F4014" t="s">
        <v>760</v>
      </c>
      <c r="G4014" t="str">
        <f>HYPERLINK("http://www.ncbi.nlm.nih.gov/Taxonomy/Browser/wwwtax.cgi?mode=Info&amp;id=41139&amp;lvl=3&amp;lin=f&amp;keep=1&amp;srchmode=1&amp;unlock","Coccinella septempunctata")</f>
        <v>Coccinella septempunctata</v>
      </c>
      <c r="H4014" t="s">
        <v>909</v>
      </c>
      <c r="I4014" t="str">
        <f>HYPERLINK("http://www.ncbi.nlm.nih.gov/protein/XP_044760792.1","ryanodine receptor")</f>
        <v>ryanodine receptor</v>
      </c>
      <c r="J4014">
        <v>3057.31</v>
      </c>
      <c r="K4014" t="s">
        <v>22</v>
      </c>
      <c r="L4014">
        <v>76</v>
      </c>
      <c r="M4014">
        <v>12.58</v>
      </c>
      <c r="N4014">
        <v>30.09</v>
      </c>
      <c r="O4014" t="s">
        <v>19</v>
      </c>
      <c r="P4014" t="s">
        <v>1320</v>
      </c>
      <c r="Q4014" t="s">
        <v>19</v>
      </c>
      <c r="R4014" t="str">
        <f>HYPERLINK("https://cfpub.epa.gov/ecotox/explore.cfm?ncbi=41139","Explore in ECOTOX")</f>
        <v>Explore in ECOTOX</v>
      </c>
    </row>
    <row r="4015" spans="1:18" x14ac:dyDescent="0.45">
      <c r="A4015" t="s">
        <v>1265</v>
      </c>
      <c r="B4015">
        <v>8</v>
      </c>
      <c r="C4015" t="str">
        <f>HYPERLINK("http://www.ncbi.nlm.nih.gov/protein/XP_038108335.1","XP_038108335.1")</f>
        <v>XP_038108335.1</v>
      </c>
      <c r="D4015">
        <v>44526</v>
      </c>
      <c r="E4015" t="str">
        <f>HYPERLINK("http://www.ncbi.nlm.nih.gov/Taxonomy/Browser/wwwtax.cgi?mode=Info&amp;id=7176&amp;lvl=3&amp;lin=f&amp;keep=1&amp;srchmode=1&amp;unlock","7176")</f>
        <v>7176</v>
      </c>
      <c r="F4015" t="s">
        <v>760</v>
      </c>
      <c r="G4015" t="str">
        <f>HYPERLINK("http://www.ncbi.nlm.nih.gov/Taxonomy/Browser/wwwtax.cgi?mode=Info&amp;id=7176&amp;lvl=3&amp;lin=f&amp;keep=1&amp;srchmode=1&amp;unlock","Culex quinquefasciatus")</f>
        <v>Culex quinquefasciatus</v>
      </c>
      <c r="H4015" t="s">
        <v>929</v>
      </c>
      <c r="I4015" t="str">
        <f>HYPERLINK("http://www.ncbi.nlm.nih.gov/protein/XP_038108335.1","ryanodine receptor isoform X22")</f>
        <v>ryanodine receptor isoform X22</v>
      </c>
      <c r="J4015">
        <v>3057.31</v>
      </c>
      <c r="K4015" t="s">
        <v>22</v>
      </c>
      <c r="L4015">
        <v>76</v>
      </c>
      <c r="M4015">
        <v>12.58</v>
      </c>
      <c r="N4015">
        <v>30.09</v>
      </c>
      <c r="O4015" t="s">
        <v>19</v>
      </c>
      <c r="P4015" t="s">
        <v>1320</v>
      </c>
      <c r="Q4015" t="s">
        <v>19</v>
      </c>
      <c r="R4015" t="str">
        <f>HYPERLINK("https://cfpub.epa.gov/ecotox/explore.cfm?ncbi=7176","Explore in ECOTOX")</f>
        <v>Explore in ECOTOX</v>
      </c>
    </row>
    <row r="4016" spans="1:18" x14ac:dyDescent="0.45">
      <c r="A4016" t="s">
        <v>1265</v>
      </c>
      <c r="B4016">
        <v>8</v>
      </c>
      <c r="C4016" t="str">
        <f>HYPERLINK("http://www.ncbi.nlm.nih.gov/protein/KAG9481022.1","KAG9481022.1")</f>
        <v>KAG9481022.1</v>
      </c>
      <c r="D4016">
        <v>34664</v>
      </c>
      <c r="E4016" t="str">
        <f>HYPERLINK("http://www.ncbi.nlm.nih.gov/Taxonomy/Browser/wwwtax.cgi?mode=Info&amp;id=57060&amp;lvl=3&amp;lin=f&amp;keep=1&amp;srchmode=1&amp;unlock","57060")</f>
        <v>57060</v>
      </c>
      <c r="F4016" t="s">
        <v>177</v>
      </c>
      <c r="G4016" t="str">
        <f>HYPERLINK("http://www.ncbi.nlm.nih.gov/Taxonomy/Browser/wwwtax.cgi?mode=Info&amp;id=57060&amp;lvl=3&amp;lin=f&amp;keep=1&amp;srchmode=1&amp;unlock","Eleutherodactylus coqui")</f>
        <v>Eleutherodactylus coqui</v>
      </c>
      <c r="H4016" t="s">
        <v>715</v>
      </c>
      <c r="I4016" t="str">
        <f>HYPERLINK("http://www.ncbi.nlm.nih.gov/protein/KAG9481022.1","hypothetical protein GDO78_010331")</f>
        <v>hypothetical protein GDO78_010331</v>
      </c>
      <c r="J4016">
        <v>3055.39</v>
      </c>
      <c r="K4016" t="s">
        <v>22</v>
      </c>
      <c r="L4016">
        <v>76</v>
      </c>
      <c r="M4016">
        <v>12.58</v>
      </c>
      <c r="N4016">
        <v>30.07</v>
      </c>
      <c r="O4016" t="s">
        <v>19</v>
      </c>
      <c r="P4016" t="s">
        <v>1320</v>
      </c>
      <c r="Q4016" t="s">
        <v>19</v>
      </c>
      <c r="R4016" t="str">
        <f>HYPERLINK("https://cfpub.epa.gov/ecotox/explore.cfm?ncbi=57060","Explore in ECOTOX")</f>
        <v>Explore in ECOTOX</v>
      </c>
    </row>
    <row r="4017" spans="1:18" x14ac:dyDescent="0.45">
      <c r="A4017" t="s">
        <v>1265</v>
      </c>
      <c r="B4017">
        <v>8</v>
      </c>
      <c r="C4017" t="str">
        <f>HYPERLINK("http://www.ncbi.nlm.nih.gov/protein/EFN78897.1","EFN78897.1")</f>
        <v>EFN78897.1</v>
      </c>
      <c r="D4017">
        <v>41853</v>
      </c>
      <c r="E4017" t="str">
        <f>HYPERLINK("http://www.ncbi.nlm.nih.gov/Taxonomy/Browser/wwwtax.cgi?mode=Info&amp;id=610380&amp;lvl=3&amp;lin=f&amp;keep=1&amp;srchmode=1&amp;unlock","610380")</f>
        <v>610380</v>
      </c>
      <c r="F4017" t="s">
        <v>760</v>
      </c>
      <c r="G4017" t="str">
        <f>HYPERLINK("http://www.ncbi.nlm.nih.gov/Taxonomy/Browser/wwwtax.cgi?mode=Info&amp;id=610380&amp;lvl=3&amp;lin=f&amp;keep=1&amp;srchmode=1&amp;unlock","Harpegnathos saltator")</f>
        <v>Harpegnathos saltator</v>
      </c>
      <c r="H4017" t="s">
        <v>774</v>
      </c>
      <c r="I4017" t="str">
        <f>HYPERLINK("http://www.ncbi.nlm.nih.gov/protein/EFN78897.1","Ryanodine receptor 44F")</f>
        <v>Ryanodine receptor 44F</v>
      </c>
      <c r="J4017">
        <v>3055.39</v>
      </c>
      <c r="K4017" t="s">
        <v>22</v>
      </c>
      <c r="L4017">
        <v>76</v>
      </c>
      <c r="M4017">
        <v>12.58</v>
      </c>
      <c r="N4017">
        <v>30.07</v>
      </c>
      <c r="O4017" t="s">
        <v>19</v>
      </c>
      <c r="P4017" t="s">
        <v>1320</v>
      </c>
      <c r="Q4017" t="s">
        <v>19</v>
      </c>
      <c r="R4017" t="str">
        <f>HYPERLINK("https://cfpub.epa.gov/ecotox/explore.cfm?ncbi=610380","Explore in ECOTOX")</f>
        <v>Explore in ECOTOX</v>
      </c>
    </row>
    <row r="4018" spans="1:18" x14ac:dyDescent="0.45">
      <c r="A4018" t="s">
        <v>1265</v>
      </c>
      <c r="B4018">
        <v>8</v>
      </c>
      <c r="C4018" t="str">
        <f>HYPERLINK("http://www.ncbi.nlm.nih.gov/protein/XP_011880153.1","XP_011880153.1")</f>
        <v>XP_011880153.1</v>
      </c>
      <c r="D4018">
        <v>26327</v>
      </c>
      <c r="E4018" t="str">
        <f>HYPERLINK("http://www.ncbi.nlm.nih.gov/Taxonomy/Browser/wwwtax.cgi?mode=Info&amp;id=411798&amp;lvl=3&amp;lin=f&amp;keep=1&amp;srchmode=1&amp;unlock","411798")</f>
        <v>411798</v>
      </c>
      <c r="F4018" t="s">
        <v>760</v>
      </c>
      <c r="G4018" t="str">
        <f>HYPERLINK("http://www.ncbi.nlm.nih.gov/Taxonomy/Browser/wwwtax.cgi?mode=Info&amp;id=411798&amp;lvl=3&amp;lin=f&amp;keep=1&amp;srchmode=1&amp;unlock","Vollenhovia emeryi")</f>
        <v>Vollenhovia emeryi</v>
      </c>
      <c r="H4018" t="s">
        <v>769</v>
      </c>
      <c r="I4018" t="str">
        <f>HYPERLINK("http://www.ncbi.nlm.nih.gov/protein/XP_011880153.1","PREDICTED: ryanodine receptor 44F isoform X3")</f>
        <v>PREDICTED: ryanodine receptor 44F isoform X3</v>
      </c>
      <c r="J4018">
        <v>3054.62</v>
      </c>
      <c r="K4018" t="s">
        <v>19</v>
      </c>
      <c r="L4018">
        <v>76</v>
      </c>
      <c r="M4018">
        <v>12.58</v>
      </c>
      <c r="N4018">
        <v>30.06</v>
      </c>
      <c r="O4018" t="s">
        <v>19</v>
      </c>
      <c r="P4018" t="s">
        <v>1320</v>
      </c>
      <c r="Q4018" t="s">
        <v>19</v>
      </c>
      <c r="R4018" t="str">
        <f>HYPERLINK("https://cfpub.epa.gov/ecotox/explore.cfm?ncbi=411798","Explore in ECOTOX")</f>
        <v>Explore in ECOTOX</v>
      </c>
    </row>
    <row r="4019" spans="1:18" x14ac:dyDescent="0.45">
      <c r="A4019" t="s">
        <v>1265</v>
      </c>
      <c r="B4019">
        <v>8</v>
      </c>
      <c r="C4019" t="str">
        <f>HYPERLINK("http://www.ncbi.nlm.nih.gov/protein/XP_058055057.1","XP_058055057.1")</f>
        <v>XP_058055057.1</v>
      </c>
      <c r="D4019">
        <v>14272</v>
      </c>
      <c r="E4019" t="str">
        <f>HYPERLINK("http://www.ncbi.nlm.nih.gov/Taxonomy/Browser/wwwtax.cgi?mode=Info&amp;id=139047&amp;lvl=3&amp;lin=f&amp;keep=1&amp;srchmode=1&amp;unlock","139047")</f>
        <v>139047</v>
      </c>
      <c r="F4019" t="s">
        <v>760</v>
      </c>
      <c r="G4019" t="str">
        <f>HYPERLINK("http://www.ncbi.nlm.nih.gov/Taxonomy/Browser/wwwtax.cgi?mode=Info&amp;id=139047&amp;lvl=3&amp;lin=f&amp;keep=1&amp;srchmode=1&amp;unlock","Anopheles bellator")</f>
        <v>Anopheles bellator</v>
      </c>
      <c r="H4019" t="s">
        <v>917</v>
      </c>
      <c r="I4019" t="str">
        <f>HYPERLINK("http://www.ncbi.nlm.nih.gov/protein/XP_058055057.1","ryanodine receptor isoform X7")</f>
        <v>ryanodine receptor isoform X7</v>
      </c>
      <c r="J4019">
        <v>3054.62</v>
      </c>
      <c r="K4019" t="s">
        <v>22</v>
      </c>
      <c r="L4019">
        <v>76</v>
      </c>
      <c r="M4019">
        <v>12.58</v>
      </c>
      <c r="N4019">
        <v>30.06</v>
      </c>
      <c r="O4019" t="s">
        <v>19</v>
      </c>
      <c r="P4019" t="s">
        <v>1320</v>
      </c>
      <c r="Q4019" t="s">
        <v>19</v>
      </c>
      <c r="R4019" t="str">
        <f>HYPERLINK("https://cfpub.epa.gov/ecotox/explore.cfm?ncbi=139047","Explore in ECOTOX")</f>
        <v>Explore in ECOTOX</v>
      </c>
    </row>
    <row r="4020" spans="1:18" x14ac:dyDescent="0.45">
      <c r="A4020" t="s">
        <v>1265</v>
      </c>
      <c r="B4020">
        <v>8</v>
      </c>
      <c r="C4020" t="str">
        <f>HYPERLINK("http://www.ncbi.nlm.nih.gov/protein/XP_039428693.1","XP_039428693.1")</f>
        <v>XP_039428693.1</v>
      </c>
      <c r="D4020">
        <v>26172</v>
      </c>
      <c r="E4020" t="str">
        <f>HYPERLINK("http://www.ncbi.nlm.nih.gov/Taxonomy/Browser/wwwtax.cgi?mode=Info&amp;id=42434&amp;lvl=3&amp;lin=f&amp;keep=1&amp;srchmode=1&amp;unlock","42434")</f>
        <v>42434</v>
      </c>
      <c r="F4020" t="s">
        <v>760</v>
      </c>
      <c r="G4020" t="str">
        <f>HYPERLINK("http://www.ncbi.nlm.nih.gov/Taxonomy/Browser/wwwtax.cgi?mode=Info&amp;id=42434&amp;lvl=3&amp;lin=f&amp;keep=1&amp;srchmode=1&amp;unlock","Culex pipiens pallens")</f>
        <v>Culex pipiens pallens</v>
      </c>
      <c r="H4020" t="s">
        <v>930</v>
      </c>
      <c r="I4020" t="str">
        <f>HYPERLINK("http://www.ncbi.nlm.nih.gov/protein/XP_039428693.1","ryanodine receptor isoform X15")</f>
        <v>ryanodine receptor isoform X15</v>
      </c>
      <c r="J4020">
        <v>3053.08</v>
      </c>
      <c r="K4020" t="s">
        <v>22</v>
      </c>
      <c r="L4020">
        <v>76</v>
      </c>
      <c r="M4020">
        <v>12.58</v>
      </c>
      <c r="N4020">
        <v>30.05</v>
      </c>
      <c r="O4020" t="s">
        <v>19</v>
      </c>
      <c r="P4020" t="s">
        <v>1320</v>
      </c>
      <c r="Q4020" t="s">
        <v>19</v>
      </c>
      <c r="R4020" t="str">
        <f>HYPERLINK("https://cfpub.epa.gov/ecotox/explore.cfm?ncbi=42434","Explore in ECOTOX")</f>
        <v>Explore in ECOTOX</v>
      </c>
    </row>
    <row r="4021" spans="1:18" x14ac:dyDescent="0.45">
      <c r="A4021" t="s">
        <v>1265</v>
      </c>
      <c r="B4021">
        <v>8</v>
      </c>
      <c r="C4021" t="str">
        <f>HYPERLINK("http://www.ncbi.nlm.nih.gov/protein/XP_052862915.1","XP_052862915.1")</f>
        <v>XP_052862915.1</v>
      </c>
      <c r="D4021">
        <v>14508</v>
      </c>
      <c r="E4021" t="str">
        <f>HYPERLINK("http://www.ncbi.nlm.nih.gov/Taxonomy/Browser/wwwtax.cgi?mode=Info&amp;id=68878&amp;lvl=3&amp;lin=f&amp;keep=1&amp;srchmode=1&amp;unlock","68878")</f>
        <v>68878</v>
      </c>
      <c r="F4021" t="s">
        <v>760</v>
      </c>
      <c r="G4021" t="str">
        <f>HYPERLINK("http://www.ncbi.nlm.nih.gov/Taxonomy/Browser/wwwtax.cgi?mode=Info&amp;id=68878&amp;lvl=3&amp;lin=f&amp;keep=1&amp;srchmode=1&amp;unlock","Anopheles cruzii")</f>
        <v>Anopheles cruzii</v>
      </c>
      <c r="H4021" t="s">
        <v>1055</v>
      </c>
      <c r="I4021" t="str">
        <f>HYPERLINK("http://www.ncbi.nlm.nih.gov/protein/XP_052862915.1","ryanodine receptor isoform X6")</f>
        <v>ryanodine receptor isoform X6</v>
      </c>
      <c r="J4021">
        <v>3051.54</v>
      </c>
      <c r="K4021" t="s">
        <v>22</v>
      </c>
      <c r="L4021">
        <v>76</v>
      </c>
      <c r="M4021">
        <v>12.58</v>
      </c>
      <c r="N4021">
        <v>30.03</v>
      </c>
      <c r="O4021" t="s">
        <v>19</v>
      </c>
      <c r="P4021" t="s">
        <v>1320</v>
      </c>
      <c r="Q4021" t="s">
        <v>19</v>
      </c>
      <c r="R4021" t="str">
        <f>HYPERLINK("https://cfpub.epa.gov/ecotox/explore.cfm?ncbi=68878","Explore in ECOTOX")</f>
        <v>Explore in ECOTOX</v>
      </c>
    </row>
    <row r="4022" spans="1:18" x14ac:dyDescent="0.45">
      <c r="A4022" t="s">
        <v>1265</v>
      </c>
      <c r="B4022">
        <v>8</v>
      </c>
      <c r="C4022" t="str">
        <f>HYPERLINK("http://www.ncbi.nlm.nih.gov/protein/XP_016661950.1","XP_016661950.1")</f>
        <v>XP_016661950.1</v>
      </c>
      <c r="D4022">
        <v>30843</v>
      </c>
      <c r="E4022" t="str">
        <f>HYPERLINK("http://www.ncbi.nlm.nih.gov/Taxonomy/Browser/wwwtax.cgi?mode=Info&amp;id=7029&amp;lvl=3&amp;lin=f&amp;keep=1&amp;srchmode=1&amp;unlock","7029")</f>
        <v>7029</v>
      </c>
      <c r="F4022" t="s">
        <v>760</v>
      </c>
      <c r="G4022" t="str">
        <f>HYPERLINK("http://www.ncbi.nlm.nih.gov/Taxonomy/Browser/wwwtax.cgi?mode=Info&amp;id=7029&amp;lvl=3&amp;lin=f&amp;keep=1&amp;srchmode=1&amp;unlock","Acyrthosiphon pisum")</f>
        <v>Acyrthosiphon pisum</v>
      </c>
      <c r="H4022" t="s">
        <v>924</v>
      </c>
      <c r="I4022" t="str">
        <f>HYPERLINK("http://www.ncbi.nlm.nih.gov/protein/XP_016661950.1","ryanodine receptor")</f>
        <v>ryanodine receptor</v>
      </c>
      <c r="J4022">
        <v>3051.54</v>
      </c>
      <c r="K4022" t="s">
        <v>22</v>
      </c>
      <c r="L4022">
        <v>76</v>
      </c>
      <c r="M4022">
        <v>12.58</v>
      </c>
      <c r="N4022">
        <v>30.03</v>
      </c>
      <c r="O4022" t="s">
        <v>19</v>
      </c>
      <c r="P4022" t="s">
        <v>1320</v>
      </c>
      <c r="Q4022" t="s">
        <v>19</v>
      </c>
      <c r="R4022" t="str">
        <f>HYPERLINK("https://cfpub.epa.gov/ecotox/explore.cfm?ncbi=7029","Explore in ECOTOX")</f>
        <v>Explore in ECOTOX</v>
      </c>
    </row>
    <row r="4023" spans="1:18" x14ac:dyDescent="0.45">
      <c r="A4023" t="s">
        <v>1265</v>
      </c>
      <c r="B4023">
        <v>8</v>
      </c>
      <c r="C4023" t="str">
        <f>HYPERLINK("http://www.ncbi.nlm.nih.gov/protein/XP_032680344.1","XP_032680344.1")</f>
        <v>XP_032680344.1</v>
      </c>
      <c r="D4023">
        <v>29198</v>
      </c>
      <c r="E4023" t="str">
        <f>HYPERLINK("http://www.ncbi.nlm.nih.gov/Taxonomy/Browser/wwwtax.cgi?mode=Info&amp;id=486640&amp;lvl=3&amp;lin=f&amp;keep=1&amp;srchmode=1&amp;unlock","486640")</f>
        <v>486640</v>
      </c>
      <c r="F4023" t="s">
        <v>760</v>
      </c>
      <c r="G4023" t="str">
        <f>HYPERLINK("http://www.ncbi.nlm.nih.gov/Taxonomy/Browser/wwwtax.cgi?mode=Info&amp;id=486640&amp;lvl=3&amp;lin=f&amp;keep=1&amp;srchmode=1&amp;unlock","Odontomachus brunneus")</f>
        <v>Odontomachus brunneus</v>
      </c>
      <c r="H4023" t="s">
        <v>769</v>
      </c>
      <c r="I4023" t="str">
        <f>HYPERLINK("http://www.ncbi.nlm.nih.gov/protein/XP_032680344.1","ryanodine receptor isoform X7")</f>
        <v>ryanodine receptor isoform X7</v>
      </c>
      <c r="J4023">
        <v>3051.54</v>
      </c>
      <c r="K4023" t="s">
        <v>22</v>
      </c>
      <c r="L4023">
        <v>76</v>
      </c>
      <c r="M4023">
        <v>12.58</v>
      </c>
      <c r="N4023">
        <v>30.03</v>
      </c>
      <c r="O4023" t="s">
        <v>19</v>
      </c>
      <c r="P4023" t="s">
        <v>1320</v>
      </c>
      <c r="Q4023" t="s">
        <v>19</v>
      </c>
      <c r="R4023" t="str">
        <f>HYPERLINK("https://cfpub.epa.gov/ecotox/explore.cfm?ncbi=486640","Explore in ECOTOX")</f>
        <v>Explore in ECOTOX</v>
      </c>
    </row>
    <row r="4024" spans="1:18" x14ac:dyDescent="0.45">
      <c r="A4024" t="s">
        <v>1265</v>
      </c>
      <c r="B4024">
        <v>8</v>
      </c>
      <c r="C4024" t="str">
        <f>HYPERLINK("http://www.ncbi.nlm.nih.gov/protein/XP_060856408.1","XP_060856408.1")</f>
        <v>XP_060856408.1</v>
      </c>
      <c r="D4024">
        <v>27366</v>
      </c>
      <c r="E4024" t="str">
        <f>HYPERLINK("http://www.ncbi.nlm.nih.gov/Taxonomy/Browser/wwwtax.cgi?mode=Info&amp;id=44670&amp;lvl=3&amp;lin=f&amp;keep=1&amp;srchmode=1&amp;unlock","44670")</f>
        <v>44670</v>
      </c>
      <c r="F4024" t="s">
        <v>760</v>
      </c>
      <c r="G4024" t="str">
        <f>HYPERLINK("http://www.ncbi.nlm.nih.gov/Taxonomy/Browser/wwwtax.cgi?mode=Info&amp;id=44670&amp;lvl=3&amp;lin=f&amp;keep=1&amp;srchmode=1&amp;unlock","Metopolophium dirhodum")</f>
        <v>Metopolophium dirhodum</v>
      </c>
      <c r="H4024" t="s">
        <v>923</v>
      </c>
      <c r="I4024" t="str">
        <f>HYPERLINK("http://www.ncbi.nlm.nih.gov/protein/XP_060856408.1","ryanodine receptor")</f>
        <v>ryanodine receptor</v>
      </c>
      <c r="J4024">
        <v>3051.54</v>
      </c>
      <c r="K4024" t="s">
        <v>22</v>
      </c>
      <c r="L4024">
        <v>76</v>
      </c>
      <c r="M4024">
        <v>12.58</v>
      </c>
      <c r="N4024">
        <v>30.03</v>
      </c>
      <c r="O4024" t="s">
        <v>19</v>
      </c>
      <c r="P4024" t="s">
        <v>1320</v>
      </c>
      <c r="Q4024" t="s">
        <v>19</v>
      </c>
      <c r="R4024" t="str">
        <f>HYPERLINK("https://cfpub.epa.gov/ecotox/explore.cfm?ncbi=44670","Explore in ECOTOX")</f>
        <v>Explore in ECOTOX</v>
      </c>
    </row>
    <row r="4025" spans="1:18" x14ac:dyDescent="0.45">
      <c r="A4025" t="s">
        <v>1265</v>
      </c>
      <c r="B4025">
        <v>8</v>
      </c>
      <c r="C4025" t="str">
        <f>HYPERLINK("http://www.ncbi.nlm.nih.gov/protein/CAI6353502.1","CAI6353502.1")</f>
        <v>CAI6353502.1</v>
      </c>
      <c r="D4025">
        <v>35054</v>
      </c>
      <c r="E4025" t="str">
        <f>HYPERLINK("http://www.ncbi.nlm.nih.gov/Taxonomy/Browser/wwwtax.cgi?mode=Info&amp;id=13131&amp;lvl=3&amp;lin=f&amp;keep=1&amp;srchmode=1&amp;unlock","13131")</f>
        <v>13131</v>
      </c>
      <c r="F4025" t="s">
        <v>760</v>
      </c>
      <c r="G4025" t="str">
        <f>HYPERLINK("http://www.ncbi.nlm.nih.gov/Taxonomy/Browser/wwwtax.cgi?mode=Info&amp;id=13131&amp;lvl=3&amp;lin=f&amp;keep=1&amp;srchmode=1&amp;unlock","Macrosiphum euphorbiae")</f>
        <v>Macrosiphum euphorbiae</v>
      </c>
      <c r="H4025" t="s">
        <v>919</v>
      </c>
      <c r="I4025" t="str">
        <f>HYPERLINK("http://www.ncbi.nlm.nih.gov/protein/CAI6353502.1","unnamed protein product")</f>
        <v>unnamed protein product</v>
      </c>
      <c r="J4025">
        <v>3050.77</v>
      </c>
      <c r="K4025" t="s">
        <v>22</v>
      </c>
      <c r="L4025">
        <v>76</v>
      </c>
      <c r="M4025">
        <v>12.58</v>
      </c>
      <c r="N4025">
        <v>30.02</v>
      </c>
      <c r="O4025" t="s">
        <v>19</v>
      </c>
      <c r="P4025" t="s">
        <v>1320</v>
      </c>
      <c r="Q4025" t="s">
        <v>19</v>
      </c>
      <c r="R4025" t="str">
        <f>HYPERLINK("https://cfpub.epa.gov/ecotox/explore.cfm?ncbi=13131","Explore in ECOTOX")</f>
        <v>Explore in ECOTOX</v>
      </c>
    </row>
    <row r="4026" spans="1:18" x14ac:dyDescent="0.45">
      <c r="A4026" t="s">
        <v>1265</v>
      </c>
      <c r="B4026">
        <v>8</v>
      </c>
      <c r="C4026" t="str">
        <f>HYPERLINK("http://www.ncbi.nlm.nih.gov/protein/XP_061381022.1","XP_061381022.1")</f>
        <v>XP_061381022.1</v>
      </c>
      <c r="D4026">
        <v>21701</v>
      </c>
      <c r="E4026" t="str">
        <f>HYPERLINK("http://www.ncbi.nlm.nih.gov/Taxonomy/Browser/wwwtax.cgi?mode=Info&amp;id=13037&amp;lvl=3&amp;lin=f&amp;keep=1&amp;srchmode=1&amp;unlock","13037")</f>
        <v>13037</v>
      </c>
      <c r="F4026" t="s">
        <v>760</v>
      </c>
      <c r="G4026" t="str">
        <f>HYPERLINK("http://www.ncbi.nlm.nih.gov/Taxonomy/Browser/wwwtax.cgi?mode=Info&amp;id=13037&amp;lvl=3&amp;lin=f&amp;keep=1&amp;srchmode=1&amp;unlock","Danaus plexippus")</f>
        <v>Danaus plexippus</v>
      </c>
      <c r="H4026" t="s">
        <v>892</v>
      </c>
      <c r="I4026" t="str">
        <f>HYPERLINK("http://www.ncbi.nlm.nih.gov/protein/XP_061381022.1","ryanodine receptor isoform X9")</f>
        <v>ryanodine receptor isoform X9</v>
      </c>
      <c r="J4026">
        <v>3049.61</v>
      </c>
      <c r="K4026" t="s">
        <v>22</v>
      </c>
      <c r="L4026">
        <v>76</v>
      </c>
      <c r="M4026">
        <v>12.58</v>
      </c>
      <c r="N4026">
        <v>30.01</v>
      </c>
      <c r="O4026" t="s">
        <v>19</v>
      </c>
      <c r="P4026" t="s">
        <v>1320</v>
      </c>
      <c r="Q4026" t="s">
        <v>19</v>
      </c>
      <c r="R4026" t="str">
        <f>HYPERLINK("https://cfpub.epa.gov/ecotox/explore.cfm?ncbi=13037","Explore in ECOTOX")</f>
        <v>Explore in ECOTOX</v>
      </c>
    </row>
    <row r="4027" spans="1:18" x14ac:dyDescent="0.45">
      <c r="A4027" t="s">
        <v>1265</v>
      </c>
      <c r="B4027">
        <v>8</v>
      </c>
      <c r="C4027" t="str">
        <f>HYPERLINK("http://www.ncbi.nlm.nih.gov/protein/XP_035793574.1","XP_035793574.1")</f>
        <v>XP_035793574.1</v>
      </c>
      <c r="D4027">
        <v>24185</v>
      </c>
      <c r="E4027" t="str">
        <f>HYPERLINK("http://www.ncbi.nlm.nih.gov/Taxonomy/Browser/wwwtax.cgi?mode=Info&amp;id=7167&amp;lvl=3&amp;lin=f&amp;keep=1&amp;srchmode=1&amp;unlock","7167")</f>
        <v>7167</v>
      </c>
      <c r="F4027" t="s">
        <v>760</v>
      </c>
      <c r="G4027" t="str">
        <f>HYPERLINK("http://www.ncbi.nlm.nih.gov/Taxonomy/Browser/wwwtax.cgi?mode=Info&amp;id=7167&amp;lvl=3&amp;lin=f&amp;keep=1&amp;srchmode=1&amp;unlock","Anopheles albimanus")</f>
        <v>Anopheles albimanus</v>
      </c>
      <c r="H4027" t="s">
        <v>917</v>
      </c>
      <c r="I4027" t="str">
        <f>HYPERLINK("http://www.ncbi.nlm.nih.gov/protein/XP_035793574.1","ryanodine receptor-like isoform X14")</f>
        <v>ryanodine receptor-like isoform X14</v>
      </c>
      <c r="J4027">
        <v>3049.61</v>
      </c>
      <c r="K4027" t="s">
        <v>22</v>
      </c>
      <c r="L4027">
        <v>76</v>
      </c>
      <c r="M4027">
        <v>12.58</v>
      </c>
      <c r="N4027">
        <v>30.01</v>
      </c>
      <c r="O4027" t="s">
        <v>19</v>
      </c>
      <c r="P4027" t="s">
        <v>1320</v>
      </c>
      <c r="Q4027" t="s">
        <v>19</v>
      </c>
      <c r="R4027" t="str">
        <f>HYPERLINK("https://cfpub.epa.gov/ecotox/explore.cfm?ncbi=7167","Explore in ECOTOX")</f>
        <v>Explore in ECOTOX</v>
      </c>
    </row>
    <row r="4028" spans="1:18" x14ac:dyDescent="0.45">
      <c r="A4028" t="s">
        <v>1265</v>
      </c>
      <c r="B4028">
        <v>8</v>
      </c>
      <c r="C4028" t="str">
        <f>HYPERLINK("http://www.ncbi.nlm.nih.gov/protein/XP_015173060.1","XP_015173060.1")</f>
        <v>XP_015173060.1</v>
      </c>
      <c r="D4028">
        <v>20991</v>
      </c>
      <c r="E4028" t="str">
        <f>HYPERLINK("http://www.ncbi.nlm.nih.gov/Taxonomy/Browser/wwwtax.cgi?mode=Info&amp;id=743375&amp;lvl=3&amp;lin=f&amp;keep=1&amp;srchmode=1&amp;unlock","743375")</f>
        <v>743375</v>
      </c>
      <c r="F4028" t="s">
        <v>760</v>
      </c>
      <c r="G4028" t="str">
        <f>HYPERLINK("http://www.ncbi.nlm.nih.gov/Taxonomy/Browser/wwwtax.cgi?mode=Info&amp;id=743375&amp;lvl=3&amp;lin=f&amp;keep=1&amp;srchmode=1&amp;unlock","Polistes dominula")</f>
        <v>Polistes dominula</v>
      </c>
      <c r="H4028" t="s">
        <v>806</v>
      </c>
      <c r="I4028" t="str">
        <f>HYPERLINK("http://www.ncbi.nlm.nih.gov/protein/XP_015173060.1","PREDICTED: ryanodine receptor isoform X26")</f>
        <v>PREDICTED: ryanodine receptor isoform X26</v>
      </c>
      <c r="J4028">
        <v>3047.68</v>
      </c>
      <c r="K4028" t="s">
        <v>22</v>
      </c>
      <c r="L4028">
        <v>76</v>
      </c>
      <c r="M4028">
        <v>12.58</v>
      </c>
      <c r="N4028">
        <v>29.99</v>
      </c>
      <c r="O4028" t="s">
        <v>19</v>
      </c>
      <c r="P4028" t="s">
        <v>1320</v>
      </c>
      <c r="Q4028" t="s">
        <v>19</v>
      </c>
      <c r="R4028" t="str">
        <f>HYPERLINK("https://cfpub.epa.gov/ecotox/explore.cfm?ncbi=743375","Explore in ECOTOX")</f>
        <v>Explore in ECOTOX</v>
      </c>
    </row>
    <row r="4029" spans="1:18" x14ac:dyDescent="0.45">
      <c r="A4029" t="s">
        <v>1265</v>
      </c>
      <c r="B4029">
        <v>8</v>
      </c>
      <c r="C4029" t="str">
        <f>HYPERLINK("http://www.ncbi.nlm.nih.gov/protein/XP_050093121.1","XP_050093121.1")</f>
        <v>XP_050093121.1</v>
      </c>
      <c r="D4029">
        <v>20334</v>
      </c>
      <c r="E4029" t="str">
        <f>HYPERLINK("http://www.ncbi.nlm.nih.gov/Taxonomy/Browser/wwwtax.cgi?mode=Info&amp;id=42839&amp;lvl=3&amp;lin=f&amp;keep=1&amp;srchmode=1&amp;unlock","42839")</f>
        <v>42839</v>
      </c>
      <c r="F4029" t="s">
        <v>760</v>
      </c>
      <c r="G4029" t="str">
        <f>HYPERLINK("http://www.ncbi.nlm.nih.gov/Taxonomy/Browser/wwwtax.cgi?mode=Info&amp;id=42839&amp;lvl=3&amp;lin=f&amp;keep=1&amp;srchmode=1&amp;unlock","Anopheles aquasalis")</f>
        <v>Anopheles aquasalis</v>
      </c>
      <c r="H4029" t="s">
        <v>917</v>
      </c>
      <c r="I4029" t="str">
        <f>HYPERLINK("http://www.ncbi.nlm.nih.gov/protein/XP_050093121.1","ryanodine receptor isoform X6")</f>
        <v>ryanodine receptor isoform X6</v>
      </c>
      <c r="J4029">
        <v>3046.14</v>
      </c>
      <c r="K4029" t="s">
        <v>22</v>
      </c>
      <c r="L4029">
        <v>76</v>
      </c>
      <c r="M4029">
        <v>12.58</v>
      </c>
      <c r="N4029">
        <v>29.98</v>
      </c>
      <c r="O4029" t="s">
        <v>19</v>
      </c>
      <c r="P4029" t="s">
        <v>1320</v>
      </c>
      <c r="Q4029" t="s">
        <v>19</v>
      </c>
      <c r="R4029" t="str">
        <f>HYPERLINK("https://cfpub.epa.gov/ecotox/explore.cfm?ncbi=42839","Explore in ECOTOX")</f>
        <v>Explore in ECOTOX</v>
      </c>
    </row>
    <row r="4030" spans="1:18" x14ac:dyDescent="0.45">
      <c r="A4030" t="s">
        <v>1265</v>
      </c>
      <c r="B4030">
        <v>8</v>
      </c>
      <c r="C4030" t="str">
        <f>HYPERLINK("http://www.ncbi.nlm.nih.gov/protein/XP_014604700.1","XP_014604700.1")</f>
        <v>XP_014604700.1</v>
      </c>
      <c r="D4030">
        <v>19309</v>
      </c>
      <c r="E4030" t="str">
        <f>HYPERLINK("http://www.ncbi.nlm.nih.gov/Taxonomy/Browser/wwwtax.cgi?mode=Info&amp;id=91411&amp;lvl=3&amp;lin=f&amp;keep=1&amp;srchmode=1&amp;unlock","91411")</f>
        <v>91411</v>
      </c>
      <c r="F4030" t="s">
        <v>760</v>
      </c>
      <c r="G4030" t="str">
        <f>HYPERLINK("http://www.ncbi.nlm.nih.gov/Taxonomy/Browser/wwwtax.cgi?mode=Info&amp;id=91411&amp;lvl=3&amp;lin=f&amp;keep=1&amp;srchmode=1&amp;unlock","Polistes canadensis")</f>
        <v>Polistes canadensis</v>
      </c>
      <c r="H4030" t="s">
        <v>808</v>
      </c>
      <c r="I4030" t="str">
        <f>HYPERLINK("http://www.ncbi.nlm.nih.gov/protein/XP_014604700.1","PREDICTED: ryanodine receptor isoform X11")</f>
        <v>PREDICTED: ryanodine receptor isoform X11</v>
      </c>
      <c r="J4030">
        <v>3045.76</v>
      </c>
      <c r="K4030" t="s">
        <v>22</v>
      </c>
      <c r="L4030">
        <v>76</v>
      </c>
      <c r="M4030">
        <v>12.58</v>
      </c>
      <c r="N4030">
        <v>29.98</v>
      </c>
      <c r="O4030" t="s">
        <v>19</v>
      </c>
      <c r="P4030" t="s">
        <v>1320</v>
      </c>
      <c r="Q4030" t="s">
        <v>19</v>
      </c>
      <c r="R4030" t="str">
        <f>HYPERLINK("https://cfpub.epa.gov/ecotox/explore.cfm?ncbi=91411","Explore in ECOTOX")</f>
        <v>Explore in ECOTOX</v>
      </c>
    </row>
    <row r="4031" spans="1:18" x14ac:dyDescent="0.45">
      <c r="A4031" t="s">
        <v>1265</v>
      </c>
      <c r="B4031">
        <v>8</v>
      </c>
      <c r="C4031" t="str">
        <f>HYPERLINK("http://www.ncbi.nlm.nih.gov/protein/KFB47317.1","KFB47317.1")</f>
        <v>KFB47317.1</v>
      </c>
      <c r="D4031">
        <v>20026</v>
      </c>
      <c r="E4031" t="str">
        <f>HYPERLINK("http://www.ncbi.nlm.nih.gov/Taxonomy/Browser/wwwtax.cgi?mode=Info&amp;id=74873&amp;lvl=3&amp;lin=f&amp;keep=1&amp;srchmode=1&amp;unlock","74873")</f>
        <v>74873</v>
      </c>
      <c r="F4031" t="s">
        <v>760</v>
      </c>
      <c r="G4031" t="str">
        <f>HYPERLINK("http://www.ncbi.nlm.nih.gov/Taxonomy/Browser/wwwtax.cgi?mode=Info&amp;id=74873&amp;lvl=3&amp;lin=f&amp;keep=1&amp;srchmode=1&amp;unlock","Anopheles sinensis")</f>
        <v>Anopheles sinensis</v>
      </c>
      <c r="H4031" t="s">
        <v>917</v>
      </c>
      <c r="I4031" t="str">
        <f>HYPERLINK("http://www.ncbi.nlm.nih.gov/protein/KFB47317.1","AGAP010750-PA-like protein")</f>
        <v>AGAP010750-PA-like protein</v>
      </c>
      <c r="J4031">
        <v>3045.76</v>
      </c>
      <c r="K4031" t="s">
        <v>22</v>
      </c>
      <c r="L4031">
        <v>76</v>
      </c>
      <c r="M4031">
        <v>12.58</v>
      </c>
      <c r="N4031">
        <v>29.98</v>
      </c>
      <c r="O4031" t="s">
        <v>19</v>
      </c>
      <c r="P4031" t="s">
        <v>1320</v>
      </c>
      <c r="Q4031" t="s">
        <v>19</v>
      </c>
      <c r="R4031" t="str">
        <f>HYPERLINK("https://cfpub.epa.gov/ecotox/explore.cfm?ncbi=74873","Explore in ECOTOX")</f>
        <v>Explore in ECOTOX</v>
      </c>
    </row>
    <row r="4032" spans="1:18" x14ac:dyDescent="0.45">
      <c r="A4032" t="s">
        <v>1265</v>
      </c>
      <c r="B4032">
        <v>8</v>
      </c>
      <c r="C4032" t="str">
        <f>HYPERLINK("http://www.ncbi.nlm.nih.gov/protein/XP_022160123.1","XP_022160123.1")</f>
        <v>XP_022160123.1</v>
      </c>
      <c r="D4032">
        <v>24620</v>
      </c>
      <c r="E4032" t="str">
        <f>HYPERLINK("http://www.ncbi.nlm.nih.gov/Taxonomy/Browser/wwwtax.cgi?mode=Info&amp;id=13164&amp;lvl=3&amp;lin=f&amp;keep=1&amp;srchmode=1&amp;unlock","13164")</f>
        <v>13164</v>
      </c>
      <c r="F4032" t="s">
        <v>760</v>
      </c>
      <c r="G4032" t="str">
        <f>HYPERLINK("http://www.ncbi.nlm.nih.gov/Taxonomy/Browser/wwwtax.cgi?mode=Info&amp;id=13164&amp;lvl=3&amp;lin=f&amp;keep=1&amp;srchmode=1&amp;unlock","Myzus persicae")</f>
        <v>Myzus persicae</v>
      </c>
      <c r="H4032" t="s">
        <v>916</v>
      </c>
      <c r="I4032" t="str">
        <f>HYPERLINK("http://www.ncbi.nlm.nih.gov/protein/XP_022160123.1","ryanodine receptor")</f>
        <v>ryanodine receptor</v>
      </c>
      <c r="J4032">
        <v>3044.6</v>
      </c>
      <c r="K4032" t="s">
        <v>22</v>
      </c>
      <c r="L4032">
        <v>76</v>
      </c>
      <c r="M4032">
        <v>12.58</v>
      </c>
      <c r="N4032">
        <v>29.96</v>
      </c>
      <c r="O4032" t="s">
        <v>19</v>
      </c>
      <c r="P4032" t="s">
        <v>1320</v>
      </c>
      <c r="Q4032" t="s">
        <v>19</v>
      </c>
      <c r="R4032" t="str">
        <f>HYPERLINK("https://cfpub.epa.gov/ecotox/explore.cfm?ncbi=13164","Explore in ECOTOX")</f>
        <v>Explore in ECOTOX</v>
      </c>
    </row>
    <row r="4033" spans="1:18" x14ac:dyDescent="0.45">
      <c r="A4033" t="s">
        <v>1265</v>
      </c>
      <c r="B4033">
        <v>8</v>
      </c>
      <c r="C4033" t="str">
        <f>HYPERLINK("http://www.ncbi.nlm.nih.gov/protein/XP_049543473.1","XP_049543473.1")</f>
        <v>XP_049543473.1</v>
      </c>
      <c r="D4033">
        <v>31177</v>
      </c>
      <c r="E4033" t="str">
        <f>HYPERLINK("http://www.ncbi.nlm.nih.gov/Taxonomy/Browser/wwwtax.cgi?mode=Info&amp;id=43151&amp;lvl=3&amp;lin=f&amp;keep=1&amp;srchmode=1&amp;unlock","43151")</f>
        <v>43151</v>
      </c>
      <c r="F4033" t="s">
        <v>760</v>
      </c>
      <c r="G4033" t="str">
        <f>HYPERLINK("http://www.ncbi.nlm.nih.gov/Taxonomy/Browser/wwwtax.cgi?mode=Info&amp;id=43151&amp;lvl=3&amp;lin=f&amp;keep=1&amp;srchmode=1&amp;unlock","Anopheles darlingi")</f>
        <v>Anopheles darlingi</v>
      </c>
      <c r="H4033" t="s">
        <v>950</v>
      </c>
      <c r="I4033" t="str">
        <f>HYPERLINK("http://www.ncbi.nlm.nih.gov/protein/XP_049543473.1","ryanodine receptor isoform X9")</f>
        <v>ryanodine receptor isoform X9</v>
      </c>
      <c r="J4033">
        <v>3044.6</v>
      </c>
      <c r="K4033" t="s">
        <v>22</v>
      </c>
      <c r="L4033">
        <v>76</v>
      </c>
      <c r="M4033">
        <v>12.58</v>
      </c>
      <c r="N4033">
        <v>29.96</v>
      </c>
      <c r="O4033" t="s">
        <v>19</v>
      </c>
      <c r="P4033" t="s">
        <v>1320</v>
      </c>
      <c r="Q4033" t="s">
        <v>19</v>
      </c>
      <c r="R4033" t="str">
        <f>HYPERLINK("https://cfpub.epa.gov/ecotox/explore.cfm?ncbi=43151","Explore in ECOTOX")</f>
        <v>Explore in ECOTOX</v>
      </c>
    </row>
    <row r="4034" spans="1:18" x14ac:dyDescent="0.45">
      <c r="A4034" t="s">
        <v>1265</v>
      </c>
      <c r="B4034">
        <v>8</v>
      </c>
      <c r="C4034" t="str">
        <f>HYPERLINK("http://www.ncbi.nlm.nih.gov/protein/XP_021370589.1","XP_021370589.1")</f>
        <v>XP_021370589.1</v>
      </c>
      <c r="D4034">
        <v>64389</v>
      </c>
      <c r="E4034" t="str">
        <f>HYPERLINK("http://www.ncbi.nlm.nih.gov/Taxonomy/Browser/wwwtax.cgi?mode=Info&amp;id=6573&amp;lvl=3&amp;lin=f&amp;keep=1&amp;srchmode=1&amp;unlock","6573")</f>
        <v>6573</v>
      </c>
      <c r="F4034" t="s">
        <v>833</v>
      </c>
      <c r="G4034" t="str">
        <f>HYPERLINK("http://www.ncbi.nlm.nih.gov/Taxonomy/Browser/wwwtax.cgi?mode=Info&amp;id=6573&amp;lvl=3&amp;lin=f&amp;keep=1&amp;srchmode=1&amp;unlock","Mizuhopecten yessoensis")</f>
        <v>Mizuhopecten yessoensis</v>
      </c>
      <c r="H4034" t="s">
        <v>960</v>
      </c>
      <c r="I4034" t="str">
        <f>HYPERLINK("http://www.ncbi.nlm.nih.gov/protein/XP_021370589.1","ryanodine receptor 2-like")</f>
        <v>ryanodine receptor 2-like</v>
      </c>
      <c r="J4034">
        <v>3044.6</v>
      </c>
      <c r="K4034" t="s">
        <v>22</v>
      </c>
      <c r="L4034">
        <v>76</v>
      </c>
      <c r="M4034">
        <v>12.58</v>
      </c>
      <c r="N4034">
        <v>29.96</v>
      </c>
      <c r="O4034" t="s">
        <v>19</v>
      </c>
      <c r="P4034" t="s">
        <v>1320</v>
      </c>
      <c r="Q4034" t="s">
        <v>19</v>
      </c>
      <c r="R4034" t="str">
        <f>HYPERLINK("https://cfpub.epa.gov/ecotox/explore.cfm?ncbi=6573","Explore in ECOTOX")</f>
        <v>Explore in ECOTOX</v>
      </c>
    </row>
    <row r="4035" spans="1:18" x14ac:dyDescent="0.45">
      <c r="A4035" t="s">
        <v>1265</v>
      </c>
      <c r="B4035">
        <v>8</v>
      </c>
      <c r="C4035" t="str">
        <f>HYPERLINK("http://www.ncbi.nlm.nih.gov/protein/XP_055629099.1","XP_055629099.1")</f>
        <v>XP_055629099.1</v>
      </c>
      <c r="D4035">
        <v>30898</v>
      </c>
      <c r="E4035" t="str">
        <f>HYPERLINK("http://www.ncbi.nlm.nih.gov/Taxonomy/Browser/wwwtax.cgi?mode=Info&amp;id=329112&amp;lvl=3&amp;lin=f&amp;keep=1&amp;srchmode=1&amp;unlock","329112")</f>
        <v>329112</v>
      </c>
      <c r="F4035" t="s">
        <v>760</v>
      </c>
      <c r="G4035" t="str">
        <f>HYPERLINK("http://www.ncbi.nlm.nih.gov/Taxonomy/Browser/wwwtax.cgi?mode=Info&amp;id=329112&amp;lvl=3&amp;lin=f&amp;keep=1&amp;srchmode=1&amp;unlock","Toxorhynchites rutilus septentrionalis")</f>
        <v>Toxorhynchites rutilus septentrionalis</v>
      </c>
      <c r="H4035" t="s">
        <v>917</v>
      </c>
      <c r="I4035" t="str">
        <f>HYPERLINK("http://www.ncbi.nlm.nih.gov/protein/XP_055629099.1","ryanodine receptor isoform X24")</f>
        <v>ryanodine receptor isoform X24</v>
      </c>
      <c r="J4035">
        <v>3044.6</v>
      </c>
      <c r="K4035" t="s">
        <v>22</v>
      </c>
      <c r="L4035">
        <v>76</v>
      </c>
      <c r="M4035">
        <v>12.58</v>
      </c>
      <c r="N4035">
        <v>29.96</v>
      </c>
      <c r="O4035" t="s">
        <v>19</v>
      </c>
      <c r="P4035" t="s">
        <v>1320</v>
      </c>
      <c r="Q4035" t="s">
        <v>19</v>
      </c>
      <c r="R4035" t="str">
        <f>HYPERLINK("https://cfpub.epa.gov/ecotox/explore.cfm?ncbi=329112","Explore in ECOTOX")</f>
        <v>Explore in ECOTOX</v>
      </c>
    </row>
    <row r="4036" spans="1:18" x14ac:dyDescent="0.45">
      <c r="A4036" t="s">
        <v>1265</v>
      </c>
      <c r="B4036">
        <v>8</v>
      </c>
      <c r="C4036" t="str">
        <f>HYPERLINK("http://www.ncbi.nlm.nih.gov/protein/XP_037915521.1","XP_037915521.1")</f>
        <v>XP_037915521.1</v>
      </c>
      <c r="D4036">
        <v>42680</v>
      </c>
      <c r="E4036" t="str">
        <f>HYPERLINK("http://www.ncbi.nlm.nih.gov/Taxonomy/Browser/wwwtax.cgi?mode=Info&amp;id=343691&amp;lvl=3&amp;lin=f&amp;keep=1&amp;srchmode=1&amp;unlock","343691")</f>
        <v>343691</v>
      </c>
      <c r="F4036" t="s">
        <v>760</v>
      </c>
      <c r="G4036" t="str">
        <f>HYPERLINK("http://www.ncbi.nlm.nih.gov/Taxonomy/Browser/wwwtax.cgi?mode=Info&amp;id=343691&amp;lvl=3&amp;lin=f&amp;keep=1&amp;srchmode=1&amp;unlock","Hermetia illucens")</f>
        <v>Hermetia illucens</v>
      </c>
      <c r="H4036" t="s">
        <v>941</v>
      </c>
      <c r="I4036" t="str">
        <f>HYPERLINK("http://www.ncbi.nlm.nih.gov/protein/XP_037915521.1","ryanodine receptor isoform X13")</f>
        <v>ryanodine receptor isoform X13</v>
      </c>
      <c r="J4036">
        <v>3044.22</v>
      </c>
      <c r="K4036" t="s">
        <v>22</v>
      </c>
      <c r="L4036">
        <v>76</v>
      </c>
      <c r="M4036">
        <v>12.58</v>
      </c>
      <c r="N4036">
        <v>29.96</v>
      </c>
      <c r="O4036" t="s">
        <v>19</v>
      </c>
      <c r="P4036" t="s">
        <v>1320</v>
      </c>
      <c r="Q4036" t="s">
        <v>19</v>
      </c>
      <c r="R4036" t="str">
        <f>HYPERLINK("https://cfpub.epa.gov/ecotox/explore.cfm?ncbi=343691","Explore in ECOTOX")</f>
        <v>Explore in ECOTOX</v>
      </c>
    </row>
    <row r="4037" spans="1:18" x14ac:dyDescent="0.45">
      <c r="A4037" t="s">
        <v>1265</v>
      </c>
      <c r="B4037">
        <v>8</v>
      </c>
      <c r="C4037" t="str">
        <f>HYPERLINK("http://www.ncbi.nlm.nih.gov/protein/XP_037955137.1","XP_037955137.1")</f>
        <v>XP_037955137.1</v>
      </c>
      <c r="D4037">
        <v>34229</v>
      </c>
      <c r="E4037" t="str">
        <f>HYPERLINK("http://www.ncbi.nlm.nih.gov/Taxonomy/Browser/wwwtax.cgi?mode=Info&amp;id=139649&amp;lvl=3&amp;lin=f&amp;keep=1&amp;srchmode=1&amp;unlock","139649")</f>
        <v>139649</v>
      </c>
      <c r="F4037" t="s">
        <v>760</v>
      </c>
      <c r="G4037" t="str">
        <f>HYPERLINK("http://www.ncbi.nlm.nih.gov/Taxonomy/Browser/wwwtax.cgi?mode=Info&amp;id=139649&amp;lvl=3&amp;lin=f&amp;keep=1&amp;srchmode=1&amp;unlock","Teleopsis dalmanni")</f>
        <v>Teleopsis dalmanni</v>
      </c>
      <c r="H4037" t="s">
        <v>921</v>
      </c>
      <c r="I4037" t="str">
        <f>HYPERLINK("http://www.ncbi.nlm.nih.gov/protein/XP_037955137.1","ryanodine receptor isoform X11")</f>
        <v>ryanodine receptor isoform X11</v>
      </c>
      <c r="J4037">
        <v>3043.83</v>
      </c>
      <c r="K4037" t="s">
        <v>22</v>
      </c>
      <c r="L4037">
        <v>76</v>
      </c>
      <c r="M4037">
        <v>12.58</v>
      </c>
      <c r="N4037">
        <v>29.96</v>
      </c>
      <c r="O4037" t="s">
        <v>19</v>
      </c>
      <c r="P4037" t="s">
        <v>1320</v>
      </c>
      <c r="Q4037" t="s">
        <v>19</v>
      </c>
      <c r="R4037" t="str">
        <f>HYPERLINK("https://cfpub.epa.gov/ecotox/explore.cfm?ncbi=139649","Explore in ECOTOX")</f>
        <v>Explore in ECOTOX</v>
      </c>
    </row>
    <row r="4038" spans="1:18" x14ac:dyDescent="0.45">
      <c r="A4038" t="s">
        <v>1265</v>
      </c>
      <c r="B4038">
        <v>8</v>
      </c>
      <c r="C4038" t="str">
        <f>HYPERLINK("http://www.ncbi.nlm.nih.gov/protein/XP_053687055.1","XP_053687055.1")</f>
        <v>XP_053687055.1</v>
      </c>
      <c r="D4038">
        <v>17981</v>
      </c>
      <c r="E4038" t="str">
        <f>HYPERLINK("http://www.ncbi.nlm.nih.gov/Taxonomy/Browser/wwwtax.cgi?mode=Info&amp;id=53552&amp;lvl=3&amp;lin=f&amp;keep=1&amp;srchmode=1&amp;unlock","53552")</f>
        <v>53552</v>
      </c>
      <c r="F4038" t="s">
        <v>760</v>
      </c>
      <c r="G4038" t="str">
        <f>HYPERLINK("http://www.ncbi.nlm.nih.gov/Taxonomy/Browser/wwwtax.cgi?mode=Info&amp;id=53552&amp;lvl=3&amp;lin=f&amp;keep=1&amp;srchmode=1&amp;unlock","Sabethes cyaneus")</f>
        <v>Sabethes cyaneus</v>
      </c>
      <c r="H4038" t="s">
        <v>917</v>
      </c>
      <c r="I4038" t="str">
        <f>HYPERLINK("http://www.ncbi.nlm.nih.gov/protein/XP_053687055.1","ryanodine receptor")</f>
        <v>ryanodine receptor</v>
      </c>
      <c r="J4038">
        <v>3042.68</v>
      </c>
      <c r="K4038" t="s">
        <v>22</v>
      </c>
      <c r="L4038">
        <v>76</v>
      </c>
      <c r="M4038">
        <v>12.58</v>
      </c>
      <c r="N4038">
        <v>29.95</v>
      </c>
      <c r="O4038" t="s">
        <v>19</v>
      </c>
      <c r="P4038" t="s">
        <v>1320</v>
      </c>
      <c r="Q4038" t="s">
        <v>19</v>
      </c>
      <c r="R4038" t="str">
        <f>HYPERLINK("https://cfpub.epa.gov/ecotox/explore.cfm?ncbi=53552","Explore in ECOTOX")</f>
        <v>Explore in ECOTOX</v>
      </c>
    </row>
    <row r="4039" spans="1:18" x14ac:dyDescent="0.45">
      <c r="A4039" t="s">
        <v>1265</v>
      </c>
      <c r="B4039">
        <v>8</v>
      </c>
      <c r="C4039" t="str">
        <f>HYPERLINK("http://www.ncbi.nlm.nih.gov/protein/XP_050081218.1","XP_050081218.1")</f>
        <v>XP_050081218.1</v>
      </c>
      <c r="D4039">
        <v>14441</v>
      </c>
      <c r="E4039" t="str">
        <f>HYPERLINK("http://www.ncbi.nlm.nih.gov/Taxonomy/Browser/wwwtax.cgi?mode=Info&amp;id=1496333&amp;lvl=3&amp;lin=f&amp;keep=1&amp;srchmode=1&amp;unlock","1496333")</f>
        <v>1496333</v>
      </c>
      <c r="F4039" t="s">
        <v>760</v>
      </c>
      <c r="G4039" t="str">
        <f>HYPERLINK("http://www.ncbi.nlm.nih.gov/Taxonomy/Browser/wwwtax.cgi?mode=Info&amp;id=1496333&amp;lvl=3&amp;lin=f&amp;keep=1&amp;srchmode=1&amp;unlock","Anopheles maculipalpis")</f>
        <v>Anopheles maculipalpis</v>
      </c>
      <c r="H4039" t="s">
        <v>917</v>
      </c>
      <c r="I4039" t="str">
        <f>HYPERLINK("http://www.ncbi.nlm.nih.gov/protein/XP_050081218.1","ryanodine receptor isoform X10")</f>
        <v>ryanodine receptor isoform X10</v>
      </c>
      <c r="J4039">
        <v>3041.91</v>
      </c>
      <c r="K4039" t="s">
        <v>22</v>
      </c>
      <c r="L4039">
        <v>76</v>
      </c>
      <c r="M4039">
        <v>12.58</v>
      </c>
      <c r="N4039">
        <v>29.94</v>
      </c>
      <c r="O4039" t="s">
        <v>19</v>
      </c>
      <c r="P4039" t="s">
        <v>1320</v>
      </c>
      <c r="Q4039" t="s">
        <v>19</v>
      </c>
      <c r="R4039" t="str">
        <f>HYPERLINK("https://cfpub.epa.gov/ecotox/explore.cfm?ncbi=1496333","Explore in ECOTOX")</f>
        <v>Explore in ECOTOX</v>
      </c>
    </row>
    <row r="4040" spans="1:18" x14ac:dyDescent="0.45">
      <c r="A4040" t="s">
        <v>1265</v>
      </c>
      <c r="B4040">
        <v>8</v>
      </c>
      <c r="C4040" t="str">
        <f>HYPERLINK("http://www.ncbi.nlm.nih.gov/protein/XP_021707525.1","XP_021707525.1")</f>
        <v>XP_021707525.1</v>
      </c>
      <c r="D4040">
        <v>50994</v>
      </c>
      <c r="E4040" t="str">
        <f>HYPERLINK("http://www.ncbi.nlm.nih.gov/Taxonomy/Browser/wwwtax.cgi?mode=Info&amp;id=7159&amp;lvl=3&amp;lin=f&amp;keep=1&amp;srchmode=1&amp;unlock","7159")</f>
        <v>7159</v>
      </c>
      <c r="F4040" t="s">
        <v>760</v>
      </c>
      <c r="G4040" t="str">
        <f>HYPERLINK("http://www.ncbi.nlm.nih.gov/Taxonomy/Browser/wwwtax.cgi?mode=Info&amp;id=7159&amp;lvl=3&amp;lin=f&amp;keep=1&amp;srchmode=1&amp;unlock","Aedes aegypti")</f>
        <v>Aedes aegypti</v>
      </c>
      <c r="H4040" t="s">
        <v>920</v>
      </c>
      <c r="I4040" t="str">
        <f>HYPERLINK("http://www.ncbi.nlm.nih.gov/protein/XP_021707525.1","ryanodine receptor isoform X13")</f>
        <v>ryanodine receptor isoform X13</v>
      </c>
      <c r="J4040">
        <v>3041.14</v>
      </c>
      <c r="K4040" t="s">
        <v>22</v>
      </c>
      <c r="L4040">
        <v>76</v>
      </c>
      <c r="M4040">
        <v>12.58</v>
      </c>
      <c r="N4040">
        <v>29.93</v>
      </c>
      <c r="O4040" t="s">
        <v>19</v>
      </c>
      <c r="P4040" t="s">
        <v>1320</v>
      </c>
      <c r="Q4040" t="s">
        <v>19</v>
      </c>
      <c r="R4040" t="str">
        <f>HYPERLINK("https://cfpub.epa.gov/ecotox/explore.cfm?ncbi=7159","Explore in ECOTOX")</f>
        <v>Explore in ECOTOX</v>
      </c>
    </row>
    <row r="4041" spans="1:18" x14ac:dyDescent="0.45">
      <c r="A4041" t="s">
        <v>1265</v>
      </c>
      <c r="B4041">
        <v>8</v>
      </c>
      <c r="C4041" t="str">
        <f>HYPERLINK("http://www.ncbi.nlm.nih.gov/protein/XP_022912324.1","XP_022912324.1")</f>
        <v>XP_022912324.1</v>
      </c>
      <c r="D4041">
        <v>21696</v>
      </c>
      <c r="E4041" t="str">
        <f>HYPERLINK("http://www.ncbi.nlm.nih.gov/Taxonomy/Browser/wwwtax.cgi?mode=Info&amp;id=166361&amp;lvl=3&amp;lin=f&amp;keep=1&amp;srchmode=1&amp;unlock","166361")</f>
        <v>166361</v>
      </c>
      <c r="F4041" t="s">
        <v>760</v>
      </c>
      <c r="G4041" t="str">
        <f>HYPERLINK("http://www.ncbi.nlm.nih.gov/Taxonomy/Browser/wwwtax.cgi?mode=Info&amp;id=166361&amp;lvl=3&amp;lin=f&amp;keep=1&amp;srchmode=1&amp;unlock","Onthophagus taurus")</f>
        <v>Onthophagus taurus</v>
      </c>
      <c r="H4041" t="s">
        <v>956</v>
      </c>
      <c r="I4041" t="str">
        <f>HYPERLINK("http://www.ncbi.nlm.nih.gov/protein/XP_022912324.1","ryanodine receptor isoform X6")</f>
        <v>ryanodine receptor isoform X6</v>
      </c>
      <c r="J4041">
        <v>3039.98</v>
      </c>
      <c r="K4041" t="s">
        <v>22</v>
      </c>
      <c r="L4041">
        <v>76</v>
      </c>
      <c r="M4041">
        <v>12.58</v>
      </c>
      <c r="N4041">
        <v>29.92</v>
      </c>
      <c r="O4041" t="s">
        <v>19</v>
      </c>
      <c r="P4041" t="s">
        <v>1320</v>
      </c>
      <c r="Q4041" t="s">
        <v>19</v>
      </c>
      <c r="R4041" t="str">
        <f>HYPERLINK("https://cfpub.epa.gov/ecotox/explore.cfm?ncbi=166361","Explore in ECOTOX")</f>
        <v>Explore in ECOTOX</v>
      </c>
    </row>
    <row r="4042" spans="1:18" x14ac:dyDescent="0.45">
      <c r="A4042" t="s">
        <v>1265</v>
      </c>
      <c r="B4042">
        <v>8</v>
      </c>
      <c r="C4042" t="str">
        <f>HYPERLINK("http://www.ncbi.nlm.nih.gov/protein/XP_049289008.1","XP_049289008.1")</f>
        <v>XP_049289008.1</v>
      </c>
      <c r="D4042">
        <v>26504</v>
      </c>
      <c r="E4042" t="str">
        <f>HYPERLINK("http://www.ncbi.nlm.nih.gov/Taxonomy/Browser/wwwtax.cgi?mode=Info&amp;id=62324&amp;lvl=3&amp;lin=f&amp;keep=1&amp;srchmode=1&amp;unlock","62324")</f>
        <v>62324</v>
      </c>
      <c r="F4042" t="s">
        <v>760</v>
      </c>
      <c r="G4042" t="str">
        <f>HYPERLINK("http://www.ncbi.nlm.nih.gov/Taxonomy/Browser/wwwtax.cgi?mode=Info&amp;id=62324&amp;lvl=3&amp;lin=f&amp;keep=1&amp;srchmode=1&amp;unlock","Anopheles funestus")</f>
        <v>Anopheles funestus</v>
      </c>
      <c r="H4042" t="s">
        <v>940</v>
      </c>
      <c r="I4042" t="str">
        <f>HYPERLINK("http://www.ncbi.nlm.nih.gov/protein/XP_049289008.1","ryanodine receptor isoform X10")</f>
        <v>ryanodine receptor isoform X10</v>
      </c>
      <c r="J4042">
        <v>3039.6</v>
      </c>
      <c r="K4042" t="s">
        <v>22</v>
      </c>
      <c r="L4042">
        <v>76</v>
      </c>
      <c r="M4042">
        <v>12.58</v>
      </c>
      <c r="N4042">
        <v>29.91</v>
      </c>
      <c r="O4042" t="s">
        <v>19</v>
      </c>
      <c r="P4042" t="s">
        <v>1320</v>
      </c>
      <c r="Q4042" t="s">
        <v>19</v>
      </c>
      <c r="R4042" t="str">
        <f>HYPERLINK("https://cfpub.epa.gov/ecotox/explore.cfm?ncbi=62324","Explore in ECOTOX")</f>
        <v>Explore in ECOTOX</v>
      </c>
    </row>
    <row r="4043" spans="1:18" x14ac:dyDescent="0.45">
      <c r="A4043" t="s">
        <v>1265</v>
      </c>
      <c r="B4043">
        <v>8</v>
      </c>
      <c r="C4043" t="str">
        <f>HYPERLINK("http://www.ncbi.nlm.nih.gov/protein/XP_029731118.1","XP_029731118.1")</f>
        <v>XP_029731118.1</v>
      </c>
      <c r="D4043">
        <v>60125</v>
      </c>
      <c r="E4043" t="str">
        <f>HYPERLINK("http://www.ncbi.nlm.nih.gov/Taxonomy/Browser/wwwtax.cgi?mode=Info&amp;id=7160&amp;lvl=3&amp;lin=f&amp;keep=1&amp;srchmode=1&amp;unlock","7160")</f>
        <v>7160</v>
      </c>
      <c r="F4043" t="s">
        <v>760</v>
      </c>
      <c r="G4043" t="str">
        <f>HYPERLINK("http://www.ncbi.nlm.nih.gov/Taxonomy/Browser/wwwtax.cgi?mode=Info&amp;id=7160&amp;lvl=3&amp;lin=f&amp;keep=1&amp;srchmode=1&amp;unlock","Aedes albopictus")</f>
        <v>Aedes albopictus</v>
      </c>
      <c r="H4043" t="s">
        <v>925</v>
      </c>
      <c r="I4043" t="str">
        <f>HYPERLINK("http://www.ncbi.nlm.nih.gov/protein/XP_029731118.1","ryanodine receptor isoform X23")</f>
        <v>ryanodine receptor isoform X23</v>
      </c>
      <c r="J4043">
        <v>3039.6</v>
      </c>
      <c r="K4043" t="s">
        <v>22</v>
      </c>
      <c r="L4043">
        <v>76</v>
      </c>
      <c r="M4043">
        <v>12.58</v>
      </c>
      <c r="N4043">
        <v>29.91</v>
      </c>
      <c r="O4043" t="s">
        <v>19</v>
      </c>
      <c r="P4043" t="s">
        <v>1320</v>
      </c>
      <c r="Q4043" t="s">
        <v>19</v>
      </c>
      <c r="R4043" t="str">
        <f>HYPERLINK("https://cfpub.epa.gov/ecotox/explore.cfm?ncbi=7160","Explore in ECOTOX")</f>
        <v>Explore in ECOTOX</v>
      </c>
    </row>
    <row r="4044" spans="1:18" x14ac:dyDescent="0.45">
      <c r="A4044" t="s">
        <v>1265</v>
      </c>
      <c r="B4044">
        <v>8</v>
      </c>
      <c r="C4044" t="str">
        <f>HYPERLINK("http://www.ncbi.nlm.nih.gov/protein/XP_015432418.1","XP_015432418.1")</f>
        <v>XP_015432418.1</v>
      </c>
      <c r="D4044">
        <v>23631</v>
      </c>
      <c r="E4044" t="str">
        <f>HYPERLINK("http://www.ncbi.nlm.nih.gov/Taxonomy/Browser/wwwtax.cgi?mode=Info&amp;id=178035&amp;lvl=3&amp;lin=f&amp;keep=1&amp;srchmode=1&amp;unlock","178035")</f>
        <v>178035</v>
      </c>
      <c r="F4044" t="s">
        <v>760</v>
      </c>
      <c r="G4044" t="str">
        <f>HYPERLINK("http://www.ncbi.nlm.nih.gov/Taxonomy/Browser/wwwtax.cgi?mode=Info&amp;id=178035&amp;lvl=3&amp;lin=f&amp;keep=1&amp;srchmode=1&amp;unlock","Dufourea novaeangliae")</f>
        <v>Dufourea novaeangliae</v>
      </c>
      <c r="H4044" t="s">
        <v>1050</v>
      </c>
      <c r="I4044" t="str">
        <f>HYPERLINK("http://www.ncbi.nlm.nih.gov/protein/XP_015432418.1","PREDICTED: LOW QUALITY PROTEIN: ryanodine receptor")</f>
        <v>PREDICTED: LOW QUALITY PROTEIN: ryanodine receptor</v>
      </c>
      <c r="J4044">
        <v>3039.21</v>
      </c>
      <c r="K4044" t="s">
        <v>22</v>
      </c>
      <c r="L4044">
        <v>76</v>
      </c>
      <c r="M4044">
        <v>12.58</v>
      </c>
      <c r="N4044">
        <v>29.91</v>
      </c>
      <c r="O4044" t="s">
        <v>19</v>
      </c>
      <c r="P4044" t="s">
        <v>1320</v>
      </c>
      <c r="Q4044" t="s">
        <v>19</v>
      </c>
      <c r="R4044" t="str">
        <f>HYPERLINK("https://cfpub.epa.gov/ecotox/explore.cfm?ncbi=178035","Explore in ECOTOX")</f>
        <v>Explore in ECOTOX</v>
      </c>
    </row>
    <row r="4045" spans="1:18" x14ac:dyDescent="0.45">
      <c r="A4045" t="s">
        <v>1265</v>
      </c>
      <c r="B4045">
        <v>8</v>
      </c>
      <c r="C4045" t="str">
        <f>HYPERLINK("http://www.ncbi.nlm.nih.gov/protein/XP_033213569.1","XP_033213569.1")</f>
        <v>XP_033213569.1</v>
      </c>
      <c r="D4045">
        <v>25246</v>
      </c>
      <c r="E4045" t="str">
        <f>HYPERLINK("http://www.ncbi.nlm.nih.gov/Taxonomy/Browser/wwwtax.cgi?mode=Info&amp;id=2817044&amp;lvl=3&amp;lin=f&amp;keep=1&amp;srchmode=1&amp;unlock","2817044")</f>
        <v>2817044</v>
      </c>
      <c r="F4045" t="s">
        <v>760</v>
      </c>
      <c r="G4045" t="str">
        <f>HYPERLINK("http://www.ncbi.nlm.nih.gov/Taxonomy/Browser/wwwtax.cgi?mode=Info&amp;id=2817044&amp;lvl=3&amp;lin=f&amp;keep=1&amp;srchmode=1&amp;unlock","Belonocnema kinseyi")</f>
        <v>Belonocnema kinseyi</v>
      </c>
      <c r="H4045" t="s">
        <v>1032</v>
      </c>
      <c r="I4045" t="str">
        <f>HYPERLINK("http://www.ncbi.nlm.nih.gov/protein/XP_033213569.1","ryanodine receptor isoform X3")</f>
        <v>ryanodine receptor isoform X3</v>
      </c>
      <c r="J4045">
        <v>3038.83</v>
      </c>
      <c r="K4045" t="s">
        <v>22</v>
      </c>
      <c r="L4045">
        <v>76</v>
      </c>
      <c r="M4045">
        <v>12.58</v>
      </c>
      <c r="N4045">
        <v>29.91</v>
      </c>
      <c r="O4045" t="s">
        <v>19</v>
      </c>
      <c r="P4045" t="s">
        <v>1320</v>
      </c>
      <c r="Q4045" t="s">
        <v>19</v>
      </c>
      <c r="R4045" t="str">
        <f>HYPERLINK("https://cfpub.epa.gov/ecotox/explore.cfm?ncbi=2817044","Explore in ECOTOX")</f>
        <v>Explore in ECOTOX</v>
      </c>
    </row>
    <row r="4046" spans="1:18" x14ac:dyDescent="0.45">
      <c r="A4046" t="s">
        <v>1265</v>
      </c>
      <c r="B4046">
        <v>8</v>
      </c>
      <c r="C4046" t="str">
        <f>HYPERLINK("http://www.ncbi.nlm.nih.gov/protein/XP_020281091.1","XP_020281091.1")</f>
        <v>XP_020281091.1</v>
      </c>
      <c r="D4046">
        <v>23521</v>
      </c>
      <c r="E4046" t="str">
        <f>HYPERLINK("http://www.ncbi.nlm.nih.gov/Taxonomy/Browser/wwwtax.cgi?mode=Info&amp;id=219809&amp;lvl=3&amp;lin=f&amp;keep=1&amp;srchmode=1&amp;unlock","219809")</f>
        <v>219809</v>
      </c>
      <c r="F4046" t="s">
        <v>760</v>
      </c>
      <c r="G4046" t="str">
        <f>HYPERLINK("http://www.ncbi.nlm.nih.gov/Taxonomy/Browser/wwwtax.cgi?mode=Info&amp;id=219809&amp;lvl=3&amp;lin=f&amp;keep=1&amp;srchmode=1&amp;unlock","Pseudomyrmex gracilis")</f>
        <v>Pseudomyrmex gracilis</v>
      </c>
      <c r="H4046" t="s">
        <v>769</v>
      </c>
      <c r="I4046" t="str">
        <f>HYPERLINK("http://www.ncbi.nlm.nih.gov/protein/XP_020281091.1","ryanodine receptor isoform X20")</f>
        <v>ryanodine receptor isoform X20</v>
      </c>
      <c r="J4046">
        <v>3038.83</v>
      </c>
      <c r="K4046" t="s">
        <v>22</v>
      </c>
      <c r="L4046">
        <v>76</v>
      </c>
      <c r="M4046">
        <v>12.58</v>
      </c>
      <c r="N4046">
        <v>29.91</v>
      </c>
      <c r="O4046" t="s">
        <v>19</v>
      </c>
      <c r="P4046" t="s">
        <v>1320</v>
      </c>
      <c r="Q4046" t="s">
        <v>19</v>
      </c>
      <c r="R4046" t="str">
        <f>HYPERLINK("https://cfpub.epa.gov/ecotox/explore.cfm?ncbi=219809","Explore in ECOTOX")</f>
        <v>Explore in ECOTOX</v>
      </c>
    </row>
    <row r="4047" spans="1:18" x14ac:dyDescent="0.45">
      <c r="A4047" t="s">
        <v>1265</v>
      </c>
      <c r="B4047">
        <v>8</v>
      </c>
      <c r="C4047" t="str">
        <f>HYPERLINK("http://www.ncbi.nlm.nih.gov/protein/XP_025202171.1","XP_025202171.1")</f>
        <v>XP_025202171.1</v>
      </c>
      <c r="D4047">
        <v>19254</v>
      </c>
      <c r="E4047" t="str">
        <f>HYPERLINK("http://www.ncbi.nlm.nih.gov/Taxonomy/Browser/wwwtax.cgi?mode=Info&amp;id=742174&amp;lvl=3&amp;lin=f&amp;keep=1&amp;srchmode=1&amp;unlock","742174")</f>
        <v>742174</v>
      </c>
      <c r="F4047" t="s">
        <v>760</v>
      </c>
      <c r="G4047" t="str">
        <f>HYPERLINK("http://www.ncbi.nlm.nih.gov/Taxonomy/Browser/wwwtax.cgi?mode=Info&amp;id=742174&amp;lvl=3&amp;lin=f&amp;keep=1&amp;srchmode=1&amp;unlock","Melanaphis sacchari")</f>
        <v>Melanaphis sacchari</v>
      </c>
      <c r="H4047" t="s">
        <v>854</v>
      </c>
      <c r="I4047" t="str">
        <f>HYPERLINK("http://www.ncbi.nlm.nih.gov/protein/XP_025202171.1","ryanodine receptor")</f>
        <v>ryanodine receptor</v>
      </c>
      <c r="J4047">
        <v>3038.44</v>
      </c>
      <c r="K4047" t="s">
        <v>19</v>
      </c>
      <c r="L4047">
        <v>76</v>
      </c>
      <c r="M4047">
        <v>12.58</v>
      </c>
      <c r="N4047">
        <v>29.9</v>
      </c>
      <c r="O4047" t="s">
        <v>19</v>
      </c>
      <c r="P4047" t="s">
        <v>1320</v>
      </c>
      <c r="Q4047" t="s">
        <v>19</v>
      </c>
      <c r="R4047" t="str">
        <f>HYPERLINK("https://cfpub.epa.gov/ecotox/explore.cfm?ncbi=742174","Explore in ECOTOX")</f>
        <v>Explore in ECOTOX</v>
      </c>
    </row>
    <row r="4048" spans="1:18" x14ac:dyDescent="0.45">
      <c r="A4048" t="s">
        <v>1265</v>
      </c>
      <c r="B4048">
        <v>8</v>
      </c>
      <c r="C4048" t="str">
        <f>HYPERLINK("http://www.ncbi.nlm.nih.gov/protein/XP_052896085.1","XP_052896085.1")</f>
        <v>XP_052896085.1</v>
      </c>
      <c r="D4048">
        <v>15560</v>
      </c>
      <c r="E4048" t="str">
        <f>HYPERLINK("http://www.ncbi.nlm.nih.gov/Taxonomy/Browser/wwwtax.cgi?mode=Info&amp;id=186751&amp;lvl=3&amp;lin=f&amp;keep=1&amp;srchmode=1&amp;unlock","186751")</f>
        <v>186751</v>
      </c>
      <c r="F4048" t="s">
        <v>760</v>
      </c>
      <c r="G4048" t="str">
        <f>HYPERLINK("http://www.ncbi.nlm.nih.gov/Taxonomy/Browser/wwwtax.cgi?mode=Info&amp;id=186751&amp;lvl=3&amp;lin=f&amp;keep=1&amp;srchmode=1&amp;unlock","Anopheles moucheti")</f>
        <v>Anopheles moucheti</v>
      </c>
      <c r="H4048" t="s">
        <v>1055</v>
      </c>
      <c r="I4048" t="str">
        <f>HYPERLINK("http://www.ncbi.nlm.nih.gov/protein/XP_052896085.1","ryanodine receptor isoform X7")</f>
        <v>ryanodine receptor isoform X7</v>
      </c>
      <c r="J4048">
        <v>3038.44</v>
      </c>
      <c r="K4048" t="s">
        <v>22</v>
      </c>
      <c r="L4048">
        <v>76</v>
      </c>
      <c r="M4048">
        <v>12.58</v>
      </c>
      <c r="N4048">
        <v>29.9</v>
      </c>
      <c r="O4048" t="s">
        <v>19</v>
      </c>
      <c r="P4048" t="s">
        <v>1320</v>
      </c>
      <c r="Q4048" t="s">
        <v>19</v>
      </c>
      <c r="R4048" t="str">
        <f>HYPERLINK("https://cfpub.epa.gov/ecotox/explore.cfm?ncbi=186751","Explore in ECOTOX")</f>
        <v>Explore in ECOTOX</v>
      </c>
    </row>
    <row r="4049" spans="1:18" x14ac:dyDescent="0.45">
      <c r="A4049" t="s">
        <v>1265</v>
      </c>
      <c r="B4049">
        <v>8</v>
      </c>
      <c r="C4049" t="str">
        <f>HYPERLINK("http://www.ncbi.nlm.nih.gov/protein/XP_006569105.1","XP_006569105.1")</f>
        <v>XP_006569105.1</v>
      </c>
      <c r="D4049">
        <v>27624</v>
      </c>
      <c r="E4049" t="str">
        <f>HYPERLINK("http://www.ncbi.nlm.nih.gov/Taxonomy/Browser/wwwtax.cgi?mode=Info&amp;id=7460&amp;lvl=3&amp;lin=f&amp;keep=1&amp;srchmode=1&amp;unlock","7460")</f>
        <v>7460</v>
      </c>
      <c r="F4049" t="s">
        <v>760</v>
      </c>
      <c r="G4049" t="str">
        <f>HYPERLINK("http://www.ncbi.nlm.nih.gov/Taxonomy/Browser/wwwtax.cgi?mode=Info&amp;id=7460&amp;lvl=3&amp;lin=f&amp;keep=1&amp;srchmode=1&amp;unlock","Apis mellifera")</f>
        <v>Apis mellifera</v>
      </c>
      <c r="H4049" t="s">
        <v>1064</v>
      </c>
      <c r="I4049" t="str">
        <f>HYPERLINK("http://www.ncbi.nlm.nih.gov/protein/XP_006569105.1","ryanodine receptor isoform X7")</f>
        <v>ryanodine receptor isoform X7</v>
      </c>
      <c r="J4049">
        <v>3037.67</v>
      </c>
      <c r="K4049" t="s">
        <v>22</v>
      </c>
      <c r="L4049">
        <v>76</v>
      </c>
      <c r="M4049">
        <v>12.58</v>
      </c>
      <c r="N4049">
        <v>29.9</v>
      </c>
      <c r="O4049" t="s">
        <v>19</v>
      </c>
      <c r="P4049" t="s">
        <v>1320</v>
      </c>
      <c r="Q4049" t="s">
        <v>19</v>
      </c>
      <c r="R4049" t="str">
        <f>HYPERLINK("https://cfpub.epa.gov/ecotox/explore.cfm?ncbi=7460","Explore in ECOTOX")</f>
        <v>Explore in ECOTOX</v>
      </c>
    </row>
    <row r="4050" spans="1:18" x14ac:dyDescent="0.45">
      <c r="A4050" t="s">
        <v>1265</v>
      </c>
      <c r="B4050">
        <v>8</v>
      </c>
      <c r="C4050" t="str">
        <f>HYPERLINK("http://www.ncbi.nlm.nih.gov/protein/XP_055693636.1","XP_055693636.1")</f>
        <v>XP_055693636.1</v>
      </c>
      <c r="D4050">
        <v>20862</v>
      </c>
      <c r="E4050" t="str">
        <f>HYPERLINK("http://www.ncbi.nlm.nih.gov/Taxonomy/Browser/wwwtax.cgi?mode=Info&amp;id=7200&amp;lvl=3&amp;lin=f&amp;keep=1&amp;srchmode=1&amp;unlock","7200")</f>
        <v>7200</v>
      </c>
      <c r="F4050" t="s">
        <v>760</v>
      </c>
      <c r="G4050" t="str">
        <f>HYPERLINK("http://www.ncbi.nlm.nih.gov/Taxonomy/Browser/wwwtax.cgi?mode=Info&amp;id=7200&amp;lvl=3&amp;lin=f&amp;keep=1&amp;srchmode=1&amp;unlock","Lutzomyia longipalpis")</f>
        <v>Lutzomyia longipalpis</v>
      </c>
      <c r="H4050" t="s">
        <v>943</v>
      </c>
      <c r="I4050" t="str">
        <f>HYPERLINK("http://www.ncbi.nlm.nih.gov/protein/XP_055693636.1","ryanodine receptor")</f>
        <v>ryanodine receptor</v>
      </c>
      <c r="J4050">
        <v>3037.28</v>
      </c>
      <c r="K4050" t="s">
        <v>22</v>
      </c>
      <c r="L4050">
        <v>76</v>
      </c>
      <c r="M4050">
        <v>12.58</v>
      </c>
      <c r="N4050">
        <v>29.89</v>
      </c>
      <c r="O4050" t="s">
        <v>19</v>
      </c>
      <c r="P4050" t="s">
        <v>1320</v>
      </c>
      <c r="Q4050" t="s">
        <v>19</v>
      </c>
      <c r="R4050" t="str">
        <f>HYPERLINK("https://cfpub.epa.gov/ecotox/explore.cfm?ncbi=7200","Explore in ECOTOX")</f>
        <v>Explore in ECOTOX</v>
      </c>
    </row>
    <row r="4051" spans="1:18" x14ac:dyDescent="0.45">
      <c r="A4051" t="s">
        <v>1265</v>
      </c>
      <c r="B4051">
        <v>8</v>
      </c>
      <c r="C4051" t="str">
        <f>HYPERLINK("http://www.ncbi.nlm.nih.gov/protein/PBC34336.1","PBC34336.1")</f>
        <v>PBC34336.1</v>
      </c>
      <c r="D4051">
        <v>10318</v>
      </c>
      <c r="E4051" t="str">
        <f>HYPERLINK("http://www.ncbi.nlm.nih.gov/Taxonomy/Browser/wwwtax.cgi?mode=Info&amp;id=94128&amp;lvl=3&amp;lin=f&amp;keep=1&amp;srchmode=1&amp;unlock","94128")</f>
        <v>94128</v>
      </c>
      <c r="F4051" t="s">
        <v>760</v>
      </c>
      <c r="G4051" t="str">
        <f>HYPERLINK("http://www.ncbi.nlm.nih.gov/Taxonomy/Browser/wwwtax.cgi?mode=Info&amp;id=94128&amp;lvl=3&amp;lin=f&amp;keep=1&amp;srchmode=1&amp;unlock","Apis cerana cerana")</f>
        <v>Apis cerana cerana</v>
      </c>
      <c r="H4051" t="s">
        <v>816</v>
      </c>
      <c r="I4051" t="str">
        <f>HYPERLINK("http://www.ncbi.nlm.nih.gov/protein/PBC34336.1","Ryanodine receptor 44F")</f>
        <v>Ryanodine receptor 44F</v>
      </c>
      <c r="J4051">
        <v>3037.28</v>
      </c>
      <c r="K4051" t="s">
        <v>22</v>
      </c>
      <c r="L4051">
        <v>76</v>
      </c>
      <c r="M4051">
        <v>12.58</v>
      </c>
      <c r="N4051">
        <v>29.89</v>
      </c>
      <c r="O4051" t="s">
        <v>19</v>
      </c>
      <c r="P4051" t="s">
        <v>1320</v>
      </c>
      <c r="Q4051" t="s">
        <v>19</v>
      </c>
      <c r="R4051" t="str">
        <f>HYPERLINK("https://cfpub.epa.gov/ecotox/explore.cfm?ncbi=94128","Explore in ECOTOX")</f>
        <v>Explore in ECOTOX</v>
      </c>
    </row>
    <row r="4052" spans="1:18" x14ac:dyDescent="0.45">
      <c r="A4052" t="s">
        <v>1265</v>
      </c>
      <c r="B4052">
        <v>8</v>
      </c>
      <c r="C4052" t="str">
        <f>HYPERLINK("http://www.ncbi.nlm.nih.gov/protein/XP_029054928.2","XP_029054928.2")</f>
        <v>XP_029054928.2</v>
      </c>
      <c r="D4052">
        <v>24291</v>
      </c>
      <c r="E4052" t="str">
        <f>HYPERLINK("http://www.ncbi.nlm.nih.gov/Taxonomy/Browser/wwwtax.cgi?mode=Info&amp;id=1437191&amp;lvl=3&amp;lin=f&amp;keep=1&amp;srchmode=1&amp;unlock","1437191")</f>
        <v>1437191</v>
      </c>
      <c r="F4052" t="s">
        <v>760</v>
      </c>
      <c r="G4052" t="str">
        <f>HYPERLINK("http://www.ncbi.nlm.nih.gov/Taxonomy/Browser/wwwtax.cgi?mode=Info&amp;id=1437191&amp;lvl=3&amp;lin=f&amp;keep=1&amp;srchmode=1&amp;unlock","Osmia bicornis bicornis")</f>
        <v>Osmia bicornis bicornis</v>
      </c>
      <c r="H4052" t="s">
        <v>771</v>
      </c>
      <c r="I4052" t="str">
        <f>HYPERLINK("http://www.ncbi.nlm.nih.gov/protein/XP_029054928.2","ryanodine receptor isoform X9")</f>
        <v>ryanodine receptor isoform X9</v>
      </c>
      <c r="J4052">
        <v>3036.9</v>
      </c>
      <c r="K4052" t="s">
        <v>22</v>
      </c>
      <c r="L4052">
        <v>76</v>
      </c>
      <c r="M4052">
        <v>12.58</v>
      </c>
      <c r="N4052">
        <v>29.89</v>
      </c>
      <c r="O4052" t="s">
        <v>19</v>
      </c>
      <c r="P4052" t="s">
        <v>1320</v>
      </c>
      <c r="Q4052" t="s">
        <v>19</v>
      </c>
      <c r="R4052" t="str">
        <f>HYPERLINK("https://cfpub.epa.gov/ecotox/explore.cfm?ncbi=1437191","Explore in ECOTOX")</f>
        <v>Explore in ECOTOX</v>
      </c>
    </row>
    <row r="4053" spans="1:18" x14ac:dyDescent="0.45">
      <c r="A4053" t="s">
        <v>1265</v>
      </c>
      <c r="B4053">
        <v>8</v>
      </c>
      <c r="C4053" t="str">
        <f>HYPERLINK("http://www.ncbi.nlm.nih.gov/protein/CAH1731530.1","CAH1731530.1")</f>
        <v>CAH1731530.1</v>
      </c>
      <c r="D4053">
        <v>42423</v>
      </c>
      <c r="E4053" t="str">
        <f>HYPERLINK("http://www.ncbi.nlm.nih.gov/Taxonomy/Browser/wwwtax.cgi?mode=Info&amp;id=80765&amp;lvl=3&amp;lin=f&amp;keep=1&amp;srchmode=1&amp;unlock","80765")</f>
        <v>80765</v>
      </c>
      <c r="F4053" t="s">
        <v>760</v>
      </c>
      <c r="G4053" t="str">
        <f>HYPERLINK("http://www.ncbi.nlm.nih.gov/Taxonomy/Browser/wwwtax.cgi?mode=Info&amp;id=80765&amp;lvl=3&amp;lin=f&amp;keep=1&amp;srchmode=1&amp;unlock","Aphis gossypii")</f>
        <v>Aphis gossypii</v>
      </c>
      <c r="H4053" t="s">
        <v>936</v>
      </c>
      <c r="I4053" t="str">
        <f>HYPERLINK("http://www.ncbi.nlm.nih.gov/protein/CAH1731530.1","unnamed protein product")</f>
        <v>unnamed protein product</v>
      </c>
      <c r="J4053">
        <v>3036.13</v>
      </c>
      <c r="K4053" t="s">
        <v>22</v>
      </c>
      <c r="L4053">
        <v>76</v>
      </c>
      <c r="M4053">
        <v>12.58</v>
      </c>
      <c r="N4053">
        <v>29.88</v>
      </c>
      <c r="O4053" t="s">
        <v>19</v>
      </c>
      <c r="P4053" t="s">
        <v>1320</v>
      </c>
      <c r="Q4053" t="s">
        <v>19</v>
      </c>
      <c r="R4053" t="str">
        <f>HYPERLINK("https://cfpub.epa.gov/ecotox/explore.cfm?ncbi=80765","Explore in ECOTOX")</f>
        <v>Explore in ECOTOX</v>
      </c>
    </row>
    <row r="4054" spans="1:18" x14ac:dyDescent="0.45">
      <c r="A4054" t="s">
        <v>1265</v>
      </c>
      <c r="B4054">
        <v>8</v>
      </c>
      <c r="C4054" t="str">
        <f>HYPERLINK("http://www.ncbi.nlm.nih.gov/protein/KAE9543520.1","KAE9543520.1")</f>
        <v>KAE9543520.1</v>
      </c>
      <c r="D4054">
        <v>18846</v>
      </c>
      <c r="E4054" t="str">
        <f>HYPERLINK("http://www.ncbi.nlm.nih.gov/Taxonomy/Browser/wwwtax.cgi?mode=Info&amp;id=307491&amp;lvl=3&amp;lin=f&amp;keep=1&amp;srchmode=1&amp;unlock","307491")</f>
        <v>307491</v>
      </c>
      <c r="F4054" t="s">
        <v>760</v>
      </c>
      <c r="G4054" t="str">
        <f>HYPERLINK("http://www.ncbi.nlm.nih.gov/Taxonomy/Browser/wwwtax.cgi?mode=Info&amp;id=307491&amp;lvl=3&amp;lin=f&amp;keep=1&amp;srchmode=1&amp;unlock","Aphis glycines")</f>
        <v>Aphis glycines</v>
      </c>
      <c r="H4054" t="s">
        <v>933</v>
      </c>
      <c r="I4054" t="str">
        <f>HYPERLINK("http://www.ncbi.nlm.nih.gov/protein/KAE9543520.1","hypothetical protein AGLY_002320")</f>
        <v>hypothetical protein AGLY_002320</v>
      </c>
      <c r="J4054">
        <v>3036.13</v>
      </c>
      <c r="K4054" t="s">
        <v>22</v>
      </c>
      <c r="L4054">
        <v>76</v>
      </c>
      <c r="M4054">
        <v>12.58</v>
      </c>
      <c r="N4054">
        <v>29.88</v>
      </c>
      <c r="O4054" t="s">
        <v>19</v>
      </c>
      <c r="P4054" t="s">
        <v>1320</v>
      </c>
      <c r="Q4054" t="s">
        <v>19</v>
      </c>
      <c r="R4054" t="str">
        <f>HYPERLINK("https://cfpub.epa.gov/ecotox/explore.cfm?ncbi=307491","Explore in ECOTOX")</f>
        <v>Explore in ECOTOX</v>
      </c>
    </row>
    <row r="4055" spans="1:18" x14ac:dyDescent="0.45">
      <c r="A4055" t="s">
        <v>1265</v>
      </c>
      <c r="B4055">
        <v>8</v>
      </c>
      <c r="C4055" t="str">
        <f>HYPERLINK("http://www.ncbi.nlm.nih.gov/protein/XP_045507768.1","XP_045507768.1")</f>
        <v>XP_045507768.1</v>
      </c>
      <c r="D4055">
        <v>21412</v>
      </c>
      <c r="E4055" t="str">
        <f>HYPERLINK("http://www.ncbi.nlm.nih.gov/Taxonomy/Browser/wwwtax.cgi?mode=Info&amp;id=72248&amp;lvl=3&amp;lin=f&amp;keep=1&amp;srchmode=1&amp;unlock","72248")</f>
        <v>72248</v>
      </c>
      <c r="F4055" t="s">
        <v>760</v>
      </c>
      <c r="G4055" t="str">
        <f>HYPERLINK("http://www.ncbi.nlm.nih.gov/Taxonomy/Browser/wwwtax.cgi?mode=Info&amp;id=72248&amp;lvl=3&amp;lin=f&amp;keep=1&amp;srchmode=1&amp;unlock","Colias croceus")</f>
        <v>Colias croceus</v>
      </c>
      <c r="H4055" t="s">
        <v>926</v>
      </c>
      <c r="I4055" t="str">
        <f>HYPERLINK("http://www.ncbi.nlm.nih.gov/protein/XP_045507768.1","LOW QUALITY PROTEIN: ryanodine receptor")</f>
        <v>LOW QUALITY PROTEIN: ryanodine receptor</v>
      </c>
      <c r="J4055">
        <v>3036.13</v>
      </c>
      <c r="K4055" t="s">
        <v>22</v>
      </c>
      <c r="L4055">
        <v>76</v>
      </c>
      <c r="M4055">
        <v>12.58</v>
      </c>
      <c r="N4055">
        <v>29.88</v>
      </c>
      <c r="O4055" t="s">
        <v>19</v>
      </c>
      <c r="P4055" t="s">
        <v>1320</v>
      </c>
      <c r="Q4055" t="s">
        <v>19</v>
      </c>
      <c r="R4055" t="str">
        <f>HYPERLINK("https://cfpub.epa.gov/ecotox/explore.cfm?ncbi=72248","Explore in ECOTOX")</f>
        <v>Explore in ECOTOX</v>
      </c>
    </row>
    <row r="4056" spans="1:18" x14ac:dyDescent="0.45">
      <c r="A4056" t="s">
        <v>1265</v>
      </c>
      <c r="B4056">
        <v>8</v>
      </c>
      <c r="C4056" t="str">
        <f>HYPERLINK("http://www.ncbi.nlm.nih.gov/protein/XP_016920093.1","XP_016920093.1")</f>
        <v>XP_016920093.1</v>
      </c>
      <c r="D4056">
        <v>22469</v>
      </c>
      <c r="E4056" t="str">
        <f>HYPERLINK("http://www.ncbi.nlm.nih.gov/Taxonomy/Browser/wwwtax.cgi?mode=Info&amp;id=7461&amp;lvl=3&amp;lin=f&amp;keep=1&amp;srchmode=1&amp;unlock","7461")</f>
        <v>7461</v>
      </c>
      <c r="F4056" t="s">
        <v>760</v>
      </c>
      <c r="G4056" t="str">
        <f>HYPERLINK("http://www.ncbi.nlm.nih.gov/Taxonomy/Browser/wwwtax.cgi?mode=Info&amp;id=7461&amp;lvl=3&amp;lin=f&amp;keep=1&amp;srchmode=1&amp;unlock","Apis cerana")</f>
        <v>Apis cerana</v>
      </c>
      <c r="H4056" t="s">
        <v>816</v>
      </c>
      <c r="I4056" t="str">
        <f>HYPERLINK("http://www.ncbi.nlm.nih.gov/protein/XP_016920093.1","ryanodine receptor isoform X1")</f>
        <v>ryanodine receptor isoform X1</v>
      </c>
      <c r="J4056">
        <v>3035.74</v>
      </c>
      <c r="K4056" t="s">
        <v>22</v>
      </c>
      <c r="L4056">
        <v>76</v>
      </c>
      <c r="M4056">
        <v>12.58</v>
      </c>
      <c r="N4056">
        <v>29.88</v>
      </c>
      <c r="O4056" t="s">
        <v>19</v>
      </c>
      <c r="P4056" t="s">
        <v>1320</v>
      </c>
      <c r="Q4056" t="s">
        <v>19</v>
      </c>
      <c r="R4056" t="str">
        <f>HYPERLINK("https://cfpub.epa.gov/ecotox/explore.cfm?ncbi=7461","Explore in ECOTOX")</f>
        <v>Explore in ECOTOX</v>
      </c>
    </row>
    <row r="4057" spans="1:18" x14ac:dyDescent="0.45">
      <c r="A4057" t="s">
        <v>1265</v>
      </c>
      <c r="B4057">
        <v>8</v>
      </c>
      <c r="C4057" t="str">
        <f>HYPERLINK("http://www.ncbi.nlm.nih.gov/protein/XP_012136722.1","XP_012136722.1")</f>
        <v>XP_012136722.1</v>
      </c>
      <c r="D4057">
        <v>26091</v>
      </c>
      <c r="E4057" t="str">
        <f>HYPERLINK("http://www.ncbi.nlm.nih.gov/Taxonomy/Browser/wwwtax.cgi?mode=Info&amp;id=143995&amp;lvl=3&amp;lin=f&amp;keep=1&amp;srchmode=1&amp;unlock","143995")</f>
        <v>143995</v>
      </c>
      <c r="F4057" t="s">
        <v>760</v>
      </c>
      <c r="G4057" t="str">
        <f>HYPERLINK("http://www.ncbi.nlm.nih.gov/Taxonomy/Browser/wwwtax.cgi?mode=Info&amp;id=143995&amp;lvl=3&amp;lin=f&amp;keep=1&amp;srchmode=1&amp;unlock","Megachile rotundata")</f>
        <v>Megachile rotundata</v>
      </c>
      <c r="H4057" t="s">
        <v>815</v>
      </c>
      <c r="I4057" t="str">
        <f>HYPERLINK("http://www.ncbi.nlm.nih.gov/protein/XP_012136722.1","PREDICTED: ryanodine receptor 44F isoform X10")</f>
        <v>PREDICTED: ryanodine receptor 44F isoform X10</v>
      </c>
      <c r="J4057">
        <v>3035.74</v>
      </c>
      <c r="K4057" t="s">
        <v>22</v>
      </c>
      <c r="L4057">
        <v>76</v>
      </c>
      <c r="M4057">
        <v>12.58</v>
      </c>
      <c r="N4057">
        <v>29.88</v>
      </c>
      <c r="O4057" t="s">
        <v>19</v>
      </c>
      <c r="P4057" t="s">
        <v>1320</v>
      </c>
      <c r="Q4057" t="s">
        <v>19</v>
      </c>
      <c r="R4057" t="str">
        <f>HYPERLINK("https://cfpub.epa.gov/ecotox/explore.cfm?ncbi=143995","Explore in ECOTOX")</f>
        <v>Explore in ECOTOX</v>
      </c>
    </row>
    <row r="4058" spans="1:18" x14ac:dyDescent="0.45">
      <c r="A4058" t="s">
        <v>1265</v>
      </c>
      <c r="B4058">
        <v>8</v>
      </c>
      <c r="C4058" t="str">
        <f>HYPERLINK("http://www.ncbi.nlm.nih.gov/protein/XP_053972722.1","XP_053972722.1")</f>
        <v>XP_053972722.1</v>
      </c>
      <c r="D4058">
        <v>24956</v>
      </c>
      <c r="E4058" t="str">
        <f>HYPERLINK("http://www.ncbi.nlm.nih.gov/Taxonomy/Browser/wwwtax.cgi?mode=Info&amp;id=313075&amp;lvl=3&amp;lin=f&amp;keep=1&amp;srchmode=1&amp;unlock","313075")</f>
        <v>313075</v>
      </c>
      <c r="F4058" t="s">
        <v>760</v>
      </c>
      <c r="G4058" t="str">
        <f>HYPERLINK("http://www.ncbi.nlm.nih.gov/Taxonomy/Browser/wwwtax.cgi?mode=Info&amp;id=313075&amp;lvl=3&amp;lin=f&amp;keep=1&amp;srchmode=1&amp;unlock","Hylaeus volcanicus")</f>
        <v>Hylaeus volcanicus</v>
      </c>
      <c r="H4058" t="s">
        <v>775</v>
      </c>
      <c r="I4058" t="str">
        <f>HYPERLINK("http://www.ncbi.nlm.nih.gov/protein/XP_053972722.1","ryanodine receptor isoform X8")</f>
        <v>ryanodine receptor isoform X8</v>
      </c>
      <c r="J4058">
        <v>3034.2</v>
      </c>
      <c r="K4058" t="s">
        <v>22</v>
      </c>
      <c r="L4058">
        <v>76</v>
      </c>
      <c r="M4058">
        <v>12.58</v>
      </c>
      <c r="N4058">
        <v>29.86</v>
      </c>
      <c r="O4058" t="s">
        <v>19</v>
      </c>
      <c r="P4058" t="s">
        <v>1320</v>
      </c>
      <c r="Q4058" t="s">
        <v>19</v>
      </c>
      <c r="R4058" t="str">
        <f>HYPERLINK("https://cfpub.epa.gov/ecotox/explore.cfm?ncbi=313075","Explore in ECOTOX")</f>
        <v>Explore in ECOTOX</v>
      </c>
    </row>
    <row r="4059" spans="1:18" x14ac:dyDescent="0.45">
      <c r="A4059" t="s">
        <v>1265</v>
      </c>
      <c r="B4059">
        <v>8</v>
      </c>
      <c r="C4059" t="str">
        <f>HYPERLINK("http://www.ncbi.nlm.nih.gov/protein/XP_055530462.1","XP_055530462.1")</f>
        <v>XP_055530462.1</v>
      </c>
      <c r="D4059">
        <v>29504</v>
      </c>
      <c r="E4059" t="str">
        <f>HYPERLINK("http://www.ncbi.nlm.nih.gov/Taxonomy/Browser/wwwtax.cgi?mode=Info&amp;id=174621&amp;lvl=3&amp;lin=f&amp;keep=1&amp;srchmode=1&amp;unlock","174621")</f>
        <v>174621</v>
      </c>
      <c r="F4059" t="s">
        <v>760</v>
      </c>
      <c r="G4059" t="str">
        <f>HYPERLINK("http://www.ncbi.nlm.nih.gov/Taxonomy/Browser/wwwtax.cgi?mode=Info&amp;id=174621&amp;lvl=3&amp;lin=f&amp;keep=1&amp;srchmode=1&amp;unlock","Wyeomyia smithii")</f>
        <v>Wyeomyia smithii</v>
      </c>
      <c r="H4059" t="s">
        <v>948</v>
      </c>
      <c r="I4059" t="str">
        <f>HYPERLINK("http://www.ncbi.nlm.nih.gov/protein/XP_055530462.1","ryanodine receptor isoform X20")</f>
        <v>ryanodine receptor isoform X20</v>
      </c>
      <c r="J4059">
        <v>3033.05</v>
      </c>
      <c r="K4059" t="s">
        <v>22</v>
      </c>
      <c r="L4059">
        <v>76</v>
      </c>
      <c r="M4059">
        <v>12.58</v>
      </c>
      <c r="N4059">
        <v>29.85</v>
      </c>
      <c r="O4059" t="s">
        <v>19</v>
      </c>
      <c r="P4059" t="s">
        <v>1320</v>
      </c>
      <c r="Q4059" t="s">
        <v>19</v>
      </c>
      <c r="R4059" t="str">
        <f>HYPERLINK("https://cfpub.epa.gov/ecotox/explore.cfm?ncbi=174621","Explore in ECOTOX")</f>
        <v>Explore in ECOTOX</v>
      </c>
    </row>
    <row r="4060" spans="1:18" x14ac:dyDescent="0.45">
      <c r="A4060" t="s">
        <v>1265</v>
      </c>
      <c r="B4060">
        <v>8</v>
      </c>
      <c r="C4060" t="str">
        <f>HYPERLINK("http://www.ncbi.nlm.nih.gov/protein/XP_043253047.1","XP_043253047.1")</f>
        <v>XP_043253047.1</v>
      </c>
      <c r="D4060">
        <v>18626</v>
      </c>
      <c r="E4060" t="str">
        <f>HYPERLINK("http://www.ncbi.nlm.nih.gov/Taxonomy/Browser/wwwtax.cgi?mode=Info&amp;id=935657&amp;lvl=3&amp;lin=f&amp;keep=1&amp;srchmode=1&amp;unlock","935657")</f>
        <v>935657</v>
      </c>
      <c r="F4060" t="s">
        <v>760</v>
      </c>
      <c r="G4060" t="str">
        <f>HYPERLINK("http://www.ncbi.nlm.nih.gov/Taxonomy/Browser/wwwtax.cgi?mode=Info&amp;id=935657&amp;lvl=3&amp;lin=f&amp;keep=1&amp;srchmode=1&amp;unlock","Colletes gigas")</f>
        <v>Colletes gigas</v>
      </c>
      <c r="H4060" t="s">
        <v>1065</v>
      </c>
      <c r="I4060" t="str">
        <f>HYPERLINK("http://www.ncbi.nlm.nih.gov/protein/XP_043253047.1","ryanodine receptor isoform X3")</f>
        <v>ryanodine receptor isoform X3</v>
      </c>
      <c r="J4060">
        <v>3033.05</v>
      </c>
      <c r="K4060" t="s">
        <v>22</v>
      </c>
      <c r="L4060">
        <v>76</v>
      </c>
      <c r="M4060">
        <v>12.58</v>
      </c>
      <c r="N4060">
        <v>29.85</v>
      </c>
      <c r="O4060" t="s">
        <v>19</v>
      </c>
      <c r="P4060" t="s">
        <v>1320</v>
      </c>
      <c r="Q4060" t="s">
        <v>19</v>
      </c>
      <c r="R4060" t="str">
        <f>HYPERLINK("https://cfpub.epa.gov/ecotox/explore.cfm?ncbi=935657","Explore in ECOTOX")</f>
        <v>Explore in ECOTOX</v>
      </c>
    </row>
    <row r="4061" spans="1:18" x14ac:dyDescent="0.45">
      <c r="A4061" t="s">
        <v>1265</v>
      </c>
      <c r="B4061">
        <v>8</v>
      </c>
      <c r="C4061" t="str">
        <f>HYPERLINK("http://www.ncbi.nlm.nih.gov/protein/XP_053999767.1","XP_053999767.1")</f>
        <v>XP_053999767.1</v>
      </c>
      <c r="D4061">
        <v>21709</v>
      </c>
      <c r="E4061" t="str">
        <f>HYPERLINK("http://www.ncbi.nlm.nih.gov/Taxonomy/Browser/wwwtax.cgi?mode=Info&amp;id=313031&amp;lvl=3&amp;lin=f&amp;keep=1&amp;srchmode=1&amp;unlock","313031")</f>
        <v>313031</v>
      </c>
      <c r="F4061" t="s">
        <v>760</v>
      </c>
      <c r="G4061" t="str">
        <f>HYPERLINK("http://www.ncbi.nlm.nih.gov/Taxonomy/Browser/wwwtax.cgi?mode=Info&amp;id=313031&amp;lvl=3&amp;lin=f&amp;keep=1&amp;srchmode=1&amp;unlock","Hylaeus anthracinus")</f>
        <v>Hylaeus anthracinus</v>
      </c>
      <c r="H4061" t="s">
        <v>775</v>
      </c>
      <c r="I4061" t="str">
        <f>HYPERLINK("http://www.ncbi.nlm.nih.gov/protein/XP_053999767.1","ryanodine receptor isoform X8")</f>
        <v>ryanodine receptor isoform X8</v>
      </c>
      <c r="J4061">
        <v>3032.28</v>
      </c>
      <c r="K4061" t="s">
        <v>22</v>
      </c>
      <c r="L4061">
        <v>76</v>
      </c>
      <c r="M4061">
        <v>12.58</v>
      </c>
      <c r="N4061">
        <v>29.84</v>
      </c>
      <c r="O4061" t="s">
        <v>19</v>
      </c>
      <c r="P4061" t="s">
        <v>1320</v>
      </c>
      <c r="Q4061" t="s">
        <v>19</v>
      </c>
      <c r="R4061" t="str">
        <f>HYPERLINK("https://cfpub.epa.gov/ecotox/explore.cfm?ncbi=313031","Explore in ECOTOX")</f>
        <v>Explore in ECOTOX</v>
      </c>
    </row>
    <row r="4062" spans="1:18" x14ac:dyDescent="0.45">
      <c r="A4062" t="s">
        <v>1265</v>
      </c>
      <c r="B4062">
        <v>8</v>
      </c>
      <c r="C4062" t="str">
        <f>HYPERLINK("http://www.ncbi.nlm.nih.gov/protein/XP_018052365.1","XP_018052365.1")</f>
        <v>XP_018052365.1</v>
      </c>
      <c r="D4062">
        <v>31101</v>
      </c>
      <c r="E4062" t="str">
        <f>HYPERLINK("http://www.ncbi.nlm.nih.gov/Taxonomy/Browser/wwwtax.cgi?mode=Info&amp;id=520822&amp;lvl=3&amp;lin=f&amp;keep=1&amp;srchmode=1&amp;unlock","520822")</f>
        <v>520822</v>
      </c>
      <c r="F4062" t="s">
        <v>760</v>
      </c>
      <c r="G4062" t="str">
        <f>HYPERLINK("http://www.ncbi.nlm.nih.gov/Taxonomy/Browser/wwwtax.cgi?mode=Info&amp;id=520822&amp;lvl=3&amp;lin=f&amp;keep=1&amp;srchmode=1&amp;unlock","Atta colombica")</f>
        <v>Atta colombica</v>
      </c>
      <c r="H4062" t="s">
        <v>809</v>
      </c>
      <c r="I4062" t="str">
        <f>HYPERLINK("http://www.ncbi.nlm.nih.gov/protein/XP_018052365.1","PREDICTED: ryanodine receptor isoform X3")</f>
        <v>PREDICTED: ryanodine receptor isoform X3</v>
      </c>
      <c r="J4062">
        <v>3031.51</v>
      </c>
      <c r="K4062" t="s">
        <v>22</v>
      </c>
      <c r="L4062">
        <v>76</v>
      </c>
      <c r="M4062">
        <v>12.58</v>
      </c>
      <c r="N4062">
        <v>29.84</v>
      </c>
      <c r="O4062" t="s">
        <v>19</v>
      </c>
      <c r="P4062" t="s">
        <v>1320</v>
      </c>
      <c r="Q4062" t="s">
        <v>19</v>
      </c>
      <c r="R4062" t="str">
        <f>HYPERLINK("https://cfpub.epa.gov/ecotox/explore.cfm?ncbi=520822","Explore in ECOTOX")</f>
        <v>Explore in ECOTOX</v>
      </c>
    </row>
    <row r="4063" spans="1:18" x14ac:dyDescent="0.45">
      <c r="A4063" t="s">
        <v>1265</v>
      </c>
      <c r="B4063">
        <v>8</v>
      </c>
      <c r="C4063" t="str">
        <f>HYPERLINK("http://www.ncbi.nlm.nih.gov/protein/XP_054918296.1","XP_054918296.1")</f>
        <v>XP_054918296.1</v>
      </c>
      <c r="D4063">
        <v>36273</v>
      </c>
      <c r="E4063" t="str">
        <f>HYPERLINK("http://www.ncbi.nlm.nih.gov/Taxonomy/Browser/wwwtax.cgi?mode=Info&amp;id=34620&amp;lvl=3&amp;lin=f&amp;keep=1&amp;srchmode=1&amp;unlock","34620")</f>
        <v>34620</v>
      </c>
      <c r="F4063" t="s">
        <v>904</v>
      </c>
      <c r="G4063" t="str">
        <f>HYPERLINK("http://www.ncbi.nlm.nih.gov/Taxonomy/Browser/wwwtax.cgi?mode=Info&amp;id=34620&amp;lvl=3&amp;lin=f&amp;keep=1&amp;srchmode=1&amp;unlock","Dermacentor andersoni")</f>
        <v>Dermacentor andersoni</v>
      </c>
      <c r="H4063" t="s">
        <v>951</v>
      </c>
      <c r="I4063" t="str">
        <f>HYPERLINK("http://www.ncbi.nlm.nih.gov/protein/XP_054918296.1","ryanodine receptor-like isoform X1")</f>
        <v>ryanodine receptor-like isoform X1</v>
      </c>
      <c r="J4063">
        <v>3030.35</v>
      </c>
      <c r="K4063" t="s">
        <v>22</v>
      </c>
      <c r="L4063">
        <v>76</v>
      </c>
      <c r="M4063">
        <v>12.58</v>
      </c>
      <c r="N4063">
        <v>29.82</v>
      </c>
      <c r="O4063" t="s">
        <v>19</v>
      </c>
      <c r="P4063" t="s">
        <v>1320</v>
      </c>
      <c r="Q4063" t="s">
        <v>19</v>
      </c>
      <c r="R4063" t="str">
        <f>HYPERLINK("https://cfpub.epa.gov/ecotox/explore.cfm?ncbi=34620","Explore in ECOTOX")</f>
        <v>Explore in ECOTOX</v>
      </c>
    </row>
    <row r="4064" spans="1:18" x14ac:dyDescent="0.45">
      <c r="A4064" t="s">
        <v>1265</v>
      </c>
      <c r="B4064">
        <v>8</v>
      </c>
      <c r="C4064" t="str">
        <f>HYPERLINK("http://www.ncbi.nlm.nih.gov/protein/CAI5848298.1","CAI5848298.1")</f>
        <v>CAI5848298.1</v>
      </c>
      <c r="D4064">
        <v>51282</v>
      </c>
      <c r="E4064" t="str">
        <f>HYPERLINK("http://www.ncbi.nlm.nih.gov/Taxonomy/Browser/wwwtax.cgi?mode=Info&amp;id=380381&amp;lvl=3&amp;lin=f&amp;keep=1&amp;srchmode=1&amp;unlock","380381")</f>
        <v>380381</v>
      </c>
      <c r="F4064" t="s">
        <v>760</v>
      </c>
      <c r="G4064" t="str">
        <f>HYPERLINK("http://www.ncbi.nlm.nih.gov/Taxonomy/Browser/wwwtax.cgi?mode=Info&amp;id=380381&amp;lvl=3&amp;lin=f&amp;keep=1&amp;srchmode=1&amp;unlock","Callosobruchus analis")</f>
        <v>Callosobruchus analis</v>
      </c>
      <c r="H4064" t="s">
        <v>910</v>
      </c>
      <c r="I4064" t="str">
        <f>HYPERLINK("http://www.ncbi.nlm.nih.gov/protein/CAI5848298.1","unnamed protein product")</f>
        <v>unnamed protein product</v>
      </c>
      <c r="J4064">
        <v>3029.58</v>
      </c>
      <c r="K4064" t="s">
        <v>22</v>
      </c>
      <c r="L4064">
        <v>76</v>
      </c>
      <c r="M4064">
        <v>12.58</v>
      </c>
      <c r="N4064">
        <v>29.82</v>
      </c>
      <c r="O4064" t="s">
        <v>19</v>
      </c>
      <c r="P4064" t="s">
        <v>1320</v>
      </c>
      <c r="Q4064" t="s">
        <v>19</v>
      </c>
      <c r="R4064" t="str">
        <f>HYPERLINK("https://cfpub.epa.gov/ecotox/explore.cfm?ncbi=380381","Explore in ECOTOX")</f>
        <v>Explore in ECOTOX</v>
      </c>
    </row>
    <row r="4065" spans="1:18" x14ac:dyDescent="0.45">
      <c r="A4065" t="s">
        <v>1265</v>
      </c>
      <c r="B4065">
        <v>8</v>
      </c>
      <c r="C4065" t="str">
        <f>HYPERLINK("http://www.ncbi.nlm.nih.gov/protein/XP_050582857.1","XP_050582857.1")</f>
        <v>XP_050582857.1</v>
      </c>
      <c r="D4065">
        <v>28033</v>
      </c>
      <c r="E4065" t="str">
        <f>HYPERLINK("http://www.ncbi.nlm.nih.gov/Taxonomy/Browser/wwwtax.cgi?mode=Info&amp;id=309941&amp;lvl=3&amp;lin=f&amp;keep=1&amp;srchmode=1&amp;unlock","309941")</f>
        <v>309941</v>
      </c>
      <c r="F4065" t="s">
        <v>760</v>
      </c>
      <c r="G4065" t="str">
        <f>HYPERLINK("http://www.ncbi.nlm.nih.gov/Taxonomy/Browser/wwwtax.cgi?mode=Info&amp;id=309941&amp;lvl=3&amp;lin=f&amp;keep=1&amp;srchmode=1&amp;unlock","Bombus affinis")</f>
        <v>Bombus affinis</v>
      </c>
      <c r="H4065" t="s">
        <v>928</v>
      </c>
      <c r="I4065" t="str">
        <f>HYPERLINK("http://www.ncbi.nlm.nih.gov/protein/XP_050582857.1","ryanodine receptor isoform X5")</f>
        <v>ryanodine receptor isoform X5</v>
      </c>
      <c r="J4065">
        <v>3029.2</v>
      </c>
      <c r="K4065" t="s">
        <v>22</v>
      </c>
      <c r="L4065">
        <v>76</v>
      </c>
      <c r="M4065">
        <v>12.58</v>
      </c>
      <c r="N4065">
        <v>29.81</v>
      </c>
      <c r="O4065" t="s">
        <v>19</v>
      </c>
      <c r="P4065" t="s">
        <v>1320</v>
      </c>
      <c r="Q4065" t="s">
        <v>19</v>
      </c>
      <c r="R4065" t="str">
        <f>HYPERLINK("https://cfpub.epa.gov/ecotox/explore.cfm?ncbi=309941","Explore in ECOTOX")</f>
        <v>Explore in ECOTOX</v>
      </c>
    </row>
    <row r="4066" spans="1:18" x14ac:dyDescent="0.45">
      <c r="A4066" t="s">
        <v>1265</v>
      </c>
      <c r="B4066">
        <v>8</v>
      </c>
      <c r="C4066" t="str">
        <f>HYPERLINK("http://www.ncbi.nlm.nih.gov/protein/XP_048270120.1","XP_048270120.1")</f>
        <v>XP_048270120.1</v>
      </c>
      <c r="D4066">
        <v>26461</v>
      </c>
      <c r="E4066" t="str">
        <f>HYPERLINK("http://www.ncbi.nlm.nih.gov/Taxonomy/Browser/wwwtax.cgi?mode=Info&amp;id=30195&amp;lvl=3&amp;lin=f&amp;keep=1&amp;srchmode=1&amp;unlock","30195")</f>
        <v>30195</v>
      </c>
      <c r="F4066" t="s">
        <v>760</v>
      </c>
      <c r="G4066" t="str">
        <f>HYPERLINK("http://www.ncbi.nlm.nih.gov/Taxonomy/Browser/wwwtax.cgi?mode=Info&amp;id=30195&amp;lvl=3&amp;lin=f&amp;keep=1&amp;srchmode=1&amp;unlock","Bombus terrestris")</f>
        <v>Bombus terrestris</v>
      </c>
      <c r="H4066" t="s">
        <v>927</v>
      </c>
      <c r="I4066" t="str">
        <f>HYPERLINK("http://www.ncbi.nlm.nih.gov/protein/XP_048270120.1","ryanodine receptor isoform X6")</f>
        <v>ryanodine receptor isoform X6</v>
      </c>
      <c r="J4066">
        <v>3029.2</v>
      </c>
      <c r="K4066" t="s">
        <v>22</v>
      </c>
      <c r="L4066">
        <v>76</v>
      </c>
      <c r="M4066">
        <v>12.58</v>
      </c>
      <c r="N4066">
        <v>29.81</v>
      </c>
      <c r="O4066" t="s">
        <v>19</v>
      </c>
      <c r="P4066" t="s">
        <v>1320</v>
      </c>
      <c r="Q4066" t="s">
        <v>19</v>
      </c>
      <c r="R4066" t="str">
        <f>HYPERLINK("https://cfpub.epa.gov/ecotox/explore.cfm?ncbi=30195","Explore in ECOTOX")</f>
        <v>Explore in ECOTOX</v>
      </c>
    </row>
    <row r="4067" spans="1:18" x14ac:dyDescent="0.45">
      <c r="A4067" t="s">
        <v>1265</v>
      </c>
      <c r="B4067">
        <v>8</v>
      </c>
      <c r="C4067" t="str">
        <f>HYPERLINK("http://www.ncbi.nlm.nih.gov/protein/XP_035897929.1","XP_035897929.1")</f>
        <v>XP_035897929.1</v>
      </c>
      <c r="D4067">
        <v>30268</v>
      </c>
      <c r="E4067" t="str">
        <f>HYPERLINK("http://www.ncbi.nlm.nih.gov/Taxonomy/Browser/wwwtax.cgi?mode=Info&amp;id=30069&amp;lvl=3&amp;lin=f&amp;keep=1&amp;srchmode=1&amp;unlock","30069")</f>
        <v>30069</v>
      </c>
      <c r="F4067" t="s">
        <v>760</v>
      </c>
      <c r="G4067" t="str">
        <f>HYPERLINK("http://www.ncbi.nlm.nih.gov/Taxonomy/Browser/wwwtax.cgi?mode=Info&amp;id=30069&amp;lvl=3&amp;lin=f&amp;keep=1&amp;srchmode=1&amp;unlock","Anopheles stephensi")</f>
        <v>Anopheles stephensi</v>
      </c>
      <c r="H4067" t="s">
        <v>949</v>
      </c>
      <c r="I4067" t="str">
        <f>HYPERLINK("http://www.ncbi.nlm.nih.gov/protein/XP_035897929.1","ryanodine receptor isoform X9")</f>
        <v>ryanodine receptor isoform X9</v>
      </c>
      <c r="J4067">
        <v>3028.04</v>
      </c>
      <c r="K4067" t="s">
        <v>22</v>
      </c>
      <c r="L4067">
        <v>76</v>
      </c>
      <c r="M4067">
        <v>12.58</v>
      </c>
      <c r="N4067">
        <v>29.8</v>
      </c>
      <c r="O4067" t="s">
        <v>19</v>
      </c>
      <c r="P4067" t="s">
        <v>1320</v>
      </c>
      <c r="Q4067" t="s">
        <v>19</v>
      </c>
      <c r="R4067" t="str">
        <f>HYPERLINK("https://cfpub.epa.gov/ecotox/explore.cfm?ncbi=30069","Explore in ECOTOX")</f>
        <v>Explore in ECOTOX</v>
      </c>
    </row>
    <row r="4068" spans="1:18" x14ac:dyDescent="0.45">
      <c r="A4068" t="s">
        <v>1265</v>
      </c>
      <c r="B4068">
        <v>8</v>
      </c>
      <c r="C4068" t="str">
        <f>HYPERLINK("http://www.ncbi.nlm.nih.gov/protein/CAH1119784.1","CAH1119784.1")</f>
        <v>CAH1119784.1</v>
      </c>
      <c r="D4068">
        <v>13594</v>
      </c>
      <c r="E4068" t="str">
        <f>HYPERLINK("http://www.ncbi.nlm.nih.gov/Taxonomy/Browser/wwwtax.cgi?mode=Info&amp;id=80249&amp;lvl=3&amp;lin=f&amp;keep=1&amp;srchmode=1&amp;unlock","80249")</f>
        <v>80249</v>
      </c>
      <c r="F4068" t="s">
        <v>760</v>
      </c>
      <c r="G4068" t="str">
        <f>HYPERLINK("http://www.ncbi.nlm.nih.gov/Taxonomy/Browser/wwwtax.cgi?mode=Info&amp;id=80249&amp;lvl=3&amp;lin=f&amp;keep=1&amp;srchmode=1&amp;unlock","Phaedon cochleariae")</f>
        <v>Phaedon cochleariae</v>
      </c>
      <c r="H4068" t="s">
        <v>970</v>
      </c>
      <c r="I4068" t="str">
        <f>HYPERLINK("http://www.ncbi.nlm.nih.gov/protein/CAH1119784.1","unnamed protein product")</f>
        <v>unnamed protein product</v>
      </c>
      <c r="J4068">
        <v>3027.65</v>
      </c>
      <c r="K4068" t="s">
        <v>19</v>
      </c>
      <c r="L4068">
        <v>76</v>
      </c>
      <c r="M4068">
        <v>12.58</v>
      </c>
      <c r="N4068">
        <v>29.8</v>
      </c>
      <c r="O4068" t="s">
        <v>19</v>
      </c>
      <c r="P4068" t="s">
        <v>1320</v>
      </c>
      <c r="Q4068" t="s">
        <v>19</v>
      </c>
      <c r="R4068" t="str">
        <f>HYPERLINK("https://cfpub.epa.gov/ecotox/explore.cfm?ncbi=80249","Explore in ECOTOX")</f>
        <v>Explore in ECOTOX</v>
      </c>
    </row>
    <row r="4069" spans="1:18" x14ac:dyDescent="0.45">
      <c r="A4069" t="s">
        <v>1265</v>
      </c>
      <c r="B4069">
        <v>8</v>
      </c>
      <c r="C4069" t="str">
        <f>HYPERLINK("http://www.ncbi.nlm.nih.gov/protein/XP_053659224.1","XP_053659224.1")</f>
        <v>XP_053659224.1</v>
      </c>
      <c r="D4069">
        <v>12065</v>
      </c>
      <c r="E4069" t="str">
        <f>HYPERLINK("http://www.ncbi.nlm.nih.gov/Taxonomy/Browser/wwwtax.cgi?mode=Info&amp;id=1521116&amp;lvl=3&amp;lin=f&amp;keep=1&amp;srchmode=1&amp;unlock","1521116")</f>
        <v>1521116</v>
      </c>
      <c r="F4069" t="s">
        <v>760</v>
      </c>
      <c r="G4069" t="str">
        <f>HYPERLINK("http://www.ncbi.nlm.nih.gov/Taxonomy/Browser/wwwtax.cgi?mode=Info&amp;id=1521116&amp;lvl=3&amp;lin=f&amp;keep=1&amp;srchmode=1&amp;unlock","Anopheles marshallii")</f>
        <v>Anopheles marshallii</v>
      </c>
      <c r="H4069" t="s">
        <v>917</v>
      </c>
      <c r="I4069" t="str">
        <f>HYPERLINK("http://www.ncbi.nlm.nih.gov/protein/XP_053659224.1","ryanodine receptor isoform X6")</f>
        <v>ryanodine receptor isoform X6</v>
      </c>
      <c r="J4069">
        <v>3027.27</v>
      </c>
      <c r="K4069" t="s">
        <v>22</v>
      </c>
      <c r="L4069">
        <v>76</v>
      </c>
      <c r="M4069">
        <v>12.58</v>
      </c>
      <c r="N4069">
        <v>29.79</v>
      </c>
      <c r="O4069" t="s">
        <v>19</v>
      </c>
      <c r="P4069" t="s">
        <v>1320</v>
      </c>
      <c r="Q4069" t="s">
        <v>19</v>
      </c>
      <c r="R4069" t="str">
        <f>HYPERLINK("https://cfpub.epa.gov/ecotox/explore.cfm?ncbi=1521116","Explore in ECOTOX")</f>
        <v>Explore in ECOTOX</v>
      </c>
    </row>
    <row r="4070" spans="1:18" x14ac:dyDescent="0.45">
      <c r="A4070" t="s">
        <v>1265</v>
      </c>
      <c r="B4070">
        <v>8</v>
      </c>
      <c r="C4070" t="str">
        <f>HYPERLINK("http://www.ncbi.nlm.nih.gov/protein/XP_055703610.1","XP_055703610.1")</f>
        <v>XP_055703610.1</v>
      </c>
      <c r="D4070">
        <v>21442</v>
      </c>
      <c r="E4070" t="str">
        <f>HYPERLINK("http://www.ncbi.nlm.nih.gov/Taxonomy/Browser/wwwtax.cgi?mode=Info&amp;id=29031&amp;lvl=3&amp;lin=f&amp;keep=1&amp;srchmode=1&amp;unlock","29031")</f>
        <v>29031</v>
      </c>
      <c r="F4070" t="s">
        <v>760</v>
      </c>
      <c r="G4070" t="str">
        <f>HYPERLINK("http://www.ncbi.nlm.nih.gov/Taxonomy/Browser/wwwtax.cgi?mode=Info&amp;id=29031&amp;lvl=3&amp;lin=f&amp;keep=1&amp;srchmode=1&amp;unlock","Phlebotomus papatasi")</f>
        <v>Phlebotomus papatasi</v>
      </c>
      <c r="H4070" t="s">
        <v>943</v>
      </c>
      <c r="I4070" t="str">
        <f>HYPERLINK("http://www.ncbi.nlm.nih.gov/protein/XP_055703610.1","ryanodine receptor")</f>
        <v>ryanodine receptor</v>
      </c>
      <c r="J4070">
        <v>3027.27</v>
      </c>
      <c r="K4070" t="s">
        <v>22</v>
      </c>
      <c r="L4070">
        <v>76</v>
      </c>
      <c r="M4070">
        <v>12.58</v>
      </c>
      <c r="N4070">
        <v>29.79</v>
      </c>
      <c r="O4070" t="s">
        <v>19</v>
      </c>
      <c r="P4070" t="s">
        <v>1320</v>
      </c>
      <c r="Q4070" t="s">
        <v>19</v>
      </c>
      <c r="R4070" t="str">
        <f>HYPERLINK("https://cfpub.epa.gov/ecotox/explore.cfm?ncbi=29031","Explore in ECOTOX")</f>
        <v>Explore in ECOTOX</v>
      </c>
    </row>
    <row r="4071" spans="1:18" x14ac:dyDescent="0.45">
      <c r="A4071" t="s">
        <v>1265</v>
      </c>
      <c r="B4071">
        <v>8</v>
      </c>
      <c r="C4071" t="str">
        <f>HYPERLINK("http://www.ncbi.nlm.nih.gov/protein/XP_060844126.1","XP_060844126.1")</f>
        <v>XP_060844126.1</v>
      </c>
      <c r="D4071">
        <v>22271</v>
      </c>
      <c r="E4071" t="str">
        <f>HYPERLINK("http://www.ncbi.nlm.nih.gov/Taxonomy/Browser/wwwtax.cgi?mode=Info&amp;id=40932&amp;lvl=3&amp;lin=f&amp;keep=1&amp;srchmode=1&amp;unlock","40932")</f>
        <v>40932</v>
      </c>
      <c r="F4071" t="s">
        <v>760</v>
      </c>
      <c r="G4071" t="str">
        <f>HYPERLINK("http://www.ncbi.nlm.nih.gov/Taxonomy/Browser/wwwtax.cgi?mode=Info&amp;id=40932&amp;lvl=3&amp;lin=f&amp;keep=1&amp;srchmode=1&amp;unlock","Rhopalosiphum padi")</f>
        <v>Rhopalosiphum padi</v>
      </c>
      <c r="H4071" t="s">
        <v>935</v>
      </c>
      <c r="I4071" t="str">
        <f>HYPERLINK("http://www.ncbi.nlm.nih.gov/protein/XP_060844126.1","LOW QUALITY PROTEIN: ryanodine receptor")</f>
        <v>LOW QUALITY PROTEIN: ryanodine receptor</v>
      </c>
      <c r="J4071">
        <v>3026.88</v>
      </c>
      <c r="K4071" t="s">
        <v>22</v>
      </c>
      <c r="L4071">
        <v>76</v>
      </c>
      <c r="M4071">
        <v>12.58</v>
      </c>
      <c r="N4071">
        <v>29.79</v>
      </c>
      <c r="O4071" t="s">
        <v>19</v>
      </c>
      <c r="P4071" t="s">
        <v>1320</v>
      </c>
      <c r="Q4071" t="s">
        <v>19</v>
      </c>
      <c r="R4071" t="str">
        <f>HYPERLINK("https://cfpub.epa.gov/ecotox/explore.cfm?ncbi=40932","Explore in ECOTOX")</f>
        <v>Explore in ECOTOX</v>
      </c>
    </row>
    <row r="4072" spans="1:18" x14ac:dyDescent="0.45">
      <c r="A4072" t="s">
        <v>1265</v>
      </c>
      <c r="B4072">
        <v>8</v>
      </c>
      <c r="C4072" t="str">
        <f>HYPERLINK("http://www.ncbi.nlm.nih.gov/protein/XP_018312609.1","XP_018312609.1")</f>
        <v>XP_018312609.1</v>
      </c>
      <c r="D4072">
        <v>33331</v>
      </c>
      <c r="E4072" t="str">
        <f>HYPERLINK("http://www.ncbi.nlm.nih.gov/Taxonomy/Browser/wwwtax.cgi?mode=Info&amp;id=64791&amp;lvl=3&amp;lin=f&amp;keep=1&amp;srchmode=1&amp;unlock","64791")</f>
        <v>64791</v>
      </c>
      <c r="F4072" t="s">
        <v>760</v>
      </c>
      <c r="G4072" t="str">
        <f>HYPERLINK("http://www.ncbi.nlm.nih.gov/Taxonomy/Browser/wwwtax.cgi?mode=Info&amp;id=64791&amp;lvl=3&amp;lin=f&amp;keep=1&amp;srchmode=1&amp;unlock","Trachymyrmex zeteki")</f>
        <v>Trachymyrmex zeteki</v>
      </c>
      <c r="H4072" t="s">
        <v>769</v>
      </c>
      <c r="I4072" t="str">
        <f>HYPERLINK("http://www.ncbi.nlm.nih.gov/protein/XP_018312609.1","PREDICTED: LOW QUALITY PROTEIN: ryanodine receptor")</f>
        <v>PREDICTED: LOW QUALITY PROTEIN: ryanodine receptor</v>
      </c>
      <c r="J4072">
        <v>3026.11</v>
      </c>
      <c r="K4072" t="s">
        <v>22</v>
      </c>
      <c r="L4072">
        <v>76</v>
      </c>
      <c r="M4072">
        <v>12.58</v>
      </c>
      <c r="N4072">
        <v>29.78</v>
      </c>
      <c r="O4072" t="s">
        <v>19</v>
      </c>
      <c r="P4072" t="s">
        <v>1320</v>
      </c>
      <c r="Q4072" t="s">
        <v>19</v>
      </c>
      <c r="R4072" t="str">
        <f>HYPERLINK("https://cfpub.epa.gov/ecotox/explore.cfm?ncbi=64791","Explore in ECOTOX")</f>
        <v>Explore in ECOTOX</v>
      </c>
    </row>
    <row r="4073" spans="1:18" x14ac:dyDescent="0.45">
      <c r="A4073" t="s">
        <v>1265</v>
      </c>
      <c r="B4073">
        <v>8</v>
      </c>
      <c r="C4073" t="str">
        <f>HYPERLINK("http://www.ncbi.nlm.nih.gov/protein/KAG7198526.1","KAG7198526.1")</f>
        <v>KAG7198526.1</v>
      </c>
      <c r="D4073">
        <v>21928</v>
      </c>
      <c r="E4073" t="str">
        <f>HYPERLINK("http://www.ncbi.nlm.nih.gov/Taxonomy/Browser/wwwtax.cgi?mode=Info&amp;id=860918&amp;lvl=3&amp;lin=f&amp;keep=1&amp;srchmode=1&amp;unlock","860918")</f>
        <v>860918</v>
      </c>
      <c r="F4073" t="s">
        <v>760</v>
      </c>
      <c r="G4073" t="str">
        <f>HYPERLINK("http://www.ncbi.nlm.nih.gov/Taxonomy/Browser/wwwtax.cgi?mode=Info&amp;id=860918&amp;lvl=3&amp;lin=f&amp;keep=1&amp;srchmode=1&amp;unlock","Ampulex compressa")</f>
        <v>Ampulex compressa</v>
      </c>
      <c r="H4073" t="s">
        <v>1050</v>
      </c>
      <c r="I4073" t="str">
        <f>HYPERLINK("http://www.ncbi.nlm.nih.gov/protein/KAG7198526.1","hypothetical protein KM043_005897")</f>
        <v>hypothetical protein KM043_005897</v>
      </c>
      <c r="J4073">
        <v>3025.34</v>
      </c>
      <c r="K4073" t="s">
        <v>22</v>
      </c>
      <c r="L4073">
        <v>76</v>
      </c>
      <c r="M4073">
        <v>12.58</v>
      </c>
      <c r="N4073">
        <v>29.77</v>
      </c>
      <c r="O4073" t="s">
        <v>19</v>
      </c>
      <c r="P4073" t="s">
        <v>1320</v>
      </c>
      <c r="Q4073" t="s">
        <v>19</v>
      </c>
      <c r="R4073" t="str">
        <f>HYPERLINK("https://cfpub.epa.gov/ecotox/explore.cfm?ncbi=860918","Explore in ECOTOX")</f>
        <v>Explore in ECOTOX</v>
      </c>
    </row>
    <row r="4074" spans="1:18" x14ac:dyDescent="0.45">
      <c r="A4074" t="s">
        <v>1265</v>
      </c>
      <c r="B4074">
        <v>8</v>
      </c>
      <c r="C4074" t="str">
        <f>HYPERLINK("http://www.ncbi.nlm.nih.gov/protein/AFW97408.1","AFW97408.1")</f>
        <v>AFW97408.1</v>
      </c>
      <c r="D4074">
        <v>59846</v>
      </c>
      <c r="E4074" t="str">
        <f>HYPERLINK("http://www.ncbi.nlm.nih.gov/Taxonomy/Browser/wwwtax.cgi?mode=Info&amp;id=51655&amp;lvl=3&amp;lin=f&amp;keep=1&amp;srchmode=1&amp;unlock","51655")</f>
        <v>51655</v>
      </c>
      <c r="F4074" t="s">
        <v>760</v>
      </c>
      <c r="G4074" t="str">
        <f>HYPERLINK("http://www.ncbi.nlm.nih.gov/Taxonomy/Browser/wwwtax.cgi?mode=Info&amp;id=51655&amp;lvl=3&amp;lin=f&amp;keep=1&amp;srchmode=1&amp;unlock","Plutella xylostella")</f>
        <v>Plutella xylostella</v>
      </c>
      <c r="H4074" t="s">
        <v>1047</v>
      </c>
      <c r="I4074" t="str">
        <f>HYPERLINK("http://www.ncbi.nlm.nih.gov/protein/AFW97408.1","RyR")</f>
        <v>RyR</v>
      </c>
      <c r="J4074">
        <v>3024.96</v>
      </c>
      <c r="K4074" t="s">
        <v>22</v>
      </c>
      <c r="L4074">
        <v>76</v>
      </c>
      <c r="M4074">
        <v>12.58</v>
      </c>
      <c r="N4074">
        <v>29.77</v>
      </c>
      <c r="O4074" t="s">
        <v>19</v>
      </c>
      <c r="P4074" t="s">
        <v>1320</v>
      </c>
      <c r="Q4074" t="s">
        <v>19</v>
      </c>
      <c r="R4074" t="str">
        <f>HYPERLINK("https://cfpub.epa.gov/ecotox/explore.cfm?ncbi=51655","Explore in ECOTOX")</f>
        <v>Explore in ECOTOX</v>
      </c>
    </row>
    <row r="4075" spans="1:18" x14ac:dyDescent="0.45">
      <c r="A4075" t="s">
        <v>1265</v>
      </c>
      <c r="B4075">
        <v>8</v>
      </c>
      <c r="C4075" t="str">
        <f>HYPERLINK("http://www.ncbi.nlm.nih.gov/protein/XP_012217225.1","XP_012217225.1")</f>
        <v>XP_012217225.1</v>
      </c>
      <c r="D4075">
        <v>21847</v>
      </c>
      <c r="E4075" t="str">
        <f>HYPERLINK("http://www.ncbi.nlm.nih.gov/Taxonomy/Browser/wwwtax.cgi?mode=Info&amp;id=83485&amp;lvl=3&amp;lin=f&amp;keep=1&amp;srchmode=1&amp;unlock","83485")</f>
        <v>83485</v>
      </c>
      <c r="F4075" t="s">
        <v>760</v>
      </c>
      <c r="G4075" t="str">
        <f>HYPERLINK("http://www.ncbi.nlm.nih.gov/Taxonomy/Browser/wwwtax.cgi?mode=Info&amp;id=83485&amp;lvl=3&amp;lin=f&amp;keep=1&amp;srchmode=1&amp;unlock","Linepithema humile")</f>
        <v>Linepithema humile</v>
      </c>
      <c r="H4075" t="s">
        <v>1071</v>
      </c>
      <c r="I4075" t="str">
        <f>HYPERLINK("http://www.ncbi.nlm.nih.gov/protein/XP_012217225.1","PREDICTED: LOW QUALITY PROTEIN: ryanodine receptor 44F")</f>
        <v>PREDICTED: LOW QUALITY PROTEIN: ryanodine receptor 44F</v>
      </c>
      <c r="J4075">
        <v>3024.96</v>
      </c>
      <c r="K4075" t="s">
        <v>22</v>
      </c>
      <c r="L4075">
        <v>76</v>
      </c>
      <c r="M4075">
        <v>12.58</v>
      </c>
      <c r="N4075">
        <v>29.77</v>
      </c>
      <c r="O4075" t="s">
        <v>19</v>
      </c>
      <c r="P4075" t="s">
        <v>1320</v>
      </c>
      <c r="Q4075" t="s">
        <v>19</v>
      </c>
      <c r="R4075" t="str">
        <f>HYPERLINK("https://cfpub.epa.gov/ecotox/explore.cfm?ncbi=83485","Explore in ECOTOX")</f>
        <v>Explore in ECOTOX</v>
      </c>
    </row>
    <row r="4076" spans="1:18" x14ac:dyDescent="0.45">
      <c r="A4076" t="s">
        <v>1265</v>
      </c>
      <c r="B4076">
        <v>8</v>
      </c>
      <c r="C4076" t="str">
        <f>HYPERLINK("http://www.ncbi.nlm.nih.gov/protein/WAD71761.1","WAD71761.1")</f>
        <v>WAD71761.1</v>
      </c>
      <c r="D4076">
        <v>89962</v>
      </c>
      <c r="E4076" t="str">
        <f>HYPERLINK("http://www.ncbi.nlm.nih.gov/Taxonomy/Browser/wwwtax.cgi?mode=Info&amp;id=121845&amp;lvl=3&amp;lin=f&amp;keep=1&amp;srchmode=1&amp;unlock","121845")</f>
        <v>121845</v>
      </c>
      <c r="F4076" t="s">
        <v>760</v>
      </c>
      <c r="G4076" t="str">
        <f>HYPERLINK("http://www.ncbi.nlm.nih.gov/Taxonomy/Browser/wwwtax.cgi?mode=Info&amp;id=121845&amp;lvl=3&amp;lin=f&amp;keep=1&amp;srchmode=1&amp;unlock","Diaphorina citri")</f>
        <v>Diaphorina citri</v>
      </c>
      <c r="H4076" t="s">
        <v>915</v>
      </c>
      <c r="I4076" t="str">
        <f>HYPERLINK("http://www.ncbi.nlm.nih.gov/protein/WAD71761.1","ryanodine receptor")</f>
        <v>ryanodine receptor</v>
      </c>
      <c r="J4076">
        <v>3024.57</v>
      </c>
      <c r="K4076" t="s">
        <v>22</v>
      </c>
      <c r="L4076">
        <v>76</v>
      </c>
      <c r="M4076">
        <v>12.58</v>
      </c>
      <c r="N4076">
        <v>29.77</v>
      </c>
      <c r="O4076" t="s">
        <v>19</v>
      </c>
      <c r="P4076" t="s">
        <v>1320</v>
      </c>
      <c r="Q4076" t="s">
        <v>19</v>
      </c>
      <c r="R4076" t="str">
        <f>HYPERLINK("https://cfpub.epa.gov/ecotox/explore.cfm?ncbi=121845","Explore in ECOTOX")</f>
        <v>Explore in ECOTOX</v>
      </c>
    </row>
    <row r="4077" spans="1:18" x14ac:dyDescent="0.45">
      <c r="A4077" t="s">
        <v>1265</v>
      </c>
      <c r="B4077">
        <v>8</v>
      </c>
      <c r="C4077" t="str">
        <f>HYPERLINK("http://www.ncbi.nlm.nih.gov/protein/XP_034171918.1","XP_034171918.1")</f>
        <v>XP_034171918.1</v>
      </c>
      <c r="D4077">
        <v>25981</v>
      </c>
      <c r="E4077" t="str">
        <f>HYPERLINK("http://www.ncbi.nlm.nih.gov/Taxonomy/Browser/wwwtax.cgi?mode=Info&amp;id=473952&amp;lvl=3&amp;lin=f&amp;keep=1&amp;srchmode=1&amp;unlock","473952")</f>
        <v>473952</v>
      </c>
      <c r="F4077" t="s">
        <v>760</v>
      </c>
      <c r="G4077" t="str">
        <f>HYPERLINK("http://www.ncbi.nlm.nih.gov/Taxonomy/Browser/wwwtax.cgi?mode=Info&amp;id=473952&amp;lvl=3&amp;lin=f&amp;keep=1&amp;srchmode=1&amp;unlock","Osmia lignaria")</f>
        <v>Osmia lignaria</v>
      </c>
      <c r="H4077" t="s">
        <v>776</v>
      </c>
      <c r="I4077" t="str">
        <f>HYPERLINK("http://www.ncbi.nlm.nih.gov/protein/XP_034171918.1","ryanodine receptor isoform X19")</f>
        <v>ryanodine receptor isoform X19</v>
      </c>
      <c r="J4077">
        <v>3024.57</v>
      </c>
      <c r="K4077" t="s">
        <v>22</v>
      </c>
      <c r="L4077">
        <v>76</v>
      </c>
      <c r="M4077">
        <v>12.58</v>
      </c>
      <c r="N4077">
        <v>29.77</v>
      </c>
      <c r="O4077" t="s">
        <v>19</v>
      </c>
      <c r="P4077" t="s">
        <v>1320</v>
      </c>
      <c r="Q4077" t="s">
        <v>19</v>
      </c>
      <c r="R4077" t="str">
        <f>HYPERLINK("https://cfpub.epa.gov/ecotox/explore.cfm?ncbi=473952","Explore in ECOTOX")</f>
        <v>Explore in ECOTOX</v>
      </c>
    </row>
    <row r="4078" spans="1:18" x14ac:dyDescent="0.45">
      <c r="A4078" t="s">
        <v>1265</v>
      </c>
      <c r="B4078">
        <v>8</v>
      </c>
      <c r="C4078" t="str">
        <f>HYPERLINK("http://www.ncbi.nlm.nih.gov/protein/XP_050457345.1","XP_050457345.1")</f>
        <v>XP_050457345.1</v>
      </c>
      <c r="D4078">
        <v>22436</v>
      </c>
      <c r="E4078" t="str">
        <f>HYPERLINK("http://www.ncbi.nlm.nih.gov/Taxonomy/Browser/wwwtax.cgi?mode=Info&amp;id=1086592&amp;lvl=3&amp;lin=f&amp;keep=1&amp;srchmode=1&amp;unlock","1086592")</f>
        <v>1086592</v>
      </c>
      <c r="F4078" t="s">
        <v>760</v>
      </c>
      <c r="G4078" t="str">
        <f>HYPERLINK("http://www.ncbi.nlm.nih.gov/Taxonomy/Browser/wwwtax.cgi?mode=Info&amp;id=1086592&amp;lvl=3&amp;lin=f&amp;keep=1&amp;srchmode=1&amp;unlock","Cataglyphis hispanica")</f>
        <v>Cataglyphis hispanica</v>
      </c>
      <c r="H4078" t="s">
        <v>769</v>
      </c>
      <c r="I4078" t="str">
        <f>HYPERLINK("http://www.ncbi.nlm.nih.gov/protein/XP_050457345.1","ryanodine receptor isoform X13")</f>
        <v>ryanodine receptor isoform X13</v>
      </c>
      <c r="J4078">
        <v>3024.57</v>
      </c>
      <c r="K4078" t="s">
        <v>22</v>
      </c>
      <c r="L4078">
        <v>76</v>
      </c>
      <c r="M4078">
        <v>12.58</v>
      </c>
      <c r="N4078">
        <v>29.77</v>
      </c>
      <c r="O4078" t="s">
        <v>19</v>
      </c>
      <c r="P4078" t="s">
        <v>1320</v>
      </c>
      <c r="Q4078" t="s">
        <v>19</v>
      </c>
      <c r="R4078" t="str">
        <f>HYPERLINK("https://cfpub.epa.gov/ecotox/explore.cfm?ncbi=1086592","Explore in ECOTOX")</f>
        <v>Explore in ECOTOX</v>
      </c>
    </row>
    <row r="4079" spans="1:18" x14ac:dyDescent="0.45">
      <c r="A4079" t="s">
        <v>1265</v>
      </c>
      <c r="B4079">
        <v>8</v>
      </c>
      <c r="C4079" t="str">
        <f>HYPERLINK("http://www.ncbi.nlm.nih.gov/protein/XP_031833320.1","XP_031833320.1")</f>
        <v>XP_031833320.1</v>
      </c>
      <c r="D4079">
        <v>25323</v>
      </c>
      <c r="E4079" t="str">
        <f>HYPERLINK("http://www.ncbi.nlm.nih.gov/Taxonomy/Browser/wwwtax.cgi?mode=Info&amp;id=2448451&amp;lvl=3&amp;lin=f&amp;keep=1&amp;srchmode=1&amp;unlock","2448451")</f>
        <v>2448451</v>
      </c>
      <c r="F4079" t="s">
        <v>760</v>
      </c>
      <c r="G4079" t="str">
        <f>HYPERLINK("http://www.ncbi.nlm.nih.gov/Taxonomy/Browser/wwwtax.cgi?mode=Info&amp;id=2448451&amp;lvl=3&amp;lin=f&amp;keep=1&amp;srchmode=1&amp;unlock","Nomia melanderi")</f>
        <v>Nomia melanderi</v>
      </c>
      <c r="H4079" t="s">
        <v>1067</v>
      </c>
      <c r="I4079" t="str">
        <f>HYPERLINK("http://www.ncbi.nlm.nih.gov/protein/XP_031833320.1","ryanodine receptor isoform X30")</f>
        <v>ryanodine receptor isoform X30</v>
      </c>
      <c r="J4079">
        <v>3023.8</v>
      </c>
      <c r="K4079" t="s">
        <v>22</v>
      </c>
      <c r="L4079">
        <v>76</v>
      </c>
      <c r="M4079">
        <v>12.58</v>
      </c>
      <c r="N4079">
        <v>29.76</v>
      </c>
      <c r="O4079" t="s">
        <v>19</v>
      </c>
      <c r="P4079" t="s">
        <v>1320</v>
      </c>
      <c r="Q4079" t="s">
        <v>19</v>
      </c>
      <c r="R4079" t="str">
        <f>HYPERLINK("https://cfpub.epa.gov/ecotox/explore.cfm?ncbi=2448451","Explore in ECOTOX")</f>
        <v>Explore in ECOTOX</v>
      </c>
    </row>
    <row r="4080" spans="1:18" x14ac:dyDescent="0.45">
      <c r="A4080" t="s">
        <v>1265</v>
      </c>
      <c r="B4080">
        <v>8</v>
      </c>
      <c r="C4080" t="str">
        <f>HYPERLINK("http://www.ncbi.nlm.nih.gov/protein/XP_031777943.1","XP_031777943.1")</f>
        <v>XP_031777943.1</v>
      </c>
      <c r="D4080">
        <v>34899</v>
      </c>
      <c r="E4080" t="str">
        <f>HYPERLINK("http://www.ncbi.nlm.nih.gov/Taxonomy/Browser/wwwtax.cgi?mode=Info&amp;id=7425&amp;lvl=3&amp;lin=f&amp;keep=1&amp;srchmode=1&amp;unlock","7425")</f>
        <v>7425</v>
      </c>
      <c r="F4080" t="s">
        <v>760</v>
      </c>
      <c r="G4080" t="str">
        <f>HYPERLINK("http://www.ncbi.nlm.nih.gov/Taxonomy/Browser/wwwtax.cgi?mode=Info&amp;id=7425&amp;lvl=3&amp;lin=f&amp;keep=1&amp;srchmode=1&amp;unlock","Nasonia vitripennis")</f>
        <v>Nasonia vitripennis</v>
      </c>
      <c r="H4080" t="s">
        <v>1075</v>
      </c>
      <c r="I4080" t="str">
        <f>HYPERLINK("http://www.ncbi.nlm.nih.gov/protein/XP_031777943.1","ryanodine receptor")</f>
        <v>ryanodine receptor</v>
      </c>
      <c r="J4080">
        <v>3023.42</v>
      </c>
      <c r="K4080" t="s">
        <v>22</v>
      </c>
      <c r="L4080">
        <v>76</v>
      </c>
      <c r="M4080">
        <v>12.58</v>
      </c>
      <c r="N4080">
        <v>29.76</v>
      </c>
      <c r="O4080" t="s">
        <v>19</v>
      </c>
      <c r="P4080" t="s">
        <v>1320</v>
      </c>
      <c r="Q4080" t="s">
        <v>19</v>
      </c>
      <c r="R4080" t="str">
        <f>HYPERLINK("https://cfpub.epa.gov/ecotox/explore.cfm?ncbi=7425","Explore in ECOTOX")</f>
        <v>Explore in ECOTOX</v>
      </c>
    </row>
    <row r="4081" spans="1:18" x14ac:dyDescent="0.45">
      <c r="A4081" t="s">
        <v>1265</v>
      </c>
      <c r="B4081">
        <v>8</v>
      </c>
      <c r="C4081" t="str">
        <f>HYPERLINK("http://www.ncbi.nlm.nih.gov/protein/CAG9803774.1","CAG9803774.1")</f>
        <v>CAG9803774.1</v>
      </c>
      <c r="D4081">
        <v>16779</v>
      </c>
      <c r="E4081" t="str">
        <f>HYPERLINK("http://www.ncbi.nlm.nih.gov/Taxonomy/Browser/wwwtax.cgi?mode=Info&amp;id=315576&amp;lvl=3&amp;lin=f&amp;keep=1&amp;srchmode=1&amp;unlock","315576")</f>
        <v>315576</v>
      </c>
      <c r="F4081" t="s">
        <v>760</v>
      </c>
      <c r="G4081" t="str">
        <f>HYPERLINK("http://www.ncbi.nlm.nih.gov/Taxonomy/Browser/wwwtax.cgi?mode=Info&amp;id=315576&amp;lvl=3&amp;lin=f&amp;keep=1&amp;srchmode=1&amp;unlock","Chironomus riparius")</f>
        <v>Chironomus riparius</v>
      </c>
      <c r="H4081" t="s">
        <v>974</v>
      </c>
      <c r="I4081" t="str">
        <f>HYPERLINK("http://www.ncbi.nlm.nih.gov/protein/CAG9803774.1","unnamed protein product")</f>
        <v>unnamed protein product</v>
      </c>
      <c r="J4081">
        <v>3020.72</v>
      </c>
      <c r="K4081" t="s">
        <v>22</v>
      </c>
      <c r="L4081">
        <v>76</v>
      </c>
      <c r="M4081">
        <v>12.58</v>
      </c>
      <c r="N4081">
        <v>29.73</v>
      </c>
      <c r="O4081" t="s">
        <v>19</v>
      </c>
      <c r="P4081" t="s">
        <v>1320</v>
      </c>
      <c r="Q4081" t="s">
        <v>19</v>
      </c>
      <c r="R4081" t="str">
        <f>HYPERLINK("https://cfpub.epa.gov/ecotox/explore.cfm?ncbi=315576","Explore in ECOTOX")</f>
        <v>Explore in ECOTOX</v>
      </c>
    </row>
    <row r="4082" spans="1:18" x14ac:dyDescent="0.45">
      <c r="A4082" t="s">
        <v>1265</v>
      </c>
      <c r="B4082">
        <v>8</v>
      </c>
      <c r="C4082" t="str">
        <f>HYPERLINK("http://www.ncbi.nlm.nih.gov/protein/KAJ8665342.1","KAJ8665342.1")</f>
        <v>KAJ8665342.1</v>
      </c>
      <c r="D4082">
        <v>24319</v>
      </c>
      <c r="E4082" t="str">
        <f>HYPERLINK("http://www.ncbi.nlm.nih.gov/Taxonomy/Browser/wwwtax.cgi?mode=Info&amp;id=131215&amp;lvl=3&amp;lin=f&amp;keep=1&amp;srchmode=1&amp;unlock","131215")</f>
        <v>131215</v>
      </c>
      <c r="F4082" t="s">
        <v>760</v>
      </c>
      <c r="G4082" t="str">
        <f>HYPERLINK("http://www.ncbi.nlm.nih.gov/Taxonomy/Browser/wwwtax.cgi?mode=Info&amp;id=131215&amp;lvl=3&amp;lin=f&amp;keep=1&amp;srchmode=1&amp;unlock","Eretmocerus hayati")</f>
        <v>Eretmocerus hayati</v>
      </c>
      <c r="H4082" t="s">
        <v>769</v>
      </c>
      <c r="I4082" t="str">
        <f>HYPERLINK("http://www.ncbi.nlm.nih.gov/protein/KAJ8665342.1","hypothetical protein QAD02_007004, partial")</f>
        <v>hypothetical protein QAD02_007004, partial</v>
      </c>
      <c r="J4082">
        <v>3019.57</v>
      </c>
      <c r="K4082" t="s">
        <v>19</v>
      </c>
      <c r="L4082">
        <v>76</v>
      </c>
      <c r="M4082">
        <v>12.58</v>
      </c>
      <c r="N4082">
        <v>29.72</v>
      </c>
      <c r="O4082" t="s">
        <v>19</v>
      </c>
      <c r="P4082" t="s">
        <v>1320</v>
      </c>
      <c r="Q4082" t="s">
        <v>19</v>
      </c>
      <c r="R4082" t="str">
        <f>HYPERLINK("https://cfpub.epa.gov/ecotox/explore.cfm?ncbi=131215","Explore in ECOTOX")</f>
        <v>Explore in ECOTOX</v>
      </c>
    </row>
    <row r="4083" spans="1:18" x14ac:dyDescent="0.45">
      <c r="A4083" t="s">
        <v>1265</v>
      </c>
      <c r="B4083">
        <v>8</v>
      </c>
      <c r="C4083" t="str">
        <f>HYPERLINK("http://www.ncbi.nlm.nih.gov/protein/XP_053964460.1","XP_053964460.1")</f>
        <v>XP_053964460.1</v>
      </c>
      <c r="D4083">
        <v>25510</v>
      </c>
      <c r="E4083" t="str">
        <f>HYPERLINK("http://www.ncbi.nlm.nih.gov/Taxonomy/Browser/wwwtax.cgi?mode=Info&amp;id=28586&amp;lvl=3&amp;lin=f&amp;keep=1&amp;srchmode=1&amp;unlock","28586")</f>
        <v>28586</v>
      </c>
      <c r="F4083" t="s">
        <v>760</v>
      </c>
      <c r="G4083" t="str">
        <f>HYPERLINK("http://www.ncbi.nlm.nih.gov/Taxonomy/Browser/wwwtax.cgi?mode=Info&amp;id=28586&amp;lvl=3&amp;lin=f&amp;keep=1&amp;srchmode=1&amp;unlock","Anastrepha ludens")</f>
        <v>Anastrepha ludens</v>
      </c>
      <c r="H4083" t="s">
        <v>957</v>
      </c>
      <c r="I4083" t="str">
        <f>HYPERLINK("http://www.ncbi.nlm.nih.gov/protein/XP_053964460.1","ryanodine receptor isoform X10")</f>
        <v>ryanodine receptor isoform X10</v>
      </c>
      <c r="J4083">
        <v>3018.02</v>
      </c>
      <c r="K4083" t="s">
        <v>22</v>
      </c>
      <c r="L4083">
        <v>76</v>
      </c>
      <c r="M4083">
        <v>12.58</v>
      </c>
      <c r="N4083">
        <v>29.7</v>
      </c>
      <c r="O4083" t="s">
        <v>19</v>
      </c>
      <c r="P4083" t="s">
        <v>1320</v>
      </c>
      <c r="Q4083" t="s">
        <v>19</v>
      </c>
      <c r="R4083" t="str">
        <f>HYPERLINK("https://cfpub.epa.gov/ecotox/explore.cfm?ncbi=28586","Explore in ECOTOX")</f>
        <v>Explore in ECOTOX</v>
      </c>
    </row>
    <row r="4084" spans="1:18" x14ac:dyDescent="0.45">
      <c r="A4084" t="s">
        <v>1265</v>
      </c>
      <c r="B4084">
        <v>8</v>
      </c>
      <c r="C4084" t="str">
        <f>HYPERLINK("http://www.ncbi.nlm.nih.gov/protein/CAH1113250.1","CAH1113250.1")</f>
        <v>CAH1113250.1</v>
      </c>
      <c r="D4084">
        <v>17559</v>
      </c>
      <c r="E4084" t="str">
        <f>HYPERLINK("http://www.ncbi.nlm.nih.gov/Taxonomy/Browser/wwwtax.cgi?mode=Info&amp;id=2598218&amp;lvl=3&amp;lin=f&amp;keep=1&amp;srchmode=1&amp;unlock","2598218")</f>
        <v>2598218</v>
      </c>
      <c r="F4084" t="s">
        <v>760</v>
      </c>
      <c r="G4084" t="str">
        <f>HYPERLINK("http://www.ncbi.nlm.nih.gov/Taxonomy/Browser/wwwtax.cgi?mode=Info&amp;id=2598218&amp;lvl=3&amp;lin=f&amp;keep=1&amp;srchmode=1&amp;unlock","Psylliodes chrysocephala")</f>
        <v>Psylliodes chrysocephala</v>
      </c>
      <c r="H4084" t="s">
        <v>900</v>
      </c>
      <c r="I4084" t="str">
        <f>HYPERLINK("http://www.ncbi.nlm.nih.gov/protein/CAH1113250.1","unnamed protein product")</f>
        <v>unnamed protein product</v>
      </c>
      <c r="J4084">
        <v>3017.25</v>
      </c>
      <c r="K4084" t="s">
        <v>22</v>
      </c>
      <c r="L4084">
        <v>76</v>
      </c>
      <c r="M4084">
        <v>12.58</v>
      </c>
      <c r="N4084">
        <v>29.7</v>
      </c>
      <c r="O4084" t="s">
        <v>19</v>
      </c>
      <c r="P4084" t="s">
        <v>1320</v>
      </c>
      <c r="Q4084" t="s">
        <v>19</v>
      </c>
      <c r="R4084" t="str">
        <f>HYPERLINK("https://cfpub.epa.gov/ecotox/explore.cfm?ncbi=2598218","Explore in ECOTOX")</f>
        <v>Explore in ECOTOX</v>
      </c>
    </row>
    <row r="4085" spans="1:18" x14ac:dyDescent="0.45">
      <c r="A4085" t="s">
        <v>1265</v>
      </c>
      <c r="B4085">
        <v>8</v>
      </c>
      <c r="C4085" t="str">
        <f>HYPERLINK("http://www.ncbi.nlm.nih.gov/protein/XP_029674681.1","XP_029674681.1")</f>
        <v>XP_029674681.1</v>
      </c>
      <c r="D4085">
        <v>22533</v>
      </c>
      <c r="E4085" t="str">
        <f>HYPERLINK("http://www.ncbi.nlm.nih.gov/Taxonomy/Browser/wwwtax.cgi?mode=Info&amp;id=72781&amp;lvl=3&amp;lin=f&amp;keep=1&amp;srchmode=1&amp;unlock","72781")</f>
        <v>72781</v>
      </c>
      <c r="F4085" t="s">
        <v>760</v>
      </c>
      <c r="G4085" t="str">
        <f>HYPERLINK("http://www.ncbi.nlm.nih.gov/Taxonomy/Browser/wwwtax.cgi?mode=Info&amp;id=72781&amp;lvl=3&amp;lin=f&amp;keep=1&amp;srchmode=1&amp;unlock","Formica exsecta")</f>
        <v>Formica exsecta</v>
      </c>
      <c r="H4085" t="s">
        <v>769</v>
      </c>
      <c r="I4085" t="str">
        <f>HYPERLINK("http://www.ncbi.nlm.nih.gov/protein/XP_029674681.1","ryanodine receptor isoform X4")</f>
        <v>ryanodine receptor isoform X4</v>
      </c>
      <c r="J4085">
        <v>3016.87</v>
      </c>
      <c r="K4085" t="s">
        <v>22</v>
      </c>
      <c r="L4085">
        <v>76</v>
      </c>
      <c r="M4085">
        <v>12.58</v>
      </c>
      <c r="N4085">
        <v>29.69</v>
      </c>
      <c r="O4085" t="s">
        <v>19</v>
      </c>
      <c r="P4085" t="s">
        <v>1320</v>
      </c>
      <c r="Q4085" t="s">
        <v>19</v>
      </c>
      <c r="R4085" t="str">
        <f>HYPERLINK("https://cfpub.epa.gov/ecotox/explore.cfm?ncbi=72781","Explore in ECOTOX")</f>
        <v>Explore in ECOTOX</v>
      </c>
    </row>
    <row r="4086" spans="1:18" x14ac:dyDescent="0.45">
      <c r="A4086" t="s">
        <v>1265</v>
      </c>
      <c r="B4086">
        <v>8</v>
      </c>
      <c r="C4086" t="str">
        <f>HYPERLINK("http://www.ncbi.nlm.nih.gov/protein/AIP90097.1","AIP90097.1")</f>
        <v>AIP90097.1</v>
      </c>
      <c r="D4086">
        <v>40</v>
      </c>
      <c r="E4086" t="str">
        <f>HYPERLINK("http://www.ncbi.nlm.nih.gov/Taxonomy/Browser/wwwtax.cgi?mode=Info&amp;id=499550&amp;lvl=3&amp;lin=f&amp;keep=1&amp;srchmode=1&amp;unlock","499550")</f>
        <v>499550</v>
      </c>
      <c r="F4086" t="s">
        <v>760</v>
      </c>
      <c r="G4086" t="str">
        <f>HYPERLINK("http://www.ncbi.nlm.nih.gov/Taxonomy/Browser/wwwtax.cgi?mode=Info&amp;id=499550&amp;lvl=3&amp;lin=f&amp;keep=1&amp;srchmode=1&amp;unlock","Grapholitha molesta")</f>
        <v>Grapholitha molesta</v>
      </c>
      <c r="H4086" t="s">
        <v>961</v>
      </c>
      <c r="I4086" t="str">
        <f>HYPERLINK("http://www.ncbi.nlm.nih.gov/protein/AIP90097.1","ryanodine receptor")</f>
        <v>ryanodine receptor</v>
      </c>
      <c r="J4086">
        <v>3016.87</v>
      </c>
      <c r="K4086" t="s">
        <v>22</v>
      </c>
      <c r="L4086">
        <v>76</v>
      </c>
      <c r="M4086">
        <v>12.58</v>
      </c>
      <c r="N4086">
        <v>29.69</v>
      </c>
      <c r="O4086" t="s">
        <v>19</v>
      </c>
      <c r="P4086" t="s">
        <v>1320</v>
      </c>
      <c r="Q4086" t="s">
        <v>19</v>
      </c>
      <c r="R4086" t="str">
        <f>HYPERLINK("https://cfpub.epa.gov/ecotox/explore.cfm?ncbi=499550","Explore in ECOTOX")</f>
        <v>Explore in ECOTOX</v>
      </c>
    </row>
    <row r="4087" spans="1:18" x14ac:dyDescent="0.45">
      <c r="A4087" t="s">
        <v>1265</v>
      </c>
      <c r="B4087">
        <v>8</v>
      </c>
      <c r="C4087" t="str">
        <f>HYPERLINK("http://www.ncbi.nlm.nih.gov/protein/XP_026667724.1","XP_026667724.1")</f>
        <v>XP_026667724.1</v>
      </c>
      <c r="D4087">
        <v>23295</v>
      </c>
      <c r="E4087" t="str">
        <f>HYPERLINK("http://www.ncbi.nlm.nih.gov/Taxonomy/Browser/wwwtax.cgi?mode=Info&amp;id=156304&amp;lvl=3&amp;lin=f&amp;keep=1&amp;srchmode=1&amp;unlock","156304")</f>
        <v>156304</v>
      </c>
      <c r="F4087" t="s">
        <v>760</v>
      </c>
      <c r="G4087" t="str">
        <f>HYPERLINK("http://www.ncbi.nlm.nih.gov/Taxonomy/Browser/wwwtax.cgi?mode=Info&amp;id=156304&amp;lvl=3&amp;lin=f&amp;keep=1&amp;srchmode=1&amp;unlock","Ceratina calcarata")</f>
        <v>Ceratina calcarata</v>
      </c>
      <c r="H4087" t="s">
        <v>967</v>
      </c>
      <c r="I4087" t="str">
        <f>HYPERLINK("http://www.ncbi.nlm.nih.gov/protein/XP_026667724.1","ryanodine receptor isoform X8")</f>
        <v>ryanodine receptor isoform X8</v>
      </c>
      <c r="J4087">
        <v>3016.87</v>
      </c>
      <c r="K4087" t="s">
        <v>22</v>
      </c>
      <c r="L4087">
        <v>76</v>
      </c>
      <c r="M4087">
        <v>12.58</v>
      </c>
      <c r="N4087">
        <v>29.69</v>
      </c>
      <c r="O4087" t="s">
        <v>19</v>
      </c>
      <c r="P4087" t="s">
        <v>1320</v>
      </c>
      <c r="Q4087" t="s">
        <v>19</v>
      </c>
      <c r="R4087" t="str">
        <f>HYPERLINK("https://cfpub.epa.gov/ecotox/explore.cfm?ncbi=156304","Explore in ECOTOX")</f>
        <v>Explore in ECOTOX</v>
      </c>
    </row>
    <row r="4088" spans="1:18" x14ac:dyDescent="0.45">
      <c r="A4088" t="s">
        <v>1265</v>
      </c>
      <c r="B4088">
        <v>8</v>
      </c>
      <c r="C4088" t="str">
        <f>HYPERLINK("http://www.ncbi.nlm.nih.gov/protein/XP_055318057.1","XP_055318057.1")</f>
        <v>XP_055318057.1</v>
      </c>
      <c r="D4088">
        <v>32634</v>
      </c>
      <c r="E4088" t="str">
        <f>HYPERLINK("http://www.ncbi.nlm.nih.gov/Taxonomy/Browser/wwwtax.cgi?mode=Info&amp;id=263140&amp;lvl=3&amp;lin=f&amp;keep=1&amp;srchmode=1&amp;unlock","263140")</f>
        <v>263140</v>
      </c>
      <c r="F4088" t="s">
        <v>760</v>
      </c>
      <c r="G4088" t="str">
        <f>HYPERLINK("http://www.ncbi.nlm.nih.gov/Taxonomy/Browser/wwwtax.cgi?mode=Info&amp;id=263140&amp;lvl=3&amp;lin=f&amp;keep=1&amp;srchmode=1&amp;unlock","Sitodiplosis mosellana")</f>
        <v>Sitodiplosis mosellana</v>
      </c>
      <c r="H4088" t="s">
        <v>977</v>
      </c>
      <c r="I4088" t="str">
        <f>HYPERLINK("http://www.ncbi.nlm.nih.gov/protein/XP_055318057.1","ryanodine receptor isoform X13")</f>
        <v>ryanodine receptor isoform X13</v>
      </c>
      <c r="J4088">
        <v>3016.48</v>
      </c>
      <c r="K4088" t="s">
        <v>22</v>
      </c>
      <c r="L4088">
        <v>76</v>
      </c>
      <c r="M4088">
        <v>12.58</v>
      </c>
      <c r="N4088">
        <v>29.69</v>
      </c>
      <c r="O4088" t="s">
        <v>19</v>
      </c>
      <c r="P4088" t="s">
        <v>1320</v>
      </c>
      <c r="Q4088" t="s">
        <v>19</v>
      </c>
      <c r="R4088" t="str">
        <f>HYPERLINK("https://cfpub.epa.gov/ecotox/explore.cfm?ncbi=263140","Explore in ECOTOX")</f>
        <v>Explore in ECOTOX</v>
      </c>
    </row>
    <row r="4089" spans="1:18" x14ac:dyDescent="0.45">
      <c r="A4089" t="s">
        <v>1265</v>
      </c>
      <c r="B4089">
        <v>8</v>
      </c>
      <c r="C4089" t="str">
        <f>HYPERLINK("http://www.ncbi.nlm.nih.gov/protein/XP_047999774.1","XP_047999774.1")</f>
        <v>XP_047999774.1</v>
      </c>
      <c r="D4089">
        <v>24114</v>
      </c>
      <c r="E4089" t="str">
        <f>HYPERLINK("http://www.ncbi.nlm.nih.gov/Taxonomy/Browser/wwwtax.cgi?mode=Info&amp;id=1035111&amp;lvl=3&amp;lin=f&amp;keep=1&amp;srchmode=1&amp;unlock","1035111")</f>
        <v>1035111</v>
      </c>
      <c r="F4089" t="s">
        <v>760</v>
      </c>
      <c r="G4089" t="str">
        <f>HYPERLINK("http://www.ncbi.nlm.nih.gov/Taxonomy/Browser/wwwtax.cgi?mode=Info&amp;id=1035111&amp;lvl=3&amp;lin=f&amp;keep=1&amp;srchmode=1&amp;unlock","Leguminivora glycinivorella")</f>
        <v>Leguminivora glycinivorella</v>
      </c>
      <c r="H4089" t="s">
        <v>961</v>
      </c>
      <c r="I4089" t="str">
        <f>HYPERLINK("http://www.ncbi.nlm.nih.gov/protein/XP_047999774.1","ryanodine receptor")</f>
        <v>ryanodine receptor</v>
      </c>
      <c r="J4089">
        <v>3015.71</v>
      </c>
      <c r="K4089" t="s">
        <v>22</v>
      </c>
      <c r="L4089">
        <v>76</v>
      </c>
      <c r="M4089">
        <v>12.58</v>
      </c>
      <c r="N4089">
        <v>29.68</v>
      </c>
      <c r="O4089" t="s">
        <v>19</v>
      </c>
      <c r="P4089" t="s">
        <v>1320</v>
      </c>
      <c r="Q4089" t="s">
        <v>19</v>
      </c>
      <c r="R4089" t="str">
        <f>HYPERLINK("https://cfpub.epa.gov/ecotox/explore.cfm?ncbi=1035111","Explore in ECOTOX")</f>
        <v>Explore in ECOTOX</v>
      </c>
    </row>
    <row r="4090" spans="1:18" x14ac:dyDescent="0.45">
      <c r="A4090" t="s">
        <v>1265</v>
      </c>
      <c r="B4090">
        <v>8</v>
      </c>
      <c r="C4090" t="str">
        <f>HYPERLINK("http://www.ncbi.nlm.nih.gov/protein/XP_054737074.1","XP_054737074.1")</f>
        <v>XP_054737074.1</v>
      </c>
      <c r="D4090">
        <v>23399</v>
      </c>
      <c r="E4090" t="str">
        <f>HYPERLINK("http://www.ncbi.nlm.nih.gov/Taxonomy/Browser/wwwtax.cgi?mode=Info&amp;id=95512&amp;lvl=3&amp;lin=f&amp;keep=1&amp;srchmode=1&amp;unlock","95512")</f>
        <v>95512</v>
      </c>
      <c r="F4090" t="s">
        <v>760</v>
      </c>
      <c r="G4090" t="str">
        <f>HYPERLINK("http://www.ncbi.nlm.nih.gov/Taxonomy/Browser/wwwtax.cgi?mode=Info&amp;id=95512&amp;lvl=3&amp;lin=f&amp;keep=1&amp;srchmode=1&amp;unlock","Anastrepha obliqua")</f>
        <v>Anastrepha obliqua</v>
      </c>
      <c r="H4090" t="s">
        <v>953</v>
      </c>
      <c r="I4090" t="str">
        <f>HYPERLINK("http://www.ncbi.nlm.nih.gov/protein/XP_054737074.1","ryanodine receptor isoform X8")</f>
        <v>ryanodine receptor isoform X8</v>
      </c>
      <c r="J4090">
        <v>3014.94</v>
      </c>
      <c r="K4090" t="s">
        <v>22</v>
      </c>
      <c r="L4090">
        <v>76</v>
      </c>
      <c r="M4090">
        <v>12.58</v>
      </c>
      <c r="N4090">
        <v>29.67</v>
      </c>
      <c r="O4090" t="s">
        <v>19</v>
      </c>
      <c r="P4090" t="s">
        <v>1320</v>
      </c>
      <c r="Q4090" t="s">
        <v>19</v>
      </c>
      <c r="R4090" t="str">
        <f>HYPERLINK("https://cfpub.epa.gov/ecotox/explore.cfm?ncbi=95512","Explore in ECOTOX")</f>
        <v>Explore in ECOTOX</v>
      </c>
    </row>
    <row r="4091" spans="1:18" x14ac:dyDescent="0.45">
      <c r="A4091" t="s">
        <v>1265</v>
      </c>
      <c r="B4091">
        <v>8</v>
      </c>
      <c r="C4091" t="str">
        <f>HYPERLINK("http://www.ncbi.nlm.nih.gov/protein/XP_059607963.1","XP_059607963.1")</f>
        <v>XP_059607963.1</v>
      </c>
      <c r="D4091">
        <v>16028</v>
      </c>
      <c r="E4091" t="str">
        <f>HYPERLINK("http://www.ncbi.nlm.nih.gov/Taxonomy/Browser/wwwtax.cgi?mode=Info&amp;id=94469&amp;lvl=3&amp;lin=f&amp;keep=1&amp;srchmode=1&amp;unlock","94469")</f>
        <v>94469</v>
      </c>
      <c r="F4091" t="s">
        <v>760</v>
      </c>
      <c r="G4091" t="str">
        <f>HYPERLINK("http://www.ncbi.nlm.nih.gov/Taxonomy/Browser/wwwtax.cgi?mode=Info&amp;id=94469&amp;lvl=3&amp;lin=f&amp;keep=1&amp;srchmode=1&amp;unlock","Phlebotomus argentipes")</f>
        <v>Phlebotomus argentipes</v>
      </c>
      <c r="H4091" t="s">
        <v>943</v>
      </c>
      <c r="I4091" t="str">
        <f>HYPERLINK("http://www.ncbi.nlm.nih.gov/protein/XP_059607963.1","ryanodine receptor")</f>
        <v>ryanodine receptor</v>
      </c>
      <c r="J4091">
        <v>3014.56</v>
      </c>
      <c r="K4091" t="s">
        <v>22</v>
      </c>
      <c r="L4091">
        <v>76</v>
      </c>
      <c r="M4091">
        <v>12.58</v>
      </c>
      <c r="N4091">
        <v>29.67</v>
      </c>
      <c r="O4091" t="s">
        <v>19</v>
      </c>
      <c r="P4091" t="s">
        <v>1320</v>
      </c>
      <c r="Q4091" t="s">
        <v>19</v>
      </c>
      <c r="R4091" t="str">
        <f>HYPERLINK("https://cfpub.epa.gov/ecotox/explore.cfm?ncbi=94469","Explore in ECOTOX")</f>
        <v>Explore in ECOTOX</v>
      </c>
    </row>
    <row r="4092" spans="1:18" x14ac:dyDescent="0.45">
      <c r="A4092" t="s">
        <v>1265</v>
      </c>
      <c r="B4092">
        <v>8</v>
      </c>
      <c r="C4092" t="str">
        <f>HYPERLINK("http://www.ncbi.nlm.nih.gov/protein/AKM95171.1","AKM95171.1")</f>
        <v>AKM95171.1</v>
      </c>
      <c r="D4092">
        <v>139</v>
      </c>
      <c r="E4092" t="str">
        <f>HYPERLINK("http://www.ncbi.nlm.nih.gov/Taxonomy/Browser/wwwtax.cgi?mode=Info&amp;id=223852&amp;lvl=3&amp;lin=f&amp;keep=1&amp;srchmode=1&amp;unlock","223852")</f>
        <v>223852</v>
      </c>
      <c r="F4092" t="s">
        <v>760</v>
      </c>
      <c r="G4092" t="str">
        <f>HYPERLINK("http://www.ncbi.nlm.nih.gov/Taxonomy/Browser/wwwtax.cgi?mode=Info&amp;id=223852&amp;lvl=3&amp;lin=f&amp;keep=1&amp;srchmode=1&amp;unlock","Aphis citricidus")</f>
        <v>Aphis citricidus</v>
      </c>
      <c r="H4092" t="s">
        <v>958</v>
      </c>
      <c r="I4092" t="str">
        <f>HYPERLINK("http://www.ncbi.nlm.nih.gov/protein/AKM95171.1","ryanodine receptor")</f>
        <v>ryanodine receptor</v>
      </c>
      <c r="J4092">
        <v>3014.17</v>
      </c>
      <c r="K4092" t="s">
        <v>22</v>
      </c>
      <c r="L4092">
        <v>76</v>
      </c>
      <c r="M4092">
        <v>12.58</v>
      </c>
      <c r="N4092">
        <v>29.66</v>
      </c>
      <c r="O4092" t="s">
        <v>19</v>
      </c>
      <c r="P4092" t="s">
        <v>1320</v>
      </c>
      <c r="Q4092" t="s">
        <v>19</v>
      </c>
      <c r="R4092" t="str">
        <f>HYPERLINK("https://cfpub.epa.gov/ecotox/explore.cfm?ncbi=223852","Explore in ECOTOX")</f>
        <v>Explore in ECOTOX</v>
      </c>
    </row>
    <row r="4093" spans="1:18" x14ac:dyDescent="0.45">
      <c r="A4093" t="s">
        <v>1265</v>
      </c>
      <c r="B4093">
        <v>8</v>
      </c>
      <c r="C4093" t="str">
        <f>HYPERLINK("http://www.ncbi.nlm.nih.gov/protein/XP_011684423.1","XP_011684423.1")</f>
        <v>XP_011684423.1</v>
      </c>
      <c r="D4093">
        <v>24365</v>
      </c>
      <c r="E4093" t="str">
        <f>HYPERLINK("http://www.ncbi.nlm.nih.gov/Taxonomy/Browser/wwwtax.cgi?mode=Info&amp;id=64793&amp;lvl=3&amp;lin=f&amp;keep=1&amp;srchmode=1&amp;unlock","64793")</f>
        <v>64793</v>
      </c>
      <c r="F4093" t="s">
        <v>760</v>
      </c>
      <c r="G4093" t="str">
        <f>HYPERLINK("http://www.ncbi.nlm.nih.gov/Taxonomy/Browser/wwwtax.cgi?mode=Info&amp;id=64793&amp;lvl=3&amp;lin=f&amp;keep=1&amp;srchmode=1&amp;unlock","Wasmannia auropunctata")</f>
        <v>Wasmannia auropunctata</v>
      </c>
      <c r="H4093" t="s">
        <v>810</v>
      </c>
      <c r="I4093" t="str">
        <f>HYPERLINK("http://www.ncbi.nlm.nih.gov/protein/XP_011684423.1","PREDICTED: ryanodine receptor 44F isoform X21")</f>
        <v>PREDICTED: ryanodine receptor 44F isoform X21</v>
      </c>
      <c r="J4093">
        <v>3012.63</v>
      </c>
      <c r="K4093" t="s">
        <v>22</v>
      </c>
      <c r="L4093">
        <v>76</v>
      </c>
      <c r="M4093">
        <v>12.58</v>
      </c>
      <c r="N4093">
        <v>29.65</v>
      </c>
      <c r="O4093" t="s">
        <v>19</v>
      </c>
      <c r="P4093" t="s">
        <v>1320</v>
      </c>
      <c r="Q4093" t="s">
        <v>19</v>
      </c>
      <c r="R4093" t="str">
        <f>HYPERLINK("https://cfpub.epa.gov/ecotox/explore.cfm?ncbi=64793","Explore in ECOTOX")</f>
        <v>Explore in ECOTOX</v>
      </c>
    </row>
    <row r="4094" spans="1:18" x14ac:dyDescent="0.45">
      <c r="A4094" t="s">
        <v>1265</v>
      </c>
      <c r="B4094">
        <v>8</v>
      </c>
      <c r="C4094" t="str">
        <f>HYPERLINK("http://www.ncbi.nlm.nih.gov/protein/OXU23471.1","OXU23471.1")</f>
        <v>OXU23471.1</v>
      </c>
      <c r="D4094">
        <v>16113</v>
      </c>
      <c r="E4094" t="str">
        <f>HYPERLINK("http://www.ncbi.nlm.nih.gov/Taxonomy/Browser/wwwtax.cgi?mode=Info&amp;id=543379&amp;lvl=3&amp;lin=f&amp;keep=1&amp;srchmode=1&amp;unlock","543379")</f>
        <v>543379</v>
      </c>
      <c r="F4094" t="s">
        <v>760</v>
      </c>
      <c r="G4094" t="str">
        <f>HYPERLINK("http://www.ncbi.nlm.nih.gov/Taxonomy/Browser/wwwtax.cgi?mode=Info&amp;id=543379&amp;lvl=3&amp;lin=f&amp;keep=1&amp;srchmode=1&amp;unlock","Trichomalopsis sarcophagae")</f>
        <v>Trichomalopsis sarcophagae</v>
      </c>
      <c r="H4094" t="s">
        <v>769</v>
      </c>
      <c r="I4094" t="str">
        <f>HYPERLINK("http://www.ncbi.nlm.nih.gov/protein/OXU23471.1","hypothetical protein TSAR_011015")</f>
        <v>hypothetical protein TSAR_011015</v>
      </c>
      <c r="J4094">
        <v>3012.63</v>
      </c>
      <c r="K4094" t="s">
        <v>22</v>
      </c>
      <c r="L4094">
        <v>76</v>
      </c>
      <c r="M4094">
        <v>12.58</v>
      </c>
      <c r="N4094">
        <v>29.65</v>
      </c>
      <c r="O4094" t="s">
        <v>19</v>
      </c>
      <c r="P4094" t="s">
        <v>1320</v>
      </c>
      <c r="Q4094" t="s">
        <v>19</v>
      </c>
      <c r="R4094" t="str">
        <f>HYPERLINK("https://cfpub.epa.gov/ecotox/explore.cfm?ncbi=543379","Explore in ECOTOX")</f>
        <v>Explore in ECOTOX</v>
      </c>
    </row>
    <row r="4095" spans="1:18" x14ac:dyDescent="0.45">
      <c r="A4095" t="s">
        <v>1265</v>
      </c>
      <c r="B4095">
        <v>8</v>
      </c>
      <c r="C4095" t="str">
        <f>HYPERLINK("http://www.ncbi.nlm.nih.gov/protein/GIX85759.1","GIX85759.1")</f>
        <v>GIX85759.1</v>
      </c>
      <c r="D4095">
        <v>56099</v>
      </c>
      <c r="E4095" t="str">
        <f>HYPERLINK("http://www.ncbi.nlm.nih.gov/Taxonomy/Browser/wwwtax.cgi?mode=Info&amp;id=1538125&amp;lvl=3&amp;lin=f&amp;keep=1&amp;srchmode=1&amp;unlock","1538125")</f>
        <v>1538125</v>
      </c>
      <c r="F4095" t="s">
        <v>904</v>
      </c>
      <c r="G4095" t="str">
        <f>HYPERLINK("http://www.ncbi.nlm.nih.gov/Taxonomy/Browser/wwwtax.cgi?mode=Info&amp;id=1538125&amp;lvl=3&amp;lin=f&amp;keep=1&amp;srchmode=1&amp;unlock","Caerostris darwini")</f>
        <v>Caerostris darwini</v>
      </c>
      <c r="H4095" t="s">
        <v>922</v>
      </c>
      <c r="I4095" t="str">
        <f>HYPERLINK("http://www.ncbi.nlm.nih.gov/protein/GIX85759.1","ryanodine receptor")</f>
        <v>ryanodine receptor</v>
      </c>
      <c r="J4095">
        <v>3012.25</v>
      </c>
      <c r="K4095" t="s">
        <v>22</v>
      </c>
      <c r="L4095">
        <v>76</v>
      </c>
      <c r="M4095">
        <v>12.58</v>
      </c>
      <c r="N4095">
        <v>29.65</v>
      </c>
      <c r="O4095" t="s">
        <v>19</v>
      </c>
      <c r="P4095" t="s">
        <v>1320</v>
      </c>
      <c r="Q4095" t="s">
        <v>19</v>
      </c>
      <c r="R4095" t="str">
        <f>HYPERLINK("https://cfpub.epa.gov/ecotox/explore.cfm?ncbi=1538125","Explore in ECOTOX")</f>
        <v>Explore in ECOTOX</v>
      </c>
    </row>
    <row r="4096" spans="1:18" x14ac:dyDescent="0.45">
      <c r="A4096" t="s">
        <v>1265</v>
      </c>
      <c r="B4096">
        <v>8</v>
      </c>
      <c r="C4096" t="str">
        <f>HYPERLINK("http://www.ncbi.nlm.nih.gov/protein/XP_012063211.1","XP_012063211.1")</f>
        <v>XP_012063211.1</v>
      </c>
      <c r="D4096">
        <v>10769</v>
      </c>
      <c r="E4096" t="str">
        <f>HYPERLINK("http://www.ncbi.nlm.nih.gov/Taxonomy/Browser/wwwtax.cgi?mode=Info&amp;id=12957&amp;lvl=3&amp;lin=f&amp;keep=1&amp;srchmode=1&amp;unlock","12957")</f>
        <v>12957</v>
      </c>
      <c r="F4096" t="s">
        <v>760</v>
      </c>
      <c r="G4096" t="str">
        <f>HYPERLINK("http://www.ncbi.nlm.nih.gov/Taxonomy/Browser/wwwtax.cgi?mode=Info&amp;id=12957&amp;lvl=3&amp;lin=f&amp;keep=1&amp;srchmode=1&amp;unlock","Atta cephalotes")</f>
        <v>Atta cephalotes</v>
      </c>
      <c r="H4096" t="s">
        <v>809</v>
      </c>
      <c r="I4096" t="str">
        <f>HYPERLINK("http://www.ncbi.nlm.nih.gov/protein/XP_012063211.1","PREDICTED: ryanodine receptor 44F")</f>
        <v>PREDICTED: ryanodine receptor 44F</v>
      </c>
      <c r="J4096">
        <v>3011.48</v>
      </c>
      <c r="K4096" t="s">
        <v>22</v>
      </c>
      <c r="L4096">
        <v>76</v>
      </c>
      <c r="M4096">
        <v>12.58</v>
      </c>
      <c r="N4096">
        <v>29.64</v>
      </c>
      <c r="O4096" t="s">
        <v>19</v>
      </c>
      <c r="P4096" t="s">
        <v>1320</v>
      </c>
      <c r="Q4096" t="s">
        <v>19</v>
      </c>
      <c r="R4096" t="str">
        <f>HYPERLINK("https://cfpub.epa.gov/ecotox/explore.cfm?ncbi=12957","Explore in ECOTOX")</f>
        <v>Explore in ECOTOX</v>
      </c>
    </row>
    <row r="4097" spans="1:18" x14ac:dyDescent="0.45">
      <c r="A4097" t="s">
        <v>1265</v>
      </c>
      <c r="B4097">
        <v>8</v>
      </c>
      <c r="C4097" t="str">
        <f>HYPERLINK("http://www.ncbi.nlm.nih.gov/protein/XP_019890194.1","XP_019890194.1")</f>
        <v>XP_019890194.1</v>
      </c>
      <c r="D4097">
        <v>29210</v>
      </c>
      <c r="E4097" t="str">
        <f>HYPERLINK("http://www.ncbi.nlm.nih.gov/Taxonomy/Browser/wwwtax.cgi?mode=Info&amp;id=7370&amp;lvl=3&amp;lin=f&amp;keep=1&amp;srchmode=1&amp;unlock","7370")</f>
        <v>7370</v>
      </c>
      <c r="F4097" t="s">
        <v>760</v>
      </c>
      <c r="G4097" t="str">
        <f>HYPERLINK("http://www.ncbi.nlm.nih.gov/Taxonomy/Browser/wwwtax.cgi?mode=Info&amp;id=7370&amp;lvl=3&amp;lin=f&amp;keep=1&amp;srchmode=1&amp;unlock","Musca domestica")</f>
        <v>Musca domestica</v>
      </c>
      <c r="H4097" t="s">
        <v>965</v>
      </c>
      <c r="I4097" t="str">
        <f>HYPERLINK("http://www.ncbi.nlm.nih.gov/protein/XP_019890194.1","ryanodine receptor isoform X7")</f>
        <v>ryanodine receptor isoform X7</v>
      </c>
      <c r="J4097">
        <v>3010.71</v>
      </c>
      <c r="K4097" t="s">
        <v>22</v>
      </c>
      <c r="L4097">
        <v>76</v>
      </c>
      <c r="M4097">
        <v>12.58</v>
      </c>
      <c r="N4097">
        <v>29.63</v>
      </c>
      <c r="O4097" t="s">
        <v>19</v>
      </c>
      <c r="P4097" t="s">
        <v>1320</v>
      </c>
      <c r="Q4097" t="s">
        <v>19</v>
      </c>
      <c r="R4097" t="str">
        <f>HYPERLINK("https://cfpub.epa.gov/ecotox/explore.cfm?ncbi=7370","Explore in ECOTOX")</f>
        <v>Explore in ECOTOX</v>
      </c>
    </row>
    <row r="4098" spans="1:18" x14ac:dyDescent="0.45">
      <c r="A4098" t="s">
        <v>1265</v>
      </c>
      <c r="B4098">
        <v>8</v>
      </c>
      <c r="C4098" t="str">
        <f>HYPERLINK("http://www.ncbi.nlm.nih.gov/protein/XP_055934796.1","XP_055934796.1")</f>
        <v>XP_055934796.1</v>
      </c>
      <c r="D4098">
        <v>56584</v>
      </c>
      <c r="E4098" t="str">
        <f>HYPERLINK("http://www.ncbi.nlm.nih.gov/Taxonomy/Browser/wwwtax.cgi?mode=Info&amp;id=94029&amp;lvl=3&amp;lin=f&amp;keep=1&amp;srchmode=1&amp;unlock","94029")</f>
        <v>94029</v>
      </c>
      <c r="F4098" t="s">
        <v>904</v>
      </c>
      <c r="G4098" t="str">
        <f>HYPERLINK("http://www.ncbi.nlm.nih.gov/Taxonomy/Browser/wwwtax.cgi?mode=Info&amp;id=94029&amp;lvl=3&amp;lin=f&amp;keep=1&amp;srchmode=1&amp;unlock","Argiope bruennichi")</f>
        <v>Argiope bruennichi</v>
      </c>
      <c r="H4098" t="s">
        <v>922</v>
      </c>
      <c r="I4098" t="str">
        <f>HYPERLINK("http://www.ncbi.nlm.nih.gov/protein/XP_055934796.1","ryanodine receptor-like isoform X2")</f>
        <v>ryanodine receptor-like isoform X2</v>
      </c>
      <c r="J4098">
        <v>3009.16</v>
      </c>
      <c r="K4098" t="s">
        <v>22</v>
      </c>
      <c r="L4098">
        <v>76</v>
      </c>
      <c r="M4098">
        <v>12.58</v>
      </c>
      <c r="N4098">
        <v>29.62</v>
      </c>
      <c r="O4098" t="s">
        <v>19</v>
      </c>
      <c r="P4098" t="s">
        <v>1320</v>
      </c>
      <c r="Q4098" t="s">
        <v>19</v>
      </c>
      <c r="R4098" t="str">
        <f>HYPERLINK("https://cfpub.epa.gov/ecotox/explore.cfm?ncbi=94029","Explore in ECOTOX")</f>
        <v>Explore in ECOTOX</v>
      </c>
    </row>
    <row r="4099" spans="1:18" x14ac:dyDescent="0.45">
      <c r="A4099" t="s">
        <v>1265</v>
      </c>
      <c r="B4099">
        <v>8</v>
      </c>
      <c r="C4099" t="str">
        <f>HYPERLINK("http://www.ncbi.nlm.nih.gov/protein/XP_059226132.1","XP_059226132.1")</f>
        <v>XP_059226132.1</v>
      </c>
      <c r="D4099">
        <v>26999</v>
      </c>
      <c r="E4099" t="str">
        <f>HYPERLINK("http://www.ncbi.nlm.nih.gov/Taxonomy/Browser/wwwtax.cgi?mode=Info&amp;id=35570&amp;lvl=3&amp;lin=f&amp;keep=1&amp;srchmode=1&amp;unlock","35570")</f>
        <v>35570</v>
      </c>
      <c r="F4099" t="s">
        <v>760</v>
      </c>
      <c r="G4099" t="str">
        <f>HYPERLINK("http://www.ncbi.nlm.nih.gov/Taxonomy/Browser/wwwtax.cgi?mode=Info&amp;id=35570&amp;lvl=3&amp;lin=f&amp;keep=1&amp;srchmode=1&amp;unlock","Stomoxys calcitrans")</f>
        <v>Stomoxys calcitrans</v>
      </c>
      <c r="H4099" t="s">
        <v>952</v>
      </c>
      <c r="I4099" t="str">
        <f>HYPERLINK("http://www.ncbi.nlm.nih.gov/protein/XP_059226132.1","ryanodine receptor isoform X5")</f>
        <v>ryanodine receptor isoform X5</v>
      </c>
      <c r="J4099">
        <v>3007.24</v>
      </c>
      <c r="K4099" t="s">
        <v>22</v>
      </c>
      <c r="L4099">
        <v>76</v>
      </c>
      <c r="M4099">
        <v>12.58</v>
      </c>
      <c r="N4099">
        <v>29.6</v>
      </c>
      <c r="O4099" t="s">
        <v>19</v>
      </c>
      <c r="P4099" t="s">
        <v>1320</v>
      </c>
      <c r="Q4099" t="s">
        <v>19</v>
      </c>
      <c r="R4099" t="str">
        <f>HYPERLINK("https://cfpub.epa.gov/ecotox/explore.cfm?ncbi=35570","Explore in ECOTOX")</f>
        <v>Explore in ECOTOX</v>
      </c>
    </row>
    <row r="4100" spans="1:18" x14ac:dyDescent="0.45">
      <c r="A4100" t="s">
        <v>1265</v>
      </c>
      <c r="B4100">
        <v>8</v>
      </c>
      <c r="C4100" t="str">
        <f>HYPERLINK("http://www.ncbi.nlm.nih.gov/protein/KAF5295881.1","KAF5295881.1")</f>
        <v>KAF5295881.1</v>
      </c>
      <c r="D4100">
        <v>20493</v>
      </c>
      <c r="E4100" t="str">
        <f>HYPERLINK("http://www.ncbi.nlm.nih.gov/Taxonomy/Browser/wwwtax.cgi?mode=Info&amp;id=2069292&amp;lvl=3&amp;lin=f&amp;keep=1&amp;srchmode=1&amp;unlock","2069292")</f>
        <v>2069292</v>
      </c>
      <c r="F4100" t="s">
        <v>760</v>
      </c>
      <c r="G4100" t="str">
        <f>HYPERLINK("http://www.ncbi.nlm.nih.gov/Taxonomy/Browser/wwwtax.cgi?mode=Info&amp;id=2069292&amp;lvl=3&amp;lin=f&amp;keep=1&amp;srchmode=1&amp;unlock","Abscondita terminalis")</f>
        <v>Abscondita terminalis</v>
      </c>
      <c r="H4100" t="s">
        <v>980</v>
      </c>
      <c r="I4100" t="str">
        <f>HYPERLINK("http://www.ncbi.nlm.nih.gov/protein/KAF5295881.1","hypothetical protein FQR65_LT10369")</f>
        <v>hypothetical protein FQR65_LT10369</v>
      </c>
      <c r="J4100">
        <v>3006.85</v>
      </c>
      <c r="K4100" t="s">
        <v>22</v>
      </c>
      <c r="L4100">
        <v>76</v>
      </c>
      <c r="M4100">
        <v>12.58</v>
      </c>
      <c r="N4100">
        <v>29.59</v>
      </c>
      <c r="O4100" t="s">
        <v>19</v>
      </c>
      <c r="P4100" t="s">
        <v>1320</v>
      </c>
      <c r="Q4100" t="s">
        <v>19</v>
      </c>
      <c r="R4100" t="str">
        <f>HYPERLINK("https://cfpub.epa.gov/ecotox/explore.cfm?ncbi=2069292","Explore in ECOTOX")</f>
        <v>Explore in ECOTOX</v>
      </c>
    </row>
    <row r="4101" spans="1:18" x14ac:dyDescent="0.45">
      <c r="A4101" t="s">
        <v>1265</v>
      </c>
      <c r="B4101">
        <v>8</v>
      </c>
      <c r="C4101" t="str">
        <f>HYPERLINK("http://www.ncbi.nlm.nih.gov/protein/CAB0033167.1","CAB0033167.1")</f>
        <v>CAB0033167.1</v>
      </c>
      <c r="D4101">
        <v>16955</v>
      </c>
      <c r="E4101" t="str">
        <f>HYPERLINK("http://www.ncbi.nlm.nih.gov/Taxonomy/Browser/wwwtax.cgi?mode=Info&amp;id=86971&amp;lvl=3&amp;lin=f&amp;keep=1&amp;srchmode=1&amp;unlock","86971")</f>
        <v>86971</v>
      </c>
      <c r="F4101" t="s">
        <v>760</v>
      </c>
      <c r="G4101" t="str">
        <f>HYPERLINK("http://www.ncbi.nlm.nih.gov/Taxonomy/Browser/wwwtax.cgi?mode=Info&amp;id=86971&amp;lvl=3&amp;lin=f&amp;keep=1&amp;srchmode=1&amp;unlock","Trichogramma brassicae")</f>
        <v>Trichogramma brassicae</v>
      </c>
      <c r="H4101" t="s">
        <v>947</v>
      </c>
      <c r="I4101" t="str">
        <f>HYPERLINK("http://www.ncbi.nlm.nih.gov/protein/CAB0033167.1","unnamed protein product")</f>
        <v>unnamed protein product</v>
      </c>
      <c r="J4101">
        <v>3005.7</v>
      </c>
      <c r="K4101" t="s">
        <v>22</v>
      </c>
      <c r="L4101">
        <v>76</v>
      </c>
      <c r="M4101">
        <v>12.58</v>
      </c>
      <c r="N4101">
        <v>29.58</v>
      </c>
      <c r="O4101" t="s">
        <v>19</v>
      </c>
      <c r="P4101" t="s">
        <v>1320</v>
      </c>
      <c r="Q4101" t="s">
        <v>19</v>
      </c>
      <c r="R4101" t="str">
        <f>HYPERLINK("https://cfpub.epa.gov/ecotox/explore.cfm?ncbi=86971","Explore in ECOTOX")</f>
        <v>Explore in ECOTOX</v>
      </c>
    </row>
    <row r="4102" spans="1:18" x14ac:dyDescent="0.45">
      <c r="A4102" t="s">
        <v>1265</v>
      </c>
      <c r="B4102">
        <v>8</v>
      </c>
      <c r="C4102" t="str">
        <f>HYPERLINK("http://www.ncbi.nlm.nih.gov/protein/KAG5681994.1","KAG5681994.1")</f>
        <v>KAG5681994.1</v>
      </c>
      <c r="D4102">
        <v>19380</v>
      </c>
      <c r="E4102" t="str">
        <f>HYPERLINK("http://www.ncbi.nlm.nih.gov/Taxonomy/Browser/wwwtax.cgi?mode=Info&amp;id=319348&amp;lvl=3&amp;lin=f&amp;keep=1&amp;srchmode=1&amp;unlock","319348")</f>
        <v>319348</v>
      </c>
      <c r="F4102" t="s">
        <v>760</v>
      </c>
      <c r="G4102" t="str">
        <f>HYPERLINK("http://www.ncbi.nlm.nih.gov/Taxonomy/Browser/wwwtax.cgi?mode=Info&amp;id=319348&amp;lvl=3&amp;lin=f&amp;keep=1&amp;srchmode=1&amp;unlock","Polypedilum vanderplanki")</f>
        <v>Polypedilum vanderplanki</v>
      </c>
      <c r="H4102" t="s">
        <v>942</v>
      </c>
      <c r="I4102" t="str">
        <f>HYPERLINK("http://www.ncbi.nlm.nih.gov/protein/KAG5681994.1","hypothetical protein PVAND_011393")</f>
        <v>hypothetical protein PVAND_011393</v>
      </c>
      <c r="J4102">
        <v>3004.54</v>
      </c>
      <c r="K4102" t="s">
        <v>22</v>
      </c>
      <c r="L4102">
        <v>76</v>
      </c>
      <c r="M4102">
        <v>12.58</v>
      </c>
      <c r="N4102">
        <v>29.57</v>
      </c>
      <c r="O4102" t="s">
        <v>19</v>
      </c>
      <c r="P4102" t="s">
        <v>1320</v>
      </c>
      <c r="Q4102" t="s">
        <v>19</v>
      </c>
      <c r="R4102" t="str">
        <f>HYPERLINK("https://cfpub.epa.gov/ecotox/explore.cfm?ncbi=319348","Explore in ECOTOX")</f>
        <v>Explore in ECOTOX</v>
      </c>
    </row>
    <row r="4103" spans="1:18" x14ac:dyDescent="0.45">
      <c r="A4103" t="s">
        <v>1265</v>
      </c>
      <c r="B4103">
        <v>8</v>
      </c>
      <c r="C4103" t="str">
        <f>HYPERLINK("http://www.ncbi.nlm.nih.gov/protein/XP_025265363.1","XP_025265363.1")</f>
        <v>XP_025265363.1</v>
      </c>
      <c r="D4103">
        <v>38835</v>
      </c>
      <c r="E4103" t="str">
        <f>HYPERLINK("http://www.ncbi.nlm.nih.gov/Taxonomy/Browser/wwwtax.cgi?mode=Info&amp;id=104421&amp;lvl=3&amp;lin=f&amp;keep=1&amp;srchmode=1&amp;unlock","104421")</f>
        <v>104421</v>
      </c>
      <c r="F4103" t="s">
        <v>760</v>
      </c>
      <c r="G4103" t="str">
        <f>HYPERLINK("http://www.ncbi.nlm.nih.gov/Taxonomy/Browser/wwwtax.cgi?mode=Info&amp;id=104421&amp;lvl=3&amp;lin=f&amp;keep=1&amp;srchmode=1&amp;unlock","Camponotus floridanus")</f>
        <v>Camponotus floridanus</v>
      </c>
      <c r="H4103" t="s">
        <v>932</v>
      </c>
      <c r="I4103" t="str">
        <f>HYPERLINK("http://www.ncbi.nlm.nih.gov/protein/XP_025265363.1","ryanodine receptor isoform X4")</f>
        <v>ryanodine receptor isoform X4</v>
      </c>
      <c r="J4103">
        <v>3004.54</v>
      </c>
      <c r="K4103" t="s">
        <v>22</v>
      </c>
      <c r="L4103">
        <v>76</v>
      </c>
      <c r="M4103">
        <v>12.58</v>
      </c>
      <c r="N4103">
        <v>29.57</v>
      </c>
      <c r="O4103" t="s">
        <v>19</v>
      </c>
      <c r="P4103" t="s">
        <v>1320</v>
      </c>
      <c r="Q4103" t="s">
        <v>19</v>
      </c>
      <c r="R4103" t="str">
        <f>HYPERLINK("https://cfpub.epa.gov/ecotox/explore.cfm?ncbi=104421","Explore in ECOTOX")</f>
        <v>Explore in ECOTOX</v>
      </c>
    </row>
    <row r="4104" spans="1:18" x14ac:dyDescent="0.45">
      <c r="A4104" t="s">
        <v>1265</v>
      </c>
      <c r="B4104">
        <v>8</v>
      </c>
      <c r="C4104" t="str">
        <f>HYPERLINK("http://www.ncbi.nlm.nih.gov/protein/XP_061391678.1","XP_061391678.1")</f>
        <v>XP_061391678.1</v>
      </c>
      <c r="D4104">
        <v>17077</v>
      </c>
      <c r="E4104" t="str">
        <f>HYPERLINK("http://www.ncbi.nlm.nih.gov/Taxonomy/Browser/wwwtax.cgi?mode=Info&amp;id=27455&amp;lvl=3&amp;lin=f&amp;keep=1&amp;srchmode=1&amp;unlock","27455")</f>
        <v>27455</v>
      </c>
      <c r="F4104" t="s">
        <v>760</v>
      </c>
      <c r="G4104" t="str">
        <f>HYPERLINK("http://www.ncbi.nlm.nih.gov/Taxonomy/Browser/wwwtax.cgi?mode=Info&amp;id=27455&amp;lvl=3&amp;lin=f&amp;keep=1&amp;srchmode=1&amp;unlock","Musca vetustissima")</f>
        <v>Musca vetustissima</v>
      </c>
      <c r="H4104" t="s">
        <v>962</v>
      </c>
      <c r="I4104" t="str">
        <f>HYPERLINK("http://www.ncbi.nlm.nih.gov/protein/XP_061391678.1","ryanodine receptor isoform X2")</f>
        <v>ryanodine receptor isoform X2</v>
      </c>
      <c r="J4104">
        <v>3004.16</v>
      </c>
      <c r="K4104" t="s">
        <v>22</v>
      </c>
      <c r="L4104">
        <v>76</v>
      </c>
      <c r="M4104">
        <v>12.58</v>
      </c>
      <c r="N4104">
        <v>29.57</v>
      </c>
      <c r="O4104" t="s">
        <v>19</v>
      </c>
      <c r="P4104" t="s">
        <v>1320</v>
      </c>
      <c r="Q4104" t="s">
        <v>19</v>
      </c>
      <c r="R4104" t="str">
        <f>HYPERLINK("https://cfpub.epa.gov/ecotox/explore.cfm?ncbi=27455","Explore in ECOTOX")</f>
        <v>Explore in ECOTOX</v>
      </c>
    </row>
    <row r="4105" spans="1:18" x14ac:dyDescent="0.45">
      <c r="A4105" t="s">
        <v>1265</v>
      </c>
      <c r="B4105">
        <v>8</v>
      </c>
      <c r="C4105" t="str">
        <f>HYPERLINK("http://www.ncbi.nlm.nih.gov/protein/KRG04788.1","KRG04788.1")</f>
        <v>KRG04788.1</v>
      </c>
      <c r="D4105">
        <v>44327</v>
      </c>
      <c r="E4105" t="str">
        <f>HYPERLINK("http://www.ncbi.nlm.nih.gov/Taxonomy/Browser/wwwtax.cgi?mode=Info&amp;id=7230&amp;lvl=3&amp;lin=f&amp;keep=1&amp;srchmode=1&amp;unlock","7230")</f>
        <v>7230</v>
      </c>
      <c r="F4105" t="s">
        <v>760</v>
      </c>
      <c r="G4105" t="str">
        <f>HYPERLINK("http://www.ncbi.nlm.nih.gov/Taxonomy/Browser/wwwtax.cgi?mode=Info&amp;id=7230&amp;lvl=3&amp;lin=f&amp;keep=1&amp;srchmode=1&amp;unlock","Drosophila mojavensis")</f>
        <v>Drosophila mojavensis</v>
      </c>
      <c r="H4105" t="s">
        <v>953</v>
      </c>
      <c r="I4105" t="str">
        <f>HYPERLINK("http://www.ncbi.nlm.nih.gov/protein/KRG04788.1","uncharacterized protein Dmoj_GI18926, isoform H")</f>
        <v>uncharacterized protein Dmoj_GI18926, isoform H</v>
      </c>
      <c r="J4105">
        <v>3002.62</v>
      </c>
      <c r="K4105" t="s">
        <v>22</v>
      </c>
      <c r="L4105">
        <v>76</v>
      </c>
      <c r="M4105">
        <v>12.58</v>
      </c>
      <c r="N4105">
        <v>29.55</v>
      </c>
      <c r="O4105" t="s">
        <v>19</v>
      </c>
      <c r="P4105" t="s">
        <v>1320</v>
      </c>
      <c r="Q4105" t="s">
        <v>19</v>
      </c>
      <c r="R4105" t="str">
        <f>HYPERLINK("https://cfpub.epa.gov/ecotox/explore.cfm?ncbi=7230","Explore in ECOTOX")</f>
        <v>Explore in ECOTOX</v>
      </c>
    </row>
    <row r="4106" spans="1:18" x14ac:dyDescent="0.45">
      <c r="A4106" t="s">
        <v>1265</v>
      </c>
      <c r="B4106">
        <v>8</v>
      </c>
      <c r="C4106" t="str">
        <f>HYPERLINK("http://www.ncbi.nlm.nih.gov/protein/XP_017866961.1","XP_017866961.1")</f>
        <v>XP_017866961.1</v>
      </c>
      <c r="D4106">
        <v>20064</v>
      </c>
      <c r="E4106" t="str">
        <f>HYPERLINK("http://www.ncbi.nlm.nih.gov/Taxonomy/Browser/wwwtax.cgi?mode=Info&amp;id=7263&amp;lvl=3&amp;lin=f&amp;keep=1&amp;srchmode=1&amp;unlock","7263")</f>
        <v>7263</v>
      </c>
      <c r="F4106" t="s">
        <v>760</v>
      </c>
      <c r="G4106" t="str">
        <f>HYPERLINK("http://www.ncbi.nlm.nih.gov/Taxonomy/Browser/wwwtax.cgi?mode=Info&amp;id=7263&amp;lvl=3&amp;lin=f&amp;keep=1&amp;srchmode=1&amp;unlock","Drosophila arizonae")</f>
        <v>Drosophila arizonae</v>
      </c>
      <c r="H4106" t="s">
        <v>953</v>
      </c>
      <c r="I4106" t="str">
        <f>HYPERLINK("http://www.ncbi.nlm.nih.gov/protein/XP_017866961.1","PREDICTED: ryanodine receptor isoform X7")</f>
        <v>PREDICTED: ryanodine receptor isoform X7</v>
      </c>
      <c r="J4106">
        <v>3001.85</v>
      </c>
      <c r="K4106" t="s">
        <v>22</v>
      </c>
      <c r="L4106">
        <v>76</v>
      </c>
      <c r="M4106">
        <v>12.58</v>
      </c>
      <c r="N4106">
        <v>29.54</v>
      </c>
      <c r="O4106" t="s">
        <v>19</v>
      </c>
      <c r="P4106" t="s">
        <v>1320</v>
      </c>
      <c r="Q4106" t="s">
        <v>19</v>
      </c>
      <c r="R4106" t="str">
        <f>HYPERLINK("https://cfpub.epa.gov/ecotox/explore.cfm?ncbi=7263","Explore in ECOTOX")</f>
        <v>Explore in ECOTOX</v>
      </c>
    </row>
    <row r="4107" spans="1:18" x14ac:dyDescent="0.45">
      <c r="A4107" t="s">
        <v>1265</v>
      </c>
      <c r="B4107">
        <v>8</v>
      </c>
      <c r="C4107" t="str">
        <f>HYPERLINK("http://www.ncbi.nlm.nih.gov/protein/XP_017105956.2","XP_017105956.2")</f>
        <v>XP_017105956.2</v>
      </c>
      <c r="D4107">
        <v>33858</v>
      </c>
      <c r="E4107" t="str">
        <f>HYPERLINK("http://www.ncbi.nlm.nih.gov/Taxonomy/Browser/wwwtax.cgi?mode=Info&amp;id=42026&amp;lvl=3&amp;lin=f&amp;keep=1&amp;srchmode=1&amp;unlock","42026")</f>
        <v>42026</v>
      </c>
      <c r="F4107" t="s">
        <v>760</v>
      </c>
      <c r="G4107" t="str">
        <f>HYPERLINK("http://www.ncbi.nlm.nih.gov/Taxonomy/Browser/wwwtax.cgi?mode=Info&amp;id=42026&amp;lvl=3&amp;lin=f&amp;keep=1&amp;srchmode=1&amp;unlock","Drosophila bipectinata")</f>
        <v>Drosophila bipectinata</v>
      </c>
      <c r="H4107" t="s">
        <v>953</v>
      </c>
      <c r="I4107" t="str">
        <f>HYPERLINK("http://www.ncbi.nlm.nih.gov/protein/XP_017105956.2","ryanodine receptor isoform X3")</f>
        <v>ryanodine receptor isoform X3</v>
      </c>
      <c r="J4107">
        <v>3001.08</v>
      </c>
      <c r="K4107" t="s">
        <v>22</v>
      </c>
      <c r="L4107">
        <v>76</v>
      </c>
      <c r="M4107">
        <v>12.58</v>
      </c>
      <c r="N4107">
        <v>29.54</v>
      </c>
      <c r="O4107" t="s">
        <v>19</v>
      </c>
      <c r="P4107" t="s">
        <v>1320</v>
      </c>
      <c r="Q4107" t="s">
        <v>19</v>
      </c>
      <c r="R4107" t="str">
        <f>HYPERLINK("https://cfpub.epa.gov/ecotox/explore.cfm?ncbi=42026","Explore in ECOTOX")</f>
        <v>Explore in ECOTOX</v>
      </c>
    </row>
    <row r="4108" spans="1:18" x14ac:dyDescent="0.45">
      <c r="A4108" t="s">
        <v>1265</v>
      </c>
      <c r="B4108">
        <v>8</v>
      </c>
      <c r="C4108" t="str">
        <f>HYPERLINK("http://www.ncbi.nlm.nih.gov/protein/XP_037272500.1","XP_037272500.1")</f>
        <v>XP_037272500.1</v>
      </c>
      <c r="D4108">
        <v>55948</v>
      </c>
      <c r="E4108" t="str">
        <f>HYPERLINK("http://www.ncbi.nlm.nih.gov/Taxonomy/Browser/wwwtax.cgi?mode=Info&amp;id=6941&amp;lvl=3&amp;lin=f&amp;keep=1&amp;srchmode=1&amp;unlock","6941")</f>
        <v>6941</v>
      </c>
      <c r="F4108" t="s">
        <v>904</v>
      </c>
      <c r="G4108" t="str">
        <f>HYPERLINK("http://www.ncbi.nlm.nih.gov/Taxonomy/Browser/wwwtax.cgi?mode=Info&amp;id=6941&amp;lvl=3&amp;lin=f&amp;keep=1&amp;srchmode=1&amp;unlock","Rhipicephalus microplus")</f>
        <v>Rhipicephalus microplus</v>
      </c>
      <c r="H4108" t="s">
        <v>1117</v>
      </c>
      <c r="I4108" t="str">
        <f>HYPERLINK("http://www.ncbi.nlm.nih.gov/protein/XP_037272500.1","ryanodine receptor-like")</f>
        <v>ryanodine receptor-like</v>
      </c>
      <c r="J4108">
        <v>2999.53</v>
      </c>
      <c r="K4108" t="s">
        <v>22</v>
      </c>
      <c r="L4108">
        <v>76</v>
      </c>
      <c r="M4108">
        <v>12.58</v>
      </c>
      <c r="N4108">
        <v>29.52</v>
      </c>
      <c r="O4108" t="s">
        <v>19</v>
      </c>
      <c r="P4108" t="s">
        <v>1320</v>
      </c>
      <c r="Q4108" t="s">
        <v>19</v>
      </c>
      <c r="R4108" t="str">
        <f>HYPERLINK("https://cfpub.epa.gov/ecotox/explore.cfm?ncbi=6941","Explore in ECOTOX")</f>
        <v>Explore in ECOTOX</v>
      </c>
    </row>
    <row r="4109" spans="1:18" x14ac:dyDescent="0.45">
      <c r="A4109" t="s">
        <v>1265</v>
      </c>
      <c r="B4109">
        <v>8</v>
      </c>
      <c r="C4109" t="str">
        <f>HYPERLINK("http://www.ncbi.nlm.nih.gov/protein/XP_013392084.1","XP_013392084.1")</f>
        <v>XP_013392084.1</v>
      </c>
      <c r="D4109">
        <v>41534</v>
      </c>
      <c r="E4109" t="str">
        <f>HYPERLINK("http://www.ncbi.nlm.nih.gov/Taxonomy/Browser/wwwtax.cgi?mode=Info&amp;id=7574&amp;lvl=3&amp;lin=f&amp;keep=1&amp;srchmode=1&amp;unlock","7574")</f>
        <v>7574</v>
      </c>
      <c r="F4109" t="s">
        <v>954</v>
      </c>
      <c r="G4109" t="str">
        <f>HYPERLINK("http://www.ncbi.nlm.nih.gov/Taxonomy/Browser/wwwtax.cgi?mode=Info&amp;id=7574&amp;lvl=3&amp;lin=f&amp;keep=1&amp;srchmode=1&amp;unlock","Lingula anatina")</f>
        <v>Lingula anatina</v>
      </c>
      <c r="H4109" t="s">
        <v>955</v>
      </c>
      <c r="I4109" t="str">
        <f>HYPERLINK("http://www.ncbi.nlm.nih.gov/protein/XP_013392084.1","ryanodine receptor")</f>
        <v>ryanodine receptor</v>
      </c>
      <c r="J4109">
        <v>2999.53</v>
      </c>
      <c r="K4109" t="s">
        <v>22</v>
      </c>
      <c r="L4109">
        <v>76</v>
      </c>
      <c r="M4109">
        <v>12.58</v>
      </c>
      <c r="N4109">
        <v>29.52</v>
      </c>
      <c r="O4109" t="s">
        <v>19</v>
      </c>
      <c r="P4109" t="s">
        <v>1320</v>
      </c>
      <c r="Q4109" t="s">
        <v>19</v>
      </c>
      <c r="R4109" t="str">
        <f>HYPERLINK("https://cfpub.epa.gov/ecotox/explore.cfm?ncbi=7574","Explore in ECOTOX")</f>
        <v>Explore in ECOTOX</v>
      </c>
    </row>
    <row r="4110" spans="1:18" x14ac:dyDescent="0.45">
      <c r="A4110" t="s">
        <v>1265</v>
      </c>
      <c r="B4110">
        <v>8</v>
      </c>
      <c r="C4110" t="str">
        <f>HYPERLINK("http://www.ncbi.nlm.nih.gov/protein/XP_017027872.1","XP_017027872.1")</f>
        <v>XP_017027872.1</v>
      </c>
      <c r="D4110">
        <v>35880</v>
      </c>
      <c r="E4110" t="str">
        <f>HYPERLINK("http://www.ncbi.nlm.nih.gov/Taxonomy/Browser/wwwtax.cgi?mode=Info&amp;id=30033&amp;lvl=3&amp;lin=f&amp;keep=1&amp;srchmode=1&amp;unlock","30033")</f>
        <v>30033</v>
      </c>
      <c r="F4110" t="s">
        <v>760</v>
      </c>
      <c r="G4110" t="str">
        <f>HYPERLINK("http://www.ncbi.nlm.nih.gov/Taxonomy/Browser/wwwtax.cgi?mode=Info&amp;id=30033&amp;lvl=3&amp;lin=f&amp;keep=1&amp;srchmode=1&amp;unlock","Drosophila kikkawai")</f>
        <v>Drosophila kikkawai</v>
      </c>
      <c r="H4110" t="s">
        <v>953</v>
      </c>
      <c r="I4110" t="str">
        <f>HYPERLINK("http://www.ncbi.nlm.nih.gov/protein/XP_017027872.1","ryanodine receptor isoform X7")</f>
        <v>ryanodine receptor isoform X7</v>
      </c>
      <c r="J4110">
        <v>2999.15</v>
      </c>
      <c r="K4110" t="s">
        <v>22</v>
      </c>
      <c r="L4110">
        <v>76</v>
      </c>
      <c r="M4110">
        <v>12.58</v>
      </c>
      <c r="N4110">
        <v>29.52</v>
      </c>
      <c r="O4110" t="s">
        <v>19</v>
      </c>
      <c r="P4110" t="s">
        <v>1320</v>
      </c>
      <c r="Q4110" t="s">
        <v>19</v>
      </c>
      <c r="R4110" t="str">
        <f>HYPERLINK("https://cfpub.epa.gov/ecotox/explore.cfm?ncbi=30033","Explore in ECOTOX")</f>
        <v>Explore in ECOTOX</v>
      </c>
    </row>
    <row r="4111" spans="1:18" x14ac:dyDescent="0.45">
      <c r="A4111" t="s">
        <v>1265</v>
      </c>
      <c r="B4111">
        <v>8</v>
      </c>
      <c r="C4111" t="str">
        <f>HYPERLINK("http://www.ncbi.nlm.nih.gov/protein/XP_020814897.1","XP_020814897.1")</f>
        <v>XP_020814897.1</v>
      </c>
      <c r="D4111">
        <v>32742</v>
      </c>
      <c r="E4111" t="str">
        <f>HYPERLINK("http://www.ncbi.nlm.nih.gov/Taxonomy/Browser/wwwtax.cgi?mode=Info&amp;id=7274&amp;lvl=3&amp;lin=f&amp;keep=1&amp;srchmode=1&amp;unlock","7274")</f>
        <v>7274</v>
      </c>
      <c r="F4111" t="s">
        <v>760</v>
      </c>
      <c r="G4111" t="str">
        <f>HYPERLINK("http://www.ncbi.nlm.nih.gov/Taxonomy/Browser/wwwtax.cgi?mode=Info&amp;id=7274&amp;lvl=3&amp;lin=f&amp;keep=1&amp;srchmode=1&amp;unlock","Drosophila serrata")</f>
        <v>Drosophila serrata</v>
      </c>
      <c r="H4111" t="s">
        <v>953</v>
      </c>
      <c r="I4111" t="str">
        <f>HYPERLINK("http://www.ncbi.nlm.nih.gov/protein/XP_020814897.1","ryanodine receptor isoform X13")</f>
        <v>ryanodine receptor isoform X13</v>
      </c>
      <c r="J4111">
        <v>2999.15</v>
      </c>
      <c r="K4111" t="s">
        <v>22</v>
      </c>
      <c r="L4111">
        <v>76</v>
      </c>
      <c r="M4111">
        <v>12.58</v>
      </c>
      <c r="N4111">
        <v>29.52</v>
      </c>
      <c r="O4111" t="s">
        <v>19</v>
      </c>
      <c r="P4111" t="s">
        <v>1320</v>
      </c>
      <c r="Q4111" t="s">
        <v>19</v>
      </c>
      <c r="R4111" t="str">
        <f>HYPERLINK("https://cfpub.epa.gov/ecotox/explore.cfm?ncbi=7274","Explore in ECOTOX")</f>
        <v>Explore in ECOTOX</v>
      </c>
    </row>
    <row r="4112" spans="1:18" x14ac:dyDescent="0.45">
      <c r="A4112" t="s">
        <v>1265</v>
      </c>
      <c r="B4112">
        <v>8</v>
      </c>
      <c r="C4112" t="str">
        <f>HYPERLINK("http://www.ncbi.nlm.nih.gov/protein/XP_030563333.1","XP_030563333.1")</f>
        <v>XP_030563333.1</v>
      </c>
      <c r="D4112">
        <v>20260</v>
      </c>
      <c r="E4112" t="str">
        <f>HYPERLINK("http://www.ncbi.nlm.nih.gov/Taxonomy/Browser/wwwtax.cgi?mode=Info&amp;id=47314&amp;lvl=3&amp;lin=f&amp;keep=1&amp;srchmode=1&amp;unlock","47314")</f>
        <v>47314</v>
      </c>
      <c r="F4112" t="s">
        <v>760</v>
      </c>
      <c r="G4112" t="str">
        <f>HYPERLINK("http://www.ncbi.nlm.nih.gov/Taxonomy/Browser/wwwtax.cgi?mode=Info&amp;id=47314&amp;lvl=3&amp;lin=f&amp;keep=1&amp;srchmode=1&amp;unlock","Drosophila novamexicana")</f>
        <v>Drosophila novamexicana</v>
      </c>
      <c r="H4112" t="s">
        <v>953</v>
      </c>
      <c r="I4112" t="str">
        <f>HYPERLINK("http://www.ncbi.nlm.nih.gov/protein/XP_030563333.1","ryanodine receptor isoform X6")</f>
        <v>ryanodine receptor isoform X6</v>
      </c>
      <c r="J4112">
        <v>2998.38</v>
      </c>
      <c r="K4112" t="s">
        <v>22</v>
      </c>
      <c r="L4112">
        <v>76</v>
      </c>
      <c r="M4112">
        <v>12.58</v>
      </c>
      <c r="N4112">
        <v>29.51</v>
      </c>
      <c r="O4112" t="s">
        <v>19</v>
      </c>
      <c r="P4112" t="s">
        <v>1320</v>
      </c>
      <c r="Q4112" t="s">
        <v>19</v>
      </c>
      <c r="R4112" t="str">
        <f>HYPERLINK("https://cfpub.epa.gov/ecotox/explore.cfm?ncbi=47314","Explore in ECOTOX")</f>
        <v>Explore in ECOTOX</v>
      </c>
    </row>
    <row r="4113" spans="1:18" x14ac:dyDescent="0.45">
      <c r="A4113" t="s">
        <v>1265</v>
      </c>
      <c r="B4113">
        <v>8</v>
      </c>
      <c r="C4113" t="str">
        <f>HYPERLINK("http://www.ncbi.nlm.nih.gov/protein/XP_023168843.1","XP_023168843.1")</f>
        <v>XP_023168843.1</v>
      </c>
      <c r="D4113">
        <v>21617</v>
      </c>
      <c r="E4113" t="str">
        <f>HYPERLINK("http://www.ncbi.nlm.nih.gov/Taxonomy/Browser/wwwtax.cgi?mode=Info&amp;id=7224&amp;lvl=3&amp;lin=f&amp;keep=1&amp;srchmode=1&amp;unlock","7224")</f>
        <v>7224</v>
      </c>
      <c r="F4113" t="s">
        <v>760</v>
      </c>
      <c r="G4113" t="str">
        <f>HYPERLINK("http://www.ncbi.nlm.nih.gov/Taxonomy/Browser/wwwtax.cgi?mode=Info&amp;id=7224&amp;lvl=3&amp;lin=f&amp;keep=1&amp;srchmode=1&amp;unlock","Drosophila hydei")</f>
        <v>Drosophila hydei</v>
      </c>
      <c r="H4113" t="s">
        <v>953</v>
      </c>
      <c r="I4113" t="str">
        <f>HYPERLINK("http://www.ncbi.nlm.nih.gov/protein/XP_023168843.1","ryanodine receptor isoform X7")</f>
        <v>ryanodine receptor isoform X7</v>
      </c>
      <c r="J4113">
        <v>2997.99</v>
      </c>
      <c r="K4113" t="s">
        <v>22</v>
      </c>
      <c r="L4113">
        <v>76</v>
      </c>
      <c r="M4113">
        <v>12.58</v>
      </c>
      <c r="N4113">
        <v>29.51</v>
      </c>
      <c r="O4113" t="s">
        <v>19</v>
      </c>
      <c r="P4113" t="s">
        <v>1320</v>
      </c>
      <c r="Q4113" t="s">
        <v>19</v>
      </c>
      <c r="R4113" t="str">
        <f>HYPERLINK("https://cfpub.epa.gov/ecotox/explore.cfm?ncbi=7224","Explore in ECOTOX")</f>
        <v>Explore in ECOTOX</v>
      </c>
    </row>
    <row r="4114" spans="1:18" x14ac:dyDescent="0.45">
      <c r="A4114" t="s">
        <v>1265</v>
      </c>
      <c r="B4114">
        <v>8</v>
      </c>
      <c r="C4114" t="str">
        <f>HYPERLINK("http://www.ncbi.nlm.nih.gov/protein/XP_040236876.2","XP_040236876.2")</f>
        <v>XP_040236876.2</v>
      </c>
      <c r="D4114">
        <v>25690</v>
      </c>
      <c r="E4114" t="str">
        <f>HYPERLINK("http://www.ncbi.nlm.nih.gov/Taxonomy/Browser/wwwtax.cgi?mode=Info&amp;id=1518534&amp;lvl=3&amp;lin=f&amp;keep=1&amp;srchmode=1&amp;unlock","1518534")</f>
        <v>1518534</v>
      </c>
      <c r="F4114" t="s">
        <v>760</v>
      </c>
      <c r="G4114" t="str">
        <f>HYPERLINK("http://www.ncbi.nlm.nih.gov/Taxonomy/Browser/wwwtax.cgi?mode=Info&amp;id=1518534&amp;lvl=3&amp;lin=f&amp;keep=1&amp;srchmode=1&amp;unlock","Anopheles coluzzii")</f>
        <v>Anopheles coluzzii</v>
      </c>
      <c r="H4114" t="s">
        <v>917</v>
      </c>
      <c r="I4114" t="str">
        <f>HYPERLINK("http://www.ncbi.nlm.nih.gov/protein/XP_040236876.2","ryanodine receptor isoform X2")</f>
        <v>ryanodine receptor isoform X2</v>
      </c>
      <c r="J4114">
        <v>2996.07</v>
      </c>
      <c r="K4114" t="s">
        <v>22</v>
      </c>
      <c r="L4114">
        <v>76</v>
      </c>
      <c r="M4114">
        <v>12.58</v>
      </c>
      <c r="N4114">
        <v>29.49</v>
      </c>
      <c r="O4114" t="s">
        <v>19</v>
      </c>
      <c r="P4114" t="s">
        <v>1320</v>
      </c>
      <c r="Q4114" t="s">
        <v>19</v>
      </c>
      <c r="R4114" t="str">
        <f>HYPERLINK("https://cfpub.epa.gov/ecotox/explore.cfm?ncbi=1518534","Explore in ECOTOX")</f>
        <v>Explore in ECOTOX</v>
      </c>
    </row>
    <row r="4115" spans="1:18" x14ac:dyDescent="0.45">
      <c r="A4115" t="s">
        <v>1265</v>
      </c>
      <c r="B4115">
        <v>8</v>
      </c>
      <c r="C4115" t="str">
        <f>HYPERLINK("http://www.ncbi.nlm.nih.gov/protein/XP_014476816.1","XP_014476816.1")</f>
        <v>XP_014476816.1</v>
      </c>
      <c r="D4115">
        <v>22424</v>
      </c>
      <c r="E4115" t="str">
        <f>HYPERLINK("http://www.ncbi.nlm.nih.gov/Taxonomy/Browser/wwwtax.cgi?mode=Info&amp;id=609295&amp;lvl=3&amp;lin=f&amp;keep=1&amp;srchmode=1&amp;unlock","609295")</f>
        <v>609295</v>
      </c>
      <c r="F4115" t="s">
        <v>760</v>
      </c>
      <c r="G4115" t="str">
        <f>HYPERLINK("http://www.ncbi.nlm.nih.gov/Taxonomy/Browser/wwwtax.cgi?mode=Info&amp;id=609295&amp;lvl=3&amp;lin=f&amp;keep=1&amp;srchmode=1&amp;unlock","Dinoponera quadriceps")</f>
        <v>Dinoponera quadriceps</v>
      </c>
      <c r="H4115" t="s">
        <v>769</v>
      </c>
      <c r="I4115" t="str">
        <f>HYPERLINK("http://www.ncbi.nlm.nih.gov/protein/XP_014476816.1","PREDICTED: ryanodine receptor isoform X6")</f>
        <v>PREDICTED: ryanodine receptor isoform X6</v>
      </c>
      <c r="J4115">
        <v>2995.68</v>
      </c>
      <c r="K4115" t="s">
        <v>22</v>
      </c>
      <c r="L4115">
        <v>76</v>
      </c>
      <c r="M4115">
        <v>12.58</v>
      </c>
      <c r="N4115">
        <v>29.48</v>
      </c>
      <c r="O4115" t="s">
        <v>19</v>
      </c>
      <c r="P4115" t="s">
        <v>1320</v>
      </c>
      <c r="Q4115" t="s">
        <v>19</v>
      </c>
      <c r="R4115" t="str">
        <f>HYPERLINK("https://cfpub.epa.gov/ecotox/explore.cfm?ncbi=609295","Explore in ECOTOX")</f>
        <v>Explore in ECOTOX</v>
      </c>
    </row>
    <row r="4116" spans="1:18" x14ac:dyDescent="0.45">
      <c r="A4116" t="s">
        <v>1265</v>
      </c>
      <c r="B4116">
        <v>8</v>
      </c>
      <c r="C4116" t="str">
        <f>HYPERLINK("http://www.ncbi.nlm.nih.gov/protein/KAJ0170551.1","KAJ0170551.1")</f>
        <v>KAJ0170551.1</v>
      </c>
      <c r="D4116">
        <v>15504</v>
      </c>
      <c r="E4116" t="str">
        <f>HYPERLINK("http://www.ncbi.nlm.nih.gov/Taxonomy/Browser/wwwtax.cgi?mode=Info&amp;id=765133&amp;lvl=3&amp;lin=f&amp;keep=1&amp;srchmode=1&amp;unlock","765133")</f>
        <v>765133</v>
      </c>
      <c r="F4116" t="s">
        <v>760</v>
      </c>
      <c r="G4116" t="str">
        <f>HYPERLINK("http://www.ncbi.nlm.nih.gov/Taxonomy/Browser/wwwtax.cgi?mode=Info&amp;id=765133&amp;lvl=3&amp;lin=f&amp;keep=1&amp;srchmode=1&amp;unlock","Dendrolimus kikuchii")</f>
        <v>Dendrolimus kikuchii</v>
      </c>
      <c r="H4116" t="s">
        <v>985</v>
      </c>
      <c r="I4116" t="str">
        <f>HYPERLINK("http://www.ncbi.nlm.nih.gov/protein/KAJ0170551.1","hypothetical protein K1T71_013922")</f>
        <v>hypothetical protein K1T71_013922</v>
      </c>
      <c r="J4116">
        <v>2995.3</v>
      </c>
      <c r="K4116" t="s">
        <v>22</v>
      </c>
      <c r="L4116">
        <v>76</v>
      </c>
      <c r="M4116">
        <v>12.58</v>
      </c>
      <c r="N4116">
        <v>29.48</v>
      </c>
      <c r="O4116" t="s">
        <v>19</v>
      </c>
      <c r="P4116" t="s">
        <v>1320</v>
      </c>
      <c r="Q4116" t="s">
        <v>19</v>
      </c>
      <c r="R4116" t="str">
        <f>HYPERLINK("https://cfpub.epa.gov/ecotox/explore.cfm?ncbi=765133","Explore in ECOTOX")</f>
        <v>Explore in ECOTOX</v>
      </c>
    </row>
    <row r="4117" spans="1:18" x14ac:dyDescent="0.45">
      <c r="A4117" t="s">
        <v>1265</v>
      </c>
      <c r="B4117">
        <v>8</v>
      </c>
      <c r="C4117" t="str">
        <f>HYPERLINK("http://www.ncbi.nlm.nih.gov/protein/XP_017959313.1","XP_017959313.1")</f>
        <v>XP_017959313.1</v>
      </c>
      <c r="D4117">
        <v>35897</v>
      </c>
      <c r="E4117" t="str">
        <f>HYPERLINK("http://www.ncbi.nlm.nih.gov/Taxonomy/Browser/wwwtax.cgi?mode=Info&amp;id=7232&amp;lvl=3&amp;lin=f&amp;keep=1&amp;srchmode=1&amp;unlock","7232")</f>
        <v>7232</v>
      </c>
      <c r="F4117" t="s">
        <v>760</v>
      </c>
      <c r="G4117" t="str">
        <f>HYPERLINK("http://www.ncbi.nlm.nih.gov/Taxonomy/Browser/wwwtax.cgi?mode=Info&amp;id=7232&amp;lvl=3&amp;lin=f&amp;keep=1&amp;srchmode=1&amp;unlock","Drosophila navojoa")</f>
        <v>Drosophila navojoa</v>
      </c>
      <c r="H4117" t="s">
        <v>953</v>
      </c>
      <c r="I4117" t="str">
        <f>HYPERLINK("http://www.ncbi.nlm.nih.gov/protein/XP_017959313.1","ryanodine receptor isoform X7")</f>
        <v>ryanodine receptor isoform X7</v>
      </c>
      <c r="J4117">
        <v>2994.91</v>
      </c>
      <c r="K4117" t="s">
        <v>22</v>
      </c>
      <c r="L4117">
        <v>76</v>
      </c>
      <c r="M4117">
        <v>12.58</v>
      </c>
      <c r="N4117">
        <v>29.48</v>
      </c>
      <c r="O4117" t="s">
        <v>19</v>
      </c>
      <c r="P4117" t="s">
        <v>1320</v>
      </c>
      <c r="Q4117" t="s">
        <v>19</v>
      </c>
      <c r="R4117" t="str">
        <f>HYPERLINK("https://cfpub.epa.gov/ecotox/explore.cfm?ncbi=7232","Explore in ECOTOX")</f>
        <v>Explore in ECOTOX</v>
      </c>
    </row>
    <row r="4118" spans="1:18" x14ac:dyDescent="0.45">
      <c r="A4118" t="s">
        <v>1265</v>
      </c>
      <c r="B4118">
        <v>8</v>
      </c>
      <c r="C4118" t="str">
        <f>HYPERLINK("http://www.ncbi.nlm.nih.gov/protein/XP_017464405.1","XP_017464405.1")</f>
        <v>XP_017464405.1</v>
      </c>
      <c r="D4118">
        <v>33834</v>
      </c>
      <c r="E4118" t="str">
        <f>HYPERLINK("http://www.ncbi.nlm.nih.gov/Taxonomy/Browser/wwwtax.cgi?mode=Info&amp;id=28612&amp;lvl=3&amp;lin=f&amp;keep=1&amp;srchmode=1&amp;unlock","28612")</f>
        <v>28612</v>
      </c>
      <c r="F4118" t="s">
        <v>760</v>
      </c>
      <c r="G4118" t="str">
        <f>HYPERLINK("http://www.ncbi.nlm.nih.gov/Taxonomy/Browser/wwwtax.cgi?mode=Info&amp;id=28612&amp;lvl=3&amp;lin=f&amp;keep=1&amp;srchmode=1&amp;unlock","Rhagoletis zephyria")</f>
        <v>Rhagoletis zephyria</v>
      </c>
      <c r="H4118" t="s">
        <v>971</v>
      </c>
      <c r="I4118" t="str">
        <f>HYPERLINK("http://www.ncbi.nlm.nih.gov/protein/XP_017464405.1","PREDICTED: ryanodine receptor")</f>
        <v>PREDICTED: ryanodine receptor</v>
      </c>
      <c r="J4118">
        <v>2994.53</v>
      </c>
      <c r="K4118" t="s">
        <v>22</v>
      </c>
      <c r="L4118">
        <v>76</v>
      </c>
      <c r="M4118">
        <v>12.58</v>
      </c>
      <c r="N4118">
        <v>29.47</v>
      </c>
      <c r="O4118" t="s">
        <v>19</v>
      </c>
      <c r="P4118" t="s">
        <v>1320</v>
      </c>
      <c r="Q4118" t="s">
        <v>19</v>
      </c>
      <c r="R4118" t="str">
        <f>HYPERLINK("https://cfpub.epa.gov/ecotox/explore.cfm?ncbi=28612","Explore in ECOTOX")</f>
        <v>Explore in ECOTOX</v>
      </c>
    </row>
    <row r="4119" spans="1:18" x14ac:dyDescent="0.45">
      <c r="A4119" t="s">
        <v>1265</v>
      </c>
      <c r="B4119">
        <v>8</v>
      </c>
      <c r="C4119" t="str">
        <f>HYPERLINK("http://www.ncbi.nlm.nih.gov/protein/XP_032306934.1","XP_032306934.1")</f>
        <v>XP_032306934.1</v>
      </c>
      <c r="D4119">
        <v>47857</v>
      </c>
      <c r="E4119" t="str">
        <f>HYPERLINK("http://www.ncbi.nlm.nih.gov/Taxonomy/Browser/wwwtax.cgi?mode=Info&amp;id=7217&amp;lvl=3&amp;lin=f&amp;keep=1&amp;srchmode=1&amp;unlock","7217")</f>
        <v>7217</v>
      </c>
      <c r="F4119" t="s">
        <v>760</v>
      </c>
      <c r="G4119" t="str">
        <f>HYPERLINK("http://www.ncbi.nlm.nih.gov/Taxonomy/Browser/wwwtax.cgi?mode=Info&amp;id=7217&amp;lvl=3&amp;lin=f&amp;keep=1&amp;srchmode=1&amp;unlock","Drosophila ananassae")</f>
        <v>Drosophila ananassae</v>
      </c>
      <c r="H4119" t="s">
        <v>953</v>
      </c>
      <c r="I4119" t="str">
        <f>HYPERLINK("http://www.ncbi.nlm.nih.gov/protein/XP_032306934.1","ryanodine receptor isoform X7")</f>
        <v>ryanodine receptor isoform X7</v>
      </c>
      <c r="J4119">
        <v>2994.14</v>
      </c>
      <c r="K4119" t="s">
        <v>22</v>
      </c>
      <c r="L4119">
        <v>76</v>
      </c>
      <c r="M4119">
        <v>12.58</v>
      </c>
      <c r="N4119">
        <v>29.47</v>
      </c>
      <c r="O4119" t="s">
        <v>19</v>
      </c>
      <c r="P4119" t="s">
        <v>1320</v>
      </c>
      <c r="Q4119" t="s">
        <v>19</v>
      </c>
      <c r="R4119" t="str">
        <f>HYPERLINK("https://cfpub.epa.gov/ecotox/explore.cfm?ncbi=7217","Explore in ECOTOX")</f>
        <v>Explore in ECOTOX</v>
      </c>
    </row>
    <row r="4120" spans="1:18" x14ac:dyDescent="0.45">
      <c r="A4120" t="s">
        <v>1265</v>
      </c>
      <c r="B4120">
        <v>8</v>
      </c>
      <c r="C4120" t="str">
        <f>HYPERLINK("http://www.ncbi.nlm.nih.gov/protein/XP_037827173.1","XP_037827173.1")</f>
        <v>XP_037827173.1</v>
      </c>
      <c r="D4120">
        <v>24230</v>
      </c>
      <c r="E4120" t="str">
        <f>HYPERLINK("http://www.ncbi.nlm.nih.gov/Taxonomy/Browser/wwwtax.cgi?mode=Info&amp;id=13632&amp;lvl=3&amp;lin=f&amp;keep=1&amp;srchmode=1&amp;unlock","13632")</f>
        <v>13632</v>
      </c>
      <c r="F4120" t="s">
        <v>760</v>
      </c>
      <c r="G4120" t="str">
        <f>HYPERLINK("http://www.ncbi.nlm.nih.gov/Taxonomy/Browser/wwwtax.cgi?mode=Info&amp;id=13632&amp;lvl=3&amp;lin=f&amp;keep=1&amp;srchmode=1&amp;unlock","Lucilia sericata")</f>
        <v>Lucilia sericata</v>
      </c>
      <c r="H4120" t="s">
        <v>972</v>
      </c>
      <c r="I4120" t="str">
        <f>HYPERLINK("http://www.ncbi.nlm.nih.gov/protein/XP_037827173.1","ryanodine receptor isoform X13")</f>
        <v>ryanodine receptor isoform X13</v>
      </c>
      <c r="J4120">
        <v>2994.14</v>
      </c>
      <c r="K4120" t="s">
        <v>22</v>
      </c>
      <c r="L4120">
        <v>76</v>
      </c>
      <c r="M4120">
        <v>12.58</v>
      </c>
      <c r="N4120">
        <v>29.47</v>
      </c>
      <c r="O4120" t="s">
        <v>19</v>
      </c>
      <c r="P4120" t="s">
        <v>1320</v>
      </c>
      <c r="Q4120" t="s">
        <v>19</v>
      </c>
      <c r="R4120" t="str">
        <f>HYPERLINK("https://cfpub.epa.gov/ecotox/explore.cfm?ncbi=13632","Explore in ECOTOX")</f>
        <v>Explore in ECOTOX</v>
      </c>
    </row>
    <row r="4121" spans="1:18" x14ac:dyDescent="0.45">
      <c r="A4121" t="s">
        <v>1265</v>
      </c>
      <c r="B4121">
        <v>8</v>
      </c>
      <c r="C4121" t="str">
        <f>HYPERLINK("http://www.ncbi.nlm.nih.gov/protein/XP_012158412.1","XP_012158412.1")</f>
        <v>XP_012158412.1</v>
      </c>
      <c r="D4121">
        <v>43815</v>
      </c>
      <c r="E4121" t="str">
        <f>HYPERLINK("http://www.ncbi.nlm.nih.gov/Taxonomy/Browser/wwwtax.cgi?mode=Info&amp;id=7213&amp;lvl=3&amp;lin=f&amp;keep=1&amp;srchmode=1&amp;unlock","7213")</f>
        <v>7213</v>
      </c>
      <c r="F4121" t="s">
        <v>760</v>
      </c>
      <c r="G4121" t="str">
        <f>HYPERLINK("http://www.ncbi.nlm.nih.gov/Taxonomy/Browser/wwwtax.cgi?mode=Info&amp;id=7213&amp;lvl=3&amp;lin=f&amp;keep=1&amp;srchmode=1&amp;unlock","Ceratitis capitata")</f>
        <v>Ceratitis capitata</v>
      </c>
      <c r="H4121" t="s">
        <v>1063</v>
      </c>
      <c r="I4121" t="str">
        <f>HYPERLINK("http://www.ncbi.nlm.nih.gov/protein/XP_012158412.1","ryanodine receptor isoform X15")</f>
        <v>ryanodine receptor isoform X15</v>
      </c>
      <c r="J4121">
        <v>2992.99</v>
      </c>
      <c r="K4121" t="s">
        <v>22</v>
      </c>
      <c r="L4121">
        <v>76</v>
      </c>
      <c r="M4121">
        <v>12.58</v>
      </c>
      <c r="N4121">
        <v>29.46</v>
      </c>
      <c r="O4121" t="s">
        <v>19</v>
      </c>
      <c r="P4121" t="s">
        <v>1320</v>
      </c>
      <c r="Q4121" t="s">
        <v>19</v>
      </c>
      <c r="R4121" t="str">
        <f>HYPERLINK("https://cfpub.epa.gov/ecotox/explore.cfm?ncbi=7213","Explore in ECOTOX")</f>
        <v>Explore in ECOTOX</v>
      </c>
    </row>
    <row r="4122" spans="1:18" x14ac:dyDescent="0.45">
      <c r="A4122" t="s">
        <v>1265</v>
      </c>
      <c r="B4122">
        <v>8</v>
      </c>
      <c r="C4122" t="str">
        <f>HYPERLINK("http://www.ncbi.nlm.nih.gov/protein/XP_049307122.1","XP_049307122.1")</f>
        <v>XP_049307122.1</v>
      </c>
      <c r="D4122">
        <v>33506</v>
      </c>
      <c r="E4122" t="str">
        <f>HYPERLINK("http://www.ncbi.nlm.nih.gov/Taxonomy/Browser/wwwtax.cgi?mode=Info&amp;id=27457&amp;lvl=3&amp;lin=f&amp;keep=1&amp;srchmode=1&amp;unlock","27457")</f>
        <v>27457</v>
      </c>
      <c r="F4122" t="s">
        <v>760</v>
      </c>
      <c r="G4122" t="str">
        <f>HYPERLINK("http://www.ncbi.nlm.nih.gov/Taxonomy/Browser/wwwtax.cgi?mode=Info&amp;id=27457&amp;lvl=3&amp;lin=f&amp;keep=1&amp;srchmode=1&amp;unlock","Bactrocera dorsalis")</f>
        <v>Bactrocera dorsalis</v>
      </c>
      <c r="H4122" t="s">
        <v>966</v>
      </c>
      <c r="I4122" t="str">
        <f>HYPERLINK("http://www.ncbi.nlm.nih.gov/protein/XP_049307122.1","ryanodine receptor isoform X16")</f>
        <v>ryanodine receptor isoform X16</v>
      </c>
      <c r="J4122">
        <v>2992.6</v>
      </c>
      <c r="K4122" t="s">
        <v>22</v>
      </c>
      <c r="L4122">
        <v>76</v>
      </c>
      <c r="M4122">
        <v>12.58</v>
      </c>
      <c r="N4122">
        <v>29.45</v>
      </c>
      <c r="O4122" t="s">
        <v>19</v>
      </c>
      <c r="P4122" t="s">
        <v>1320</v>
      </c>
      <c r="Q4122" t="s">
        <v>19</v>
      </c>
      <c r="R4122" t="str">
        <f>HYPERLINK("https://cfpub.epa.gov/ecotox/explore.cfm?ncbi=27457","Explore in ECOTOX")</f>
        <v>Explore in ECOTOX</v>
      </c>
    </row>
    <row r="4123" spans="1:18" x14ac:dyDescent="0.45">
      <c r="A4123" t="s">
        <v>1265</v>
      </c>
      <c r="B4123">
        <v>8</v>
      </c>
      <c r="C4123" t="str">
        <f>HYPERLINK("http://www.ncbi.nlm.nih.gov/protein/KAH8237323.1","KAH8237323.1")</f>
        <v>KAH8237323.1</v>
      </c>
      <c r="D4123">
        <v>12188</v>
      </c>
      <c r="E4123" t="str">
        <f>HYPERLINK("http://www.ncbi.nlm.nih.gov/Taxonomy/Browser/wwwtax.cgi?mode=Info&amp;id=244254&amp;lvl=3&amp;lin=f&amp;keep=1&amp;srchmode=1&amp;unlock","244254")</f>
        <v>244254</v>
      </c>
      <c r="F4123" t="s">
        <v>760</v>
      </c>
      <c r="G4123" t="str">
        <f>HYPERLINK("http://www.ncbi.nlm.nih.gov/Taxonomy/Browser/wwwtax.cgi?mode=Info&amp;id=244254&amp;lvl=3&amp;lin=f&amp;keep=1&amp;srchmode=1&amp;unlock","Drosophila bunnanda")</f>
        <v>Drosophila bunnanda</v>
      </c>
      <c r="H4123" t="s">
        <v>953</v>
      </c>
      <c r="I4123" t="str">
        <f>HYPERLINK("http://www.ncbi.nlm.nih.gov/protein/KAH8237323.1","hypothetical protein KR038_009777")</f>
        <v>hypothetical protein KR038_009777</v>
      </c>
      <c r="J4123">
        <v>2992.22</v>
      </c>
      <c r="K4123" t="s">
        <v>22</v>
      </c>
      <c r="L4123">
        <v>76</v>
      </c>
      <c r="M4123">
        <v>12.58</v>
      </c>
      <c r="N4123">
        <v>29.45</v>
      </c>
      <c r="O4123" t="s">
        <v>19</v>
      </c>
      <c r="P4123" t="s">
        <v>1320</v>
      </c>
      <c r="Q4123" t="s">
        <v>19</v>
      </c>
      <c r="R4123" t="str">
        <f>HYPERLINK("https://cfpub.epa.gov/ecotox/explore.cfm?ncbi=244254","Explore in ECOTOX")</f>
        <v>Explore in ECOTOX</v>
      </c>
    </row>
    <row r="4124" spans="1:18" x14ac:dyDescent="0.45">
      <c r="A4124" t="s">
        <v>1265</v>
      </c>
      <c r="B4124">
        <v>8</v>
      </c>
      <c r="C4124" t="str">
        <f>HYPERLINK("http://www.ncbi.nlm.nih.gov/protein/XP_039954482.1","XP_039954482.1")</f>
        <v>XP_039954482.1</v>
      </c>
      <c r="D4124">
        <v>24274</v>
      </c>
      <c r="E4124" t="str">
        <f>HYPERLINK("http://www.ncbi.nlm.nih.gov/Taxonomy/Browser/wwwtax.cgi?mode=Info&amp;id=59916&amp;lvl=3&amp;lin=f&amp;keep=1&amp;srchmode=1&amp;unlock","59916")</f>
        <v>59916</v>
      </c>
      <c r="F4124" t="s">
        <v>760</v>
      </c>
      <c r="G4124" t="str">
        <f>HYPERLINK("http://www.ncbi.nlm.nih.gov/Taxonomy/Browser/wwwtax.cgi?mode=Info&amp;id=59916&amp;lvl=3&amp;lin=f&amp;keep=1&amp;srchmode=1&amp;unlock","Bactrocera tryoni")</f>
        <v>Bactrocera tryoni</v>
      </c>
      <c r="H4124" t="s">
        <v>968</v>
      </c>
      <c r="I4124" t="str">
        <f>HYPERLINK("http://www.ncbi.nlm.nih.gov/protein/XP_039954482.1","ryanodine receptor isoform X16")</f>
        <v>ryanodine receptor isoform X16</v>
      </c>
      <c r="J4124">
        <v>2991.83</v>
      </c>
      <c r="K4124" t="s">
        <v>22</v>
      </c>
      <c r="L4124">
        <v>76</v>
      </c>
      <c r="M4124">
        <v>12.58</v>
      </c>
      <c r="N4124">
        <v>29.44</v>
      </c>
      <c r="O4124" t="s">
        <v>19</v>
      </c>
      <c r="P4124" t="s">
        <v>1320</v>
      </c>
      <c r="Q4124" t="s">
        <v>19</v>
      </c>
      <c r="R4124" t="str">
        <f>HYPERLINK("https://cfpub.epa.gov/ecotox/explore.cfm?ncbi=59916","Explore in ECOTOX")</f>
        <v>Explore in ECOTOX</v>
      </c>
    </row>
    <row r="4125" spans="1:18" x14ac:dyDescent="0.45">
      <c r="A4125" t="s">
        <v>1265</v>
      </c>
      <c r="B4125">
        <v>8</v>
      </c>
      <c r="C4125" t="str">
        <f>HYPERLINK("http://www.ncbi.nlm.nih.gov/protein/XP_034126404.1","XP_034126404.1")</f>
        <v>XP_034126404.1</v>
      </c>
      <c r="D4125">
        <v>40509</v>
      </c>
      <c r="E4125" t="str">
        <f>HYPERLINK("http://www.ncbi.nlm.nih.gov/Taxonomy/Browser/wwwtax.cgi?mode=Info&amp;id=7266&amp;lvl=3&amp;lin=f&amp;keep=1&amp;srchmode=1&amp;unlock","7266")</f>
        <v>7266</v>
      </c>
      <c r="F4125" t="s">
        <v>760</v>
      </c>
      <c r="G4125" t="str">
        <f>HYPERLINK("http://www.ncbi.nlm.nih.gov/Taxonomy/Browser/wwwtax.cgi?mode=Info&amp;id=7266&amp;lvl=3&amp;lin=f&amp;keep=1&amp;srchmode=1&amp;unlock","Drosophila guanche")</f>
        <v>Drosophila guanche</v>
      </c>
      <c r="H4125" t="s">
        <v>953</v>
      </c>
      <c r="I4125" t="str">
        <f>HYPERLINK("http://www.ncbi.nlm.nih.gov/protein/XP_034126404.1","ryanodine receptor isoform X3")</f>
        <v>ryanodine receptor isoform X3</v>
      </c>
      <c r="J4125">
        <v>2991.45</v>
      </c>
      <c r="K4125" t="s">
        <v>22</v>
      </c>
      <c r="L4125">
        <v>76</v>
      </c>
      <c r="M4125">
        <v>12.58</v>
      </c>
      <c r="N4125">
        <v>29.44</v>
      </c>
      <c r="O4125" t="s">
        <v>19</v>
      </c>
      <c r="P4125" t="s">
        <v>1320</v>
      </c>
      <c r="Q4125" t="s">
        <v>19</v>
      </c>
      <c r="R4125" t="str">
        <f>HYPERLINK("https://cfpub.epa.gov/ecotox/explore.cfm?ncbi=7266","Explore in ECOTOX")</f>
        <v>Explore in ECOTOX</v>
      </c>
    </row>
    <row r="4126" spans="1:18" x14ac:dyDescent="0.45">
      <c r="A4126" t="s">
        <v>1265</v>
      </c>
      <c r="B4126">
        <v>8</v>
      </c>
      <c r="C4126" t="str">
        <f>HYPERLINK("http://www.ncbi.nlm.nih.gov/protein/KAH8384857.1","KAH8384857.1")</f>
        <v>KAH8384857.1</v>
      </c>
      <c r="D4126">
        <v>11872</v>
      </c>
      <c r="E4126" t="str">
        <f>HYPERLINK("http://www.ncbi.nlm.nih.gov/Taxonomy/Browser/wwwtax.cgi?mode=Info&amp;id=30044&amp;lvl=3&amp;lin=f&amp;keep=1&amp;srchmode=1&amp;unlock","30044")</f>
        <v>30044</v>
      </c>
      <c r="F4126" t="s">
        <v>760</v>
      </c>
      <c r="G4126" t="str">
        <f>HYPERLINK("http://www.ncbi.nlm.nih.gov/Taxonomy/Browser/wwwtax.cgi?mode=Info&amp;id=30044&amp;lvl=3&amp;lin=f&amp;keep=1&amp;srchmode=1&amp;unlock","Drosophila rubida")</f>
        <v>Drosophila rubida</v>
      </c>
      <c r="H4126" t="s">
        <v>953</v>
      </c>
      <c r="I4126" t="str">
        <f>HYPERLINK("http://www.ncbi.nlm.nih.gov/protein/KAH8384857.1","hypothetical protein KR093_010363")</f>
        <v>hypothetical protein KR093_010363</v>
      </c>
      <c r="J4126">
        <v>2990.29</v>
      </c>
      <c r="K4126" t="s">
        <v>22</v>
      </c>
      <c r="L4126">
        <v>76</v>
      </c>
      <c r="M4126">
        <v>12.58</v>
      </c>
      <c r="N4126">
        <v>29.43</v>
      </c>
      <c r="O4126" t="s">
        <v>19</v>
      </c>
      <c r="P4126" t="s">
        <v>1320</v>
      </c>
      <c r="Q4126" t="s">
        <v>19</v>
      </c>
      <c r="R4126" t="str">
        <f>HYPERLINK("https://cfpub.epa.gov/ecotox/explore.cfm?ncbi=30044","Explore in ECOTOX")</f>
        <v>Explore in ECOTOX</v>
      </c>
    </row>
    <row r="4127" spans="1:18" x14ac:dyDescent="0.45">
      <c r="A4127" t="s">
        <v>1265</v>
      </c>
      <c r="B4127">
        <v>8</v>
      </c>
      <c r="C4127" t="str">
        <f>HYPERLINK("http://www.ncbi.nlm.nih.gov/protein/XP_023294396.2","XP_023294396.2")</f>
        <v>XP_023294396.2</v>
      </c>
      <c r="D4127">
        <v>53449</v>
      </c>
      <c r="E4127" t="str">
        <f>HYPERLINK("http://www.ncbi.nlm.nih.gov/Taxonomy/Browser/wwwtax.cgi?mode=Info&amp;id=7375&amp;lvl=3&amp;lin=f&amp;keep=1&amp;srchmode=1&amp;unlock","7375")</f>
        <v>7375</v>
      </c>
      <c r="F4127" t="s">
        <v>760</v>
      </c>
      <c r="G4127" t="str">
        <f>HYPERLINK("http://www.ncbi.nlm.nih.gov/Taxonomy/Browser/wwwtax.cgi?mode=Info&amp;id=7375&amp;lvl=3&amp;lin=f&amp;keep=1&amp;srchmode=1&amp;unlock","Lucilia cuprina")</f>
        <v>Lucilia cuprina</v>
      </c>
      <c r="H4127" t="s">
        <v>973</v>
      </c>
      <c r="I4127" t="str">
        <f>HYPERLINK("http://www.ncbi.nlm.nih.gov/protein/XP_023294396.2","ryanodine receptor isoform X15")</f>
        <v>ryanodine receptor isoform X15</v>
      </c>
      <c r="J4127">
        <v>2989.9</v>
      </c>
      <c r="K4127" t="s">
        <v>22</v>
      </c>
      <c r="L4127">
        <v>76</v>
      </c>
      <c r="M4127">
        <v>12.58</v>
      </c>
      <c r="N4127">
        <v>29.43</v>
      </c>
      <c r="O4127" t="s">
        <v>19</v>
      </c>
      <c r="P4127" t="s">
        <v>1320</v>
      </c>
      <c r="Q4127" t="s">
        <v>19</v>
      </c>
      <c r="R4127" t="str">
        <f>HYPERLINK("https://cfpub.epa.gov/ecotox/explore.cfm?ncbi=7375","Explore in ECOTOX")</f>
        <v>Explore in ECOTOX</v>
      </c>
    </row>
    <row r="4128" spans="1:18" x14ac:dyDescent="0.45">
      <c r="A4128" t="s">
        <v>1265</v>
      </c>
      <c r="B4128">
        <v>8</v>
      </c>
      <c r="C4128" t="str">
        <f>HYPERLINK("http://www.ncbi.nlm.nih.gov/protein/XP_032596732.1","XP_032596732.1")</f>
        <v>XP_032596732.1</v>
      </c>
      <c r="D4128">
        <v>34468</v>
      </c>
      <c r="E4128" t="str">
        <f>HYPERLINK("http://www.ncbi.nlm.nih.gov/Taxonomy/Browser/wwwtax.cgi?mode=Info&amp;id=7222&amp;lvl=3&amp;lin=f&amp;keep=1&amp;srchmode=1&amp;unlock","7222")</f>
        <v>7222</v>
      </c>
      <c r="F4128" t="s">
        <v>760</v>
      </c>
      <c r="G4128" t="str">
        <f>HYPERLINK("http://www.ncbi.nlm.nih.gov/Taxonomy/Browser/wwwtax.cgi?mode=Info&amp;id=7222&amp;lvl=3&amp;lin=f&amp;keep=1&amp;srchmode=1&amp;unlock","Drosophila grimshawi")</f>
        <v>Drosophila grimshawi</v>
      </c>
      <c r="H4128" t="s">
        <v>953</v>
      </c>
      <c r="I4128" t="str">
        <f>HYPERLINK("http://www.ncbi.nlm.nih.gov/protein/XP_032596732.1","ryanodine receptor isoform X9")</f>
        <v>ryanodine receptor isoform X9</v>
      </c>
      <c r="J4128">
        <v>2989.52</v>
      </c>
      <c r="K4128" t="s">
        <v>22</v>
      </c>
      <c r="L4128">
        <v>76</v>
      </c>
      <c r="M4128">
        <v>12.58</v>
      </c>
      <c r="N4128">
        <v>29.42</v>
      </c>
      <c r="O4128" t="s">
        <v>19</v>
      </c>
      <c r="P4128" t="s">
        <v>1320</v>
      </c>
      <c r="Q4128" t="s">
        <v>19</v>
      </c>
      <c r="R4128" t="str">
        <f>HYPERLINK("https://cfpub.epa.gov/ecotox/explore.cfm?ncbi=7222","Explore in ECOTOX")</f>
        <v>Explore in ECOTOX</v>
      </c>
    </row>
    <row r="4129" spans="1:18" x14ac:dyDescent="0.45">
      <c r="A4129" t="s">
        <v>1265</v>
      </c>
      <c r="B4129">
        <v>8</v>
      </c>
      <c r="C4129" t="str">
        <f>HYPERLINK("http://www.ncbi.nlm.nih.gov/protein/XP_017148740.1","XP_017148740.1")</f>
        <v>XP_017148740.1</v>
      </c>
      <c r="D4129">
        <v>33751</v>
      </c>
      <c r="E4129" t="str">
        <f>HYPERLINK("http://www.ncbi.nlm.nih.gov/Taxonomy/Browser/wwwtax.cgi?mode=Info&amp;id=7229&amp;lvl=3&amp;lin=f&amp;keep=1&amp;srchmode=1&amp;unlock","7229")</f>
        <v>7229</v>
      </c>
      <c r="F4129" t="s">
        <v>760</v>
      </c>
      <c r="G4129" t="str">
        <f>HYPERLINK("http://www.ncbi.nlm.nih.gov/Taxonomy/Browser/wwwtax.cgi?mode=Info&amp;id=7229&amp;lvl=3&amp;lin=f&amp;keep=1&amp;srchmode=1&amp;unlock","Drosophila miranda")</f>
        <v>Drosophila miranda</v>
      </c>
      <c r="H4129" t="s">
        <v>953</v>
      </c>
      <c r="I4129" t="str">
        <f>HYPERLINK("http://www.ncbi.nlm.nih.gov/protein/XP_017148740.1","ryanodine receptor isoform X6")</f>
        <v>ryanodine receptor isoform X6</v>
      </c>
      <c r="J4129">
        <v>2989.13</v>
      </c>
      <c r="K4129" t="s">
        <v>22</v>
      </c>
      <c r="L4129">
        <v>76</v>
      </c>
      <c r="M4129">
        <v>12.58</v>
      </c>
      <c r="N4129">
        <v>29.42</v>
      </c>
      <c r="O4129" t="s">
        <v>19</v>
      </c>
      <c r="P4129" t="s">
        <v>1320</v>
      </c>
      <c r="Q4129" t="s">
        <v>19</v>
      </c>
      <c r="R4129" t="str">
        <f>HYPERLINK("https://cfpub.epa.gov/ecotox/explore.cfm?ncbi=7229","Explore in ECOTOX")</f>
        <v>Explore in ECOTOX</v>
      </c>
    </row>
    <row r="4130" spans="1:18" x14ac:dyDescent="0.45">
      <c r="A4130" t="s">
        <v>1265</v>
      </c>
      <c r="B4130">
        <v>8</v>
      </c>
      <c r="C4130" t="str">
        <f>HYPERLINK("http://www.ncbi.nlm.nih.gov/protein/XP_037033206.1","XP_037033206.1")</f>
        <v>XP_037033206.1</v>
      </c>
      <c r="D4130">
        <v>28500</v>
      </c>
      <c r="E4130" t="str">
        <f>HYPERLINK("http://www.ncbi.nlm.nih.gov/Taxonomy/Browser/wwwtax.cgi?mode=Info&amp;id=38358&amp;lvl=3&amp;lin=f&amp;keep=1&amp;srchmode=1&amp;unlock","38358")</f>
        <v>38358</v>
      </c>
      <c r="F4130" t="s">
        <v>760</v>
      </c>
      <c r="G4130" t="str">
        <f>HYPERLINK("http://www.ncbi.nlm.nih.gov/Taxonomy/Browser/wwwtax.cgi?mode=Info&amp;id=38358&amp;lvl=3&amp;lin=f&amp;keep=1&amp;srchmode=1&amp;unlock","Bradysia coprophila")</f>
        <v>Bradysia coprophila</v>
      </c>
      <c r="H4130" t="s">
        <v>1096</v>
      </c>
      <c r="I4130" t="str">
        <f>HYPERLINK("http://www.ncbi.nlm.nih.gov/protein/XP_037033206.1","ryanodine receptor isoform X4")</f>
        <v>ryanodine receptor isoform X4</v>
      </c>
      <c r="J4130">
        <v>2989.13</v>
      </c>
      <c r="K4130" t="s">
        <v>22</v>
      </c>
      <c r="L4130">
        <v>76</v>
      </c>
      <c r="M4130">
        <v>12.58</v>
      </c>
      <c r="N4130">
        <v>29.42</v>
      </c>
      <c r="O4130" t="s">
        <v>19</v>
      </c>
      <c r="P4130" t="s">
        <v>1320</v>
      </c>
      <c r="Q4130" t="s">
        <v>19</v>
      </c>
      <c r="R4130" t="str">
        <f>HYPERLINK("https://cfpub.epa.gov/ecotox/explore.cfm?ncbi=38358","Explore in ECOTOX")</f>
        <v>Explore in ECOTOX</v>
      </c>
    </row>
    <row r="4131" spans="1:18" x14ac:dyDescent="0.45">
      <c r="A4131" t="s">
        <v>1265</v>
      </c>
      <c r="B4131">
        <v>8</v>
      </c>
      <c r="C4131" t="str">
        <f>HYPERLINK("http://www.ncbi.nlm.nih.gov/protein/KAH8321641.1","KAH8321641.1")</f>
        <v>KAH8321641.1</v>
      </c>
      <c r="D4131">
        <v>12716</v>
      </c>
      <c r="E4131" t="str">
        <f>HYPERLINK("http://www.ncbi.nlm.nih.gov/Taxonomy/Browser/wwwtax.cgi?mode=Info&amp;id=65964&amp;lvl=3&amp;lin=f&amp;keep=1&amp;srchmode=1&amp;unlock","65964")</f>
        <v>65964</v>
      </c>
      <c r="F4131" t="s">
        <v>760</v>
      </c>
      <c r="G4131" t="str">
        <f>HYPERLINK("http://www.ncbi.nlm.nih.gov/Taxonomy/Browser/wwwtax.cgi?mode=Info&amp;id=65964&amp;lvl=3&amp;lin=f&amp;keep=1&amp;srchmode=1&amp;unlock","Drosophila pseudoananassae")</f>
        <v>Drosophila pseudoananassae</v>
      </c>
      <c r="H4131" t="s">
        <v>953</v>
      </c>
      <c r="I4131" t="str">
        <f>HYPERLINK("http://www.ncbi.nlm.nih.gov/protein/KAH8321641.1","hypothetical protein KR074_011004")</f>
        <v>hypothetical protein KR074_011004</v>
      </c>
      <c r="J4131">
        <v>2989.13</v>
      </c>
      <c r="K4131" t="s">
        <v>22</v>
      </c>
      <c r="L4131">
        <v>76</v>
      </c>
      <c r="M4131">
        <v>12.58</v>
      </c>
      <c r="N4131">
        <v>29.42</v>
      </c>
      <c r="O4131" t="s">
        <v>19</v>
      </c>
      <c r="P4131" t="s">
        <v>1320</v>
      </c>
      <c r="Q4131" t="s">
        <v>19</v>
      </c>
      <c r="R4131" t="str">
        <f>HYPERLINK("https://cfpub.epa.gov/ecotox/explore.cfm?ncbi=65964","Explore in ECOTOX")</f>
        <v>Explore in ECOTOX</v>
      </c>
    </row>
    <row r="4132" spans="1:18" x14ac:dyDescent="0.45">
      <c r="A4132" t="s">
        <v>1265</v>
      </c>
      <c r="B4132">
        <v>8</v>
      </c>
      <c r="C4132" t="str">
        <f>HYPERLINK("http://www.ncbi.nlm.nih.gov/protein/XP_060660502.1","XP_060660502.1")</f>
        <v>XP_060660502.1</v>
      </c>
      <c r="D4132">
        <v>22989</v>
      </c>
      <c r="E4132" t="str">
        <f>HYPERLINK("http://www.ncbi.nlm.nih.gov/Taxonomy/Browser/wwwtax.cgi?mode=Info&amp;id=42062&amp;lvl=3&amp;lin=f&amp;keep=1&amp;srchmode=1&amp;unlock","42062")</f>
        <v>42062</v>
      </c>
      <c r="F4132" t="s">
        <v>760</v>
      </c>
      <c r="G4132" t="str">
        <f>HYPERLINK("http://www.ncbi.nlm.nih.gov/Taxonomy/Browser/wwwtax.cgi?mode=Info&amp;id=42062&amp;lvl=3&amp;lin=f&amp;keep=1&amp;srchmode=1&amp;unlock","Drosophila nasuta")</f>
        <v>Drosophila nasuta</v>
      </c>
      <c r="H4132" t="s">
        <v>953</v>
      </c>
      <c r="I4132" t="str">
        <f>HYPERLINK("http://www.ncbi.nlm.nih.gov/protein/XP_060660502.1","LOW QUALITY PROTEIN: ryanodine receptor")</f>
        <v>LOW QUALITY PROTEIN: ryanodine receptor</v>
      </c>
      <c r="J4132">
        <v>2988.36</v>
      </c>
      <c r="K4132" t="s">
        <v>22</v>
      </c>
      <c r="L4132">
        <v>76</v>
      </c>
      <c r="M4132">
        <v>12.58</v>
      </c>
      <c r="N4132">
        <v>29.41</v>
      </c>
      <c r="O4132" t="s">
        <v>19</v>
      </c>
      <c r="P4132" t="s">
        <v>1320</v>
      </c>
      <c r="Q4132" t="s">
        <v>19</v>
      </c>
      <c r="R4132" t="str">
        <f>HYPERLINK("https://cfpub.epa.gov/ecotox/explore.cfm?ncbi=42062","Explore in ECOTOX")</f>
        <v>Explore in ECOTOX</v>
      </c>
    </row>
    <row r="4133" spans="1:18" x14ac:dyDescent="0.45">
      <c r="A4133" t="s">
        <v>1265</v>
      </c>
      <c r="B4133">
        <v>8</v>
      </c>
      <c r="C4133" t="str">
        <f>HYPERLINK("http://www.ncbi.nlm.nih.gov/protein/XP_034105537.1","XP_034105537.1")</f>
        <v>XP_034105537.1</v>
      </c>
      <c r="D4133">
        <v>25048</v>
      </c>
      <c r="E4133" t="str">
        <f>HYPERLINK("http://www.ncbi.nlm.nih.gov/Taxonomy/Browser/wwwtax.cgi?mode=Info&amp;id=7291&amp;lvl=3&amp;lin=f&amp;keep=1&amp;srchmode=1&amp;unlock","7291")</f>
        <v>7291</v>
      </c>
      <c r="F4133" t="s">
        <v>760</v>
      </c>
      <c r="G4133" t="str">
        <f>HYPERLINK("http://www.ncbi.nlm.nih.gov/Taxonomy/Browser/wwwtax.cgi?mode=Info&amp;id=7291&amp;lvl=3&amp;lin=f&amp;keep=1&amp;srchmode=1&amp;unlock","Drosophila albomicans")</f>
        <v>Drosophila albomicans</v>
      </c>
      <c r="H4133" t="s">
        <v>953</v>
      </c>
      <c r="I4133" t="str">
        <f>HYPERLINK("http://www.ncbi.nlm.nih.gov/protein/XP_034105537.1","ryanodine receptor isoform X12")</f>
        <v>ryanodine receptor isoform X12</v>
      </c>
      <c r="J4133">
        <v>2988.36</v>
      </c>
      <c r="K4133" t="s">
        <v>22</v>
      </c>
      <c r="L4133">
        <v>76</v>
      </c>
      <c r="M4133">
        <v>12.58</v>
      </c>
      <c r="N4133">
        <v>29.41</v>
      </c>
      <c r="O4133" t="s">
        <v>19</v>
      </c>
      <c r="P4133" t="s">
        <v>1320</v>
      </c>
      <c r="Q4133" t="s">
        <v>19</v>
      </c>
      <c r="R4133" t="str">
        <f>HYPERLINK("https://cfpub.epa.gov/ecotox/explore.cfm?ncbi=7291","Explore in ECOTOX")</f>
        <v>Explore in ECOTOX</v>
      </c>
    </row>
    <row r="4134" spans="1:18" x14ac:dyDescent="0.45">
      <c r="A4134" t="s">
        <v>1265</v>
      </c>
      <c r="B4134">
        <v>8</v>
      </c>
      <c r="C4134" t="str">
        <f>HYPERLINK("http://www.ncbi.nlm.nih.gov/protein/KAH8405535.1","KAH8405535.1")</f>
        <v>KAH8405535.1</v>
      </c>
      <c r="D4134">
        <v>12310</v>
      </c>
      <c r="E4134" t="str">
        <f>HYPERLINK("http://www.ncbi.nlm.nih.gov/Taxonomy/Browser/wwwtax.cgi?mode=Info&amp;id=88886&amp;lvl=3&amp;lin=f&amp;keep=1&amp;srchmode=1&amp;unlock","88886")</f>
        <v>88886</v>
      </c>
      <c r="F4134" t="s">
        <v>760</v>
      </c>
      <c r="G4134" t="str">
        <f>HYPERLINK("http://www.ncbi.nlm.nih.gov/Taxonomy/Browser/wwwtax.cgi?mode=Info&amp;id=88886&amp;lvl=3&amp;lin=f&amp;keep=1&amp;srchmode=1&amp;unlock","Drosophila sulfurigaster")</f>
        <v>Drosophila sulfurigaster</v>
      </c>
      <c r="H4134" t="s">
        <v>953</v>
      </c>
      <c r="I4134" t="str">
        <f>HYPERLINK("http://www.ncbi.nlm.nih.gov/protein/KAH8405535.1","hypothetical protein KR215_002056")</f>
        <v>hypothetical protein KR215_002056</v>
      </c>
      <c r="J4134">
        <v>2988.36</v>
      </c>
      <c r="K4134" t="s">
        <v>22</v>
      </c>
      <c r="L4134">
        <v>76</v>
      </c>
      <c r="M4134">
        <v>12.58</v>
      </c>
      <c r="N4134">
        <v>29.41</v>
      </c>
      <c r="O4134" t="s">
        <v>19</v>
      </c>
      <c r="P4134" t="s">
        <v>1320</v>
      </c>
      <c r="Q4134" t="s">
        <v>19</v>
      </c>
      <c r="R4134" t="str">
        <f>HYPERLINK("https://cfpub.epa.gov/ecotox/explore.cfm?ncbi=88886","Explore in ECOTOX")</f>
        <v>Explore in ECOTOX</v>
      </c>
    </row>
    <row r="4135" spans="1:18" x14ac:dyDescent="0.45">
      <c r="A4135" t="s">
        <v>1265</v>
      </c>
      <c r="B4135">
        <v>8</v>
      </c>
      <c r="C4135" t="str">
        <f>HYPERLINK("http://www.ncbi.nlm.nih.gov/protein/XP_028900849.2","XP_028900849.2")</f>
        <v>XP_028900849.2</v>
      </c>
      <c r="D4135">
        <v>27944</v>
      </c>
      <c r="E4135" t="str">
        <f>HYPERLINK("http://www.ncbi.nlm.nih.gov/Taxonomy/Browser/wwwtax.cgi?mode=Info&amp;id=28588&amp;lvl=3&amp;lin=f&amp;keep=1&amp;srchmode=1&amp;unlock","28588")</f>
        <v>28588</v>
      </c>
      <c r="F4135" t="s">
        <v>760</v>
      </c>
      <c r="G4135" t="str">
        <f>HYPERLINK("http://www.ncbi.nlm.nih.gov/Taxonomy/Browser/wwwtax.cgi?mode=Info&amp;id=28588&amp;lvl=3&amp;lin=f&amp;keep=1&amp;srchmode=1&amp;unlock","Zeugodacus cucurbitae")</f>
        <v>Zeugodacus cucurbitae</v>
      </c>
      <c r="H4135" t="s">
        <v>963</v>
      </c>
      <c r="I4135" t="str">
        <f>HYPERLINK("http://www.ncbi.nlm.nih.gov/protein/XP_028900849.2","ryanodine receptor isoform X16")</f>
        <v>ryanodine receptor isoform X16</v>
      </c>
      <c r="J4135">
        <v>2988.36</v>
      </c>
      <c r="K4135" t="s">
        <v>22</v>
      </c>
      <c r="L4135">
        <v>76</v>
      </c>
      <c r="M4135">
        <v>12.58</v>
      </c>
      <c r="N4135">
        <v>29.41</v>
      </c>
      <c r="O4135" t="s">
        <v>19</v>
      </c>
      <c r="P4135" t="s">
        <v>1320</v>
      </c>
      <c r="Q4135" t="s">
        <v>19</v>
      </c>
      <c r="R4135" t="str">
        <f>HYPERLINK("https://cfpub.epa.gov/ecotox/explore.cfm?ncbi=28588","Explore in ECOTOX")</f>
        <v>Explore in ECOTOX</v>
      </c>
    </row>
    <row r="4136" spans="1:18" x14ac:dyDescent="0.45">
      <c r="A4136" t="s">
        <v>1265</v>
      </c>
      <c r="B4136">
        <v>8</v>
      </c>
      <c r="C4136" t="str">
        <f>HYPERLINK("http://www.ncbi.nlm.nih.gov/protein/XP_026820068.1","XP_026820068.1")</f>
        <v>XP_026820068.1</v>
      </c>
      <c r="D4136">
        <v>19618</v>
      </c>
      <c r="E4136" t="str">
        <f>HYPERLINK("http://www.ncbi.nlm.nih.gov/Taxonomy/Browser/wwwtax.cgi?mode=Info&amp;id=43146&amp;lvl=3&amp;lin=f&amp;keep=1&amp;srchmode=1&amp;unlock","43146")</f>
        <v>43146</v>
      </c>
      <c r="F4136" t="s">
        <v>760</v>
      </c>
      <c r="G4136" t="str">
        <f>HYPERLINK("http://www.ncbi.nlm.nih.gov/Taxonomy/Browser/wwwtax.cgi?mode=Info&amp;id=43146&amp;lvl=3&amp;lin=f&amp;keep=1&amp;srchmode=1&amp;unlock","Rhopalosiphum maidis")</f>
        <v>Rhopalosiphum maidis</v>
      </c>
      <c r="H4136" t="s">
        <v>975</v>
      </c>
      <c r="I4136" t="str">
        <f>HYPERLINK("http://www.ncbi.nlm.nih.gov/protein/XP_026820068.1","LOW QUALITY PROTEIN: ryanodine receptor")</f>
        <v>LOW QUALITY PROTEIN: ryanodine receptor</v>
      </c>
      <c r="J4136">
        <v>2988.36</v>
      </c>
      <c r="K4136" t="s">
        <v>22</v>
      </c>
      <c r="L4136">
        <v>76</v>
      </c>
      <c r="M4136">
        <v>12.58</v>
      </c>
      <c r="N4136">
        <v>29.41</v>
      </c>
      <c r="O4136" t="s">
        <v>19</v>
      </c>
      <c r="P4136" t="s">
        <v>1320</v>
      </c>
      <c r="Q4136" t="s">
        <v>19</v>
      </c>
      <c r="R4136" t="str">
        <f>HYPERLINK("https://cfpub.epa.gov/ecotox/explore.cfm?ncbi=43146","Explore in ECOTOX")</f>
        <v>Explore in ECOTOX</v>
      </c>
    </row>
    <row r="4137" spans="1:18" x14ac:dyDescent="0.45">
      <c r="A4137" t="s">
        <v>1265</v>
      </c>
      <c r="B4137">
        <v>8</v>
      </c>
      <c r="C4137" t="str">
        <f>HYPERLINK("http://www.ncbi.nlm.nih.gov/protein/XP_055373124.1","XP_055373124.1")</f>
        <v>XP_055373124.1</v>
      </c>
      <c r="D4137">
        <v>19938</v>
      </c>
      <c r="E4137" t="str">
        <f>HYPERLINK("http://www.ncbi.nlm.nih.gov/Taxonomy/Browser/wwwtax.cgi?mode=Info&amp;id=2530218&amp;lvl=3&amp;lin=f&amp;keep=1&amp;srchmode=1&amp;unlock","2530218")</f>
        <v>2530218</v>
      </c>
      <c r="F4137" t="s">
        <v>760</v>
      </c>
      <c r="G4137" t="str">
        <f>HYPERLINK("http://www.ncbi.nlm.nih.gov/Taxonomy/Browser/wwwtax.cgi?mode=Info&amp;id=2530218&amp;lvl=3&amp;lin=f&amp;keep=1&amp;srchmode=1&amp;unlock","Condylostylus longicornis")</f>
        <v>Condylostylus longicornis</v>
      </c>
      <c r="H4137" t="s">
        <v>777</v>
      </c>
      <c r="I4137" t="str">
        <f>HYPERLINK("http://www.ncbi.nlm.nih.gov/protein/XP_055373124.1","ryanodine receptor isoform X21")</f>
        <v>ryanodine receptor isoform X21</v>
      </c>
      <c r="J4137">
        <v>2987.98</v>
      </c>
      <c r="K4137" t="s">
        <v>22</v>
      </c>
      <c r="L4137">
        <v>76</v>
      </c>
      <c r="M4137">
        <v>12.58</v>
      </c>
      <c r="N4137">
        <v>29.41</v>
      </c>
      <c r="O4137" t="s">
        <v>19</v>
      </c>
      <c r="P4137" t="s">
        <v>1320</v>
      </c>
      <c r="Q4137" t="s">
        <v>19</v>
      </c>
      <c r="R4137" t="str">
        <f>HYPERLINK("https://cfpub.epa.gov/ecotox/explore.cfm?ncbi=2530218","Explore in ECOTOX")</f>
        <v>Explore in ECOTOX</v>
      </c>
    </row>
    <row r="4138" spans="1:18" x14ac:dyDescent="0.45">
      <c r="A4138" t="s">
        <v>1265</v>
      </c>
      <c r="B4138">
        <v>8</v>
      </c>
      <c r="C4138" t="str">
        <f>HYPERLINK("http://www.ncbi.nlm.nih.gov/protein/KAH8316157.1","KAH8316157.1")</f>
        <v>KAH8316157.1</v>
      </c>
      <c r="D4138">
        <v>13796</v>
      </c>
      <c r="E4138" t="str">
        <f>HYPERLINK("http://www.ncbi.nlm.nih.gov/Taxonomy/Browser/wwwtax.cgi?mode=Info&amp;id=1867034&amp;lvl=3&amp;lin=f&amp;keep=1&amp;srchmode=1&amp;unlock","1867034")</f>
        <v>1867034</v>
      </c>
      <c r="F4138" t="s">
        <v>760</v>
      </c>
      <c r="G4138" t="str">
        <f>HYPERLINK("http://www.ncbi.nlm.nih.gov/Taxonomy/Browser/wwwtax.cgi?mode=Info&amp;id=1867034&amp;lvl=3&amp;lin=f&amp;keep=1&amp;srchmode=1&amp;unlock","Drosophila pandora")</f>
        <v>Drosophila pandora</v>
      </c>
      <c r="H4138" t="s">
        <v>953</v>
      </c>
      <c r="I4138" t="str">
        <f>HYPERLINK("http://www.ncbi.nlm.nih.gov/protein/KAH8316157.1","hypothetical protein KR067_000954")</f>
        <v>hypothetical protein KR067_000954</v>
      </c>
      <c r="J4138">
        <v>2987.98</v>
      </c>
      <c r="K4138" t="s">
        <v>22</v>
      </c>
      <c r="L4138">
        <v>76</v>
      </c>
      <c r="M4138">
        <v>12.58</v>
      </c>
      <c r="N4138">
        <v>29.41</v>
      </c>
      <c r="O4138" t="s">
        <v>19</v>
      </c>
      <c r="P4138" t="s">
        <v>1320</v>
      </c>
      <c r="Q4138" t="s">
        <v>19</v>
      </c>
      <c r="R4138" t="str">
        <f>HYPERLINK("https://cfpub.epa.gov/ecotox/explore.cfm?ncbi=1867034","Explore in ECOTOX")</f>
        <v>Explore in ECOTOX</v>
      </c>
    </row>
    <row r="4139" spans="1:18" x14ac:dyDescent="0.45">
      <c r="A4139" t="s">
        <v>1265</v>
      </c>
      <c r="B4139">
        <v>8</v>
      </c>
      <c r="C4139" t="str">
        <f>HYPERLINK("http://www.ncbi.nlm.nih.gov/protein/XP_058809913.1","XP_058809913.1")</f>
        <v>XP_058809913.1</v>
      </c>
      <c r="D4139">
        <v>22374</v>
      </c>
      <c r="E4139" t="str">
        <f>HYPERLINK("http://www.ncbi.nlm.nih.gov/Taxonomy/Browser/wwwtax.cgi?mode=Info&amp;id=108790&amp;lvl=3&amp;lin=f&amp;keep=1&amp;srchmode=1&amp;unlock","108790")</f>
        <v>108790</v>
      </c>
      <c r="F4139" t="s">
        <v>760</v>
      </c>
      <c r="G4139" t="str">
        <f>HYPERLINK("http://www.ncbi.nlm.nih.gov/Taxonomy/Browser/wwwtax.cgi?mode=Info&amp;id=108790&amp;lvl=3&amp;lin=f&amp;keep=1&amp;srchmode=1&amp;unlock","Phymastichus coffea")</f>
        <v>Phymastichus coffea</v>
      </c>
      <c r="H4139" t="s">
        <v>769</v>
      </c>
      <c r="I4139" t="str">
        <f>HYPERLINK("http://www.ncbi.nlm.nih.gov/protein/XP_058809913.1","ryanodine receptor")</f>
        <v>ryanodine receptor</v>
      </c>
      <c r="J4139">
        <v>2987.59</v>
      </c>
      <c r="K4139" t="s">
        <v>22</v>
      </c>
      <c r="L4139">
        <v>76</v>
      </c>
      <c r="M4139">
        <v>12.58</v>
      </c>
      <c r="N4139">
        <v>29.4</v>
      </c>
      <c r="O4139" t="s">
        <v>19</v>
      </c>
      <c r="P4139" t="s">
        <v>1320</v>
      </c>
      <c r="Q4139" t="s">
        <v>19</v>
      </c>
      <c r="R4139" t="str">
        <f>HYPERLINK("https://cfpub.epa.gov/ecotox/explore.cfm?ncbi=108790","Explore in ECOTOX")</f>
        <v>Explore in ECOTOX</v>
      </c>
    </row>
    <row r="4140" spans="1:18" x14ac:dyDescent="0.45">
      <c r="A4140" t="s">
        <v>1265</v>
      </c>
      <c r="B4140">
        <v>8</v>
      </c>
      <c r="C4140" t="str">
        <f>HYPERLINK("http://www.ncbi.nlm.nih.gov/protein/KAG5319259.1","KAG5319259.1")</f>
        <v>KAG5319259.1</v>
      </c>
      <c r="D4140">
        <v>9299</v>
      </c>
      <c r="E4140" t="str">
        <f>HYPERLINK("http://www.ncbi.nlm.nih.gov/Taxonomy/Browser/wwwtax.cgi?mode=Info&amp;id=621737&amp;lvl=3&amp;lin=f&amp;keep=1&amp;srchmode=1&amp;unlock","621737")</f>
        <v>621737</v>
      </c>
      <c r="F4140" t="s">
        <v>760</v>
      </c>
      <c r="G4140" t="str">
        <f>HYPERLINK("http://www.ncbi.nlm.nih.gov/Taxonomy/Browser/wwwtax.cgi?mode=Info&amp;id=621737&amp;lvl=3&amp;lin=f&amp;keep=1&amp;srchmode=1&amp;unlock","Pseudoatta argentina")</f>
        <v>Pseudoatta argentina</v>
      </c>
      <c r="H4140" t="s">
        <v>769</v>
      </c>
      <c r="I4140" t="str">
        <f>HYPERLINK("http://www.ncbi.nlm.nih.gov/protein/KAG5319259.1","RYR protein, partial")</f>
        <v>RYR protein, partial</v>
      </c>
      <c r="J4140">
        <v>2987.59</v>
      </c>
      <c r="K4140" t="s">
        <v>22</v>
      </c>
      <c r="L4140">
        <v>76</v>
      </c>
      <c r="M4140">
        <v>12.58</v>
      </c>
      <c r="N4140">
        <v>29.4</v>
      </c>
      <c r="O4140" t="s">
        <v>19</v>
      </c>
      <c r="P4140" t="s">
        <v>1320</v>
      </c>
      <c r="Q4140" t="s">
        <v>19</v>
      </c>
      <c r="R4140" t="str">
        <f>HYPERLINK("https://cfpub.epa.gov/ecotox/explore.cfm?ncbi=621737","Explore in ECOTOX")</f>
        <v>Explore in ECOTOX</v>
      </c>
    </row>
    <row r="4141" spans="1:18" x14ac:dyDescent="0.45">
      <c r="A4141" t="s">
        <v>1265</v>
      </c>
      <c r="B4141">
        <v>8</v>
      </c>
      <c r="C4141" t="str">
        <f>HYPERLINK("http://www.ncbi.nlm.nih.gov/protein/KAF5296045.1","KAF5296045.1")</f>
        <v>KAF5296045.1</v>
      </c>
      <c r="D4141">
        <v>19500</v>
      </c>
      <c r="E4141" t="str">
        <f>HYPERLINK("http://www.ncbi.nlm.nih.gov/Taxonomy/Browser/wwwtax.cgi?mode=Info&amp;id=370605&amp;lvl=3&amp;lin=f&amp;keep=1&amp;srchmode=1&amp;unlock","370605")</f>
        <v>370605</v>
      </c>
      <c r="F4141" t="s">
        <v>760</v>
      </c>
      <c r="G4141" t="str">
        <f>HYPERLINK("http://www.ncbi.nlm.nih.gov/Taxonomy/Browser/wwwtax.cgi?mode=Info&amp;id=370605&amp;lvl=3&amp;lin=f&amp;keep=1&amp;srchmode=1&amp;unlock","Lamprigera yunnana")</f>
        <v>Lamprigera yunnana</v>
      </c>
      <c r="H4141" t="s">
        <v>980</v>
      </c>
      <c r="I4141" t="str">
        <f>HYPERLINK("http://www.ncbi.nlm.nih.gov/protein/KAF5296045.1","hypothetical protein FQA39_LY12667")</f>
        <v>hypothetical protein FQA39_LY12667</v>
      </c>
      <c r="J4141">
        <v>2987.59</v>
      </c>
      <c r="K4141" t="s">
        <v>22</v>
      </c>
      <c r="L4141">
        <v>76</v>
      </c>
      <c r="M4141">
        <v>12.58</v>
      </c>
      <c r="N4141">
        <v>29.4</v>
      </c>
      <c r="O4141" t="s">
        <v>19</v>
      </c>
      <c r="P4141" t="s">
        <v>1320</v>
      </c>
      <c r="Q4141" t="s">
        <v>19</v>
      </c>
      <c r="R4141" t="str">
        <f>HYPERLINK("https://cfpub.epa.gov/ecotox/explore.cfm?ncbi=370605","Explore in ECOTOX")</f>
        <v>Explore in ECOTOX</v>
      </c>
    </row>
    <row r="4142" spans="1:18" x14ac:dyDescent="0.45">
      <c r="A4142" t="s">
        <v>1265</v>
      </c>
      <c r="B4142">
        <v>8</v>
      </c>
      <c r="C4142" t="str">
        <f>HYPERLINK("http://www.ncbi.nlm.nih.gov/protein/KAH8300052.1","KAH8300052.1")</f>
        <v>KAH8300052.1</v>
      </c>
      <c r="D4142">
        <v>13674</v>
      </c>
      <c r="E4142" t="str">
        <f>HYPERLINK("http://www.ncbi.nlm.nih.gov/Taxonomy/Browser/wwwtax.cgi?mode=Info&amp;id=7250&amp;lvl=3&amp;lin=f&amp;keep=1&amp;srchmode=1&amp;unlock","7250")</f>
        <v>7250</v>
      </c>
      <c r="F4142" t="s">
        <v>760</v>
      </c>
      <c r="G4142" t="str">
        <f>HYPERLINK("http://www.ncbi.nlm.nih.gov/Taxonomy/Browser/wwwtax.cgi?mode=Info&amp;id=7250&amp;lvl=3&amp;lin=f&amp;keep=1&amp;srchmode=1&amp;unlock","Drosophila immigrans")</f>
        <v>Drosophila immigrans</v>
      </c>
      <c r="H4142" t="s">
        <v>953</v>
      </c>
      <c r="I4142" t="str">
        <f>HYPERLINK("http://www.ncbi.nlm.nih.gov/protein/KAH8300052.1","hypothetical protein KR044_008990")</f>
        <v>hypothetical protein KR044_008990</v>
      </c>
      <c r="J4142">
        <v>2987.59</v>
      </c>
      <c r="K4142" t="s">
        <v>22</v>
      </c>
      <c r="L4142">
        <v>76</v>
      </c>
      <c r="M4142">
        <v>12.58</v>
      </c>
      <c r="N4142">
        <v>29.4</v>
      </c>
      <c r="O4142" t="s">
        <v>19</v>
      </c>
      <c r="P4142" t="s">
        <v>1320</v>
      </c>
      <c r="Q4142" t="s">
        <v>19</v>
      </c>
      <c r="R4142" t="str">
        <f>HYPERLINK("https://cfpub.epa.gov/ecotox/explore.cfm?ncbi=7250","Explore in ECOTOX")</f>
        <v>Explore in ECOTOX</v>
      </c>
    </row>
    <row r="4143" spans="1:18" x14ac:dyDescent="0.45">
      <c r="A4143" t="s">
        <v>1265</v>
      </c>
      <c r="B4143">
        <v>8</v>
      </c>
      <c r="C4143" t="str">
        <f>HYPERLINK("http://www.ncbi.nlm.nih.gov/protein/XP_041448910.1","XP_041448910.1")</f>
        <v>XP_041448910.1</v>
      </c>
      <c r="D4143">
        <v>23440</v>
      </c>
      <c r="E4143" t="str">
        <f>HYPERLINK("http://www.ncbi.nlm.nih.gov/Taxonomy/Browser/wwwtax.cgi?mode=Info&amp;id=7282&amp;lvl=3&amp;lin=f&amp;keep=1&amp;srchmode=1&amp;unlock","7282")</f>
        <v>7282</v>
      </c>
      <c r="F4143" t="s">
        <v>760</v>
      </c>
      <c r="G4143" t="str">
        <f>HYPERLINK("http://www.ncbi.nlm.nih.gov/Taxonomy/Browser/wwwtax.cgi?mode=Info&amp;id=7282&amp;lvl=3&amp;lin=f&amp;keep=1&amp;srchmode=1&amp;unlock","Drosophila obscura")</f>
        <v>Drosophila obscura</v>
      </c>
      <c r="H4143" t="s">
        <v>953</v>
      </c>
      <c r="I4143" t="str">
        <f>HYPERLINK("http://www.ncbi.nlm.nih.gov/protein/XP_041448910.1","ryanodine receptor isoform X4")</f>
        <v>ryanodine receptor isoform X4</v>
      </c>
      <c r="J4143">
        <v>2987.59</v>
      </c>
      <c r="K4143" t="s">
        <v>22</v>
      </c>
      <c r="L4143">
        <v>76</v>
      </c>
      <c r="M4143">
        <v>12.58</v>
      </c>
      <c r="N4143">
        <v>29.4</v>
      </c>
      <c r="O4143" t="s">
        <v>19</v>
      </c>
      <c r="P4143" t="s">
        <v>1320</v>
      </c>
      <c r="Q4143" t="s">
        <v>19</v>
      </c>
      <c r="R4143" t="str">
        <f>HYPERLINK("https://cfpub.epa.gov/ecotox/explore.cfm?ncbi=7282","Explore in ECOTOX")</f>
        <v>Explore in ECOTOX</v>
      </c>
    </row>
    <row r="4144" spans="1:18" x14ac:dyDescent="0.45">
      <c r="A4144" t="s">
        <v>1265</v>
      </c>
      <c r="B4144">
        <v>8</v>
      </c>
      <c r="C4144" t="str">
        <f>HYPERLINK("http://www.ncbi.nlm.nih.gov/protein/XP_026840884.1","XP_026840884.1")</f>
        <v>XP_026840884.1</v>
      </c>
      <c r="D4144">
        <v>37446</v>
      </c>
      <c r="E4144" t="str">
        <f>HYPERLINK("http://www.ncbi.nlm.nih.gov/Taxonomy/Browser/wwwtax.cgi?mode=Info&amp;id=7234&amp;lvl=3&amp;lin=f&amp;keep=1&amp;srchmode=1&amp;unlock","7234")</f>
        <v>7234</v>
      </c>
      <c r="F4144" t="s">
        <v>760</v>
      </c>
      <c r="G4144" t="str">
        <f>HYPERLINK("http://www.ncbi.nlm.nih.gov/Taxonomy/Browser/wwwtax.cgi?mode=Info&amp;id=7234&amp;lvl=3&amp;lin=f&amp;keep=1&amp;srchmode=1&amp;unlock","Drosophila persimilis")</f>
        <v>Drosophila persimilis</v>
      </c>
      <c r="H4144" t="s">
        <v>953</v>
      </c>
      <c r="I4144" t="str">
        <f>HYPERLINK("http://www.ncbi.nlm.nih.gov/protein/XP_026840884.1","ryanodine receptor isoform X4")</f>
        <v>ryanodine receptor isoform X4</v>
      </c>
      <c r="J4144">
        <v>2987.21</v>
      </c>
      <c r="K4144" t="s">
        <v>22</v>
      </c>
      <c r="L4144">
        <v>76</v>
      </c>
      <c r="M4144">
        <v>12.58</v>
      </c>
      <c r="N4144">
        <v>29.4</v>
      </c>
      <c r="O4144" t="s">
        <v>19</v>
      </c>
      <c r="P4144" t="s">
        <v>1320</v>
      </c>
      <c r="Q4144" t="s">
        <v>19</v>
      </c>
      <c r="R4144" t="str">
        <f>HYPERLINK("https://cfpub.epa.gov/ecotox/explore.cfm?ncbi=7234","Explore in ECOTOX")</f>
        <v>Explore in ECOTOX</v>
      </c>
    </row>
    <row r="4145" spans="1:18" x14ac:dyDescent="0.45">
      <c r="A4145" t="s">
        <v>1265</v>
      </c>
      <c r="B4145">
        <v>8</v>
      </c>
      <c r="C4145" t="str">
        <f>HYPERLINK("http://www.ncbi.nlm.nih.gov/protein/XP_001361539.3","XP_001361539.3")</f>
        <v>XP_001361539.3</v>
      </c>
      <c r="D4145">
        <v>29507</v>
      </c>
      <c r="E4145" t="str">
        <f>HYPERLINK("http://www.ncbi.nlm.nih.gov/Taxonomy/Browser/wwwtax.cgi?mode=Info&amp;id=7237&amp;lvl=3&amp;lin=f&amp;keep=1&amp;srchmode=1&amp;unlock","7237")</f>
        <v>7237</v>
      </c>
      <c r="F4145" t="s">
        <v>760</v>
      </c>
      <c r="G4145" t="str">
        <f>HYPERLINK("http://www.ncbi.nlm.nih.gov/Taxonomy/Browser/wwwtax.cgi?mode=Info&amp;id=7237&amp;lvl=3&amp;lin=f&amp;keep=1&amp;srchmode=1&amp;unlock","Drosophila pseudoobscura")</f>
        <v>Drosophila pseudoobscura</v>
      </c>
      <c r="H4145" t="s">
        <v>953</v>
      </c>
      <c r="I4145" t="str">
        <f>HYPERLINK("http://www.ncbi.nlm.nih.gov/protein/XP_001361539.3","ryanodine receptor isoform X6")</f>
        <v>ryanodine receptor isoform X6</v>
      </c>
      <c r="J4145">
        <v>2987.21</v>
      </c>
      <c r="K4145" t="s">
        <v>22</v>
      </c>
      <c r="L4145">
        <v>76</v>
      </c>
      <c r="M4145">
        <v>12.58</v>
      </c>
      <c r="N4145">
        <v>29.4</v>
      </c>
      <c r="O4145" t="s">
        <v>19</v>
      </c>
      <c r="P4145" t="s">
        <v>1320</v>
      </c>
      <c r="Q4145" t="s">
        <v>19</v>
      </c>
      <c r="R4145" t="str">
        <f>HYPERLINK("https://cfpub.epa.gov/ecotox/explore.cfm?ncbi=7237","Explore in ECOTOX")</f>
        <v>Explore in ECOTOX</v>
      </c>
    </row>
    <row r="4146" spans="1:18" x14ac:dyDescent="0.45">
      <c r="A4146" t="s">
        <v>1265</v>
      </c>
      <c r="B4146">
        <v>8</v>
      </c>
      <c r="C4146" t="str">
        <f>HYPERLINK("http://www.ncbi.nlm.nih.gov/protein/KAH8415953.1","KAH8415953.1")</f>
        <v>KAH8415953.1</v>
      </c>
      <c r="D4146">
        <v>11882</v>
      </c>
      <c r="E4146" t="str">
        <f>HYPERLINK("http://www.ncbi.nlm.nih.gov/Taxonomy/Browser/wwwtax.cgi?mode=Info&amp;id=309927&amp;lvl=3&amp;lin=f&amp;keep=1&amp;srchmode=1&amp;unlock","309927")</f>
        <v>309927</v>
      </c>
      <c r="F4146" t="s">
        <v>760</v>
      </c>
      <c r="G4146" t="str">
        <f>HYPERLINK("http://www.ncbi.nlm.nih.gov/Taxonomy/Browser/wwwtax.cgi?mode=Info&amp;id=309927&amp;lvl=3&amp;lin=f&amp;keep=1&amp;srchmode=1&amp;unlock","Zaprionus bogoriensis")</f>
        <v>Zaprionus bogoriensis</v>
      </c>
      <c r="H4146" t="s">
        <v>984</v>
      </c>
      <c r="I4146" t="str">
        <f>HYPERLINK("http://www.ncbi.nlm.nih.gov/protein/KAH8415953.1","hypothetical protein KR222_004752")</f>
        <v>hypothetical protein KR222_004752</v>
      </c>
      <c r="J4146">
        <v>2986.82</v>
      </c>
      <c r="K4146" t="s">
        <v>22</v>
      </c>
      <c r="L4146">
        <v>76</v>
      </c>
      <c r="M4146">
        <v>12.58</v>
      </c>
      <c r="N4146">
        <v>29.4</v>
      </c>
      <c r="O4146" t="s">
        <v>19</v>
      </c>
      <c r="P4146" t="s">
        <v>1320</v>
      </c>
      <c r="Q4146" t="s">
        <v>19</v>
      </c>
      <c r="R4146" t="str">
        <f>HYPERLINK("https://cfpub.epa.gov/ecotox/explore.cfm?ncbi=309927","Explore in ECOTOX")</f>
        <v>Explore in ECOTOX</v>
      </c>
    </row>
    <row r="4147" spans="1:18" x14ac:dyDescent="0.45">
      <c r="A4147" t="s">
        <v>1265</v>
      </c>
      <c r="B4147">
        <v>8</v>
      </c>
      <c r="C4147" t="str">
        <f>HYPERLINK("http://www.ncbi.nlm.nih.gov/protein/XP_018801105.1","XP_018801105.1")</f>
        <v>XP_018801105.1</v>
      </c>
      <c r="D4147">
        <v>22792</v>
      </c>
      <c r="E4147" t="str">
        <f>HYPERLINK("http://www.ncbi.nlm.nih.gov/Taxonomy/Browser/wwwtax.cgi?mode=Info&amp;id=174628&amp;lvl=3&amp;lin=f&amp;keep=1&amp;srchmode=1&amp;unlock","174628")</f>
        <v>174628</v>
      </c>
      <c r="F4147" t="s">
        <v>760</v>
      </c>
      <c r="G4147" t="str">
        <f>HYPERLINK("http://www.ncbi.nlm.nih.gov/Taxonomy/Browser/wwwtax.cgi?mode=Info&amp;id=174628&amp;lvl=3&amp;lin=f&amp;keep=1&amp;srchmode=1&amp;unlock","Bactrocera latifrons")</f>
        <v>Bactrocera latifrons</v>
      </c>
      <c r="H4147" t="s">
        <v>953</v>
      </c>
      <c r="I4147" t="str">
        <f>HYPERLINK("http://www.ncbi.nlm.nih.gov/protein/XP_018801105.1","PREDICTED: ryanodine receptor isoform X10")</f>
        <v>PREDICTED: ryanodine receptor isoform X10</v>
      </c>
      <c r="J4147">
        <v>2986.82</v>
      </c>
      <c r="K4147" t="s">
        <v>22</v>
      </c>
      <c r="L4147">
        <v>76</v>
      </c>
      <c r="M4147">
        <v>12.58</v>
      </c>
      <c r="N4147">
        <v>29.4</v>
      </c>
      <c r="O4147" t="s">
        <v>19</v>
      </c>
      <c r="P4147" t="s">
        <v>1320</v>
      </c>
      <c r="Q4147" t="s">
        <v>19</v>
      </c>
      <c r="R4147" t="str">
        <f>HYPERLINK("https://cfpub.epa.gov/ecotox/explore.cfm?ncbi=174628","Explore in ECOTOX")</f>
        <v>Explore in ECOTOX</v>
      </c>
    </row>
    <row r="4148" spans="1:18" x14ac:dyDescent="0.45">
      <c r="A4148" t="s">
        <v>1265</v>
      </c>
      <c r="B4148">
        <v>8</v>
      </c>
      <c r="C4148" t="str">
        <f>HYPERLINK("http://www.ncbi.nlm.nih.gov/protein/XP_054709391.1","XP_054709391.1")</f>
        <v>XP_054709391.1</v>
      </c>
      <c r="D4148">
        <v>19009</v>
      </c>
      <c r="E4148" t="str">
        <f>HYPERLINK("http://www.ncbi.nlm.nih.gov/Taxonomy/Browser/wwwtax.cgi?mode=Info&amp;id=327109&amp;lvl=3&amp;lin=f&amp;keep=1&amp;srchmode=1&amp;unlock","327109")</f>
        <v>327109</v>
      </c>
      <c r="F4148" t="s">
        <v>904</v>
      </c>
      <c r="G4148" t="str">
        <f>HYPERLINK("http://www.ncbi.nlm.nih.gov/Taxonomy/Browser/wwwtax.cgi?mode=Info&amp;id=327109&amp;lvl=3&amp;lin=f&amp;keep=1&amp;srchmode=1&amp;unlock","Uloborus diversus")</f>
        <v>Uloborus diversus</v>
      </c>
      <c r="H4148" t="s">
        <v>946</v>
      </c>
      <c r="I4148" t="str">
        <f>HYPERLINK("http://www.ncbi.nlm.nih.gov/protein/XP_054709391.1","LOW QUALITY PROTEIN: ryanodine receptor-like")</f>
        <v>LOW QUALITY PROTEIN: ryanodine receptor-like</v>
      </c>
      <c r="J4148">
        <v>2986.05</v>
      </c>
      <c r="K4148" t="s">
        <v>22</v>
      </c>
      <c r="L4148">
        <v>76</v>
      </c>
      <c r="M4148">
        <v>12.58</v>
      </c>
      <c r="N4148">
        <v>29.39</v>
      </c>
      <c r="O4148" t="s">
        <v>19</v>
      </c>
      <c r="P4148" t="s">
        <v>1320</v>
      </c>
      <c r="Q4148" t="s">
        <v>19</v>
      </c>
      <c r="R4148" t="str">
        <f>HYPERLINK("https://cfpub.epa.gov/ecotox/explore.cfm?ncbi=327109","Explore in ECOTOX")</f>
        <v>Explore in ECOTOX</v>
      </c>
    </row>
    <row r="4149" spans="1:18" x14ac:dyDescent="0.45">
      <c r="A4149" t="s">
        <v>1265</v>
      </c>
      <c r="B4149">
        <v>8</v>
      </c>
      <c r="C4149" t="str">
        <f>HYPERLINK("http://www.ncbi.nlm.nih.gov/protein/KAH8401143.1","KAH8401143.1")</f>
        <v>KAH8401143.1</v>
      </c>
      <c r="D4149">
        <v>12426</v>
      </c>
      <c r="E4149" t="str">
        <f>HYPERLINK("http://www.ncbi.nlm.nih.gov/Taxonomy/Browser/wwwtax.cgi?mode=Info&amp;id=2848635&amp;lvl=3&amp;lin=f&amp;keep=1&amp;srchmode=1&amp;unlock","2848635")</f>
        <v>2848635</v>
      </c>
      <c r="F4149" t="s">
        <v>760</v>
      </c>
      <c r="G4149" t="str">
        <f>HYPERLINK("http://www.ncbi.nlm.nih.gov/Taxonomy/Browser/wwwtax.cgi?mode=Info&amp;id=2848635&amp;lvl=3&amp;lin=f&amp;keep=1&amp;srchmode=1&amp;unlock","Drosophila setifemur")</f>
        <v>Drosophila setifemur</v>
      </c>
      <c r="H4149" t="s">
        <v>953</v>
      </c>
      <c r="I4149" t="str">
        <f>HYPERLINK("http://www.ncbi.nlm.nih.gov/protein/KAH8401143.1","hypothetical protein KR009_003188")</f>
        <v>hypothetical protein KR009_003188</v>
      </c>
      <c r="J4149">
        <v>2984.9</v>
      </c>
      <c r="K4149" t="s">
        <v>22</v>
      </c>
      <c r="L4149">
        <v>76</v>
      </c>
      <c r="M4149">
        <v>12.58</v>
      </c>
      <c r="N4149">
        <v>29.38</v>
      </c>
      <c r="O4149" t="s">
        <v>19</v>
      </c>
      <c r="P4149" t="s">
        <v>1320</v>
      </c>
      <c r="Q4149" t="s">
        <v>19</v>
      </c>
      <c r="R4149" t="str">
        <f>HYPERLINK("https://cfpub.epa.gov/ecotox/explore.cfm?ncbi=2848635","Explore in ECOTOX")</f>
        <v>Explore in ECOTOX</v>
      </c>
    </row>
    <row r="4150" spans="1:18" x14ac:dyDescent="0.45">
      <c r="A4150" t="s">
        <v>1265</v>
      </c>
      <c r="B4150">
        <v>8</v>
      </c>
      <c r="C4150" t="str">
        <f>HYPERLINK("http://www.ncbi.nlm.nih.gov/protein/XP_015054001.1","XP_015054001.1")</f>
        <v>XP_015054001.1</v>
      </c>
      <c r="D4150">
        <v>50578</v>
      </c>
      <c r="E4150" t="str">
        <f>HYPERLINK("http://www.ncbi.nlm.nih.gov/Taxonomy/Browser/wwwtax.cgi?mode=Info&amp;id=7245&amp;lvl=3&amp;lin=f&amp;keep=1&amp;srchmode=1&amp;unlock","7245")</f>
        <v>7245</v>
      </c>
      <c r="F4150" t="s">
        <v>760</v>
      </c>
      <c r="G4150" t="str">
        <f>HYPERLINK("http://www.ncbi.nlm.nih.gov/Taxonomy/Browser/wwwtax.cgi?mode=Info&amp;id=7245&amp;lvl=3&amp;lin=f&amp;keep=1&amp;srchmode=1&amp;unlock","Drosophila yakuba")</f>
        <v>Drosophila yakuba</v>
      </c>
      <c r="H4150" t="s">
        <v>953</v>
      </c>
      <c r="I4150" t="str">
        <f>HYPERLINK("http://www.ncbi.nlm.nih.gov/protein/XP_015054001.1","ryanodine receptor isoform X6")</f>
        <v>ryanodine receptor isoform X6</v>
      </c>
      <c r="J4150">
        <v>2984.51</v>
      </c>
      <c r="K4150" t="s">
        <v>22</v>
      </c>
      <c r="L4150">
        <v>76</v>
      </c>
      <c r="M4150">
        <v>12.58</v>
      </c>
      <c r="N4150">
        <v>29.37</v>
      </c>
      <c r="O4150" t="s">
        <v>19</v>
      </c>
      <c r="P4150" t="s">
        <v>1320</v>
      </c>
      <c r="Q4150" t="s">
        <v>19</v>
      </c>
      <c r="R4150" t="str">
        <f>HYPERLINK("https://cfpub.epa.gov/ecotox/explore.cfm?ncbi=7245","Explore in ECOTOX")</f>
        <v>Explore in ECOTOX</v>
      </c>
    </row>
    <row r="4151" spans="1:18" x14ac:dyDescent="0.45">
      <c r="A4151" t="s">
        <v>1265</v>
      </c>
      <c r="B4151">
        <v>8</v>
      </c>
      <c r="C4151" t="str">
        <f>HYPERLINK("http://www.ncbi.nlm.nih.gov/protein/XP_039480412.1","XP_039480412.1")</f>
        <v>XP_039480412.1</v>
      </c>
      <c r="D4151">
        <v>25342</v>
      </c>
      <c r="E4151" t="str">
        <f>HYPERLINK("http://www.ncbi.nlm.nih.gov/Taxonomy/Browser/wwwtax.cgi?mode=Info&amp;id=129105&amp;lvl=3&amp;lin=f&amp;keep=1&amp;srchmode=1&amp;unlock","129105")</f>
        <v>129105</v>
      </c>
      <c r="F4151" t="s">
        <v>760</v>
      </c>
      <c r="G4151" t="str">
        <f>HYPERLINK("http://www.ncbi.nlm.nih.gov/Taxonomy/Browser/wwwtax.cgi?mode=Info&amp;id=129105&amp;lvl=3&amp;lin=f&amp;keep=1&amp;srchmode=1&amp;unlock","Drosophila santomea")</f>
        <v>Drosophila santomea</v>
      </c>
      <c r="H4151" t="s">
        <v>953</v>
      </c>
      <c r="I4151" t="str">
        <f>HYPERLINK("http://www.ncbi.nlm.nih.gov/protein/XP_039480412.1","ryanodine receptor isoform X4")</f>
        <v>ryanodine receptor isoform X4</v>
      </c>
      <c r="J4151">
        <v>2984.51</v>
      </c>
      <c r="K4151" t="s">
        <v>22</v>
      </c>
      <c r="L4151">
        <v>76</v>
      </c>
      <c r="M4151">
        <v>12.58</v>
      </c>
      <c r="N4151">
        <v>29.37</v>
      </c>
      <c r="O4151" t="s">
        <v>19</v>
      </c>
      <c r="P4151" t="s">
        <v>1320</v>
      </c>
      <c r="Q4151" t="s">
        <v>19</v>
      </c>
      <c r="R4151" t="str">
        <f>HYPERLINK("https://cfpub.epa.gov/ecotox/explore.cfm?ncbi=129105","Explore in ECOTOX")</f>
        <v>Explore in ECOTOX</v>
      </c>
    </row>
    <row r="4152" spans="1:18" x14ac:dyDescent="0.45">
      <c r="A4152" t="s">
        <v>1265</v>
      </c>
      <c r="B4152">
        <v>8</v>
      </c>
      <c r="C4152" t="str">
        <f>HYPERLINK("http://www.ncbi.nlm.nih.gov/protein/NP_001246209.1","NP_001246209.1")</f>
        <v>NP_001246209.1</v>
      </c>
      <c r="D4152">
        <v>113791</v>
      </c>
      <c r="E4152" t="str">
        <f>HYPERLINK("http://www.ncbi.nlm.nih.gov/Taxonomy/Browser/wwwtax.cgi?mode=Info&amp;id=7227&amp;lvl=3&amp;lin=f&amp;keep=1&amp;srchmode=1&amp;unlock","7227")</f>
        <v>7227</v>
      </c>
      <c r="F4152" t="s">
        <v>760</v>
      </c>
      <c r="G4152" t="str">
        <f>HYPERLINK("http://www.ncbi.nlm.nih.gov/Taxonomy/Browser/wwwtax.cgi?mode=Info&amp;id=7227&amp;lvl=3&amp;lin=f&amp;keep=1&amp;srchmode=1&amp;unlock","Drosophila melanogaster")</f>
        <v>Drosophila melanogaster</v>
      </c>
      <c r="H4152" t="s">
        <v>976</v>
      </c>
      <c r="I4152" t="str">
        <f>HYPERLINK("http://www.ncbi.nlm.nih.gov/protein/NP_001246209.1","ryanodine receptor, isoform G")</f>
        <v>ryanodine receptor, isoform G</v>
      </c>
      <c r="J4152">
        <v>2984.13</v>
      </c>
      <c r="K4152" t="s">
        <v>22</v>
      </c>
      <c r="L4152">
        <v>76</v>
      </c>
      <c r="M4152">
        <v>12.58</v>
      </c>
      <c r="N4152">
        <v>29.37</v>
      </c>
      <c r="O4152" t="s">
        <v>19</v>
      </c>
      <c r="P4152" t="s">
        <v>1320</v>
      </c>
      <c r="Q4152" t="s">
        <v>19</v>
      </c>
      <c r="R4152" t="str">
        <f>HYPERLINK("https://cfpub.epa.gov/ecotox/explore.cfm?ncbi=7227","Explore in ECOTOX")</f>
        <v>Explore in ECOTOX</v>
      </c>
    </row>
    <row r="4153" spans="1:18" x14ac:dyDescent="0.45">
      <c r="A4153" t="s">
        <v>1265</v>
      </c>
      <c r="B4153">
        <v>8</v>
      </c>
      <c r="C4153" t="str">
        <f>HYPERLINK("http://www.ncbi.nlm.nih.gov/protein/XP_043641232.1","XP_043641232.1")</f>
        <v>XP_043641232.1</v>
      </c>
      <c r="D4153">
        <v>23651</v>
      </c>
      <c r="E4153" t="str">
        <f>HYPERLINK("http://www.ncbi.nlm.nih.gov/Taxonomy/Browser/wwwtax.cgi?mode=Info&amp;id=7243&amp;lvl=3&amp;lin=f&amp;keep=1&amp;srchmode=1&amp;unlock","7243")</f>
        <v>7243</v>
      </c>
      <c r="F4153" t="s">
        <v>760</v>
      </c>
      <c r="G4153" t="str">
        <f>HYPERLINK("http://www.ncbi.nlm.nih.gov/Taxonomy/Browser/wwwtax.cgi?mode=Info&amp;id=7243&amp;lvl=3&amp;lin=f&amp;keep=1&amp;srchmode=1&amp;unlock","Drosophila teissieri")</f>
        <v>Drosophila teissieri</v>
      </c>
      <c r="H4153" t="s">
        <v>953</v>
      </c>
      <c r="I4153" t="str">
        <f>HYPERLINK("http://www.ncbi.nlm.nih.gov/protein/XP_043641232.1","ryanodine receptor isoform X8")</f>
        <v>ryanodine receptor isoform X8</v>
      </c>
      <c r="J4153">
        <v>2983.74</v>
      </c>
      <c r="K4153" t="s">
        <v>22</v>
      </c>
      <c r="L4153">
        <v>76</v>
      </c>
      <c r="M4153">
        <v>12.58</v>
      </c>
      <c r="N4153">
        <v>29.37</v>
      </c>
      <c r="O4153" t="s">
        <v>19</v>
      </c>
      <c r="P4153" t="s">
        <v>1320</v>
      </c>
      <c r="Q4153" t="s">
        <v>19</v>
      </c>
      <c r="R4153" t="str">
        <f>HYPERLINK("https://cfpub.epa.gov/ecotox/explore.cfm?ncbi=7243","Explore in ECOTOX")</f>
        <v>Explore in ECOTOX</v>
      </c>
    </row>
    <row r="4154" spans="1:18" x14ac:dyDescent="0.45">
      <c r="A4154" t="s">
        <v>1265</v>
      </c>
      <c r="B4154">
        <v>8</v>
      </c>
      <c r="C4154" t="str">
        <f>HYPERLINK("http://www.ncbi.nlm.nih.gov/protein/XP_034653206.1","XP_034653206.1")</f>
        <v>XP_034653206.1</v>
      </c>
      <c r="D4154">
        <v>23554</v>
      </c>
      <c r="E4154" t="str">
        <f>HYPERLINK("http://www.ncbi.nlm.nih.gov/Taxonomy/Browser/wwwtax.cgi?mode=Info&amp;id=7241&amp;lvl=3&amp;lin=f&amp;keep=1&amp;srchmode=1&amp;unlock","7241")</f>
        <v>7241</v>
      </c>
      <c r="F4154" t="s">
        <v>760</v>
      </c>
      <c r="G4154" t="str">
        <f>HYPERLINK("http://www.ncbi.nlm.nih.gov/Taxonomy/Browser/wwwtax.cgi?mode=Info&amp;id=7241&amp;lvl=3&amp;lin=f&amp;keep=1&amp;srchmode=1&amp;unlock","Drosophila subobscura")</f>
        <v>Drosophila subobscura</v>
      </c>
      <c r="H4154" t="s">
        <v>953</v>
      </c>
      <c r="I4154" t="str">
        <f>HYPERLINK("http://www.ncbi.nlm.nih.gov/protein/XP_034653206.1","LOW QUALITY PROTEIN: ryanodine receptor")</f>
        <v>LOW QUALITY PROTEIN: ryanodine receptor</v>
      </c>
      <c r="J4154">
        <v>2983.74</v>
      </c>
      <c r="K4154" t="s">
        <v>22</v>
      </c>
      <c r="L4154">
        <v>76</v>
      </c>
      <c r="M4154">
        <v>12.58</v>
      </c>
      <c r="N4154">
        <v>29.37</v>
      </c>
      <c r="O4154" t="s">
        <v>19</v>
      </c>
      <c r="P4154" t="s">
        <v>1320</v>
      </c>
      <c r="Q4154" t="s">
        <v>19</v>
      </c>
      <c r="R4154" t="str">
        <f>HYPERLINK("https://cfpub.epa.gov/ecotox/explore.cfm?ncbi=7241","Explore in ECOTOX")</f>
        <v>Explore in ECOTOX</v>
      </c>
    </row>
    <row r="4155" spans="1:18" x14ac:dyDescent="0.45">
      <c r="A4155" t="s">
        <v>1265</v>
      </c>
      <c r="B4155">
        <v>8</v>
      </c>
      <c r="C4155" t="str">
        <f>HYPERLINK("http://www.ncbi.nlm.nih.gov/protein/XP_043947840.1","XP_043947840.1")</f>
        <v>XP_043947840.1</v>
      </c>
      <c r="D4155">
        <v>26224</v>
      </c>
      <c r="E4155" t="str">
        <f>HYPERLINK("http://www.ncbi.nlm.nih.gov/Taxonomy/Browser/wwwtax.cgi?mode=Info&amp;id=125945&amp;lvl=3&amp;lin=f&amp;keep=1&amp;srchmode=1&amp;unlock","125945")</f>
        <v>125945</v>
      </c>
      <c r="F4155" t="s">
        <v>760</v>
      </c>
      <c r="G4155" t="str">
        <f>HYPERLINK("http://www.ncbi.nlm.nih.gov/Taxonomy/Browser/wwwtax.cgi?mode=Info&amp;id=125945&amp;lvl=3&amp;lin=f&amp;keep=1&amp;srchmode=1&amp;unlock","Drosophila biarmipes")</f>
        <v>Drosophila biarmipes</v>
      </c>
      <c r="H4155" t="s">
        <v>953</v>
      </c>
      <c r="I4155" t="str">
        <f>HYPERLINK("http://www.ncbi.nlm.nih.gov/protein/XP_043947840.1","ryanodine receptor isoform X11")</f>
        <v>ryanodine receptor isoform X11</v>
      </c>
      <c r="J4155">
        <v>2983.36</v>
      </c>
      <c r="K4155" t="s">
        <v>22</v>
      </c>
      <c r="L4155">
        <v>76</v>
      </c>
      <c r="M4155">
        <v>12.58</v>
      </c>
      <c r="N4155">
        <v>29.36</v>
      </c>
      <c r="O4155" t="s">
        <v>19</v>
      </c>
      <c r="P4155" t="s">
        <v>1320</v>
      </c>
      <c r="Q4155" t="s">
        <v>19</v>
      </c>
      <c r="R4155" t="str">
        <f>HYPERLINK("https://cfpub.epa.gov/ecotox/explore.cfm?ncbi=125945","Explore in ECOTOX")</f>
        <v>Explore in ECOTOX</v>
      </c>
    </row>
    <row r="4156" spans="1:18" x14ac:dyDescent="0.45">
      <c r="A4156" t="s">
        <v>1265</v>
      </c>
      <c r="B4156">
        <v>8</v>
      </c>
      <c r="C4156" t="str">
        <f>HYPERLINK("http://www.ncbi.nlm.nih.gov/protein/XP_036227357.1","XP_036227357.1")</f>
        <v>XP_036227357.1</v>
      </c>
      <c r="D4156">
        <v>34315</v>
      </c>
      <c r="E4156" t="str">
        <f>HYPERLINK("http://www.ncbi.nlm.nih.gov/Taxonomy/Browser/wwwtax.cgi?mode=Info&amp;id=104688&amp;lvl=3&amp;lin=f&amp;keep=1&amp;srchmode=1&amp;unlock","104688")</f>
        <v>104688</v>
      </c>
      <c r="F4156" t="s">
        <v>760</v>
      </c>
      <c r="G4156" t="str">
        <f>HYPERLINK("http://www.ncbi.nlm.nih.gov/Taxonomy/Browser/wwwtax.cgi?mode=Info&amp;id=104688&amp;lvl=3&amp;lin=f&amp;keep=1&amp;srchmode=1&amp;unlock","Bactrocera oleae")</f>
        <v>Bactrocera oleae</v>
      </c>
      <c r="H4156" t="s">
        <v>983</v>
      </c>
      <c r="I4156" t="str">
        <f>HYPERLINK("http://www.ncbi.nlm.nih.gov/protein/XP_036227357.1","ryanodine receptor isoform X16")</f>
        <v>ryanodine receptor isoform X16</v>
      </c>
      <c r="J4156">
        <v>2983.36</v>
      </c>
      <c r="K4156" t="s">
        <v>22</v>
      </c>
      <c r="L4156">
        <v>76</v>
      </c>
      <c r="M4156">
        <v>12.58</v>
      </c>
      <c r="N4156">
        <v>29.36</v>
      </c>
      <c r="O4156" t="s">
        <v>19</v>
      </c>
      <c r="P4156" t="s">
        <v>1320</v>
      </c>
      <c r="Q4156" t="s">
        <v>19</v>
      </c>
      <c r="R4156" t="str">
        <f>HYPERLINK("https://cfpub.epa.gov/ecotox/explore.cfm?ncbi=104688","Explore in ECOTOX")</f>
        <v>Explore in ECOTOX</v>
      </c>
    </row>
    <row r="4157" spans="1:18" x14ac:dyDescent="0.45">
      <c r="A4157" t="s">
        <v>1265</v>
      </c>
      <c r="B4157">
        <v>8</v>
      </c>
      <c r="C4157" t="str">
        <f>HYPERLINK("http://www.ncbi.nlm.nih.gov/protein/KQS70845.1","KQS70845.1")</f>
        <v>KQS70845.1</v>
      </c>
      <c r="D4157">
        <v>42776</v>
      </c>
      <c r="E4157" t="str">
        <f>HYPERLINK("http://www.ncbi.nlm.nih.gov/Taxonomy/Browser/wwwtax.cgi?mode=Info&amp;id=7220&amp;lvl=3&amp;lin=f&amp;keep=1&amp;srchmode=1&amp;unlock","7220")</f>
        <v>7220</v>
      </c>
      <c r="F4157" t="s">
        <v>760</v>
      </c>
      <c r="G4157" t="str">
        <f>HYPERLINK("http://www.ncbi.nlm.nih.gov/Taxonomy/Browser/wwwtax.cgi?mode=Info&amp;id=7220&amp;lvl=3&amp;lin=f&amp;keep=1&amp;srchmode=1&amp;unlock","Drosophila erecta")</f>
        <v>Drosophila erecta</v>
      </c>
      <c r="H4157" t="s">
        <v>953</v>
      </c>
      <c r="I4157" t="str">
        <f>HYPERLINK("http://www.ncbi.nlm.nih.gov/protein/KQS70845.1","uncharacterized protein Dere_GG23389, isoform M")</f>
        <v>uncharacterized protein Dere_GG23389, isoform M</v>
      </c>
      <c r="J4157">
        <v>2982.2</v>
      </c>
      <c r="K4157" t="s">
        <v>22</v>
      </c>
      <c r="L4157">
        <v>76</v>
      </c>
      <c r="M4157">
        <v>12.58</v>
      </c>
      <c r="N4157">
        <v>29.35</v>
      </c>
      <c r="O4157" t="s">
        <v>19</v>
      </c>
      <c r="P4157" t="s">
        <v>1320</v>
      </c>
      <c r="Q4157" t="s">
        <v>19</v>
      </c>
      <c r="R4157" t="str">
        <f>HYPERLINK("https://cfpub.epa.gov/ecotox/explore.cfm?ncbi=7220","Explore in ECOTOX")</f>
        <v>Explore in ECOTOX</v>
      </c>
    </row>
    <row r="4158" spans="1:18" x14ac:dyDescent="0.45">
      <c r="A4158" t="s">
        <v>1265</v>
      </c>
      <c r="B4158">
        <v>8</v>
      </c>
      <c r="C4158" t="str">
        <f>HYPERLINK("http://www.ncbi.nlm.nih.gov/protein/XP_039148616.1","XP_039148616.1")</f>
        <v>XP_039148616.1</v>
      </c>
      <c r="D4158">
        <v>73585</v>
      </c>
      <c r="E4158" t="str">
        <f>HYPERLINK("http://www.ncbi.nlm.nih.gov/Taxonomy/Browser/wwwtax.cgi?mode=Info&amp;id=7240&amp;lvl=3&amp;lin=f&amp;keep=1&amp;srchmode=1&amp;unlock","7240")</f>
        <v>7240</v>
      </c>
      <c r="F4158" t="s">
        <v>760</v>
      </c>
      <c r="G4158" t="str">
        <f>HYPERLINK("http://www.ncbi.nlm.nih.gov/Taxonomy/Browser/wwwtax.cgi?mode=Info&amp;id=7240&amp;lvl=3&amp;lin=f&amp;keep=1&amp;srchmode=1&amp;unlock","Drosophila simulans")</f>
        <v>Drosophila simulans</v>
      </c>
      <c r="H4158" t="s">
        <v>953</v>
      </c>
      <c r="I4158" t="str">
        <f>HYPERLINK("http://www.ncbi.nlm.nih.gov/protein/XP_039148616.1","ryanodine receptor isoform X12")</f>
        <v>ryanodine receptor isoform X12</v>
      </c>
      <c r="J4158">
        <v>2981.82</v>
      </c>
      <c r="K4158" t="s">
        <v>22</v>
      </c>
      <c r="L4158">
        <v>76</v>
      </c>
      <c r="M4158">
        <v>12.58</v>
      </c>
      <c r="N4158">
        <v>29.35</v>
      </c>
      <c r="O4158" t="s">
        <v>19</v>
      </c>
      <c r="P4158" t="s">
        <v>1320</v>
      </c>
      <c r="Q4158" t="s">
        <v>19</v>
      </c>
      <c r="R4158" t="str">
        <f>HYPERLINK("https://cfpub.epa.gov/ecotox/explore.cfm?ncbi=7240","Explore in ECOTOX")</f>
        <v>Explore in ECOTOX</v>
      </c>
    </row>
    <row r="4159" spans="1:18" x14ac:dyDescent="0.45">
      <c r="A4159" t="s">
        <v>1265</v>
      </c>
      <c r="B4159">
        <v>8</v>
      </c>
      <c r="C4159" t="str">
        <f>HYPERLINK("http://www.ncbi.nlm.nih.gov/protein/XP_033156590.1","XP_033156590.1")</f>
        <v>XP_033156590.1</v>
      </c>
      <c r="D4159">
        <v>24094</v>
      </c>
      <c r="E4159" t="str">
        <f>HYPERLINK("http://www.ncbi.nlm.nih.gov/Taxonomy/Browser/wwwtax.cgi?mode=Info&amp;id=7226&amp;lvl=3&amp;lin=f&amp;keep=1&amp;srchmode=1&amp;unlock","7226")</f>
        <v>7226</v>
      </c>
      <c r="F4159" t="s">
        <v>760</v>
      </c>
      <c r="G4159" t="str">
        <f>HYPERLINK("http://www.ncbi.nlm.nih.gov/Taxonomy/Browser/wwwtax.cgi?mode=Info&amp;id=7226&amp;lvl=3&amp;lin=f&amp;keep=1&amp;srchmode=1&amp;unlock","Drosophila mauritiana")</f>
        <v>Drosophila mauritiana</v>
      </c>
      <c r="H4159" t="s">
        <v>953</v>
      </c>
      <c r="I4159" t="str">
        <f>HYPERLINK("http://www.ncbi.nlm.nih.gov/protein/XP_033156590.1","ryanodine receptor isoform X14")</f>
        <v>ryanodine receptor isoform X14</v>
      </c>
      <c r="J4159">
        <v>2981.82</v>
      </c>
      <c r="K4159" t="s">
        <v>22</v>
      </c>
      <c r="L4159">
        <v>76</v>
      </c>
      <c r="M4159">
        <v>12.58</v>
      </c>
      <c r="N4159">
        <v>29.35</v>
      </c>
      <c r="O4159" t="s">
        <v>19</v>
      </c>
      <c r="P4159" t="s">
        <v>1320</v>
      </c>
      <c r="Q4159" t="s">
        <v>19</v>
      </c>
      <c r="R4159" t="str">
        <f>HYPERLINK("https://cfpub.epa.gov/ecotox/explore.cfm?ncbi=7226","Explore in ECOTOX")</f>
        <v>Explore in ECOTOX</v>
      </c>
    </row>
    <row r="4160" spans="1:18" x14ac:dyDescent="0.45">
      <c r="A4160" t="s">
        <v>1265</v>
      </c>
      <c r="B4160">
        <v>8</v>
      </c>
      <c r="C4160" t="str">
        <f>HYPERLINK("http://www.ncbi.nlm.nih.gov/protein/XP_017066041.1","XP_017066041.1")</f>
        <v>XP_017066041.1</v>
      </c>
      <c r="D4160">
        <v>22566</v>
      </c>
      <c r="E4160" t="str">
        <f>HYPERLINK("http://www.ncbi.nlm.nih.gov/Taxonomy/Browser/wwwtax.cgi?mode=Info&amp;id=29029&amp;lvl=3&amp;lin=f&amp;keep=1&amp;srchmode=1&amp;unlock","29029")</f>
        <v>29029</v>
      </c>
      <c r="F4160" t="s">
        <v>760</v>
      </c>
      <c r="G4160" t="str">
        <f>HYPERLINK("http://www.ncbi.nlm.nih.gov/Taxonomy/Browser/wwwtax.cgi?mode=Info&amp;id=29029&amp;lvl=3&amp;lin=f&amp;keep=1&amp;srchmode=1&amp;unlock","Drosophila eugracilis")</f>
        <v>Drosophila eugracilis</v>
      </c>
      <c r="H4160" t="s">
        <v>953</v>
      </c>
      <c r="I4160" t="str">
        <f>HYPERLINK("http://www.ncbi.nlm.nih.gov/protein/XP_017066041.1","ryanodine receptor isoform X19")</f>
        <v>ryanodine receptor isoform X19</v>
      </c>
      <c r="J4160">
        <v>2981.43</v>
      </c>
      <c r="K4160" t="s">
        <v>22</v>
      </c>
      <c r="L4160">
        <v>76</v>
      </c>
      <c r="M4160">
        <v>12.58</v>
      </c>
      <c r="N4160">
        <v>29.34</v>
      </c>
      <c r="O4160" t="s">
        <v>19</v>
      </c>
      <c r="P4160" t="s">
        <v>1320</v>
      </c>
      <c r="Q4160" t="s">
        <v>19</v>
      </c>
      <c r="R4160" t="str">
        <f>HYPERLINK("https://cfpub.epa.gov/ecotox/explore.cfm?ncbi=29029","Explore in ECOTOX")</f>
        <v>Explore in ECOTOX</v>
      </c>
    </row>
    <row r="4161" spans="1:18" x14ac:dyDescent="0.45">
      <c r="A4161" t="s">
        <v>1265</v>
      </c>
      <c r="B4161">
        <v>8</v>
      </c>
      <c r="C4161" t="str">
        <f>HYPERLINK("http://www.ncbi.nlm.nih.gov/protein/XP_032572729.1","XP_032572729.1")</f>
        <v>XP_032572729.1</v>
      </c>
      <c r="D4161">
        <v>40389</v>
      </c>
      <c r="E4161" t="str">
        <f>HYPERLINK("http://www.ncbi.nlm.nih.gov/Taxonomy/Browser/wwwtax.cgi?mode=Info&amp;id=7238&amp;lvl=3&amp;lin=f&amp;keep=1&amp;srchmode=1&amp;unlock","7238")</f>
        <v>7238</v>
      </c>
      <c r="F4161" t="s">
        <v>760</v>
      </c>
      <c r="G4161" t="str">
        <f>HYPERLINK("http://www.ncbi.nlm.nih.gov/Taxonomy/Browser/wwwtax.cgi?mode=Info&amp;id=7238&amp;lvl=3&amp;lin=f&amp;keep=1&amp;srchmode=1&amp;unlock","Drosophila sechellia")</f>
        <v>Drosophila sechellia</v>
      </c>
      <c r="H4161" t="s">
        <v>953</v>
      </c>
      <c r="I4161" t="str">
        <f>HYPERLINK("http://www.ncbi.nlm.nih.gov/protein/XP_032572729.1","ryanodine receptor isoform X7")</f>
        <v>ryanodine receptor isoform X7</v>
      </c>
      <c r="J4161">
        <v>2981.43</v>
      </c>
      <c r="K4161" t="s">
        <v>22</v>
      </c>
      <c r="L4161">
        <v>76</v>
      </c>
      <c r="M4161">
        <v>12.58</v>
      </c>
      <c r="N4161">
        <v>29.34</v>
      </c>
      <c r="O4161" t="s">
        <v>19</v>
      </c>
      <c r="P4161" t="s">
        <v>1320</v>
      </c>
      <c r="Q4161" t="s">
        <v>19</v>
      </c>
      <c r="R4161" t="str">
        <f>HYPERLINK("https://cfpub.epa.gov/ecotox/explore.cfm?ncbi=7238","Explore in ECOTOX")</f>
        <v>Explore in ECOTOX</v>
      </c>
    </row>
    <row r="4162" spans="1:18" x14ac:dyDescent="0.45">
      <c r="A4162" t="s">
        <v>1265</v>
      </c>
      <c r="B4162">
        <v>8</v>
      </c>
      <c r="C4162" t="str">
        <f>HYPERLINK("http://www.ncbi.nlm.nih.gov/protein/XP_052843589.1","XP_052843589.1")</f>
        <v>XP_052843589.1</v>
      </c>
      <c r="D4162">
        <v>38898</v>
      </c>
      <c r="E4162" t="str">
        <f>HYPERLINK("http://www.ncbi.nlm.nih.gov/Taxonomy/Browser/wwwtax.cgi?mode=Info&amp;id=103775&amp;lvl=3&amp;lin=f&amp;keep=1&amp;srchmode=1&amp;unlock","103775")</f>
        <v>103775</v>
      </c>
      <c r="F4162" t="s">
        <v>760</v>
      </c>
      <c r="G4162" t="str">
        <f>HYPERLINK("http://www.ncbi.nlm.nih.gov/Taxonomy/Browser/wwwtax.cgi?mode=Info&amp;id=103775&amp;lvl=3&amp;lin=f&amp;keep=1&amp;srchmode=1&amp;unlock","Drosophila gunungcola")</f>
        <v>Drosophila gunungcola</v>
      </c>
      <c r="H4162" t="s">
        <v>976</v>
      </c>
      <c r="I4162" t="str">
        <f>HYPERLINK("http://www.ncbi.nlm.nih.gov/protein/XP_052843589.1","ryanodine receptor isoform X8")</f>
        <v>ryanodine receptor isoform X8</v>
      </c>
      <c r="J4162">
        <v>2980.66</v>
      </c>
      <c r="K4162" t="s">
        <v>22</v>
      </c>
      <c r="L4162">
        <v>76</v>
      </c>
      <c r="M4162">
        <v>12.58</v>
      </c>
      <c r="N4162">
        <v>29.33</v>
      </c>
      <c r="O4162" t="s">
        <v>19</v>
      </c>
      <c r="P4162" t="s">
        <v>1320</v>
      </c>
      <c r="Q4162" t="s">
        <v>19</v>
      </c>
      <c r="R4162" t="str">
        <f>HYPERLINK("https://cfpub.epa.gov/ecotox/explore.cfm?ncbi=103775","Explore in ECOTOX")</f>
        <v>Explore in ECOTOX</v>
      </c>
    </row>
    <row r="4163" spans="1:18" x14ac:dyDescent="0.45">
      <c r="A4163" t="s">
        <v>1265</v>
      </c>
      <c r="B4163">
        <v>8</v>
      </c>
      <c r="C4163" t="str">
        <f>HYPERLINK("http://www.ncbi.nlm.nih.gov/protein/XP_041565742.1","XP_041565742.1")</f>
        <v>XP_041565742.1</v>
      </c>
      <c r="D4163">
        <v>23515</v>
      </c>
      <c r="E4163" t="str">
        <f>HYPERLINK("http://www.ncbi.nlm.nih.gov/Taxonomy/Browser/wwwtax.cgi?mode=Info&amp;id=30023&amp;lvl=3&amp;lin=f&amp;keep=1&amp;srchmode=1&amp;unlock","30023")</f>
        <v>30023</v>
      </c>
      <c r="F4163" t="s">
        <v>760</v>
      </c>
      <c r="G4163" t="str">
        <f>HYPERLINK("http://www.ncbi.nlm.nih.gov/Taxonomy/Browser/wwwtax.cgi?mode=Info&amp;id=30023&amp;lvl=3&amp;lin=f&amp;keep=1&amp;srchmode=1&amp;unlock","Drosophila elegans")</f>
        <v>Drosophila elegans</v>
      </c>
      <c r="H4163" t="s">
        <v>953</v>
      </c>
      <c r="I4163" t="str">
        <f>HYPERLINK("http://www.ncbi.nlm.nih.gov/protein/XP_041565742.1","ryanodine receptor isoform X6")</f>
        <v>ryanodine receptor isoform X6</v>
      </c>
      <c r="J4163">
        <v>2979.12</v>
      </c>
      <c r="K4163" t="s">
        <v>22</v>
      </c>
      <c r="L4163">
        <v>76</v>
      </c>
      <c r="M4163">
        <v>12.58</v>
      </c>
      <c r="N4163">
        <v>29.32</v>
      </c>
      <c r="O4163" t="s">
        <v>19</v>
      </c>
      <c r="P4163" t="s">
        <v>1320</v>
      </c>
      <c r="Q4163" t="s">
        <v>19</v>
      </c>
      <c r="R4163" t="str">
        <f>HYPERLINK("https://cfpub.epa.gov/ecotox/explore.cfm?ncbi=30023","Explore in ECOTOX")</f>
        <v>Explore in ECOTOX</v>
      </c>
    </row>
    <row r="4164" spans="1:18" x14ac:dyDescent="0.45">
      <c r="A4164" t="s">
        <v>1265</v>
      </c>
      <c r="B4164">
        <v>8</v>
      </c>
      <c r="C4164" t="str">
        <f>HYPERLINK("http://www.ncbi.nlm.nih.gov/protein/XP_028942056.1","XP_028942056.1")</f>
        <v>XP_028942056.1</v>
      </c>
      <c r="D4164">
        <v>29269</v>
      </c>
      <c r="E4164" t="str">
        <f>HYPERLINK("http://www.ncbi.nlm.nih.gov/Taxonomy/Browser/wwwtax.cgi?mode=Info&amp;id=279965&amp;lvl=3&amp;lin=f&amp;keep=1&amp;srchmode=1&amp;unlock","279965")</f>
        <v>279965</v>
      </c>
      <c r="F4164" t="s">
        <v>241</v>
      </c>
      <c r="G4164" t="str">
        <f>HYPERLINK("http://www.ncbi.nlm.nih.gov/Taxonomy/Browser/wwwtax.cgi?mode=Info&amp;id=279965&amp;lvl=3&amp;lin=f&amp;keep=1&amp;srchmode=1&amp;unlock","Antrostomus carolinensis")</f>
        <v>Antrostomus carolinensis</v>
      </c>
      <c r="H4164" t="s">
        <v>945</v>
      </c>
      <c r="I4164" t="str">
        <f>HYPERLINK("http://www.ncbi.nlm.nih.gov/protein/XP_028942056.1","ryanodine receptor 2, partial")</f>
        <v>ryanodine receptor 2, partial</v>
      </c>
      <c r="J4164">
        <v>2978.35</v>
      </c>
      <c r="K4164" t="s">
        <v>22</v>
      </c>
      <c r="L4164">
        <v>76</v>
      </c>
      <c r="M4164">
        <v>12.58</v>
      </c>
      <c r="N4164">
        <v>29.31</v>
      </c>
      <c r="O4164" t="s">
        <v>19</v>
      </c>
      <c r="P4164" t="s">
        <v>1320</v>
      </c>
      <c r="Q4164" t="s">
        <v>19</v>
      </c>
      <c r="R4164" t="str">
        <f>HYPERLINK("https://cfpub.epa.gov/ecotox/explore.cfm?ncbi=279965","Explore in ECOTOX")</f>
        <v>Explore in ECOTOX</v>
      </c>
    </row>
    <row r="4165" spans="1:18" x14ac:dyDescent="0.45">
      <c r="A4165" t="s">
        <v>1265</v>
      </c>
      <c r="B4165">
        <v>8</v>
      </c>
      <c r="C4165" t="str">
        <f>HYPERLINK("http://www.ncbi.nlm.nih.gov/protein/XP_037717372.1","XP_037717372.1")</f>
        <v>XP_037717372.1</v>
      </c>
      <c r="D4165">
        <v>25724</v>
      </c>
      <c r="E4165" t="str">
        <f>HYPERLINK("http://www.ncbi.nlm.nih.gov/Taxonomy/Browser/wwwtax.cgi?mode=Info&amp;id=1486046&amp;lvl=3&amp;lin=f&amp;keep=1&amp;srchmode=1&amp;unlock","1486046")</f>
        <v>1486046</v>
      </c>
      <c r="F4165" t="s">
        <v>760</v>
      </c>
      <c r="G4165" t="str">
        <f>HYPERLINK("http://www.ncbi.nlm.nih.gov/Taxonomy/Browser/wwwtax.cgi?mode=Info&amp;id=1486046&amp;lvl=3&amp;lin=f&amp;keep=1&amp;srchmode=1&amp;unlock","Drosophila subpulchrella")</f>
        <v>Drosophila subpulchrella</v>
      </c>
      <c r="H4165" t="s">
        <v>953</v>
      </c>
      <c r="I4165" t="str">
        <f>HYPERLINK("http://www.ncbi.nlm.nih.gov/protein/XP_037717372.1","ryanodine receptor isoform X6")</f>
        <v>ryanodine receptor isoform X6</v>
      </c>
      <c r="J4165">
        <v>2977.58</v>
      </c>
      <c r="K4165" t="s">
        <v>22</v>
      </c>
      <c r="L4165">
        <v>76</v>
      </c>
      <c r="M4165">
        <v>12.58</v>
      </c>
      <c r="N4165">
        <v>29.3</v>
      </c>
      <c r="O4165" t="s">
        <v>19</v>
      </c>
      <c r="P4165" t="s">
        <v>1320</v>
      </c>
      <c r="Q4165" t="s">
        <v>19</v>
      </c>
      <c r="R4165" t="str">
        <f>HYPERLINK("https://cfpub.epa.gov/ecotox/explore.cfm?ncbi=1486046","Explore in ECOTOX")</f>
        <v>Explore in ECOTOX</v>
      </c>
    </row>
    <row r="4166" spans="1:18" x14ac:dyDescent="0.45">
      <c r="A4166" t="s">
        <v>1265</v>
      </c>
      <c r="B4166">
        <v>8</v>
      </c>
      <c r="C4166" t="str">
        <f>HYPERLINK("http://www.ncbi.nlm.nih.gov/protein/XP_030368895.1","XP_030368895.1")</f>
        <v>XP_030368895.1</v>
      </c>
      <c r="D4166">
        <v>19881</v>
      </c>
      <c r="E4166" t="str">
        <f>HYPERLINK("http://www.ncbi.nlm.nih.gov/Taxonomy/Browser/wwwtax.cgi?mode=Info&amp;id=7225&amp;lvl=3&amp;lin=f&amp;keep=1&amp;srchmode=1&amp;unlock","7225")</f>
        <v>7225</v>
      </c>
      <c r="F4166" t="s">
        <v>760</v>
      </c>
      <c r="G4166" t="str">
        <f>HYPERLINK("http://www.ncbi.nlm.nih.gov/Taxonomy/Browser/wwwtax.cgi?mode=Info&amp;id=7225&amp;lvl=3&amp;lin=f&amp;keep=1&amp;srchmode=1&amp;unlock","Scaptodrosophila lebanonensis")</f>
        <v>Scaptodrosophila lebanonensis</v>
      </c>
      <c r="H4166" t="s">
        <v>984</v>
      </c>
      <c r="I4166" t="str">
        <f>HYPERLINK("http://www.ncbi.nlm.nih.gov/protein/XP_030368895.1","ryanodine receptor isoform X6")</f>
        <v>ryanodine receptor isoform X6</v>
      </c>
      <c r="J4166">
        <v>2977.58</v>
      </c>
      <c r="K4166" t="s">
        <v>22</v>
      </c>
      <c r="L4166">
        <v>76</v>
      </c>
      <c r="M4166">
        <v>12.58</v>
      </c>
      <c r="N4166">
        <v>29.3</v>
      </c>
      <c r="O4166" t="s">
        <v>19</v>
      </c>
      <c r="P4166" t="s">
        <v>1320</v>
      </c>
      <c r="Q4166" t="s">
        <v>19</v>
      </c>
      <c r="R4166" t="str">
        <f>HYPERLINK("https://cfpub.epa.gov/ecotox/explore.cfm?ncbi=7225","Explore in ECOTOX")</f>
        <v>Explore in ECOTOX</v>
      </c>
    </row>
    <row r="4167" spans="1:18" x14ac:dyDescent="0.45">
      <c r="A4167" t="s">
        <v>1265</v>
      </c>
      <c r="B4167">
        <v>8</v>
      </c>
      <c r="C4167" t="str">
        <f>HYPERLINK("http://www.ncbi.nlm.nih.gov/protein/XP_017001769.2","XP_017001769.2")</f>
        <v>XP_017001769.2</v>
      </c>
      <c r="D4167">
        <v>20155</v>
      </c>
      <c r="E4167" t="str">
        <f>HYPERLINK("http://www.ncbi.nlm.nih.gov/Taxonomy/Browser/wwwtax.cgi?mode=Info&amp;id=29030&amp;lvl=3&amp;lin=f&amp;keep=1&amp;srchmode=1&amp;unlock","29030")</f>
        <v>29030</v>
      </c>
      <c r="F4167" t="s">
        <v>760</v>
      </c>
      <c r="G4167" t="str">
        <f>HYPERLINK("http://www.ncbi.nlm.nih.gov/Taxonomy/Browser/wwwtax.cgi?mode=Info&amp;id=29030&amp;lvl=3&amp;lin=f&amp;keep=1&amp;srchmode=1&amp;unlock","Drosophila takahashii")</f>
        <v>Drosophila takahashii</v>
      </c>
      <c r="H4167" t="s">
        <v>953</v>
      </c>
      <c r="I4167" t="str">
        <f>HYPERLINK("http://www.ncbi.nlm.nih.gov/protein/XP_017001769.2","LOW QUALITY PROTEIN: ryanodine receptor")</f>
        <v>LOW QUALITY PROTEIN: ryanodine receptor</v>
      </c>
      <c r="J4167">
        <v>2976.81</v>
      </c>
      <c r="K4167" t="s">
        <v>22</v>
      </c>
      <c r="L4167">
        <v>76</v>
      </c>
      <c r="M4167">
        <v>12.58</v>
      </c>
      <c r="N4167">
        <v>29.3</v>
      </c>
      <c r="O4167" t="s">
        <v>19</v>
      </c>
      <c r="P4167" t="s">
        <v>1320</v>
      </c>
      <c r="Q4167" t="s">
        <v>19</v>
      </c>
      <c r="R4167" t="str">
        <f>HYPERLINK("https://cfpub.epa.gov/ecotox/explore.cfm?ncbi=29030","Explore in ECOTOX")</f>
        <v>Explore in ECOTOX</v>
      </c>
    </row>
    <row r="4168" spans="1:18" x14ac:dyDescent="0.45">
      <c r="A4168" t="s">
        <v>1265</v>
      </c>
      <c r="B4168">
        <v>8</v>
      </c>
      <c r="C4168" t="str">
        <f>HYPERLINK("http://www.ncbi.nlm.nih.gov/protein/XP_016943110.1","XP_016943110.1")</f>
        <v>XP_016943110.1</v>
      </c>
      <c r="D4168">
        <v>25867</v>
      </c>
      <c r="E4168" t="str">
        <f>HYPERLINK("http://www.ncbi.nlm.nih.gov/Taxonomy/Browser/wwwtax.cgi?mode=Info&amp;id=28584&amp;lvl=3&amp;lin=f&amp;keep=1&amp;srchmode=1&amp;unlock","28584")</f>
        <v>28584</v>
      </c>
      <c r="F4168" t="s">
        <v>760</v>
      </c>
      <c r="G4168" t="str">
        <f>HYPERLINK("http://www.ncbi.nlm.nih.gov/Taxonomy/Browser/wwwtax.cgi?mode=Info&amp;id=28584&amp;lvl=3&amp;lin=f&amp;keep=1&amp;srchmode=1&amp;unlock","Drosophila suzukii")</f>
        <v>Drosophila suzukii</v>
      </c>
      <c r="H4168" t="s">
        <v>953</v>
      </c>
      <c r="I4168" t="str">
        <f>HYPERLINK("http://www.ncbi.nlm.nih.gov/protein/XP_016943110.1","ryanodine receptor isoform X6")</f>
        <v>ryanodine receptor isoform X6</v>
      </c>
      <c r="J4168">
        <v>2975.27</v>
      </c>
      <c r="K4168" t="s">
        <v>22</v>
      </c>
      <c r="L4168">
        <v>76</v>
      </c>
      <c r="M4168">
        <v>12.58</v>
      </c>
      <c r="N4168">
        <v>29.28</v>
      </c>
      <c r="O4168" t="s">
        <v>19</v>
      </c>
      <c r="P4168" t="s">
        <v>1320</v>
      </c>
      <c r="Q4168" t="s">
        <v>19</v>
      </c>
      <c r="R4168" t="str">
        <f>HYPERLINK("https://cfpub.epa.gov/ecotox/explore.cfm?ncbi=28584","Explore in ECOTOX")</f>
        <v>Explore in ECOTOX</v>
      </c>
    </row>
    <row r="4169" spans="1:18" x14ac:dyDescent="0.45">
      <c r="A4169" t="s">
        <v>1265</v>
      </c>
      <c r="B4169">
        <v>8</v>
      </c>
      <c r="C4169" t="str">
        <f>HYPERLINK("http://www.ncbi.nlm.nih.gov/protein/XP_051156428.1","XP_051156428.1")</f>
        <v>XP_051156428.1</v>
      </c>
      <c r="D4169">
        <v>23915</v>
      </c>
      <c r="E4169" t="str">
        <f>HYPERLINK("http://www.ncbi.nlm.nih.gov/Taxonomy/Browser/wwwtax.cgi?mode=Info&amp;id=63433&amp;lvl=3&amp;lin=f&amp;keep=1&amp;srchmode=1&amp;unlock","63433")</f>
        <v>63433</v>
      </c>
      <c r="F4169" t="s">
        <v>760</v>
      </c>
      <c r="G4169" t="str">
        <f>HYPERLINK("http://www.ncbi.nlm.nih.gov/Taxonomy/Browser/wwwtax.cgi?mode=Info&amp;id=63433&amp;lvl=3&amp;lin=f&amp;keep=1&amp;srchmode=1&amp;unlock","Leptopilina boulardi")</f>
        <v>Leptopilina boulardi</v>
      </c>
      <c r="H4169" t="s">
        <v>769</v>
      </c>
      <c r="I4169" t="str">
        <f>HYPERLINK("http://www.ncbi.nlm.nih.gov/protein/XP_051156428.1","ryanodine receptor isoform X4")</f>
        <v>ryanodine receptor isoform X4</v>
      </c>
      <c r="J4169">
        <v>2974.5</v>
      </c>
      <c r="K4169" t="s">
        <v>22</v>
      </c>
      <c r="L4169">
        <v>76</v>
      </c>
      <c r="M4169">
        <v>12.58</v>
      </c>
      <c r="N4169">
        <v>29.27</v>
      </c>
      <c r="O4169" t="s">
        <v>19</v>
      </c>
      <c r="P4169" t="s">
        <v>1320</v>
      </c>
      <c r="Q4169" t="s">
        <v>19</v>
      </c>
      <c r="R4169" t="str">
        <f>HYPERLINK("https://cfpub.epa.gov/ecotox/explore.cfm?ncbi=63433","Explore in ECOTOX")</f>
        <v>Explore in ECOTOX</v>
      </c>
    </row>
    <row r="4170" spans="1:18" x14ac:dyDescent="0.45">
      <c r="A4170" t="s">
        <v>1265</v>
      </c>
      <c r="B4170">
        <v>8</v>
      </c>
      <c r="C4170" t="str">
        <f>HYPERLINK("http://www.ncbi.nlm.nih.gov/protein/KAB0792305.1","KAB0792305.1")</f>
        <v>KAB0792305.1</v>
      </c>
      <c r="D4170">
        <v>48178</v>
      </c>
      <c r="E4170" t="str">
        <f>HYPERLINK("http://www.ncbi.nlm.nih.gov/Taxonomy/Browser/wwwtax.cgi?mode=Info&amp;id=7054&amp;lvl=3&amp;lin=f&amp;keep=1&amp;srchmode=1&amp;unlock","7054")</f>
        <v>7054</v>
      </c>
      <c r="F4170" t="s">
        <v>760</v>
      </c>
      <c r="G4170" t="str">
        <f>HYPERLINK("http://www.ncbi.nlm.nih.gov/Taxonomy/Browser/wwwtax.cgi?mode=Info&amp;id=7054&amp;lvl=3&amp;lin=f&amp;keep=1&amp;srchmode=1&amp;unlock","Photinus pyralis")</f>
        <v>Photinus pyralis</v>
      </c>
      <c r="H4170" t="s">
        <v>1081</v>
      </c>
      <c r="I4170" t="str">
        <f>HYPERLINK("http://www.ncbi.nlm.nih.gov/protein/KAB0792305.1","hypothetical protein PPYR_14264")</f>
        <v>hypothetical protein PPYR_14264</v>
      </c>
      <c r="J4170">
        <v>2973.73</v>
      </c>
      <c r="K4170" t="s">
        <v>22</v>
      </c>
      <c r="L4170">
        <v>76</v>
      </c>
      <c r="M4170">
        <v>12.58</v>
      </c>
      <c r="N4170">
        <v>29.27</v>
      </c>
      <c r="O4170" t="s">
        <v>19</v>
      </c>
      <c r="P4170" t="s">
        <v>1320</v>
      </c>
      <c r="Q4170" t="s">
        <v>19</v>
      </c>
      <c r="R4170" t="str">
        <f>HYPERLINK("https://cfpub.epa.gov/ecotox/explore.cfm?ncbi=7054","Explore in ECOTOX")</f>
        <v>Explore in ECOTOX</v>
      </c>
    </row>
    <row r="4171" spans="1:18" x14ac:dyDescent="0.45">
      <c r="A4171" t="s">
        <v>1265</v>
      </c>
      <c r="B4171">
        <v>8</v>
      </c>
      <c r="C4171" t="str">
        <f>HYPERLINK("http://www.ncbi.nlm.nih.gov/protein/XP_002061506.2","XP_002061506.2")</f>
        <v>XP_002061506.2</v>
      </c>
      <c r="D4171">
        <v>36661</v>
      </c>
      <c r="E4171" t="str">
        <f>HYPERLINK("http://www.ncbi.nlm.nih.gov/Taxonomy/Browser/wwwtax.cgi?mode=Info&amp;id=7260&amp;lvl=3&amp;lin=f&amp;keep=1&amp;srchmode=1&amp;unlock","7260")</f>
        <v>7260</v>
      </c>
      <c r="F4171" t="s">
        <v>760</v>
      </c>
      <c r="G4171" t="str">
        <f>HYPERLINK("http://www.ncbi.nlm.nih.gov/Taxonomy/Browser/wwwtax.cgi?mode=Info&amp;id=7260&amp;lvl=3&amp;lin=f&amp;keep=1&amp;srchmode=1&amp;unlock","Drosophila willistoni")</f>
        <v>Drosophila willistoni</v>
      </c>
      <c r="H4171" t="s">
        <v>953</v>
      </c>
      <c r="I4171" t="str">
        <f>HYPERLINK("http://www.ncbi.nlm.nih.gov/protein/XP_002061506.2","ryanodine receptor isoform X4")</f>
        <v>ryanodine receptor isoform X4</v>
      </c>
      <c r="J4171">
        <v>2972.19</v>
      </c>
      <c r="K4171" t="s">
        <v>22</v>
      </c>
      <c r="L4171">
        <v>76</v>
      </c>
      <c r="M4171">
        <v>12.58</v>
      </c>
      <c r="N4171">
        <v>29.25</v>
      </c>
      <c r="O4171" t="s">
        <v>19</v>
      </c>
      <c r="P4171" t="s">
        <v>1320</v>
      </c>
      <c r="Q4171" t="s">
        <v>19</v>
      </c>
      <c r="R4171" t="str">
        <f>HYPERLINK("https://cfpub.epa.gov/ecotox/explore.cfm?ncbi=7260","Explore in ECOTOX")</f>
        <v>Explore in ECOTOX</v>
      </c>
    </row>
    <row r="4172" spans="1:18" x14ac:dyDescent="0.45">
      <c r="A4172" t="s">
        <v>1265</v>
      </c>
      <c r="B4172">
        <v>8</v>
      </c>
      <c r="C4172" t="str">
        <f>HYPERLINK("http://www.ncbi.nlm.nih.gov/protein/XP_032293360.1","XP_032293360.1")</f>
        <v>XP_032293360.1</v>
      </c>
      <c r="D4172">
        <v>44740</v>
      </c>
      <c r="E4172" t="str">
        <f>HYPERLINK("http://www.ncbi.nlm.nih.gov/Taxonomy/Browser/wwwtax.cgi?mode=Info&amp;id=7244&amp;lvl=3&amp;lin=f&amp;keep=1&amp;srchmode=1&amp;unlock","7244")</f>
        <v>7244</v>
      </c>
      <c r="F4172" t="s">
        <v>760</v>
      </c>
      <c r="G4172" t="str">
        <f>HYPERLINK("http://www.ncbi.nlm.nih.gov/Taxonomy/Browser/wwwtax.cgi?mode=Info&amp;id=7244&amp;lvl=3&amp;lin=f&amp;keep=1&amp;srchmode=1&amp;unlock","Drosophila virilis")</f>
        <v>Drosophila virilis</v>
      </c>
      <c r="H4172" t="s">
        <v>953</v>
      </c>
      <c r="I4172" t="str">
        <f>HYPERLINK("http://www.ncbi.nlm.nih.gov/protein/XP_032293360.1","ryanodine receptor isoform X12")</f>
        <v>ryanodine receptor isoform X12</v>
      </c>
      <c r="J4172">
        <v>2969.1</v>
      </c>
      <c r="K4172" t="s">
        <v>22</v>
      </c>
      <c r="L4172">
        <v>76</v>
      </c>
      <c r="M4172">
        <v>12.58</v>
      </c>
      <c r="N4172">
        <v>29.22</v>
      </c>
      <c r="O4172" t="s">
        <v>19</v>
      </c>
      <c r="P4172" t="s">
        <v>1320</v>
      </c>
      <c r="Q4172" t="s">
        <v>19</v>
      </c>
      <c r="R4172" t="str">
        <f>HYPERLINK("https://cfpub.epa.gov/ecotox/explore.cfm?ncbi=7244","Explore in ECOTOX")</f>
        <v>Explore in ECOTOX</v>
      </c>
    </row>
    <row r="4173" spans="1:18" x14ac:dyDescent="0.45">
      <c r="A4173" t="s">
        <v>1265</v>
      </c>
      <c r="B4173">
        <v>8</v>
      </c>
      <c r="C4173" t="str">
        <f>HYPERLINK("http://www.ncbi.nlm.nih.gov/protein/XP_055904501.1","XP_055904501.1")</f>
        <v>XP_055904501.1</v>
      </c>
      <c r="D4173">
        <v>22407</v>
      </c>
      <c r="E4173" t="str">
        <f>HYPERLINK("http://www.ncbi.nlm.nih.gov/Taxonomy/Browser/wwwtax.cgi?mode=Info&amp;id=290404&amp;lvl=3&amp;lin=f&amp;keep=1&amp;srchmode=1&amp;unlock","290404")</f>
        <v>290404</v>
      </c>
      <c r="F4173" t="s">
        <v>760</v>
      </c>
      <c r="G4173" t="str">
        <f>HYPERLINK("http://www.ncbi.nlm.nih.gov/Taxonomy/Browser/wwwtax.cgi?mode=Info&amp;id=290404&amp;lvl=3&amp;lin=f&amp;keep=1&amp;srchmode=1&amp;unlock","Eupeodes corollae")</f>
        <v>Eupeodes corollae</v>
      </c>
      <c r="H4173" t="s">
        <v>989</v>
      </c>
      <c r="I4173" t="str">
        <f>HYPERLINK("http://www.ncbi.nlm.nih.gov/protein/XP_055904501.1","ryanodine receptor isoform X12")</f>
        <v>ryanodine receptor isoform X12</v>
      </c>
      <c r="J4173">
        <v>2967.56</v>
      </c>
      <c r="K4173" t="s">
        <v>22</v>
      </c>
      <c r="L4173">
        <v>76</v>
      </c>
      <c r="M4173">
        <v>12.58</v>
      </c>
      <c r="N4173">
        <v>29.21</v>
      </c>
      <c r="O4173" t="s">
        <v>19</v>
      </c>
      <c r="P4173" t="s">
        <v>1320</v>
      </c>
      <c r="Q4173" t="s">
        <v>19</v>
      </c>
      <c r="R4173" t="str">
        <f>HYPERLINK("https://cfpub.epa.gov/ecotox/explore.cfm?ncbi=290404","Explore in ECOTOX")</f>
        <v>Explore in ECOTOX</v>
      </c>
    </row>
    <row r="4174" spans="1:18" x14ac:dyDescent="0.45">
      <c r="A4174" t="s">
        <v>1265</v>
      </c>
      <c r="B4174">
        <v>8</v>
      </c>
      <c r="C4174" t="str">
        <f>HYPERLINK("http://www.ncbi.nlm.nih.gov/protein/XP_017044343.1","XP_017044343.1")</f>
        <v>XP_017044343.1</v>
      </c>
      <c r="D4174">
        <v>22168</v>
      </c>
      <c r="E4174" t="str">
        <f>HYPERLINK("http://www.ncbi.nlm.nih.gov/Taxonomy/Browser/wwwtax.cgi?mode=Info&amp;id=30025&amp;lvl=3&amp;lin=f&amp;keep=1&amp;srchmode=1&amp;unlock","30025")</f>
        <v>30025</v>
      </c>
      <c r="F4174" t="s">
        <v>760</v>
      </c>
      <c r="G4174" t="str">
        <f>HYPERLINK("http://www.ncbi.nlm.nih.gov/Taxonomy/Browser/wwwtax.cgi?mode=Info&amp;id=30025&amp;lvl=3&amp;lin=f&amp;keep=1&amp;srchmode=1&amp;unlock","Drosophila ficusphila")</f>
        <v>Drosophila ficusphila</v>
      </c>
      <c r="H4174" t="s">
        <v>953</v>
      </c>
      <c r="I4174" t="str">
        <f>HYPERLINK("http://www.ncbi.nlm.nih.gov/protein/XP_017044343.1","LOW QUALITY PROTEIN: ryanodine receptor")</f>
        <v>LOW QUALITY PROTEIN: ryanodine receptor</v>
      </c>
      <c r="J4174">
        <v>2966.02</v>
      </c>
      <c r="K4174" t="s">
        <v>22</v>
      </c>
      <c r="L4174">
        <v>76</v>
      </c>
      <c r="M4174">
        <v>12.58</v>
      </c>
      <c r="N4174">
        <v>29.19</v>
      </c>
      <c r="O4174" t="s">
        <v>19</v>
      </c>
      <c r="P4174" t="s">
        <v>1320</v>
      </c>
      <c r="Q4174" t="s">
        <v>19</v>
      </c>
      <c r="R4174" t="str">
        <f>HYPERLINK("https://cfpub.epa.gov/ecotox/explore.cfm?ncbi=30025","Explore in ECOTOX")</f>
        <v>Explore in ECOTOX</v>
      </c>
    </row>
    <row r="4175" spans="1:18" x14ac:dyDescent="0.45">
      <c r="A4175" t="s">
        <v>1265</v>
      </c>
      <c r="B4175">
        <v>8</v>
      </c>
      <c r="C4175" t="str">
        <f>HYPERLINK("http://www.ncbi.nlm.nih.gov/protein/KAH8348814.1","KAH8348814.1")</f>
        <v>KAH8348814.1</v>
      </c>
      <c r="D4175">
        <v>13154</v>
      </c>
      <c r="E4175" t="str">
        <f>HYPERLINK("http://www.ncbi.nlm.nih.gov/Taxonomy/Browser/wwwtax.cgi?mode=Info&amp;id=193234&amp;lvl=3&amp;lin=f&amp;keep=1&amp;srchmode=1&amp;unlock","193234")</f>
        <v>193234</v>
      </c>
      <c r="F4175" t="s">
        <v>760</v>
      </c>
      <c r="G4175" t="str">
        <f>HYPERLINK("http://www.ncbi.nlm.nih.gov/Taxonomy/Browser/wwwtax.cgi?mode=Info&amp;id=193234&amp;lvl=3&amp;lin=f&amp;keep=1&amp;srchmode=1&amp;unlock","Drosophila pseudotakahashii")</f>
        <v>Drosophila pseudotakahashii</v>
      </c>
      <c r="H4175" t="s">
        <v>953</v>
      </c>
      <c r="I4175" t="str">
        <f>HYPERLINK("http://www.ncbi.nlm.nih.gov/protein/KAH8348814.1","hypothetical protein KR084_011459")</f>
        <v>hypothetical protein KR084_011459</v>
      </c>
      <c r="J4175">
        <v>2963.33</v>
      </c>
      <c r="K4175" t="s">
        <v>22</v>
      </c>
      <c r="L4175">
        <v>76</v>
      </c>
      <c r="M4175">
        <v>12.58</v>
      </c>
      <c r="N4175">
        <v>29.16</v>
      </c>
      <c r="O4175" t="s">
        <v>19</v>
      </c>
      <c r="P4175" t="s">
        <v>1320</v>
      </c>
      <c r="Q4175" t="s">
        <v>19</v>
      </c>
      <c r="R4175" t="str">
        <f>HYPERLINK("https://cfpub.epa.gov/ecotox/explore.cfm?ncbi=193234","Explore in ECOTOX")</f>
        <v>Explore in ECOTOX</v>
      </c>
    </row>
    <row r="4176" spans="1:18" x14ac:dyDescent="0.45">
      <c r="A4176" t="s">
        <v>1265</v>
      </c>
      <c r="B4176">
        <v>8</v>
      </c>
      <c r="C4176" t="str">
        <f>HYPERLINK("http://www.ncbi.nlm.nih.gov/protein/XP_017777975.1","XP_017777975.1")</f>
        <v>XP_017777975.1</v>
      </c>
      <c r="D4176">
        <v>19633</v>
      </c>
      <c r="E4176" t="str">
        <f>HYPERLINK("http://www.ncbi.nlm.nih.gov/Taxonomy/Browser/wwwtax.cgi?mode=Info&amp;id=110193&amp;lvl=3&amp;lin=f&amp;keep=1&amp;srchmode=1&amp;unlock","110193")</f>
        <v>110193</v>
      </c>
      <c r="F4176" t="s">
        <v>760</v>
      </c>
      <c r="G4176" t="str">
        <f>HYPERLINK("http://www.ncbi.nlm.nih.gov/Taxonomy/Browser/wwwtax.cgi?mode=Info&amp;id=110193&amp;lvl=3&amp;lin=f&amp;keep=1&amp;srchmode=1&amp;unlock","Nicrophorus vespilloides")</f>
        <v>Nicrophorus vespilloides</v>
      </c>
      <c r="H4176" t="s">
        <v>991</v>
      </c>
      <c r="I4176" t="str">
        <f>HYPERLINK("http://www.ncbi.nlm.nih.gov/protein/XP_017777975.1","PREDICTED: ryanodine receptor")</f>
        <v>PREDICTED: ryanodine receptor</v>
      </c>
      <c r="J4176">
        <v>2961.4</v>
      </c>
      <c r="K4176" t="s">
        <v>22</v>
      </c>
      <c r="L4176">
        <v>76</v>
      </c>
      <c r="M4176">
        <v>12.58</v>
      </c>
      <c r="N4176">
        <v>29.15</v>
      </c>
      <c r="O4176" t="s">
        <v>19</v>
      </c>
      <c r="P4176" t="s">
        <v>1320</v>
      </c>
      <c r="Q4176" t="s">
        <v>19</v>
      </c>
      <c r="R4176" t="str">
        <f>HYPERLINK("https://cfpub.epa.gov/ecotox/explore.cfm?ncbi=110193","Explore in ECOTOX")</f>
        <v>Explore in ECOTOX</v>
      </c>
    </row>
    <row r="4177" spans="1:18" x14ac:dyDescent="0.45">
      <c r="A4177" t="s">
        <v>1265</v>
      </c>
      <c r="B4177">
        <v>8</v>
      </c>
      <c r="C4177" t="str">
        <f>HYPERLINK("http://www.ncbi.nlm.nih.gov/protein/KAH8285501.1","KAH8285501.1")</f>
        <v>KAH8285501.1</v>
      </c>
      <c r="D4177">
        <v>12797</v>
      </c>
      <c r="E4177" t="str">
        <f>HYPERLINK("http://www.ncbi.nlm.nih.gov/Taxonomy/Browser/wwwtax.cgi?mode=Info&amp;id=111875&amp;lvl=3&amp;lin=f&amp;keep=1&amp;srchmode=1&amp;unlock","111875")</f>
        <v>111875</v>
      </c>
      <c r="F4177" t="s">
        <v>760</v>
      </c>
      <c r="G4177" t="str">
        <f>HYPERLINK("http://www.ncbi.nlm.nih.gov/Taxonomy/Browser/wwwtax.cgi?mode=Info&amp;id=111875&amp;lvl=3&amp;lin=f&amp;keep=1&amp;srchmode=1&amp;unlock","Drosophila jambulina")</f>
        <v>Drosophila jambulina</v>
      </c>
      <c r="H4177" t="s">
        <v>953</v>
      </c>
      <c r="I4177" t="str">
        <f>HYPERLINK("http://www.ncbi.nlm.nih.gov/protein/KAH8285501.1","hypothetical protein KR054_010085")</f>
        <v>hypothetical protein KR054_010085</v>
      </c>
      <c r="J4177">
        <v>2959.47</v>
      </c>
      <c r="K4177" t="s">
        <v>22</v>
      </c>
      <c r="L4177">
        <v>76</v>
      </c>
      <c r="M4177">
        <v>12.58</v>
      </c>
      <c r="N4177">
        <v>29.13</v>
      </c>
      <c r="O4177" t="s">
        <v>19</v>
      </c>
      <c r="P4177" t="s">
        <v>1320</v>
      </c>
      <c r="Q4177" t="s">
        <v>19</v>
      </c>
      <c r="R4177" t="str">
        <f>HYPERLINK("https://cfpub.epa.gov/ecotox/explore.cfm?ncbi=111875","Explore in ECOTOX")</f>
        <v>Explore in ECOTOX</v>
      </c>
    </row>
    <row r="4178" spans="1:18" x14ac:dyDescent="0.45">
      <c r="A4178" t="s">
        <v>1265</v>
      </c>
      <c r="B4178">
        <v>8</v>
      </c>
      <c r="C4178" t="str">
        <f>HYPERLINK("http://www.ncbi.nlm.nih.gov/protein/XP_050322453.1","XP_050322453.1")</f>
        <v>XP_050322453.1</v>
      </c>
      <c r="D4178">
        <v>25676</v>
      </c>
      <c r="E4178" t="str">
        <f>HYPERLINK("http://www.ncbi.nlm.nih.gov/Taxonomy/Browser/wwwtax.cgi?mode=Info&amp;id=98809&amp;lvl=3&amp;lin=f&amp;keep=1&amp;srchmode=1&amp;unlock","98809")</f>
        <v>98809</v>
      </c>
      <c r="F4178" t="s">
        <v>760</v>
      </c>
      <c r="G4178" t="str">
        <f>HYPERLINK("http://www.ncbi.nlm.nih.gov/Taxonomy/Browser/wwwtax.cgi?mode=Info&amp;id=98809&amp;lvl=3&amp;lin=f&amp;keep=1&amp;srchmode=1&amp;unlock","Bactrocera neohumeralis")</f>
        <v>Bactrocera neohumeralis</v>
      </c>
      <c r="H4178" t="s">
        <v>953</v>
      </c>
      <c r="I4178" t="str">
        <f>HYPERLINK("http://www.ncbi.nlm.nih.gov/protein/XP_050322453.1","LOW QUALITY PROTEIN: ryanodine receptor")</f>
        <v>LOW QUALITY PROTEIN: ryanodine receptor</v>
      </c>
      <c r="J4178">
        <v>2958.7</v>
      </c>
      <c r="K4178" t="s">
        <v>22</v>
      </c>
      <c r="L4178">
        <v>76</v>
      </c>
      <c r="M4178">
        <v>12.58</v>
      </c>
      <c r="N4178">
        <v>29.12</v>
      </c>
      <c r="O4178" t="s">
        <v>19</v>
      </c>
      <c r="P4178" t="s">
        <v>1320</v>
      </c>
      <c r="Q4178" t="s">
        <v>19</v>
      </c>
      <c r="R4178" t="str">
        <f>HYPERLINK("https://cfpub.epa.gov/ecotox/explore.cfm?ncbi=98809","Explore in ECOTOX")</f>
        <v>Explore in ECOTOX</v>
      </c>
    </row>
    <row r="4179" spans="1:18" x14ac:dyDescent="0.45">
      <c r="A4179" t="s">
        <v>1265</v>
      </c>
      <c r="B4179">
        <v>8</v>
      </c>
      <c r="C4179" t="str">
        <f>HYPERLINK("http://www.ncbi.nlm.nih.gov/protein/XP_055857542.1","XP_055857542.1")</f>
        <v>XP_055857542.1</v>
      </c>
      <c r="D4179">
        <v>23283</v>
      </c>
      <c r="E4179" t="str">
        <f>HYPERLINK("http://www.ncbi.nlm.nih.gov/Taxonomy/Browser/wwwtax.cgi?mode=Info&amp;id=286459&amp;lvl=3&amp;lin=f&amp;keep=1&amp;srchmode=1&amp;unlock","286459")</f>
        <v>286459</v>
      </c>
      <c r="F4179" t="s">
        <v>760</v>
      </c>
      <c r="G4179" t="str">
        <f>HYPERLINK("http://www.ncbi.nlm.nih.gov/Taxonomy/Browser/wwwtax.cgi?mode=Info&amp;id=286459&amp;lvl=3&amp;lin=f&amp;keep=1&amp;srchmode=1&amp;unlock","Episyrphus balteatus")</f>
        <v>Episyrphus balteatus</v>
      </c>
      <c r="H4179" t="s">
        <v>990</v>
      </c>
      <c r="I4179" t="str">
        <f>HYPERLINK("http://www.ncbi.nlm.nih.gov/protein/XP_055857542.1","ryanodine receptor isoform X9")</f>
        <v>ryanodine receptor isoform X9</v>
      </c>
      <c r="J4179">
        <v>2957.16</v>
      </c>
      <c r="K4179" t="s">
        <v>22</v>
      </c>
      <c r="L4179">
        <v>76</v>
      </c>
      <c r="M4179">
        <v>12.58</v>
      </c>
      <c r="N4179">
        <v>29.1</v>
      </c>
      <c r="O4179" t="s">
        <v>19</v>
      </c>
      <c r="P4179" t="s">
        <v>1320</v>
      </c>
      <c r="Q4179" t="s">
        <v>19</v>
      </c>
      <c r="R4179" t="str">
        <f>HYPERLINK("https://cfpub.epa.gov/ecotox/explore.cfm?ncbi=286459","Explore in ECOTOX")</f>
        <v>Explore in ECOTOX</v>
      </c>
    </row>
    <row r="4180" spans="1:18" x14ac:dyDescent="0.45">
      <c r="A4180" t="s">
        <v>1265</v>
      </c>
      <c r="B4180">
        <v>8</v>
      </c>
      <c r="C4180" t="str">
        <f>HYPERLINK("http://www.ncbi.nlm.nih.gov/protein/XP_034478185.1","XP_034478185.1")</f>
        <v>XP_034478185.1</v>
      </c>
      <c r="D4180">
        <v>19613</v>
      </c>
      <c r="E4180" t="str">
        <f>HYPERLINK("http://www.ncbi.nlm.nih.gov/Taxonomy/Browser/wwwtax.cgi?mode=Info&amp;id=198719&amp;lvl=3&amp;lin=f&amp;keep=1&amp;srchmode=1&amp;unlock","198719")</f>
        <v>198719</v>
      </c>
      <c r="F4180" t="s">
        <v>760</v>
      </c>
      <c r="G4180" t="str">
        <f>HYPERLINK("http://www.ncbi.nlm.nih.gov/Taxonomy/Browser/wwwtax.cgi?mode=Info&amp;id=198719&amp;lvl=3&amp;lin=f&amp;keep=1&amp;srchmode=1&amp;unlock","Drosophila innubila")</f>
        <v>Drosophila innubila</v>
      </c>
      <c r="H4180" t="s">
        <v>953</v>
      </c>
      <c r="I4180" t="str">
        <f>HYPERLINK("http://www.ncbi.nlm.nih.gov/protein/XP_034478185.1","ryanodine receptor")</f>
        <v>ryanodine receptor</v>
      </c>
      <c r="J4180">
        <v>2955.62</v>
      </c>
      <c r="K4180" t="s">
        <v>22</v>
      </c>
      <c r="L4180">
        <v>76</v>
      </c>
      <c r="M4180">
        <v>12.58</v>
      </c>
      <c r="N4180">
        <v>29.09</v>
      </c>
      <c r="O4180" t="s">
        <v>19</v>
      </c>
      <c r="P4180" t="s">
        <v>1320</v>
      </c>
      <c r="Q4180" t="s">
        <v>19</v>
      </c>
      <c r="R4180" t="str">
        <f>HYPERLINK("https://cfpub.epa.gov/ecotox/explore.cfm?ncbi=198719","Explore in ECOTOX")</f>
        <v>Explore in ECOTOX</v>
      </c>
    </row>
    <row r="4181" spans="1:18" x14ac:dyDescent="0.45">
      <c r="A4181" t="s">
        <v>1265</v>
      </c>
      <c r="B4181">
        <v>8</v>
      </c>
      <c r="C4181" t="str">
        <f>HYPERLINK("http://www.ncbi.nlm.nih.gov/protein/KAH8254374.1","KAH8254374.1")</f>
        <v>KAH8254374.1</v>
      </c>
      <c r="D4181">
        <v>12611</v>
      </c>
      <c r="E4181" t="str">
        <f>HYPERLINK("http://www.ncbi.nlm.nih.gov/Taxonomy/Browser/wwwtax.cgi?mode=Info&amp;id=46829&amp;lvl=3&amp;lin=f&amp;keep=1&amp;srchmode=1&amp;unlock","46829")</f>
        <v>46829</v>
      </c>
      <c r="F4181" t="s">
        <v>760</v>
      </c>
      <c r="G4181" t="str">
        <f>HYPERLINK("http://www.ncbi.nlm.nih.gov/Taxonomy/Browser/wwwtax.cgi?mode=Info&amp;id=46829&amp;lvl=3&amp;lin=f&amp;keep=1&amp;srchmode=1&amp;unlock","Drosophila birchii")</f>
        <v>Drosophila birchii</v>
      </c>
      <c r="H4181" t="s">
        <v>953</v>
      </c>
      <c r="I4181" t="str">
        <f>HYPERLINK("http://www.ncbi.nlm.nih.gov/protein/KAH8254374.1","hypothetical protein KR032_009708")</f>
        <v>hypothetical protein KR032_009708</v>
      </c>
      <c r="J4181">
        <v>2955.24</v>
      </c>
      <c r="K4181" t="s">
        <v>22</v>
      </c>
      <c r="L4181">
        <v>76</v>
      </c>
      <c r="M4181">
        <v>12.58</v>
      </c>
      <c r="N4181">
        <v>29.08</v>
      </c>
      <c r="O4181" t="s">
        <v>19</v>
      </c>
      <c r="P4181" t="s">
        <v>1320</v>
      </c>
      <c r="Q4181" t="s">
        <v>19</v>
      </c>
      <c r="R4181" t="str">
        <f>HYPERLINK("https://cfpub.epa.gov/ecotox/explore.cfm?ncbi=46829","Explore in ECOTOX")</f>
        <v>Explore in ECOTOX</v>
      </c>
    </row>
    <row r="4182" spans="1:18" x14ac:dyDescent="0.45">
      <c r="A4182" t="s">
        <v>1265</v>
      </c>
      <c r="B4182">
        <v>8</v>
      </c>
      <c r="C4182" t="str">
        <f>HYPERLINK("http://www.ncbi.nlm.nih.gov/protein/XP_047491807.1","XP_047491807.1")</f>
        <v>XP_047491807.1</v>
      </c>
      <c r="D4182">
        <v>35168</v>
      </c>
      <c r="E4182" t="str">
        <f>HYPERLINK("http://www.ncbi.nlm.nih.gov/Taxonomy/Browser/wwwtax.cgi?mode=Info&amp;id=139456&amp;lvl=3&amp;lin=f&amp;keep=1&amp;srchmode=1&amp;unlock","139456")</f>
        <v>139456</v>
      </c>
      <c r="F4182" t="s">
        <v>779</v>
      </c>
      <c r="G4182" t="str">
        <f>HYPERLINK("http://www.ncbi.nlm.nih.gov/Taxonomy/Browser/wwwtax.cgi?mode=Info&amp;id=139456&amp;lvl=3&amp;lin=f&amp;keep=1&amp;srchmode=1&amp;unlock","Penaeus chinensis")</f>
        <v>Penaeus chinensis</v>
      </c>
      <c r="H4182" t="s">
        <v>821</v>
      </c>
      <c r="I4182" t="str">
        <f>HYPERLINK("http://www.ncbi.nlm.nih.gov/protein/XP_047491807.1","LOW QUALITY PROTEIN: ryanodine receptor-like")</f>
        <v>LOW QUALITY PROTEIN: ryanodine receptor-like</v>
      </c>
      <c r="J4182">
        <v>2950.23</v>
      </c>
      <c r="K4182" t="s">
        <v>19</v>
      </c>
      <c r="L4182">
        <v>76</v>
      </c>
      <c r="M4182">
        <v>12.58</v>
      </c>
      <c r="N4182">
        <v>29.04</v>
      </c>
      <c r="O4182" t="s">
        <v>19</v>
      </c>
      <c r="P4182" t="s">
        <v>1320</v>
      </c>
      <c r="Q4182" t="s">
        <v>19</v>
      </c>
      <c r="R4182" t="str">
        <f>HYPERLINK("https://cfpub.epa.gov/ecotox/explore.cfm?ncbi=139456","Explore in ECOTOX")</f>
        <v>Explore in ECOTOX</v>
      </c>
    </row>
    <row r="4183" spans="1:18" x14ac:dyDescent="0.45">
      <c r="A4183" t="s">
        <v>1265</v>
      </c>
      <c r="B4183">
        <v>8</v>
      </c>
      <c r="C4183" t="str">
        <f>HYPERLINK("http://www.ncbi.nlm.nih.gov/protein/XP_016986328.1","XP_016986328.1")</f>
        <v>XP_016986328.1</v>
      </c>
      <c r="D4183">
        <v>23439</v>
      </c>
      <c r="E4183" t="str">
        <f>HYPERLINK("http://www.ncbi.nlm.nih.gov/Taxonomy/Browser/wwwtax.cgi?mode=Info&amp;id=1041015&amp;lvl=3&amp;lin=f&amp;keep=1&amp;srchmode=1&amp;unlock","1041015")</f>
        <v>1041015</v>
      </c>
      <c r="F4183" t="s">
        <v>760</v>
      </c>
      <c r="G4183" t="str">
        <f>HYPERLINK("http://www.ncbi.nlm.nih.gov/Taxonomy/Browser/wwwtax.cgi?mode=Info&amp;id=1041015&amp;lvl=3&amp;lin=f&amp;keep=1&amp;srchmode=1&amp;unlock","Drosophila rhopaloa")</f>
        <v>Drosophila rhopaloa</v>
      </c>
      <c r="H4183" t="s">
        <v>953</v>
      </c>
      <c r="I4183" t="str">
        <f>HYPERLINK("http://www.ncbi.nlm.nih.gov/protein/XP_016986328.1","LOW QUALITY PROTEIN: ryanodine receptor")</f>
        <v>LOW QUALITY PROTEIN: ryanodine receptor</v>
      </c>
      <c r="J4183">
        <v>2946.76</v>
      </c>
      <c r="K4183" t="s">
        <v>22</v>
      </c>
      <c r="L4183">
        <v>76</v>
      </c>
      <c r="M4183">
        <v>12.58</v>
      </c>
      <c r="N4183">
        <v>29</v>
      </c>
      <c r="O4183" t="s">
        <v>19</v>
      </c>
      <c r="P4183" t="s">
        <v>1320</v>
      </c>
      <c r="Q4183" t="s">
        <v>19</v>
      </c>
      <c r="R4183" t="str">
        <f>HYPERLINK("https://cfpub.epa.gov/ecotox/explore.cfm?ncbi=1041015","Explore in ECOTOX")</f>
        <v>Explore in ECOTOX</v>
      </c>
    </row>
    <row r="4184" spans="1:18" x14ac:dyDescent="0.45">
      <c r="A4184" t="s">
        <v>1265</v>
      </c>
      <c r="B4184">
        <v>8</v>
      </c>
      <c r="C4184" t="str">
        <f>HYPERLINK("http://www.ncbi.nlm.nih.gov/protein/KOX73585.1","KOX73585.1")</f>
        <v>KOX73585.1</v>
      </c>
      <c r="D4184">
        <v>14310</v>
      </c>
      <c r="E4184" t="str">
        <f>HYPERLINK("http://www.ncbi.nlm.nih.gov/Taxonomy/Browser/wwwtax.cgi?mode=Info&amp;id=166423&amp;lvl=3&amp;lin=f&amp;keep=1&amp;srchmode=1&amp;unlock","166423")</f>
        <v>166423</v>
      </c>
      <c r="F4184" t="s">
        <v>760</v>
      </c>
      <c r="G4184" t="str">
        <f>HYPERLINK("http://www.ncbi.nlm.nih.gov/Taxonomy/Browser/wwwtax.cgi?mode=Info&amp;id=166423&amp;lvl=3&amp;lin=f&amp;keep=1&amp;srchmode=1&amp;unlock","Melipona quadrifasciata")</f>
        <v>Melipona quadrifasciata</v>
      </c>
      <c r="H4184" t="s">
        <v>817</v>
      </c>
      <c r="I4184" t="str">
        <f>HYPERLINK("http://www.ncbi.nlm.nih.gov/protein/KOX73585.1","Ryanodine receptor 44F, partial")</f>
        <v>Ryanodine receptor 44F, partial</v>
      </c>
      <c r="J4184">
        <v>2944.84</v>
      </c>
      <c r="K4184" t="s">
        <v>22</v>
      </c>
      <c r="L4184">
        <v>76</v>
      </c>
      <c r="M4184">
        <v>12.58</v>
      </c>
      <c r="N4184">
        <v>28.98</v>
      </c>
      <c r="O4184" t="s">
        <v>19</v>
      </c>
      <c r="P4184" t="s">
        <v>1320</v>
      </c>
      <c r="Q4184" t="s">
        <v>19</v>
      </c>
      <c r="R4184" t="str">
        <f>HYPERLINK("https://cfpub.epa.gov/ecotox/explore.cfm?ncbi=166423","Explore in ECOTOX")</f>
        <v>Explore in ECOTOX</v>
      </c>
    </row>
    <row r="4185" spans="1:18" x14ac:dyDescent="0.45">
      <c r="A4185" t="s">
        <v>1265</v>
      </c>
      <c r="B4185">
        <v>8</v>
      </c>
      <c r="C4185" t="str">
        <f>HYPERLINK("http://www.ncbi.nlm.nih.gov/protein/TMW46794.1","TMW46794.1")</f>
        <v>TMW46794.1</v>
      </c>
      <c r="D4185">
        <v>15895</v>
      </c>
      <c r="E4185" t="str">
        <f>HYPERLINK("http://www.ncbi.nlm.nih.gov/Taxonomy/Browser/wwwtax.cgi?mode=Info&amp;id=7385&amp;lvl=3&amp;lin=f&amp;keep=1&amp;srchmode=1&amp;unlock","7385")</f>
        <v>7385</v>
      </c>
      <c r="F4185" t="s">
        <v>760</v>
      </c>
      <c r="G4185" t="str">
        <f>HYPERLINK("http://www.ncbi.nlm.nih.gov/Taxonomy/Browser/wwwtax.cgi?mode=Info&amp;id=7385&amp;lvl=3&amp;lin=f&amp;keep=1&amp;srchmode=1&amp;unlock","Sarcophaga bullata")</f>
        <v>Sarcophaga bullata</v>
      </c>
      <c r="H4185" t="s">
        <v>994</v>
      </c>
      <c r="I4185" t="str">
        <f>HYPERLINK("http://www.ncbi.nlm.nih.gov/protein/TMW46794.1","hypothetical protein DOY81_008127, partial")</f>
        <v>hypothetical protein DOY81_008127, partial</v>
      </c>
      <c r="J4185">
        <v>2943.68</v>
      </c>
      <c r="K4185" t="s">
        <v>22</v>
      </c>
      <c r="L4185">
        <v>76</v>
      </c>
      <c r="M4185">
        <v>12.58</v>
      </c>
      <c r="N4185">
        <v>28.97</v>
      </c>
      <c r="O4185" t="s">
        <v>19</v>
      </c>
      <c r="P4185" t="s">
        <v>1320</v>
      </c>
      <c r="Q4185" t="s">
        <v>19</v>
      </c>
      <c r="R4185" t="str">
        <f>HYPERLINK("https://cfpub.epa.gov/ecotox/explore.cfm?ncbi=7385","Explore in ECOTOX")</f>
        <v>Explore in ECOTOX</v>
      </c>
    </row>
    <row r="4186" spans="1:18" x14ac:dyDescent="0.45">
      <c r="A4186" t="s">
        <v>1265</v>
      </c>
      <c r="B4186">
        <v>8</v>
      </c>
      <c r="C4186" t="str">
        <f>HYPERLINK("http://www.ncbi.nlm.nih.gov/protein/XP_050722298.1","XP_050722298.1")</f>
        <v>XP_050722298.1</v>
      </c>
      <c r="D4186">
        <v>55747</v>
      </c>
      <c r="E4186" t="str">
        <f>HYPERLINK("http://www.ncbi.nlm.nih.gov/Taxonomy/Browser/wwwtax.cgi?mode=Info&amp;id=95602&amp;lvl=3&amp;lin=f&amp;keep=1&amp;srchmode=1&amp;unlock","95602")</f>
        <v>95602</v>
      </c>
      <c r="F4186" t="s">
        <v>779</v>
      </c>
      <c r="G4186" t="str">
        <f>HYPERLINK("http://www.ncbi.nlm.nih.gov/Taxonomy/Browser/wwwtax.cgi?mode=Info&amp;id=95602&amp;lvl=3&amp;lin=f&amp;keep=1&amp;srchmode=1&amp;unlock","Eriocheir sinensis")</f>
        <v>Eriocheir sinensis</v>
      </c>
      <c r="H4186" t="s">
        <v>780</v>
      </c>
      <c r="I4186" t="str">
        <f>HYPERLINK("http://www.ncbi.nlm.nih.gov/protein/XP_050722298.1","ryanodine receptor-like isoform X9")</f>
        <v>ryanodine receptor-like isoform X9</v>
      </c>
      <c r="J4186">
        <v>2939.06</v>
      </c>
      <c r="K4186" t="s">
        <v>22</v>
      </c>
      <c r="L4186">
        <v>76</v>
      </c>
      <c r="M4186">
        <v>12.58</v>
      </c>
      <c r="N4186">
        <v>28.93</v>
      </c>
      <c r="O4186" t="s">
        <v>19</v>
      </c>
      <c r="P4186" t="s">
        <v>1320</v>
      </c>
      <c r="Q4186" t="s">
        <v>19</v>
      </c>
      <c r="R4186" t="str">
        <f>HYPERLINK("https://cfpub.epa.gov/ecotox/explore.cfm?ncbi=95602","Explore in ECOTOX")</f>
        <v>Explore in ECOTOX</v>
      </c>
    </row>
    <row r="4187" spans="1:18" x14ac:dyDescent="0.45">
      <c r="A4187" t="s">
        <v>1265</v>
      </c>
      <c r="B4187">
        <v>8</v>
      </c>
      <c r="C4187" t="str">
        <f>HYPERLINK("http://www.ncbi.nlm.nih.gov/protein/XP_017790364.1","XP_017790364.1")</f>
        <v>XP_017790364.1</v>
      </c>
      <c r="D4187">
        <v>25074</v>
      </c>
      <c r="E4187" t="str">
        <f>HYPERLINK("http://www.ncbi.nlm.nih.gov/Taxonomy/Browser/wwwtax.cgi?mode=Info&amp;id=597456&amp;lvl=3&amp;lin=f&amp;keep=1&amp;srchmode=1&amp;unlock","597456")</f>
        <v>597456</v>
      </c>
      <c r="F4187" t="s">
        <v>760</v>
      </c>
      <c r="G4187" t="str">
        <f>HYPERLINK("http://www.ncbi.nlm.nih.gov/Taxonomy/Browser/wwwtax.cgi?mode=Info&amp;id=597456&amp;lvl=3&amp;lin=f&amp;keep=1&amp;srchmode=1&amp;unlock","Habropoda laboriosa")</f>
        <v>Habropoda laboriosa</v>
      </c>
      <c r="H4187" t="s">
        <v>996</v>
      </c>
      <c r="I4187" t="str">
        <f>HYPERLINK("http://www.ncbi.nlm.nih.gov/protein/XP_017790364.1","PREDICTED: LOW QUALITY PROTEIN: ryanodine receptor")</f>
        <v>PREDICTED: LOW QUALITY PROTEIN: ryanodine receptor</v>
      </c>
      <c r="J4187">
        <v>2936.75</v>
      </c>
      <c r="K4187" t="s">
        <v>22</v>
      </c>
      <c r="L4187">
        <v>76</v>
      </c>
      <c r="M4187">
        <v>12.58</v>
      </c>
      <c r="N4187">
        <v>28.9</v>
      </c>
      <c r="O4187" t="s">
        <v>19</v>
      </c>
      <c r="P4187" t="s">
        <v>1320</v>
      </c>
      <c r="Q4187" t="s">
        <v>19</v>
      </c>
      <c r="R4187" t="str">
        <f>HYPERLINK("https://cfpub.epa.gov/ecotox/explore.cfm?ncbi=597456","Explore in ECOTOX")</f>
        <v>Explore in ECOTOX</v>
      </c>
    </row>
    <row r="4188" spans="1:18" x14ac:dyDescent="0.45">
      <c r="A4188" t="s">
        <v>1265</v>
      </c>
      <c r="B4188">
        <v>8</v>
      </c>
      <c r="C4188" t="str">
        <f>HYPERLINK("http://www.ncbi.nlm.nih.gov/protein/XP_045113402.1","XP_045113402.1")</f>
        <v>XP_045113402.1</v>
      </c>
      <c r="D4188">
        <v>138506</v>
      </c>
      <c r="E4188" t="str">
        <f>HYPERLINK("http://www.ncbi.nlm.nih.gov/Taxonomy/Browser/wwwtax.cgi?mode=Info&amp;id=210409&amp;lvl=3&amp;lin=f&amp;keep=1&amp;srchmode=1&amp;unlock","210409")</f>
        <v>210409</v>
      </c>
      <c r="F4188" t="s">
        <v>779</v>
      </c>
      <c r="G4188" t="str">
        <f>HYPERLINK("http://www.ncbi.nlm.nih.gov/Taxonomy/Browser/wwwtax.cgi?mode=Info&amp;id=210409&amp;lvl=3&amp;lin=f&amp;keep=1&amp;srchmode=1&amp;unlock","Portunus trituberculatus")</f>
        <v>Portunus trituberculatus</v>
      </c>
      <c r="H4188" t="s">
        <v>782</v>
      </c>
      <c r="I4188" t="str">
        <f>HYPERLINK("http://www.ncbi.nlm.nih.gov/protein/XP_045113402.1","ryanodine receptor-like")</f>
        <v>ryanodine receptor-like</v>
      </c>
      <c r="J4188">
        <v>2923.27</v>
      </c>
      <c r="K4188" t="s">
        <v>22</v>
      </c>
      <c r="L4188">
        <v>76</v>
      </c>
      <c r="M4188">
        <v>12.58</v>
      </c>
      <c r="N4188">
        <v>28.77</v>
      </c>
      <c r="O4188" t="s">
        <v>19</v>
      </c>
      <c r="P4188" t="s">
        <v>1320</v>
      </c>
      <c r="Q4188" t="s">
        <v>19</v>
      </c>
      <c r="R4188" t="str">
        <f>HYPERLINK("https://cfpub.epa.gov/ecotox/explore.cfm?ncbi=210409","Explore in ECOTOX")</f>
        <v>Explore in ECOTOX</v>
      </c>
    </row>
    <row r="4189" spans="1:18" x14ac:dyDescent="0.45">
      <c r="A4189" t="s">
        <v>1265</v>
      </c>
      <c r="B4189">
        <v>8</v>
      </c>
      <c r="C4189" t="str">
        <f>HYPERLINK("http://www.ncbi.nlm.nih.gov/protein/WCO13211.1","WCO13211.1")</f>
        <v>WCO13211.1</v>
      </c>
      <c r="D4189">
        <v>151</v>
      </c>
      <c r="E4189" t="str">
        <f>HYPERLINK("http://www.ncbi.nlm.nih.gov/Taxonomy/Browser/wwwtax.cgi?mode=Info&amp;id=6717&amp;lvl=3&amp;lin=f&amp;keep=1&amp;srchmode=1&amp;unlock","6717")</f>
        <v>6717</v>
      </c>
      <c r="F4189" t="s">
        <v>779</v>
      </c>
      <c r="G4189" t="str">
        <f>HYPERLINK("http://www.ncbi.nlm.nih.gov/Taxonomy/Browser/wwwtax.cgi?mode=Info&amp;id=6717&amp;lvl=3&amp;lin=f&amp;keep=1&amp;srchmode=1&amp;unlock","Astacus leptodactylus")</f>
        <v>Astacus leptodactylus</v>
      </c>
      <c r="H4189" t="s">
        <v>781</v>
      </c>
      <c r="I4189" t="str">
        <f>HYPERLINK("http://www.ncbi.nlm.nih.gov/protein/WCO13211.1","ryanodine receptor")</f>
        <v>ryanodine receptor</v>
      </c>
      <c r="J4189">
        <v>2916.33</v>
      </c>
      <c r="K4189" t="s">
        <v>22</v>
      </c>
      <c r="L4189">
        <v>76</v>
      </c>
      <c r="M4189">
        <v>12.58</v>
      </c>
      <c r="N4189">
        <v>28.7</v>
      </c>
      <c r="O4189" t="s">
        <v>19</v>
      </c>
      <c r="P4189" t="s">
        <v>1320</v>
      </c>
      <c r="Q4189" t="s">
        <v>19</v>
      </c>
      <c r="R4189" t="str">
        <f>HYPERLINK("https://cfpub.epa.gov/ecotox/explore.cfm?ncbi=6717","Explore in ECOTOX")</f>
        <v>Explore in ECOTOX</v>
      </c>
    </row>
    <row r="4190" spans="1:18" x14ac:dyDescent="0.45">
      <c r="A4190" t="s">
        <v>1265</v>
      </c>
      <c r="B4190">
        <v>8</v>
      </c>
      <c r="C4190" t="str">
        <f>HYPERLINK("http://www.ncbi.nlm.nih.gov/protein/XP_053210168.1","XP_053210168.1")</f>
        <v>XP_053210168.1</v>
      </c>
      <c r="D4190">
        <v>15055</v>
      </c>
      <c r="E4190" t="str">
        <f>HYPERLINK("http://www.ncbi.nlm.nih.gov/Taxonomy/Browser/wwwtax.cgi?mode=Info&amp;id=50023&amp;lvl=3&amp;lin=f&amp;keep=1&amp;srchmode=1&amp;unlock","50023")</f>
        <v>50023</v>
      </c>
      <c r="F4190" t="s">
        <v>904</v>
      </c>
      <c r="G4190" t="str">
        <f>HYPERLINK("http://www.ncbi.nlm.nih.gov/Taxonomy/Browser/wwwtax.cgi?mode=Info&amp;id=50023&amp;lvl=3&amp;lin=f&amp;keep=1&amp;srchmode=1&amp;unlock","Panonychus citri")</f>
        <v>Panonychus citri</v>
      </c>
      <c r="H4190" t="s">
        <v>1003</v>
      </c>
      <c r="I4190" t="str">
        <f>HYPERLINK("http://www.ncbi.nlm.nih.gov/protein/XP_053210168.1","LOW QUALITY PROTEIN: ryanodine receptor-like")</f>
        <v>LOW QUALITY PROTEIN: ryanodine receptor-like</v>
      </c>
      <c r="J4190">
        <v>2897.46</v>
      </c>
      <c r="K4190" t="s">
        <v>22</v>
      </c>
      <c r="L4190">
        <v>76</v>
      </c>
      <c r="M4190">
        <v>12.58</v>
      </c>
      <c r="N4190">
        <v>28.52</v>
      </c>
      <c r="O4190" t="s">
        <v>19</v>
      </c>
      <c r="P4190" t="s">
        <v>1320</v>
      </c>
      <c r="Q4190" t="s">
        <v>19</v>
      </c>
      <c r="R4190" t="str">
        <f>HYPERLINK("https://cfpub.epa.gov/ecotox/explore.cfm?ncbi=50023","Explore in ECOTOX")</f>
        <v>Explore in ECOTOX</v>
      </c>
    </row>
    <row r="4191" spans="1:18" x14ac:dyDescent="0.45">
      <c r="A4191" t="s">
        <v>1265</v>
      </c>
      <c r="B4191">
        <v>8</v>
      </c>
      <c r="C4191" t="str">
        <f>HYPERLINK("http://www.ncbi.nlm.nih.gov/protein/XP_028968698.1","XP_028968698.1")</f>
        <v>XP_028968698.1</v>
      </c>
      <c r="D4191">
        <v>11907</v>
      </c>
      <c r="E4191" t="str">
        <f>HYPERLINK("http://www.ncbi.nlm.nih.gov/Taxonomy/Browser/wwwtax.cgi?mode=Info&amp;id=34638&amp;lvl=3&amp;lin=f&amp;keep=1&amp;srchmode=1&amp;unlock","34638")</f>
        <v>34638</v>
      </c>
      <c r="F4191" t="s">
        <v>904</v>
      </c>
      <c r="G4191" t="str">
        <f>HYPERLINK("http://www.ncbi.nlm.nih.gov/Taxonomy/Browser/wwwtax.cgi?mode=Info&amp;id=34638&amp;lvl=3&amp;lin=f&amp;keep=1&amp;srchmode=1&amp;unlock","Galendromus occidentalis")</f>
        <v>Galendromus occidentalis</v>
      </c>
      <c r="H4191" t="s">
        <v>1007</v>
      </c>
      <c r="I4191" t="str">
        <f>HYPERLINK("http://www.ncbi.nlm.nih.gov/protein/XP_028968698.1","ryanodine receptor")</f>
        <v>ryanodine receptor</v>
      </c>
      <c r="J4191">
        <v>2852.77</v>
      </c>
      <c r="K4191" t="s">
        <v>22</v>
      </c>
      <c r="L4191">
        <v>76</v>
      </c>
      <c r="M4191">
        <v>12.58</v>
      </c>
      <c r="N4191">
        <v>28.08</v>
      </c>
      <c r="O4191" t="s">
        <v>19</v>
      </c>
      <c r="P4191" t="s">
        <v>1320</v>
      </c>
      <c r="Q4191" t="s">
        <v>19</v>
      </c>
      <c r="R4191" t="str">
        <f>HYPERLINK("https://cfpub.epa.gov/ecotox/explore.cfm?ncbi=34638","Explore in ECOTOX")</f>
        <v>Explore in ECOTOX</v>
      </c>
    </row>
    <row r="4192" spans="1:18" x14ac:dyDescent="0.45">
      <c r="A4192" t="s">
        <v>1265</v>
      </c>
      <c r="B4192">
        <v>8</v>
      </c>
      <c r="C4192" t="str">
        <f>HYPERLINK("http://www.ncbi.nlm.nih.gov/protein/RWS13062.1","RWS13062.1")</f>
        <v>RWS13062.1</v>
      </c>
      <c r="D4192">
        <v>19013</v>
      </c>
      <c r="E4192" t="str">
        <f>HYPERLINK("http://www.ncbi.nlm.nih.gov/Taxonomy/Browser/wwwtax.cgi?mode=Info&amp;id=1965070&amp;lvl=3&amp;lin=f&amp;keep=1&amp;srchmode=1&amp;unlock","1965070")</f>
        <v>1965070</v>
      </c>
      <c r="F4192" t="s">
        <v>904</v>
      </c>
      <c r="G4192" t="str">
        <f>HYPERLINK("http://www.ncbi.nlm.nih.gov/Taxonomy/Browser/wwwtax.cgi?mode=Info&amp;id=1965070&amp;lvl=3&amp;lin=f&amp;keep=1&amp;srchmode=1&amp;unlock","Dinothrombium tinctorium")</f>
        <v>Dinothrombium tinctorium</v>
      </c>
      <c r="H4192" t="s">
        <v>1002</v>
      </c>
      <c r="I4192" t="str">
        <f>HYPERLINK("http://www.ncbi.nlm.nih.gov/protein/RWS13062.1","ryanodine receptor-like protein")</f>
        <v>ryanodine receptor-like protein</v>
      </c>
      <c r="J4192">
        <v>2852.39</v>
      </c>
      <c r="K4192" t="s">
        <v>22</v>
      </c>
      <c r="L4192">
        <v>76</v>
      </c>
      <c r="M4192">
        <v>12.58</v>
      </c>
      <c r="N4192">
        <v>28.07</v>
      </c>
      <c r="O4192" t="s">
        <v>19</v>
      </c>
      <c r="P4192" t="s">
        <v>1320</v>
      </c>
      <c r="Q4192" t="s">
        <v>19</v>
      </c>
      <c r="R4192" t="str">
        <f>HYPERLINK("https://cfpub.epa.gov/ecotox/explore.cfm?ncbi=1965070","Explore in ECOTOX")</f>
        <v>Explore in ECOTOX</v>
      </c>
    </row>
    <row r="4193" spans="1:18" x14ac:dyDescent="0.45">
      <c r="A4193" t="s">
        <v>1265</v>
      </c>
      <c r="B4193">
        <v>8</v>
      </c>
      <c r="C4193" t="str">
        <f>HYPERLINK("http://www.ncbi.nlm.nih.gov/protein/XP_055337213.1","XP_055337213.1")</f>
        <v>XP_055337213.1</v>
      </c>
      <c r="D4193">
        <v>30872</v>
      </c>
      <c r="E4193" t="str">
        <f>HYPERLINK("http://www.ncbi.nlm.nih.gov/Taxonomy/Browser/wwwtax.cgi?mode=Info&amp;id=2943436&amp;lvl=3&amp;lin=f&amp;keep=1&amp;srchmode=1&amp;unlock","2943436")</f>
        <v>2943436</v>
      </c>
      <c r="F4193" t="s">
        <v>1092</v>
      </c>
      <c r="G4193" t="str">
        <f>HYPERLINK("http://www.ncbi.nlm.nih.gov/Taxonomy/Browser/wwwtax.cgi?mode=Info&amp;id=2943436&amp;lvl=3&amp;lin=f&amp;keep=1&amp;srchmode=1&amp;unlock","Paramacrobiotus metropolitanus")</f>
        <v>Paramacrobiotus metropolitanus</v>
      </c>
      <c r="H4193" t="s">
        <v>1093</v>
      </c>
      <c r="I4193" t="str">
        <f>HYPERLINK("http://www.ncbi.nlm.nih.gov/protein/XP_055337213.1","ryanodine receptor-like isoform X2")</f>
        <v>ryanodine receptor-like isoform X2</v>
      </c>
      <c r="J4193">
        <v>2786.9</v>
      </c>
      <c r="K4193" t="s">
        <v>22</v>
      </c>
      <c r="L4193">
        <v>76</v>
      </c>
      <c r="M4193">
        <v>12.58</v>
      </c>
      <c r="N4193">
        <v>27.43</v>
      </c>
      <c r="O4193" t="s">
        <v>19</v>
      </c>
      <c r="P4193" t="s">
        <v>1320</v>
      </c>
      <c r="Q4193" t="s">
        <v>19</v>
      </c>
      <c r="R4193" t="str">
        <f>HYPERLINK("https://cfpub.epa.gov/ecotox/explore.cfm?ncbi=2943436","Explore in ECOTOX")</f>
        <v>Explore in ECOTOX</v>
      </c>
    </row>
    <row r="4194" spans="1:18" x14ac:dyDescent="0.45">
      <c r="A4194" t="s">
        <v>1265</v>
      </c>
      <c r="B4194">
        <v>8</v>
      </c>
      <c r="C4194" t="str">
        <f>HYPERLINK("http://www.ncbi.nlm.nih.gov/protein/PKU46315.1","PKU46315.1")</f>
        <v>PKU46315.1</v>
      </c>
      <c r="D4194">
        <v>23022</v>
      </c>
      <c r="E4194" t="str">
        <f>HYPERLINK("http://www.ncbi.nlm.nih.gov/Taxonomy/Browser/wwwtax.cgi?mode=Info&amp;id=1758121&amp;lvl=3&amp;lin=f&amp;keep=1&amp;srchmode=1&amp;unlock","1758121")</f>
        <v>1758121</v>
      </c>
      <c r="F4194" t="s">
        <v>241</v>
      </c>
      <c r="G4194" t="str">
        <f>HYPERLINK("http://www.ncbi.nlm.nih.gov/Taxonomy/Browser/wwwtax.cgi?mode=Info&amp;id=1758121&amp;lvl=3&amp;lin=f&amp;keep=1&amp;srchmode=1&amp;unlock","Limosa lapponica baueri")</f>
        <v>Limosa lapponica baueri</v>
      </c>
      <c r="H4194" t="s">
        <v>1161</v>
      </c>
      <c r="I4194" t="str">
        <f>HYPERLINK("http://www.ncbi.nlm.nih.gov/protein/PKU46315.1","ryanodine receptor 3")</f>
        <v>ryanodine receptor 3</v>
      </c>
      <c r="J4194">
        <v>2766.87</v>
      </c>
      <c r="K4194" t="s">
        <v>22</v>
      </c>
      <c r="L4194">
        <v>76</v>
      </c>
      <c r="M4194">
        <v>12.58</v>
      </c>
      <c r="N4194">
        <v>27.23</v>
      </c>
      <c r="O4194" t="s">
        <v>19</v>
      </c>
      <c r="P4194" t="s">
        <v>1320</v>
      </c>
      <c r="Q4194" t="s">
        <v>19</v>
      </c>
      <c r="R4194" t="str">
        <f>HYPERLINK("https://cfpub.epa.gov/ecotox/explore.cfm?ncbi=1758121","Explore in ECOTOX")</f>
        <v>Explore in ECOTOX</v>
      </c>
    </row>
    <row r="4195" spans="1:18" x14ac:dyDescent="0.45">
      <c r="A4195" t="s">
        <v>1265</v>
      </c>
      <c r="B4195">
        <v>8</v>
      </c>
      <c r="C4195" t="str">
        <f>HYPERLINK("http://www.ncbi.nlm.nih.gov/protein/CAF1080109.1","CAF1080109.1")</f>
        <v>CAF1080109.1</v>
      </c>
      <c r="D4195">
        <v>412302</v>
      </c>
      <c r="E4195" t="str">
        <f>HYPERLINK("http://www.ncbi.nlm.nih.gov/Taxonomy/Browser/wwwtax.cgi?mode=Info&amp;id=433720&amp;lvl=3&amp;lin=f&amp;keep=1&amp;srchmode=1&amp;unlock","433720")</f>
        <v>433720</v>
      </c>
      <c r="F4195" t="s">
        <v>811</v>
      </c>
      <c r="G4195" t="str">
        <f>HYPERLINK("http://www.ncbi.nlm.nih.gov/Taxonomy/Browser/wwwtax.cgi?mode=Info&amp;id=433720&amp;lvl=3&amp;lin=f&amp;keep=1&amp;srchmode=1&amp;unlock","Adineta steineri")</f>
        <v>Adineta steineri</v>
      </c>
      <c r="H4195" t="s">
        <v>812</v>
      </c>
      <c r="I4195" t="str">
        <f>HYPERLINK("http://www.ncbi.nlm.nih.gov/protein/CAF1080109.1","unnamed protein product")</f>
        <v>unnamed protein product</v>
      </c>
      <c r="J4195">
        <v>2759.94</v>
      </c>
      <c r="K4195" t="s">
        <v>22</v>
      </c>
      <c r="L4195">
        <v>76</v>
      </c>
      <c r="M4195">
        <v>12.58</v>
      </c>
      <c r="N4195">
        <v>27.16</v>
      </c>
      <c r="O4195" t="s">
        <v>19</v>
      </c>
      <c r="P4195" t="s">
        <v>1320</v>
      </c>
      <c r="Q4195" t="s">
        <v>19</v>
      </c>
      <c r="R4195" t="str">
        <f>HYPERLINK("https://cfpub.epa.gov/ecotox/explore.cfm?ncbi=433720","Explore in ECOTOX")</f>
        <v>Explore in ECOTOX</v>
      </c>
    </row>
    <row r="4196" spans="1:18" x14ac:dyDescent="0.45">
      <c r="A4196" t="s">
        <v>1265</v>
      </c>
      <c r="B4196">
        <v>8</v>
      </c>
      <c r="C4196" t="str">
        <f>HYPERLINK("http://www.ncbi.nlm.nih.gov/protein/XP_036330086.1","XP_036330086.1")</f>
        <v>XP_036330086.1</v>
      </c>
      <c r="D4196">
        <v>30971</v>
      </c>
      <c r="E4196" t="str">
        <f>HYPERLINK("http://www.ncbi.nlm.nih.gov/Taxonomy/Browser/wwwtax.cgi?mode=Info&amp;id=28610&amp;lvl=3&amp;lin=f&amp;keep=1&amp;srchmode=1&amp;unlock","28610")</f>
        <v>28610</v>
      </c>
      <c r="F4196" t="s">
        <v>760</v>
      </c>
      <c r="G4196" t="str">
        <f>HYPERLINK("http://www.ncbi.nlm.nih.gov/Taxonomy/Browser/wwwtax.cgi?mode=Info&amp;id=28610&amp;lvl=3&amp;lin=f&amp;keep=1&amp;srchmode=1&amp;unlock","Rhagoletis pomonella")</f>
        <v>Rhagoletis pomonella</v>
      </c>
      <c r="H4196" t="s">
        <v>1013</v>
      </c>
      <c r="I4196" t="str">
        <f>HYPERLINK("http://www.ncbi.nlm.nih.gov/protein/XP_036330086.1","ryanodine receptor, partial")</f>
        <v>ryanodine receptor, partial</v>
      </c>
      <c r="J4196">
        <v>2756.86</v>
      </c>
      <c r="K4196" t="s">
        <v>22</v>
      </c>
      <c r="L4196">
        <v>76</v>
      </c>
      <c r="M4196">
        <v>12.58</v>
      </c>
      <c r="N4196">
        <v>27.13</v>
      </c>
      <c r="O4196" t="s">
        <v>19</v>
      </c>
      <c r="P4196" t="s">
        <v>1320</v>
      </c>
      <c r="Q4196" t="s">
        <v>19</v>
      </c>
      <c r="R4196" t="str">
        <f>HYPERLINK("https://cfpub.epa.gov/ecotox/explore.cfm?ncbi=28610","Explore in ECOTOX")</f>
        <v>Explore in ECOTOX</v>
      </c>
    </row>
    <row r="4197" spans="1:18" x14ac:dyDescent="0.45">
      <c r="A4197" t="s">
        <v>1265</v>
      </c>
      <c r="B4197">
        <v>8</v>
      </c>
      <c r="C4197" t="str">
        <f>HYPERLINK("http://www.ncbi.nlm.nih.gov/protein/CAF0808496.1","CAF0808496.1")</f>
        <v>CAF0808496.1</v>
      </c>
      <c r="D4197">
        <v>348897</v>
      </c>
      <c r="E4197" t="str">
        <f>HYPERLINK("http://www.ncbi.nlm.nih.gov/Taxonomy/Browser/wwwtax.cgi?mode=Info&amp;id=392033&amp;lvl=3&amp;lin=f&amp;keep=1&amp;srchmode=1&amp;unlock","392033")</f>
        <v>392033</v>
      </c>
      <c r="F4197" t="s">
        <v>811</v>
      </c>
      <c r="G4197" t="str">
        <f>HYPERLINK("http://www.ncbi.nlm.nih.gov/Taxonomy/Browser/wwwtax.cgi?mode=Info&amp;id=392033&amp;lvl=3&amp;lin=f&amp;keep=1&amp;srchmode=1&amp;unlock","Rotaria sordida")</f>
        <v>Rotaria sordida</v>
      </c>
      <c r="H4197" t="s">
        <v>812</v>
      </c>
      <c r="I4197" t="str">
        <f>HYPERLINK("http://www.ncbi.nlm.nih.gov/protein/CAF0808496.1","unnamed protein product")</f>
        <v>unnamed protein product</v>
      </c>
      <c r="J4197">
        <v>2748.77</v>
      </c>
      <c r="K4197" t="s">
        <v>22</v>
      </c>
      <c r="L4197">
        <v>76</v>
      </c>
      <c r="M4197">
        <v>12.58</v>
      </c>
      <c r="N4197">
        <v>27.05</v>
      </c>
      <c r="O4197" t="s">
        <v>19</v>
      </c>
      <c r="P4197" t="s">
        <v>1320</v>
      </c>
      <c r="Q4197" t="s">
        <v>19</v>
      </c>
      <c r="R4197" t="str">
        <f>HYPERLINK("https://cfpub.epa.gov/ecotox/explore.cfm?ncbi=392033","Explore in ECOTOX")</f>
        <v>Explore in ECOTOX</v>
      </c>
    </row>
    <row r="4198" spans="1:18" x14ac:dyDescent="0.45">
      <c r="A4198" t="s">
        <v>1265</v>
      </c>
      <c r="B4198">
        <v>8</v>
      </c>
      <c r="C4198" t="str">
        <f>HYPERLINK("http://www.ncbi.nlm.nih.gov/protein/OWR50158.1","OWR50158.1")</f>
        <v>OWR50158.1</v>
      </c>
      <c r="D4198">
        <v>22764</v>
      </c>
      <c r="E4198" t="str">
        <f>HYPERLINK("http://www.ncbi.nlm.nih.gov/Taxonomy/Browser/wwwtax.cgi?mode=Info&amp;id=278856&amp;lvl=3&amp;lin=f&amp;keep=1&amp;srchmode=1&amp;unlock","278856")</f>
        <v>278856</v>
      </c>
      <c r="F4198" t="s">
        <v>760</v>
      </c>
      <c r="G4198" t="str">
        <f>HYPERLINK("http://www.ncbi.nlm.nih.gov/Taxonomy/Browser/wwwtax.cgi?mode=Info&amp;id=278856&amp;lvl=3&amp;lin=f&amp;keep=1&amp;srchmode=1&amp;unlock","Danaus plexippus plexippus")</f>
        <v>Danaus plexippus plexippus</v>
      </c>
      <c r="H4198" t="s">
        <v>892</v>
      </c>
      <c r="I4198" t="str">
        <f>HYPERLINK("http://www.ncbi.nlm.nih.gov/protein/OWR50158.1","ryanodien receptor")</f>
        <v>ryanodien receptor</v>
      </c>
      <c r="J4198">
        <v>2735.29</v>
      </c>
      <c r="K4198" t="s">
        <v>22</v>
      </c>
      <c r="L4198">
        <v>76</v>
      </c>
      <c r="M4198">
        <v>12.58</v>
      </c>
      <c r="N4198">
        <v>26.92</v>
      </c>
      <c r="O4198" t="s">
        <v>19</v>
      </c>
      <c r="P4198" t="s">
        <v>1320</v>
      </c>
      <c r="Q4198" t="s">
        <v>19</v>
      </c>
      <c r="R4198" t="str">
        <f>HYPERLINK("https://cfpub.epa.gov/ecotox/explore.cfm?ncbi=278856","Explore in ECOTOX")</f>
        <v>Explore in ECOTOX</v>
      </c>
    </row>
    <row r="4199" spans="1:18" x14ac:dyDescent="0.45">
      <c r="A4199" t="s">
        <v>1265</v>
      </c>
      <c r="B4199">
        <v>8</v>
      </c>
      <c r="C4199" t="str">
        <f>HYPERLINK("http://www.ncbi.nlm.nih.gov/protein/CAF4515003.1","CAF4515003.1")</f>
        <v>CAF4515003.1</v>
      </c>
      <c r="D4199">
        <v>331663</v>
      </c>
      <c r="E4199" t="str">
        <f>HYPERLINK("http://www.ncbi.nlm.nih.gov/Taxonomy/Browser/wwwtax.cgi?mode=Info&amp;id=392032&amp;lvl=3&amp;lin=f&amp;keep=1&amp;srchmode=1&amp;unlock","392032")</f>
        <v>392032</v>
      </c>
      <c r="F4199" t="s">
        <v>811</v>
      </c>
      <c r="G4199" t="str">
        <f>HYPERLINK("http://www.ncbi.nlm.nih.gov/Taxonomy/Browser/wwwtax.cgi?mode=Info&amp;id=392032&amp;lvl=3&amp;lin=f&amp;keep=1&amp;srchmode=1&amp;unlock","Rotaria socialis")</f>
        <v>Rotaria socialis</v>
      </c>
      <c r="H4199" t="s">
        <v>812</v>
      </c>
      <c r="I4199" t="str">
        <f>HYPERLINK("http://www.ncbi.nlm.nih.gov/protein/CAF4515003.1","unnamed protein product")</f>
        <v>unnamed protein product</v>
      </c>
      <c r="J4199">
        <v>2704.86</v>
      </c>
      <c r="K4199" t="s">
        <v>22</v>
      </c>
      <c r="L4199">
        <v>76</v>
      </c>
      <c r="M4199">
        <v>12.58</v>
      </c>
      <c r="N4199">
        <v>26.62</v>
      </c>
      <c r="O4199" t="s">
        <v>19</v>
      </c>
      <c r="P4199" t="s">
        <v>1320</v>
      </c>
      <c r="Q4199" t="s">
        <v>19</v>
      </c>
      <c r="R4199" t="str">
        <f>HYPERLINK("https://cfpub.epa.gov/ecotox/explore.cfm?ncbi=392032","Explore in ECOTOX")</f>
        <v>Explore in ECOTOX</v>
      </c>
    </row>
    <row r="4200" spans="1:18" x14ac:dyDescent="0.45">
      <c r="A4200" t="s">
        <v>1265</v>
      </c>
      <c r="B4200">
        <v>8</v>
      </c>
      <c r="C4200" t="str">
        <f>HYPERLINK("http://www.ncbi.nlm.nih.gov/protein/KAG6935681.1","KAG6935681.1")</f>
        <v>KAG6935681.1</v>
      </c>
      <c r="D4200">
        <v>21178</v>
      </c>
      <c r="E4200" t="str">
        <f>HYPERLINK("http://www.ncbi.nlm.nih.gov/Taxonomy/Browser/wwwtax.cgi?mode=Info&amp;id=8475&amp;lvl=3&amp;lin=f&amp;keep=1&amp;srchmode=1&amp;unlock","8475")</f>
        <v>8475</v>
      </c>
      <c r="F4200" t="s">
        <v>203</v>
      </c>
      <c r="G4200" t="str">
        <f>HYPERLINK("http://www.ncbi.nlm.nih.gov/Taxonomy/Browser/wwwtax.cgi?mode=Info&amp;id=8475&amp;lvl=3&amp;lin=f&amp;keep=1&amp;srchmode=1&amp;unlock","Chelydra serpentina")</f>
        <v>Chelydra serpentina</v>
      </c>
      <c r="H4200" t="s">
        <v>1100</v>
      </c>
      <c r="I4200" t="str">
        <f>HYPERLINK("http://www.ncbi.nlm.nih.gov/protein/KAG6935681.1","ryanodine receptor 3, partial")</f>
        <v>ryanodine receptor 3, partial</v>
      </c>
      <c r="J4200">
        <v>2701.39</v>
      </c>
      <c r="K4200" t="s">
        <v>22</v>
      </c>
      <c r="L4200">
        <v>76</v>
      </c>
      <c r="M4200">
        <v>12.58</v>
      </c>
      <c r="N4200">
        <v>26.59</v>
      </c>
      <c r="O4200" t="s">
        <v>19</v>
      </c>
      <c r="P4200" t="s">
        <v>1320</v>
      </c>
      <c r="Q4200" t="s">
        <v>19</v>
      </c>
      <c r="R4200" t="str">
        <f>HYPERLINK("https://cfpub.epa.gov/ecotox/explore.cfm?ncbi=8475","Explore in ECOTOX")</f>
        <v>Explore in ECOTOX</v>
      </c>
    </row>
    <row r="4201" spans="1:18" x14ac:dyDescent="0.45">
      <c r="A4201" t="s">
        <v>1265</v>
      </c>
      <c r="B4201">
        <v>8</v>
      </c>
      <c r="C4201" t="str">
        <f>HYPERLINK("http://www.ncbi.nlm.nih.gov/protein/GFG39931.1","GFG39931.1")</f>
        <v>GFG39931.1</v>
      </c>
      <c r="D4201">
        <v>14202</v>
      </c>
      <c r="E4201" t="str">
        <f>HYPERLINK("http://www.ncbi.nlm.nih.gov/Taxonomy/Browser/wwwtax.cgi?mode=Info&amp;id=36987&amp;lvl=3&amp;lin=f&amp;keep=1&amp;srchmode=1&amp;unlock","36987")</f>
        <v>36987</v>
      </c>
      <c r="F4201" t="s">
        <v>760</v>
      </c>
      <c r="G4201" t="str">
        <f>HYPERLINK("http://www.ncbi.nlm.nih.gov/Taxonomy/Browser/wwwtax.cgi?mode=Info&amp;id=36987&amp;lvl=3&amp;lin=f&amp;keep=1&amp;srchmode=1&amp;unlock","Coptotermes formosanus")</f>
        <v>Coptotermes formosanus</v>
      </c>
      <c r="H4201" t="s">
        <v>804</v>
      </c>
      <c r="I4201" t="str">
        <f>HYPERLINK("http://www.ncbi.nlm.nih.gov/protein/GFG39931.1","hypothetical protein Cfor_08988, partial")</f>
        <v>hypothetical protein Cfor_08988, partial</v>
      </c>
      <c r="J4201">
        <v>2682.9</v>
      </c>
      <c r="K4201" t="s">
        <v>22</v>
      </c>
      <c r="L4201">
        <v>76</v>
      </c>
      <c r="M4201">
        <v>12.58</v>
      </c>
      <c r="N4201">
        <v>26.4</v>
      </c>
      <c r="O4201" t="s">
        <v>19</v>
      </c>
      <c r="P4201" t="s">
        <v>1320</v>
      </c>
      <c r="Q4201" t="s">
        <v>19</v>
      </c>
      <c r="R4201" t="str">
        <f>HYPERLINK("https://cfpub.epa.gov/ecotox/explore.cfm?ncbi=36987","Explore in ECOTOX")</f>
        <v>Explore in ECOTOX</v>
      </c>
    </row>
    <row r="4202" spans="1:18" x14ac:dyDescent="0.45">
      <c r="A4202" t="s">
        <v>1265</v>
      </c>
      <c r="B4202">
        <v>8</v>
      </c>
      <c r="C4202" t="str">
        <f>HYPERLINK("http://www.ncbi.nlm.nih.gov/protein/CAF2046962.1","CAF2046962.1")</f>
        <v>CAF2046962.1</v>
      </c>
      <c r="D4202">
        <v>513812</v>
      </c>
      <c r="E4202" t="str">
        <f>HYPERLINK("http://www.ncbi.nlm.nih.gov/Taxonomy/Browser/wwwtax.cgi?mode=Info&amp;id=392030&amp;lvl=3&amp;lin=f&amp;keep=1&amp;srchmode=1&amp;unlock","392030")</f>
        <v>392030</v>
      </c>
      <c r="F4202" t="s">
        <v>811</v>
      </c>
      <c r="G4202" t="str">
        <f>HYPERLINK("http://www.ncbi.nlm.nih.gov/Taxonomy/Browser/wwwtax.cgi?mode=Info&amp;id=392030&amp;lvl=3&amp;lin=f&amp;keep=1&amp;srchmode=1&amp;unlock","Rotaria magnacalcarata")</f>
        <v>Rotaria magnacalcarata</v>
      </c>
      <c r="H4202" t="s">
        <v>812</v>
      </c>
      <c r="I4202" t="str">
        <f>HYPERLINK("http://www.ncbi.nlm.nih.gov/protein/CAF2046962.1","unnamed protein product")</f>
        <v>unnamed protein product</v>
      </c>
      <c r="J4202">
        <v>2682.13</v>
      </c>
      <c r="K4202" t="s">
        <v>22</v>
      </c>
      <c r="L4202">
        <v>76</v>
      </c>
      <c r="M4202">
        <v>12.58</v>
      </c>
      <c r="N4202">
        <v>26.4</v>
      </c>
      <c r="O4202" t="s">
        <v>19</v>
      </c>
      <c r="P4202" t="s">
        <v>1320</v>
      </c>
      <c r="Q4202" t="s">
        <v>19</v>
      </c>
      <c r="R4202" t="str">
        <f>HYPERLINK("https://cfpub.epa.gov/ecotox/explore.cfm?ncbi=392030","Explore in ECOTOX")</f>
        <v>Explore in ECOTOX</v>
      </c>
    </row>
    <row r="4203" spans="1:18" x14ac:dyDescent="0.45">
      <c r="A4203" t="s">
        <v>1265</v>
      </c>
      <c r="B4203">
        <v>8</v>
      </c>
      <c r="C4203" t="str">
        <f>HYPERLINK("http://www.ncbi.nlm.nih.gov/protein/CAH1263970.1","CAH1263970.1")</f>
        <v>CAH1263970.1</v>
      </c>
      <c r="D4203">
        <v>39938</v>
      </c>
      <c r="E4203" t="str">
        <f>HYPERLINK("http://www.ncbi.nlm.nih.gov/Taxonomy/Browser/wwwtax.cgi?mode=Info&amp;id=7740&amp;lvl=3&amp;lin=f&amp;keep=1&amp;srchmode=1&amp;unlock","7740")</f>
        <v>7740</v>
      </c>
      <c r="F4203" t="s">
        <v>788</v>
      </c>
      <c r="G4203" t="str">
        <f>HYPERLINK("http://www.ncbi.nlm.nih.gov/Taxonomy/Browser/wwwtax.cgi?mode=Info&amp;id=7740&amp;lvl=3&amp;lin=f&amp;keep=1&amp;srchmode=1&amp;unlock","Branchiostoma lanceolatum")</f>
        <v>Branchiostoma lanceolatum</v>
      </c>
      <c r="H4203" t="s">
        <v>789</v>
      </c>
      <c r="I4203" t="str">
        <f>HYPERLINK("http://www.ncbi.nlm.nih.gov/protein/CAH1263970.1","RYR2")</f>
        <v>RYR2</v>
      </c>
      <c r="J4203">
        <v>2644</v>
      </c>
      <c r="K4203" t="s">
        <v>22</v>
      </c>
      <c r="L4203">
        <v>76</v>
      </c>
      <c r="M4203">
        <v>12.58</v>
      </c>
      <c r="N4203">
        <v>26.02</v>
      </c>
      <c r="O4203" t="s">
        <v>19</v>
      </c>
      <c r="P4203" t="s">
        <v>1320</v>
      </c>
      <c r="Q4203" t="s">
        <v>19</v>
      </c>
      <c r="R4203" t="str">
        <f>HYPERLINK("https://cfpub.epa.gov/ecotox/explore.cfm?ncbi=7740","Explore in ECOTOX")</f>
        <v>Explore in ECOTOX</v>
      </c>
    </row>
    <row r="4204" spans="1:18" x14ac:dyDescent="0.45">
      <c r="A4204" t="s">
        <v>1265</v>
      </c>
      <c r="B4204">
        <v>8</v>
      </c>
      <c r="C4204" t="str">
        <f>HYPERLINK("http://www.ncbi.nlm.nih.gov/protein/XP_035681467.1","XP_035681467.1")</f>
        <v>XP_035681467.1</v>
      </c>
      <c r="D4204">
        <v>44104</v>
      </c>
      <c r="E4204" t="str">
        <f>HYPERLINK("http://www.ncbi.nlm.nih.gov/Taxonomy/Browser/wwwtax.cgi?mode=Info&amp;id=7739&amp;lvl=3&amp;lin=f&amp;keep=1&amp;srchmode=1&amp;unlock","7739")</f>
        <v>7739</v>
      </c>
      <c r="F4204" t="s">
        <v>788</v>
      </c>
      <c r="G4204" t="str">
        <f>HYPERLINK("http://www.ncbi.nlm.nih.gov/Taxonomy/Browser/wwwtax.cgi?mode=Info&amp;id=7739&amp;lvl=3&amp;lin=f&amp;keep=1&amp;srchmode=1&amp;unlock","Branchiostoma floridae")</f>
        <v>Branchiostoma floridae</v>
      </c>
      <c r="H4204" t="s">
        <v>796</v>
      </c>
      <c r="I4204" t="str">
        <f>HYPERLINK("http://www.ncbi.nlm.nih.gov/protein/XP_035681467.1","ryanodine receptor 3-like")</f>
        <v>ryanodine receptor 3-like</v>
      </c>
      <c r="J4204">
        <v>2610.87</v>
      </c>
      <c r="K4204" t="s">
        <v>22</v>
      </c>
      <c r="L4204">
        <v>76</v>
      </c>
      <c r="M4204">
        <v>12.58</v>
      </c>
      <c r="N4204">
        <v>25.7</v>
      </c>
      <c r="O4204" t="s">
        <v>19</v>
      </c>
      <c r="P4204" t="s">
        <v>1320</v>
      </c>
      <c r="Q4204" t="s">
        <v>19</v>
      </c>
      <c r="R4204" t="str">
        <f>HYPERLINK("https://cfpub.epa.gov/ecotox/explore.cfm?ncbi=7739","Explore in ECOTOX")</f>
        <v>Explore in ECOTOX</v>
      </c>
    </row>
    <row r="4205" spans="1:18" x14ac:dyDescent="0.45">
      <c r="A4205" t="s">
        <v>1265</v>
      </c>
      <c r="B4205">
        <v>8</v>
      </c>
      <c r="C4205" t="str">
        <f>HYPERLINK("http://www.ncbi.nlm.nih.gov/protein/XP_025103917.1","XP_025103917.1")</f>
        <v>XP_025103917.1</v>
      </c>
      <c r="D4205">
        <v>62313</v>
      </c>
      <c r="E4205" t="str">
        <f>HYPERLINK("http://www.ncbi.nlm.nih.gov/Taxonomy/Browser/wwwtax.cgi?mode=Info&amp;id=400727&amp;lvl=3&amp;lin=f&amp;keep=1&amp;srchmode=1&amp;unlock","400727")</f>
        <v>400727</v>
      </c>
      <c r="F4205" t="s">
        <v>757</v>
      </c>
      <c r="G4205" t="str">
        <f>HYPERLINK("http://www.ncbi.nlm.nih.gov/Taxonomy/Browser/wwwtax.cgi?mode=Info&amp;id=400727&amp;lvl=3&amp;lin=f&amp;keep=1&amp;srchmode=1&amp;unlock","Pomacea canaliculata")</f>
        <v>Pomacea canaliculata</v>
      </c>
      <c r="H4205" t="s">
        <v>832</v>
      </c>
      <c r="I4205" t="str">
        <f>HYPERLINK("http://www.ncbi.nlm.nih.gov/protein/XP_025103917.1","ryanodine receptor-like isoform X10")</f>
        <v>ryanodine receptor-like isoform X10</v>
      </c>
      <c r="J4205">
        <v>2610.1</v>
      </c>
      <c r="K4205" t="s">
        <v>22</v>
      </c>
      <c r="L4205">
        <v>76</v>
      </c>
      <c r="M4205">
        <v>12.58</v>
      </c>
      <c r="N4205">
        <v>25.69</v>
      </c>
      <c r="O4205" t="s">
        <v>19</v>
      </c>
      <c r="P4205" t="s">
        <v>1320</v>
      </c>
      <c r="Q4205" t="s">
        <v>19</v>
      </c>
      <c r="R4205" t="str">
        <f>HYPERLINK("https://cfpub.epa.gov/ecotox/explore.cfm?ncbi=400727","Explore in ECOTOX")</f>
        <v>Explore in ECOTOX</v>
      </c>
    </row>
    <row r="4206" spans="1:18" x14ac:dyDescent="0.45">
      <c r="A4206" t="s">
        <v>1265</v>
      </c>
      <c r="B4206">
        <v>8</v>
      </c>
      <c r="C4206" t="str">
        <f>HYPERLINK("http://www.ncbi.nlm.nih.gov/protein/XP_019616605.1","XP_019616605.1")</f>
        <v>XP_019616605.1</v>
      </c>
      <c r="D4206">
        <v>79871</v>
      </c>
      <c r="E4206" t="str">
        <f>HYPERLINK("http://www.ncbi.nlm.nih.gov/Taxonomy/Browser/wwwtax.cgi?mode=Info&amp;id=7741&amp;lvl=3&amp;lin=f&amp;keep=1&amp;srchmode=1&amp;unlock","7741")</f>
        <v>7741</v>
      </c>
      <c r="F4206" t="s">
        <v>788</v>
      </c>
      <c r="G4206" t="str">
        <f>HYPERLINK("http://www.ncbi.nlm.nih.gov/Taxonomy/Browser/wwwtax.cgi?mode=Info&amp;id=7741&amp;lvl=3&amp;lin=f&amp;keep=1&amp;srchmode=1&amp;unlock","Branchiostoma belcheri")</f>
        <v>Branchiostoma belcheri</v>
      </c>
      <c r="H4206" t="s">
        <v>793</v>
      </c>
      <c r="I4206" t="str">
        <f>HYPERLINK("http://www.ncbi.nlm.nih.gov/protein/XP_019616605.1","PREDICTED: LOW QUALITY PROTEIN: ryanodine receptor 3-like")</f>
        <v>PREDICTED: LOW QUALITY PROTEIN: ryanodine receptor 3-like</v>
      </c>
      <c r="J4206">
        <v>2607.79</v>
      </c>
      <c r="K4206" t="s">
        <v>22</v>
      </c>
      <c r="L4206">
        <v>76</v>
      </c>
      <c r="M4206">
        <v>12.58</v>
      </c>
      <c r="N4206">
        <v>25.67</v>
      </c>
      <c r="O4206" t="s">
        <v>19</v>
      </c>
      <c r="P4206" t="s">
        <v>1320</v>
      </c>
      <c r="Q4206" t="s">
        <v>19</v>
      </c>
      <c r="R4206" t="str">
        <f>HYPERLINK("https://cfpub.epa.gov/ecotox/explore.cfm?ncbi=7741","Explore in ECOTOX")</f>
        <v>Explore in ECOTOX</v>
      </c>
    </row>
    <row r="4207" spans="1:18" x14ac:dyDescent="0.45">
      <c r="A4207" t="s">
        <v>1265</v>
      </c>
      <c r="B4207">
        <v>8</v>
      </c>
      <c r="C4207" t="str">
        <f>HYPERLINK("http://www.ncbi.nlm.nih.gov/protein/KAJ8309071.1","KAJ8309071.1")</f>
        <v>KAJ8309071.1</v>
      </c>
      <c r="D4207">
        <v>25449</v>
      </c>
      <c r="E4207" t="str">
        <f>HYPERLINK("http://www.ncbi.nlm.nih.gov/Taxonomy/Browser/wwwtax.cgi?mode=Info&amp;id=220873&amp;lvl=3&amp;lin=f&amp;keep=1&amp;srchmode=1&amp;unlock","220873")</f>
        <v>220873</v>
      </c>
      <c r="F4207" t="s">
        <v>833</v>
      </c>
      <c r="G4207" t="str">
        <f>HYPERLINK("http://www.ncbi.nlm.nih.gov/Taxonomy/Browser/wwwtax.cgi?mode=Info&amp;id=220873&amp;lvl=3&amp;lin=f&amp;keep=1&amp;srchmode=1&amp;unlock","Tegillarca granosa")</f>
        <v>Tegillarca granosa</v>
      </c>
      <c r="H4207" t="s">
        <v>1018</v>
      </c>
      <c r="I4207" t="str">
        <f>HYPERLINK("http://www.ncbi.nlm.nih.gov/protein/KAJ8309071.1","hypothetical protein KUTeg_013945")</f>
        <v>hypothetical protein KUTeg_013945</v>
      </c>
      <c r="J4207">
        <v>2598.9299999999998</v>
      </c>
      <c r="K4207" t="s">
        <v>22</v>
      </c>
      <c r="L4207">
        <v>76</v>
      </c>
      <c r="M4207">
        <v>12.58</v>
      </c>
      <c r="N4207">
        <v>25.58</v>
      </c>
      <c r="O4207" t="s">
        <v>19</v>
      </c>
      <c r="P4207" t="s">
        <v>1320</v>
      </c>
      <c r="Q4207" t="s">
        <v>19</v>
      </c>
      <c r="R4207" t="str">
        <f>HYPERLINK("https://cfpub.epa.gov/ecotox/explore.cfm?ncbi=220873","Explore in ECOTOX")</f>
        <v>Explore in ECOTOX</v>
      </c>
    </row>
    <row r="4208" spans="1:18" x14ac:dyDescent="0.45">
      <c r="A4208" t="s">
        <v>1265</v>
      </c>
      <c r="B4208">
        <v>8</v>
      </c>
      <c r="C4208" t="str">
        <f>HYPERLINK("http://www.ncbi.nlm.nih.gov/protein/XP_048259823.1","XP_048259823.1")</f>
        <v>XP_048259823.1</v>
      </c>
      <c r="D4208">
        <v>55859</v>
      </c>
      <c r="E4208" t="str">
        <f>HYPERLINK("http://www.ncbi.nlm.nih.gov/Taxonomy/Browser/wwwtax.cgi?mode=Info&amp;id=6454&amp;lvl=3&amp;lin=f&amp;keep=1&amp;srchmode=1&amp;unlock","6454")</f>
        <v>6454</v>
      </c>
      <c r="F4208" t="s">
        <v>757</v>
      </c>
      <c r="G4208" t="str">
        <f>HYPERLINK("http://www.ncbi.nlm.nih.gov/Taxonomy/Browser/wwwtax.cgi?mode=Info&amp;id=6454&amp;lvl=3&amp;lin=f&amp;keep=1&amp;srchmode=1&amp;unlock","Haliotis rufescens")</f>
        <v>Haliotis rufescens</v>
      </c>
      <c r="H4208" t="s">
        <v>844</v>
      </c>
      <c r="I4208" t="str">
        <f>HYPERLINK("http://www.ncbi.nlm.nih.gov/protein/XP_048259823.1","ryanodine receptor-like isoform X20")</f>
        <v>ryanodine receptor-like isoform X20</v>
      </c>
      <c r="J4208">
        <v>2594.3000000000002</v>
      </c>
      <c r="K4208" t="s">
        <v>22</v>
      </c>
      <c r="L4208">
        <v>76</v>
      </c>
      <c r="M4208">
        <v>12.58</v>
      </c>
      <c r="N4208">
        <v>25.53</v>
      </c>
      <c r="O4208" t="s">
        <v>19</v>
      </c>
      <c r="P4208" t="s">
        <v>1320</v>
      </c>
      <c r="Q4208" t="s">
        <v>19</v>
      </c>
      <c r="R4208" t="str">
        <f>HYPERLINK("https://cfpub.epa.gov/ecotox/explore.cfm?ncbi=6454","Explore in ECOTOX")</f>
        <v>Explore in ECOTOX</v>
      </c>
    </row>
    <row r="4209" spans="1:18" x14ac:dyDescent="0.45">
      <c r="A4209" t="s">
        <v>1265</v>
      </c>
      <c r="B4209">
        <v>8</v>
      </c>
      <c r="C4209" t="str">
        <f>HYPERLINK("http://www.ncbi.nlm.nih.gov/protein/GBM47406.1","GBM47406.1")</f>
        <v>GBM47406.1</v>
      </c>
      <c r="D4209">
        <v>278984</v>
      </c>
      <c r="E4209" t="str">
        <f>HYPERLINK("http://www.ncbi.nlm.nih.gov/Taxonomy/Browser/wwwtax.cgi?mode=Info&amp;id=182803&amp;lvl=3&amp;lin=f&amp;keep=1&amp;srchmode=1&amp;unlock","182803")</f>
        <v>182803</v>
      </c>
      <c r="F4209" t="s">
        <v>904</v>
      </c>
      <c r="G4209" t="str">
        <f>HYPERLINK("http://www.ncbi.nlm.nih.gov/Taxonomy/Browser/wwwtax.cgi?mode=Info&amp;id=182803&amp;lvl=3&amp;lin=f&amp;keep=1&amp;srchmode=1&amp;unlock","Araneus ventricosus")</f>
        <v>Araneus ventricosus</v>
      </c>
      <c r="H4209" t="s">
        <v>922</v>
      </c>
      <c r="I4209" t="str">
        <f>HYPERLINK("http://www.ncbi.nlm.nih.gov/protein/GBM47406.1","Ryanodine receptor")</f>
        <v>Ryanodine receptor</v>
      </c>
      <c r="J4209">
        <v>2588.5300000000002</v>
      </c>
      <c r="K4209" t="s">
        <v>22</v>
      </c>
      <c r="L4209">
        <v>76</v>
      </c>
      <c r="M4209">
        <v>12.58</v>
      </c>
      <c r="N4209">
        <v>25.48</v>
      </c>
      <c r="O4209" t="s">
        <v>19</v>
      </c>
      <c r="P4209" t="s">
        <v>1320</v>
      </c>
      <c r="Q4209" t="s">
        <v>19</v>
      </c>
      <c r="R4209" t="str">
        <f>HYPERLINK("https://cfpub.epa.gov/ecotox/explore.cfm?ncbi=182803","Explore in ECOTOX")</f>
        <v>Explore in ECOTOX</v>
      </c>
    </row>
    <row r="4210" spans="1:18" x14ac:dyDescent="0.45">
      <c r="A4210" t="s">
        <v>1265</v>
      </c>
      <c r="B4210">
        <v>8</v>
      </c>
      <c r="C4210" t="str">
        <f>HYPERLINK("http://www.ncbi.nlm.nih.gov/protein/XP_054758833.1","XP_054758833.1")</f>
        <v>XP_054758833.1</v>
      </c>
      <c r="D4210">
        <v>27814</v>
      </c>
      <c r="E4210" t="str">
        <f>HYPERLINK("http://www.ncbi.nlm.nih.gov/Taxonomy/Browser/wwwtax.cgi?mode=Info&amp;id=7653&amp;lvl=3&amp;lin=f&amp;keep=1&amp;srchmode=1&amp;unlock","7653")</f>
        <v>7653</v>
      </c>
      <c r="F4210" t="s">
        <v>1020</v>
      </c>
      <c r="G4210" t="str">
        <f>HYPERLINK("http://www.ncbi.nlm.nih.gov/Taxonomy/Browser/wwwtax.cgi?mode=Info&amp;id=7653&amp;lvl=3&amp;lin=f&amp;keep=1&amp;srchmode=1&amp;unlock","Lytechinus pictus")</f>
        <v>Lytechinus pictus</v>
      </c>
      <c r="H4210" t="s">
        <v>1021</v>
      </c>
      <c r="I4210" t="str">
        <f>HYPERLINK("http://www.ncbi.nlm.nih.gov/protein/XP_054758833.1","ryanodine receptor 2-like")</f>
        <v>ryanodine receptor 2-like</v>
      </c>
      <c r="J4210">
        <v>2588.14</v>
      </c>
      <c r="K4210" t="s">
        <v>22</v>
      </c>
      <c r="L4210">
        <v>76</v>
      </c>
      <c r="M4210">
        <v>12.58</v>
      </c>
      <c r="N4210">
        <v>25.47</v>
      </c>
      <c r="O4210" t="s">
        <v>19</v>
      </c>
      <c r="P4210" t="s">
        <v>1320</v>
      </c>
      <c r="Q4210" t="s">
        <v>19</v>
      </c>
      <c r="R4210" t="str">
        <f>HYPERLINK("https://cfpub.epa.gov/ecotox/explore.cfm?ncbi=7653","Explore in ECOTOX")</f>
        <v>Explore in ECOTOX</v>
      </c>
    </row>
    <row r="4211" spans="1:18" x14ac:dyDescent="0.45">
      <c r="A4211" t="s">
        <v>1265</v>
      </c>
      <c r="B4211">
        <v>8</v>
      </c>
      <c r="C4211" t="str">
        <f>HYPERLINK("http://www.ncbi.nlm.nih.gov/protein/XP_041469246.1","XP_041469246.1")</f>
        <v>XP_041469246.1</v>
      </c>
      <c r="D4211">
        <v>33902</v>
      </c>
      <c r="E4211" t="str">
        <f>HYPERLINK("http://www.ncbi.nlm.nih.gov/Taxonomy/Browser/wwwtax.cgi?mode=Info&amp;id=7654&amp;lvl=3&amp;lin=f&amp;keep=1&amp;srchmode=1&amp;unlock","7654")</f>
        <v>7654</v>
      </c>
      <c r="F4211" t="s">
        <v>1020</v>
      </c>
      <c r="G4211" t="str">
        <f>HYPERLINK("http://www.ncbi.nlm.nih.gov/Taxonomy/Browser/wwwtax.cgi?mode=Info&amp;id=7654&amp;lvl=3&amp;lin=f&amp;keep=1&amp;srchmode=1&amp;unlock","Lytechinus variegatus")</f>
        <v>Lytechinus variegatus</v>
      </c>
      <c r="H4211" t="s">
        <v>1026</v>
      </c>
      <c r="I4211" t="str">
        <f>HYPERLINK("http://www.ncbi.nlm.nih.gov/protein/XP_041469246.1","ryanodine receptor 2-like isoform X2")</f>
        <v>ryanodine receptor 2-like isoform X2</v>
      </c>
      <c r="J4211">
        <v>2581.98</v>
      </c>
      <c r="K4211" t="s">
        <v>22</v>
      </c>
      <c r="L4211">
        <v>76</v>
      </c>
      <c r="M4211">
        <v>12.58</v>
      </c>
      <c r="N4211">
        <v>25.41</v>
      </c>
      <c r="O4211" t="s">
        <v>19</v>
      </c>
      <c r="P4211" t="s">
        <v>1320</v>
      </c>
      <c r="Q4211" t="s">
        <v>19</v>
      </c>
      <c r="R4211" t="str">
        <f>HYPERLINK("https://cfpub.epa.gov/ecotox/explore.cfm?ncbi=7654","Explore in ECOTOX")</f>
        <v>Explore in ECOTOX</v>
      </c>
    </row>
    <row r="4212" spans="1:18" x14ac:dyDescent="0.45">
      <c r="A4212" t="s">
        <v>1265</v>
      </c>
      <c r="B4212">
        <v>8</v>
      </c>
      <c r="C4212" t="str">
        <f>HYPERLINK("http://www.ncbi.nlm.nih.gov/protein/XP_041353188.1","XP_041353188.1")</f>
        <v>XP_041353188.1</v>
      </c>
      <c r="D4212">
        <v>33296</v>
      </c>
      <c r="E4212" t="str">
        <f>HYPERLINK("http://www.ncbi.nlm.nih.gov/Taxonomy/Browser/wwwtax.cgi?mode=Info&amp;id=1735272&amp;lvl=3&amp;lin=f&amp;keep=1&amp;srchmode=1&amp;unlock","1735272")</f>
        <v>1735272</v>
      </c>
      <c r="F4212" t="s">
        <v>757</v>
      </c>
      <c r="G4212" t="str">
        <f>HYPERLINK("http://www.ncbi.nlm.nih.gov/Taxonomy/Browser/wwwtax.cgi?mode=Info&amp;id=1735272&amp;lvl=3&amp;lin=f&amp;keep=1&amp;srchmode=1&amp;unlock","Gigantopelta aegis")</f>
        <v>Gigantopelta aegis</v>
      </c>
      <c r="H4212" t="s">
        <v>832</v>
      </c>
      <c r="I4212" t="str">
        <f>HYPERLINK("http://www.ncbi.nlm.nih.gov/protein/XP_041353188.1","ryanodine receptor-like isoform X3")</f>
        <v>ryanodine receptor-like isoform X3</v>
      </c>
      <c r="J4212">
        <v>2572.35</v>
      </c>
      <c r="K4212" t="s">
        <v>22</v>
      </c>
      <c r="L4212">
        <v>76</v>
      </c>
      <c r="M4212">
        <v>12.58</v>
      </c>
      <c r="N4212">
        <v>25.32</v>
      </c>
      <c r="O4212" t="s">
        <v>19</v>
      </c>
      <c r="P4212" t="s">
        <v>1320</v>
      </c>
      <c r="Q4212" t="s">
        <v>19</v>
      </c>
      <c r="R4212" t="str">
        <f>HYPERLINK("https://cfpub.epa.gov/ecotox/explore.cfm?ncbi=1735272","Explore in ECOTOX")</f>
        <v>Explore in ECOTOX</v>
      </c>
    </row>
    <row r="4213" spans="1:18" x14ac:dyDescent="0.45">
      <c r="A4213" t="s">
        <v>1265</v>
      </c>
      <c r="B4213">
        <v>8</v>
      </c>
      <c r="C4213" t="str">
        <f>HYPERLINK("http://www.ncbi.nlm.nih.gov/protein/XP_046567750.1","XP_046567750.1")</f>
        <v>XP_046567750.1</v>
      </c>
      <c r="D4213">
        <v>43461</v>
      </c>
      <c r="E4213" t="str">
        <f>HYPERLINK("http://www.ncbi.nlm.nih.gov/Taxonomy/Browser/wwwtax.cgi?mode=Info&amp;id=36100&amp;lvl=3&amp;lin=f&amp;keep=1&amp;srchmode=1&amp;unlock","36100")</f>
        <v>36100</v>
      </c>
      <c r="F4213" t="s">
        <v>757</v>
      </c>
      <c r="G4213" t="str">
        <f>HYPERLINK("http://www.ncbi.nlm.nih.gov/Taxonomy/Browser/wwwtax.cgi?mode=Info&amp;id=36100&amp;lvl=3&amp;lin=f&amp;keep=1&amp;srchmode=1&amp;unlock","Haliotis rubra")</f>
        <v>Haliotis rubra</v>
      </c>
      <c r="H4213" t="s">
        <v>1009</v>
      </c>
      <c r="I4213" t="str">
        <f>HYPERLINK("http://www.ncbi.nlm.nih.gov/protein/XP_046567750.1","LOW QUALITY PROTEIN: ryanodine receptor-like")</f>
        <v>LOW QUALITY PROTEIN: ryanodine receptor-like</v>
      </c>
      <c r="J4213">
        <v>2566.5700000000002</v>
      </c>
      <c r="K4213" t="s">
        <v>22</v>
      </c>
      <c r="L4213">
        <v>76</v>
      </c>
      <c r="M4213">
        <v>12.58</v>
      </c>
      <c r="N4213">
        <v>25.26</v>
      </c>
      <c r="O4213" t="s">
        <v>19</v>
      </c>
      <c r="P4213" t="s">
        <v>1320</v>
      </c>
      <c r="Q4213" t="s">
        <v>19</v>
      </c>
      <c r="R4213" t="str">
        <f>HYPERLINK("https://cfpub.epa.gov/ecotox/explore.cfm?ncbi=36100","Explore in ECOTOX")</f>
        <v>Explore in ECOTOX</v>
      </c>
    </row>
    <row r="4214" spans="1:18" x14ac:dyDescent="0.45">
      <c r="A4214" t="s">
        <v>1265</v>
      </c>
      <c r="B4214">
        <v>8</v>
      </c>
      <c r="C4214" t="str">
        <f>HYPERLINK("http://www.ncbi.nlm.nih.gov/protein/XP_033734868.1","XP_033734868.1")</f>
        <v>XP_033734868.1</v>
      </c>
      <c r="D4214">
        <v>40009</v>
      </c>
      <c r="E4214" t="str">
        <f>HYPERLINK("http://www.ncbi.nlm.nih.gov/Taxonomy/Browser/wwwtax.cgi?mode=Info&amp;id=6579&amp;lvl=3&amp;lin=f&amp;keep=1&amp;srchmode=1&amp;unlock","6579")</f>
        <v>6579</v>
      </c>
      <c r="F4214" t="s">
        <v>833</v>
      </c>
      <c r="G4214" t="str">
        <f>HYPERLINK("http://www.ncbi.nlm.nih.gov/Taxonomy/Browser/wwwtax.cgi?mode=Info&amp;id=6579&amp;lvl=3&amp;lin=f&amp;keep=1&amp;srchmode=1&amp;unlock","Pecten maximus")</f>
        <v>Pecten maximus</v>
      </c>
      <c r="H4214" t="s">
        <v>849</v>
      </c>
      <c r="I4214" t="str">
        <f>HYPERLINK("http://www.ncbi.nlm.nih.gov/protein/XP_033734868.1","LOW QUALITY PROTEIN: ryanodine receptor-like")</f>
        <v>LOW QUALITY PROTEIN: ryanodine receptor-like</v>
      </c>
      <c r="J4214">
        <v>2561.56</v>
      </c>
      <c r="K4214" t="s">
        <v>22</v>
      </c>
      <c r="L4214">
        <v>76</v>
      </c>
      <c r="M4214">
        <v>12.58</v>
      </c>
      <c r="N4214">
        <v>25.21</v>
      </c>
      <c r="O4214" t="s">
        <v>19</v>
      </c>
      <c r="P4214" t="s">
        <v>1320</v>
      </c>
      <c r="Q4214" t="s">
        <v>19</v>
      </c>
      <c r="R4214" t="str">
        <f>HYPERLINK("https://cfpub.epa.gov/ecotox/explore.cfm?ncbi=6579","Explore in ECOTOX")</f>
        <v>Explore in ECOTOX</v>
      </c>
    </row>
    <row r="4215" spans="1:18" x14ac:dyDescent="0.45">
      <c r="A4215" t="s">
        <v>1265</v>
      </c>
      <c r="B4215">
        <v>8</v>
      </c>
      <c r="C4215" t="str">
        <f>HYPERLINK("http://www.ncbi.nlm.nih.gov/protein/QCQ29110.1","QCQ29110.1")</f>
        <v>QCQ29110.1</v>
      </c>
      <c r="D4215">
        <v>53818</v>
      </c>
      <c r="E4215" t="str">
        <f>HYPERLINK("http://www.ncbi.nlm.nih.gov/Taxonomy/Browser/wwwtax.cgi?mode=Info&amp;id=7108&amp;lvl=3&amp;lin=f&amp;keep=1&amp;srchmode=1&amp;unlock","7108")</f>
        <v>7108</v>
      </c>
      <c r="F4215" t="s">
        <v>760</v>
      </c>
      <c r="G4215" t="str">
        <f>HYPERLINK("http://www.ncbi.nlm.nih.gov/Taxonomy/Browser/wwwtax.cgi?mode=Info&amp;id=7108&amp;lvl=3&amp;lin=f&amp;keep=1&amp;srchmode=1&amp;unlock","Spodoptera frugiperda")</f>
        <v>Spodoptera frugiperda</v>
      </c>
      <c r="H4215" t="s">
        <v>859</v>
      </c>
      <c r="I4215" t="str">
        <f>HYPERLINK("http://www.ncbi.nlm.nih.gov/protein/QCQ29110.1","ryanodine receptor")</f>
        <v>ryanodine receptor</v>
      </c>
      <c r="J4215">
        <v>2550.39</v>
      </c>
      <c r="K4215" t="s">
        <v>22</v>
      </c>
      <c r="L4215">
        <v>76</v>
      </c>
      <c r="M4215">
        <v>12.58</v>
      </c>
      <c r="N4215">
        <v>25.1</v>
      </c>
      <c r="O4215" t="s">
        <v>19</v>
      </c>
      <c r="P4215" t="s">
        <v>1320</v>
      </c>
      <c r="Q4215" t="s">
        <v>19</v>
      </c>
      <c r="R4215" t="str">
        <f>HYPERLINK("https://cfpub.epa.gov/ecotox/explore.cfm?ncbi=7108","Explore in ECOTOX")</f>
        <v>Explore in ECOTOX</v>
      </c>
    </row>
    <row r="4216" spans="1:18" x14ac:dyDescent="0.45">
      <c r="A4216" t="s">
        <v>1265</v>
      </c>
      <c r="B4216">
        <v>8</v>
      </c>
      <c r="C4216" t="str">
        <f>HYPERLINK("http://www.ncbi.nlm.nih.gov/protein/CAH1642165.1","CAH1642165.1")</f>
        <v>CAH1642165.1</v>
      </c>
      <c r="D4216">
        <v>26484</v>
      </c>
      <c r="E4216" t="str">
        <f>HYPERLINK("http://www.ncbi.nlm.nih.gov/Taxonomy/Browser/wwwtax.cgi?mode=Info&amp;id=7109&amp;lvl=3&amp;lin=f&amp;keep=1&amp;srchmode=1&amp;unlock","7109")</f>
        <v>7109</v>
      </c>
      <c r="F4216" t="s">
        <v>760</v>
      </c>
      <c r="G4216" t="str">
        <f>HYPERLINK("http://www.ncbi.nlm.nih.gov/Taxonomy/Browser/wwwtax.cgi?mode=Info&amp;id=7109&amp;lvl=3&amp;lin=f&amp;keep=1&amp;srchmode=1&amp;unlock","Spodoptera littoralis")</f>
        <v>Spodoptera littoralis</v>
      </c>
      <c r="H4216" t="s">
        <v>866</v>
      </c>
      <c r="I4216" t="str">
        <f>HYPERLINK("http://www.ncbi.nlm.nih.gov/protein/CAH1642165.1","unnamed protein product")</f>
        <v>unnamed protein product</v>
      </c>
      <c r="J4216">
        <v>2542.69</v>
      </c>
      <c r="K4216" t="s">
        <v>22</v>
      </c>
      <c r="L4216">
        <v>76</v>
      </c>
      <c r="M4216">
        <v>12.58</v>
      </c>
      <c r="N4216">
        <v>25.02</v>
      </c>
      <c r="O4216" t="s">
        <v>19</v>
      </c>
      <c r="P4216" t="s">
        <v>1320</v>
      </c>
      <c r="Q4216" t="s">
        <v>19</v>
      </c>
      <c r="R4216" t="str">
        <f>HYPERLINK("https://cfpub.epa.gov/ecotox/explore.cfm?ncbi=7109","Explore in ECOTOX")</f>
        <v>Explore in ECOTOX</v>
      </c>
    </row>
    <row r="4217" spans="1:18" x14ac:dyDescent="0.45">
      <c r="A4217" t="s">
        <v>1265</v>
      </c>
      <c r="B4217">
        <v>8</v>
      </c>
      <c r="C4217" t="str">
        <f>HYPERLINK("http://www.ncbi.nlm.nih.gov/protein/XP_026743410.1","XP_026743410.1")</f>
        <v>XP_026743410.1</v>
      </c>
      <c r="D4217">
        <v>24166</v>
      </c>
      <c r="E4217" t="str">
        <f>HYPERLINK("http://www.ncbi.nlm.nih.gov/Taxonomy/Browser/wwwtax.cgi?mode=Info&amp;id=7111&amp;lvl=3&amp;lin=f&amp;keep=1&amp;srchmode=1&amp;unlock","7111")</f>
        <v>7111</v>
      </c>
      <c r="F4217" t="s">
        <v>760</v>
      </c>
      <c r="G4217" t="str">
        <f>HYPERLINK("http://www.ncbi.nlm.nih.gov/Taxonomy/Browser/wwwtax.cgi?mode=Info&amp;id=7111&amp;lvl=3&amp;lin=f&amp;keep=1&amp;srchmode=1&amp;unlock","Trichoplusia ni")</f>
        <v>Trichoplusia ni</v>
      </c>
      <c r="H4217" t="s">
        <v>888</v>
      </c>
      <c r="I4217" t="str">
        <f>HYPERLINK("http://www.ncbi.nlm.nih.gov/protein/XP_026743410.1","LOW QUALITY PROTEIN: ryanodine receptor")</f>
        <v>LOW QUALITY PROTEIN: ryanodine receptor</v>
      </c>
      <c r="J4217">
        <v>2540.7600000000002</v>
      </c>
      <c r="K4217" t="s">
        <v>22</v>
      </c>
      <c r="L4217">
        <v>76</v>
      </c>
      <c r="M4217">
        <v>12.58</v>
      </c>
      <c r="N4217">
        <v>25.01</v>
      </c>
      <c r="O4217" t="s">
        <v>19</v>
      </c>
      <c r="P4217" t="s">
        <v>1320</v>
      </c>
      <c r="Q4217" t="s">
        <v>19</v>
      </c>
      <c r="R4217" t="str">
        <f>HYPERLINK("https://cfpub.epa.gov/ecotox/explore.cfm?ncbi=7111","Explore in ECOTOX")</f>
        <v>Explore in ECOTOX</v>
      </c>
    </row>
    <row r="4218" spans="1:18" x14ac:dyDescent="0.45">
      <c r="A4218" t="s">
        <v>1265</v>
      </c>
      <c r="B4218">
        <v>8</v>
      </c>
      <c r="C4218" t="str">
        <f>HYPERLINK("http://www.ncbi.nlm.nih.gov/protein/XP_060079078.1","XP_060079078.1")</f>
        <v>XP_060079078.1</v>
      </c>
      <c r="D4218">
        <v>24066</v>
      </c>
      <c r="E4218" t="str">
        <f>HYPERLINK("http://www.ncbi.nlm.nih.gov/Taxonomy/Browser/wwwtax.cgi?mode=Info&amp;id=509963&amp;lvl=3&amp;lin=f&amp;keep=1&amp;srchmode=1&amp;unlock","509963")</f>
        <v>509963</v>
      </c>
      <c r="F4218" t="s">
        <v>833</v>
      </c>
      <c r="G4218" t="str">
        <f>HYPERLINK("http://www.ncbi.nlm.nih.gov/Taxonomy/Browser/wwwtax.cgi?mode=Info&amp;id=509963&amp;lvl=3&amp;lin=f&amp;keep=1&amp;srchmode=1&amp;unlock","Ylistrum balloti")</f>
        <v>Ylistrum balloti</v>
      </c>
      <c r="H4218" t="s">
        <v>849</v>
      </c>
      <c r="I4218" t="str">
        <f>HYPERLINK("http://www.ncbi.nlm.nih.gov/protein/XP_060079078.1","LOW QUALITY PROTEIN: ryanodine receptor 2-like")</f>
        <v>LOW QUALITY PROTEIN: ryanodine receptor 2-like</v>
      </c>
      <c r="J4218">
        <v>2537.3000000000002</v>
      </c>
      <c r="K4218" t="s">
        <v>22</v>
      </c>
      <c r="L4218">
        <v>76</v>
      </c>
      <c r="M4218">
        <v>12.58</v>
      </c>
      <c r="N4218">
        <v>24.97</v>
      </c>
      <c r="O4218" t="s">
        <v>19</v>
      </c>
      <c r="P4218" t="s">
        <v>1320</v>
      </c>
      <c r="Q4218" t="s">
        <v>19</v>
      </c>
      <c r="R4218" t="str">
        <f>HYPERLINK("https://cfpub.epa.gov/ecotox/explore.cfm?ncbi=509963","Explore in ECOTOX")</f>
        <v>Explore in ECOTOX</v>
      </c>
    </row>
    <row r="4219" spans="1:18" x14ac:dyDescent="0.45">
      <c r="A4219" t="s">
        <v>1265</v>
      </c>
      <c r="B4219">
        <v>8</v>
      </c>
      <c r="C4219" t="str">
        <f>HYPERLINK("http://www.ncbi.nlm.nih.gov/protein/XP_052699875.1","XP_052699875.1")</f>
        <v>XP_052699875.1</v>
      </c>
      <c r="D4219">
        <v>50190</v>
      </c>
      <c r="E4219" t="str">
        <f>HYPERLINK("http://www.ncbi.nlm.nih.gov/Taxonomy/Browser/wwwtax.cgi?mode=Info&amp;id=558553&amp;lvl=3&amp;lin=f&amp;keep=1&amp;srchmode=1&amp;unlock","558553")</f>
        <v>558553</v>
      </c>
      <c r="F4219" t="s">
        <v>833</v>
      </c>
      <c r="G4219" t="str">
        <f>HYPERLINK("http://www.ncbi.nlm.nih.gov/Taxonomy/Browser/wwwtax.cgi?mode=Info&amp;id=558553&amp;lvl=3&amp;lin=f&amp;keep=1&amp;srchmode=1&amp;unlock","Crassostrea angulata")</f>
        <v>Crassostrea angulata</v>
      </c>
      <c r="H4219" t="s">
        <v>841</v>
      </c>
      <c r="I4219" t="str">
        <f>HYPERLINK("http://www.ncbi.nlm.nih.gov/protein/XP_052699875.1","ryanodine receptor-like isoform X8")</f>
        <v>ryanodine receptor-like isoform X8</v>
      </c>
      <c r="J4219">
        <v>2535.37</v>
      </c>
      <c r="K4219" t="s">
        <v>22</v>
      </c>
      <c r="L4219">
        <v>76</v>
      </c>
      <c r="M4219">
        <v>12.58</v>
      </c>
      <c r="N4219">
        <v>24.95</v>
      </c>
      <c r="O4219" t="s">
        <v>19</v>
      </c>
      <c r="P4219" t="s">
        <v>1320</v>
      </c>
      <c r="Q4219" t="s">
        <v>19</v>
      </c>
      <c r="R4219" t="str">
        <f>HYPERLINK("https://cfpub.epa.gov/ecotox/explore.cfm?ncbi=558553","Explore in ECOTOX")</f>
        <v>Explore in ECOTOX</v>
      </c>
    </row>
    <row r="4220" spans="1:18" x14ac:dyDescent="0.45">
      <c r="A4220" t="s">
        <v>1265</v>
      </c>
      <c r="B4220">
        <v>8</v>
      </c>
      <c r="C4220" t="str">
        <f>HYPERLINK("http://www.ncbi.nlm.nih.gov/protein/XP_060808043.1","XP_060808043.1")</f>
        <v>XP_060808043.1</v>
      </c>
      <c r="D4220">
        <v>21222</v>
      </c>
      <c r="E4220" t="str">
        <f>HYPERLINK("http://www.ncbi.nlm.nih.gov/Taxonomy/Browser/wwwtax.cgi?mode=Info&amp;id=680683&amp;lvl=3&amp;lin=f&amp;keep=1&amp;srchmode=1&amp;unlock","680683")</f>
        <v>680683</v>
      </c>
      <c r="F4220" t="s">
        <v>760</v>
      </c>
      <c r="G4220" t="str">
        <f>HYPERLINK("http://www.ncbi.nlm.nih.gov/Taxonomy/Browser/wwwtax.cgi?mode=Info&amp;id=680683&amp;lvl=3&amp;lin=f&amp;keep=1&amp;srchmode=1&amp;unlock","Amyelois transitella")</f>
        <v>Amyelois transitella</v>
      </c>
      <c r="H4220" t="s">
        <v>879</v>
      </c>
      <c r="I4220" t="str">
        <f>HYPERLINK("http://www.ncbi.nlm.nih.gov/protein/XP_060808043.1","ryanodine receptor isoform X5")</f>
        <v>ryanodine receptor isoform X5</v>
      </c>
      <c r="J4220">
        <v>2534.6</v>
      </c>
      <c r="K4220" t="s">
        <v>22</v>
      </c>
      <c r="L4220">
        <v>76</v>
      </c>
      <c r="M4220">
        <v>12.58</v>
      </c>
      <c r="N4220">
        <v>24.94</v>
      </c>
      <c r="O4220" t="s">
        <v>19</v>
      </c>
      <c r="P4220" t="s">
        <v>1320</v>
      </c>
      <c r="Q4220" t="s">
        <v>19</v>
      </c>
      <c r="R4220" t="str">
        <f>HYPERLINK("https://cfpub.epa.gov/ecotox/explore.cfm?ncbi=680683","Explore in ECOTOX")</f>
        <v>Explore in ECOTOX</v>
      </c>
    </row>
    <row r="4221" spans="1:18" x14ac:dyDescent="0.45">
      <c r="A4221" t="s">
        <v>1265</v>
      </c>
      <c r="B4221">
        <v>8</v>
      </c>
      <c r="C4221" t="str">
        <f>HYPERLINK("http://www.ncbi.nlm.nih.gov/protein/CAG9789968.1","CAG9789968.1")</f>
        <v>CAG9789968.1</v>
      </c>
      <c r="D4221">
        <v>16352</v>
      </c>
      <c r="E4221" t="str">
        <f>HYPERLINK("http://www.ncbi.nlm.nih.gov/Taxonomy/Browser/wwwtax.cgi?mode=Info&amp;id=40085&amp;lvl=3&amp;lin=f&amp;keep=1&amp;srchmode=1&amp;unlock","40085")</f>
        <v>40085</v>
      </c>
      <c r="F4221" t="s">
        <v>760</v>
      </c>
      <c r="G4221" t="str">
        <f>HYPERLINK("http://www.ncbi.nlm.nih.gov/Taxonomy/Browser/wwwtax.cgi?mode=Info&amp;id=40085&amp;lvl=3&amp;lin=f&amp;keep=1&amp;srchmode=1&amp;unlock","Diatraea saccharalis")</f>
        <v>Diatraea saccharalis</v>
      </c>
      <c r="H4221" t="s">
        <v>899</v>
      </c>
      <c r="I4221" t="str">
        <f>HYPERLINK("http://www.ncbi.nlm.nih.gov/protein/CAG9789968.1","unnamed protein product")</f>
        <v>unnamed protein product</v>
      </c>
      <c r="J4221">
        <v>2534.21</v>
      </c>
      <c r="K4221" t="s">
        <v>22</v>
      </c>
      <c r="L4221">
        <v>76</v>
      </c>
      <c r="M4221">
        <v>12.58</v>
      </c>
      <c r="N4221">
        <v>24.94</v>
      </c>
      <c r="O4221" t="s">
        <v>19</v>
      </c>
      <c r="P4221" t="s">
        <v>1320</v>
      </c>
      <c r="Q4221" t="s">
        <v>19</v>
      </c>
      <c r="R4221" t="str">
        <f>HYPERLINK("https://cfpub.epa.gov/ecotox/explore.cfm?ncbi=40085","Explore in ECOTOX")</f>
        <v>Explore in ECOTOX</v>
      </c>
    </row>
    <row r="4222" spans="1:18" x14ac:dyDescent="0.45">
      <c r="A4222" t="s">
        <v>1265</v>
      </c>
      <c r="B4222">
        <v>8</v>
      </c>
      <c r="C4222" t="str">
        <f>HYPERLINK("http://www.ncbi.nlm.nih.gov/protein/XP_047037532.1","XP_047037532.1")</f>
        <v>XP_047037532.1</v>
      </c>
      <c r="D4222">
        <v>24038</v>
      </c>
      <c r="E4222" t="str">
        <f>HYPERLINK("http://www.ncbi.nlm.nih.gov/Taxonomy/Browser/wwwtax.cgi?mode=Info&amp;id=7113&amp;lvl=3&amp;lin=f&amp;keep=1&amp;srchmode=1&amp;unlock","7113")</f>
        <v>7113</v>
      </c>
      <c r="F4222" t="s">
        <v>760</v>
      </c>
      <c r="G4222" t="str">
        <f>HYPERLINK("http://www.ncbi.nlm.nih.gov/Taxonomy/Browser/wwwtax.cgi?mode=Info&amp;id=7113&amp;lvl=3&amp;lin=f&amp;keep=1&amp;srchmode=1&amp;unlock","Helicoverpa zea")</f>
        <v>Helicoverpa zea</v>
      </c>
      <c r="H4222" t="s">
        <v>762</v>
      </c>
      <c r="I4222" t="str">
        <f>HYPERLINK("http://www.ncbi.nlm.nih.gov/protein/XP_047037532.1","ryanodine receptor isoform X6")</f>
        <v>ryanodine receptor isoform X6</v>
      </c>
      <c r="J4222">
        <v>2533.06</v>
      </c>
      <c r="K4222" t="s">
        <v>22</v>
      </c>
      <c r="L4222">
        <v>76</v>
      </c>
      <c r="M4222">
        <v>12.58</v>
      </c>
      <c r="N4222">
        <v>24.93</v>
      </c>
      <c r="O4222" t="s">
        <v>19</v>
      </c>
      <c r="P4222" t="s">
        <v>1320</v>
      </c>
      <c r="Q4222" t="s">
        <v>19</v>
      </c>
      <c r="R4222" t="str">
        <f>HYPERLINK("https://cfpub.epa.gov/ecotox/explore.cfm?ncbi=7113","Explore in ECOTOX")</f>
        <v>Explore in ECOTOX</v>
      </c>
    </row>
    <row r="4223" spans="1:18" x14ac:dyDescent="0.45">
      <c r="A4223" t="s">
        <v>1265</v>
      </c>
      <c r="B4223">
        <v>8</v>
      </c>
      <c r="C4223" t="str">
        <f>HYPERLINK("http://www.ncbi.nlm.nih.gov/protein/AGH68757.1","AGH68757.1")</f>
        <v>AGH68757.1</v>
      </c>
      <c r="D4223">
        <v>24807</v>
      </c>
      <c r="E4223" t="str">
        <f>HYPERLINK("http://www.ncbi.nlm.nih.gov/Taxonomy/Browser/wwwtax.cgi?mode=Info&amp;id=93504&amp;lvl=3&amp;lin=f&amp;keep=1&amp;srchmode=1&amp;unlock","93504")</f>
        <v>93504</v>
      </c>
      <c r="F4223" t="s">
        <v>760</v>
      </c>
      <c r="G4223" t="str">
        <f>HYPERLINK("http://www.ncbi.nlm.nih.gov/Taxonomy/Browser/wwwtax.cgi?mode=Info&amp;id=93504&amp;lvl=3&amp;lin=f&amp;keep=1&amp;srchmode=1&amp;unlock","Ostrinia furnacalis")</f>
        <v>Ostrinia furnacalis</v>
      </c>
      <c r="H4223" t="s">
        <v>886</v>
      </c>
      <c r="I4223" t="str">
        <f>HYPERLINK("http://www.ncbi.nlm.nih.gov/protein/AGH68757.1","ryanodine receptor")</f>
        <v>ryanodine receptor</v>
      </c>
      <c r="J4223">
        <v>2532.67</v>
      </c>
      <c r="K4223" t="s">
        <v>22</v>
      </c>
      <c r="L4223">
        <v>76</v>
      </c>
      <c r="M4223">
        <v>12.58</v>
      </c>
      <c r="N4223">
        <v>24.93</v>
      </c>
      <c r="O4223" t="s">
        <v>19</v>
      </c>
      <c r="P4223" t="s">
        <v>1320</v>
      </c>
      <c r="Q4223" t="s">
        <v>19</v>
      </c>
      <c r="R4223" t="str">
        <f>HYPERLINK("https://cfpub.epa.gov/ecotox/explore.cfm?ncbi=93504","Explore in ECOTOX")</f>
        <v>Explore in ECOTOX</v>
      </c>
    </row>
    <row r="4224" spans="1:18" x14ac:dyDescent="0.45">
      <c r="A4224" t="s">
        <v>1265</v>
      </c>
      <c r="B4224">
        <v>8</v>
      </c>
      <c r="C4224" t="str">
        <f>HYPERLINK("http://www.ncbi.nlm.nih.gov/protein/XP_038217175.1","XP_038217175.1")</f>
        <v>XP_038217175.1</v>
      </c>
      <c r="D4224">
        <v>17837</v>
      </c>
      <c r="E4224" t="str">
        <f>HYPERLINK("http://www.ncbi.nlm.nih.gov/Taxonomy/Browser/wwwtax.cgi?mode=Info&amp;id=33412&amp;lvl=3&amp;lin=f&amp;keep=1&amp;srchmode=1&amp;unlock","33412")</f>
        <v>33412</v>
      </c>
      <c r="F4224" t="s">
        <v>760</v>
      </c>
      <c r="G4224" t="str">
        <f>HYPERLINK("http://www.ncbi.nlm.nih.gov/Taxonomy/Browser/wwwtax.cgi?mode=Info&amp;id=33412&amp;lvl=3&amp;lin=f&amp;keep=1&amp;srchmode=1&amp;unlock","Zerene cesonia")</f>
        <v>Zerene cesonia</v>
      </c>
      <c r="H4224" t="s">
        <v>890</v>
      </c>
      <c r="I4224" t="str">
        <f>HYPERLINK("http://www.ncbi.nlm.nih.gov/protein/XP_038217175.1","ryanodine receptor isoform X38")</f>
        <v>ryanodine receptor isoform X38</v>
      </c>
      <c r="J4224">
        <v>2531.13</v>
      </c>
      <c r="K4224" t="s">
        <v>22</v>
      </c>
      <c r="L4224">
        <v>76</v>
      </c>
      <c r="M4224">
        <v>12.58</v>
      </c>
      <c r="N4224">
        <v>24.91</v>
      </c>
      <c r="O4224" t="s">
        <v>19</v>
      </c>
      <c r="P4224" t="s">
        <v>1320</v>
      </c>
      <c r="Q4224" t="s">
        <v>19</v>
      </c>
      <c r="R4224" t="str">
        <f>HYPERLINK("https://cfpub.epa.gov/ecotox/explore.cfm?ncbi=33412","Explore in ECOTOX")</f>
        <v>Explore in ECOTOX</v>
      </c>
    </row>
    <row r="4225" spans="1:18" x14ac:dyDescent="0.45">
      <c r="A4225" t="s">
        <v>1265</v>
      </c>
      <c r="B4225">
        <v>8</v>
      </c>
      <c r="C4225" t="str">
        <f>HYPERLINK("http://www.ncbi.nlm.nih.gov/protein/XP_022329873.1","XP_022329873.1")</f>
        <v>XP_022329873.1</v>
      </c>
      <c r="D4225">
        <v>60531</v>
      </c>
      <c r="E4225" t="str">
        <f>HYPERLINK("http://www.ncbi.nlm.nih.gov/Taxonomy/Browser/wwwtax.cgi?mode=Info&amp;id=6565&amp;lvl=3&amp;lin=f&amp;keep=1&amp;srchmode=1&amp;unlock","6565")</f>
        <v>6565</v>
      </c>
      <c r="F4225" t="s">
        <v>833</v>
      </c>
      <c r="G4225" t="str">
        <f>HYPERLINK("http://www.ncbi.nlm.nih.gov/Taxonomy/Browser/wwwtax.cgi?mode=Info&amp;id=6565&amp;lvl=3&amp;lin=f&amp;keep=1&amp;srchmode=1&amp;unlock","Crassostrea virginica")</f>
        <v>Crassostrea virginica</v>
      </c>
      <c r="H4225" t="s">
        <v>840</v>
      </c>
      <c r="I4225" t="str">
        <f>HYPERLINK("http://www.ncbi.nlm.nih.gov/protein/XP_022329873.1","ryanodine receptor-like")</f>
        <v>ryanodine receptor-like</v>
      </c>
      <c r="J4225">
        <v>2529.21</v>
      </c>
      <c r="K4225" t="s">
        <v>22</v>
      </c>
      <c r="L4225">
        <v>76</v>
      </c>
      <c r="M4225">
        <v>12.58</v>
      </c>
      <c r="N4225">
        <v>24.89</v>
      </c>
      <c r="O4225" t="s">
        <v>19</v>
      </c>
      <c r="P4225" t="s">
        <v>1320</v>
      </c>
      <c r="Q4225" t="s">
        <v>19</v>
      </c>
      <c r="R4225" t="str">
        <f>HYPERLINK("https://cfpub.epa.gov/ecotox/explore.cfm?ncbi=6565","Explore in ECOTOX")</f>
        <v>Explore in ECOTOX</v>
      </c>
    </row>
    <row r="4226" spans="1:18" x14ac:dyDescent="0.45">
      <c r="A4226" t="s">
        <v>1265</v>
      </c>
      <c r="B4226">
        <v>8</v>
      </c>
      <c r="C4226" t="str">
        <f>HYPERLINK("http://www.ncbi.nlm.nih.gov/protein/XP_014787754.1","XP_014787754.1")</f>
        <v>XP_014787754.1</v>
      </c>
      <c r="D4226">
        <v>29154</v>
      </c>
      <c r="E4226" t="str">
        <f>HYPERLINK("http://www.ncbi.nlm.nih.gov/Taxonomy/Browser/wwwtax.cgi?mode=Info&amp;id=37653&amp;lvl=3&amp;lin=f&amp;keep=1&amp;srchmode=1&amp;unlock","37653")</f>
        <v>37653</v>
      </c>
      <c r="F4226" t="s">
        <v>1010</v>
      </c>
      <c r="G4226" t="str">
        <f>HYPERLINK("http://www.ncbi.nlm.nih.gov/Taxonomy/Browser/wwwtax.cgi?mode=Info&amp;id=37653&amp;lvl=3&amp;lin=f&amp;keep=1&amp;srchmode=1&amp;unlock","Octopus bimaculoides")</f>
        <v>Octopus bimaculoides</v>
      </c>
      <c r="H4226" t="s">
        <v>1011</v>
      </c>
      <c r="I4226" t="str">
        <f>HYPERLINK("http://www.ncbi.nlm.nih.gov/protein/XP_014787754.1","ryanodine receptor isoform X16")</f>
        <v>ryanodine receptor isoform X16</v>
      </c>
      <c r="J4226">
        <v>2528.8200000000002</v>
      </c>
      <c r="K4226" t="s">
        <v>22</v>
      </c>
      <c r="L4226">
        <v>76</v>
      </c>
      <c r="M4226">
        <v>12.58</v>
      </c>
      <c r="N4226">
        <v>24.89</v>
      </c>
      <c r="O4226" t="s">
        <v>19</v>
      </c>
      <c r="P4226" t="s">
        <v>1320</v>
      </c>
      <c r="Q4226" t="s">
        <v>19</v>
      </c>
      <c r="R4226" t="str">
        <f>HYPERLINK("https://cfpub.epa.gov/ecotox/explore.cfm?ncbi=37653","Explore in ECOTOX")</f>
        <v>Explore in ECOTOX</v>
      </c>
    </row>
    <row r="4227" spans="1:18" x14ac:dyDescent="0.45">
      <c r="A4227" t="s">
        <v>1265</v>
      </c>
      <c r="B4227">
        <v>8</v>
      </c>
      <c r="C4227" t="str">
        <f>HYPERLINK("http://www.ncbi.nlm.nih.gov/protein/KRZ14377.1","KRZ14377.1")</f>
        <v>KRZ14377.1</v>
      </c>
      <c r="D4227">
        <v>19285</v>
      </c>
      <c r="E4227" t="str">
        <f>HYPERLINK("http://www.ncbi.nlm.nih.gov/Taxonomy/Browser/wwwtax.cgi?mode=Info&amp;id=268475&amp;lvl=3&amp;lin=f&amp;keep=1&amp;srchmode=1&amp;unlock","268475")</f>
        <v>268475</v>
      </c>
      <c r="F4227" t="s">
        <v>1060</v>
      </c>
      <c r="G4227" t="str">
        <f>HYPERLINK("http://www.ncbi.nlm.nih.gov/Taxonomy/Browser/wwwtax.cgi?mode=Info&amp;id=268475&amp;lvl=3&amp;lin=f&amp;keep=1&amp;srchmode=1&amp;unlock","Trichinella zimbabwensis")</f>
        <v>Trichinella zimbabwensis</v>
      </c>
      <c r="H4227" t="s">
        <v>1027</v>
      </c>
      <c r="I4227" t="str">
        <f>HYPERLINK("http://www.ncbi.nlm.nih.gov/protein/KRZ14377.1","Ryanodine receptor 44F")</f>
        <v>Ryanodine receptor 44F</v>
      </c>
      <c r="J4227">
        <v>2528.44</v>
      </c>
      <c r="K4227" t="s">
        <v>22</v>
      </c>
      <c r="L4227">
        <v>76</v>
      </c>
      <c r="M4227">
        <v>12.58</v>
      </c>
      <c r="N4227">
        <v>24.88</v>
      </c>
      <c r="O4227" t="s">
        <v>19</v>
      </c>
      <c r="P4227" t="s">
        <v>1320</v>
      </c>
      <c r="Q4227" t="s">
        <v>19</v>
      </c>
      <c r="R4227" t="str">
        <f>HYPERLINK("https://cfpub.epa.gov/ecotox/explore.cfm?ncbi=268475","Explore in ECOTOX")</f>
        <v>Explore in ECOTOX</v>
      </c>
    </row>
    <row r="4228" spans="1:18" x14ac:dyDescent="0.45">
      <c r="A4228" t="s">
        <v>1265</v>
      </c>
      <c r="B4228">
        <v>8</v>
      </c>
      <c r="C4228" t="str">
        <f>HYPERLINK("http://www.ncbi.nlm.nih.gov/protein/WKU61905.1","WKU61905.1")</f>
        <v>WKU61905.1</v>
      </c>
      <c r="D4228">
        <v>14833</v>
      </c>
      <c r="E4228" t="str">
        <f>HYPERLINK("http://www.ncbi.nlm.nih.gov/Taxonomy/Browser/wwwtax.cgi?mode=Info&amp;id=689277&amp;lvl=3&amp;lin=f&amp;keep=1&amp;srchmode=1&amp;unlock","689277")</f>
        <v>689277</v>
      </c>
      <c r="F4228" t="s">
        <v>760</v>
      </c>
      <c r="G4228" t="str">
        <f>HYPERLINK("http://www.ncbi.nlm.nih.gov/Taxonomy/Browser/wwwtax.cgi?mode=Info&amp;id=689277&amp;lvl=3&amp;lin=f&amp;keep=1&amp;srchmode=1&amp;unlock","Chrysodeixis includens")</f>
        <v>Chrysodeixis includens</v>
      </c>
      <c r="H4228" t="s">
        <v>887</v>
      </c>
      <c r="I4228" t="str">
        <f>HYPERLINK("http://www.ncbi.nlm.nih.gov/protein/WKU61905.1","ryanodine receptor")</f>
        <v>ryanodine receptor</v>
      </c>
      <c r="J4228">
        <v>2528.44</v>
      </c>
      <c r="K4228" t="s">
        <v>22</v>
      </c>
      <c r="L4228">
        <v>76</v>
      </c>
      <c r="M4228">
        <v>12.58</v>
      </c>
      <c r="N4228">
        <v>24.88</v>
      </c>
      <c r="O4228" t="s">
        <v>19</v>
      </c>
      <c r="P4228" t="s">
        <v>1320</v>
      </c>
      <c r="Q4228" t="s">
        <v>19</v>
      </c>
      <c r="R4228" t="str">
        <f>HYPERLINK("https://cfpub.epa.gov/ecotox/explore.cfm?ncbi=689277","Explore in ECOTOX")</f>
        <v>Explore in ECOTOX</v>
      </c>
    </row>
    <row r="4229" spans="1:18" x14ac:dyDescent="0.45">
      <c r="A4229" t="s">
        <v>1265</v>
      </c>
      <c r="B4229">
        <v>8</v>
      </c>
      <c r="C4229" t="str">
        <f>HYPERLINK("http://www.ncbi.nlm.nih.gov/protein/KAG6444103.1","KAG6444103.1")</f>
        <v>KAG6444103.1</v>
      </c>
      <c r="D4229">
        <v>53080</v>
      </c>
      <c r="E4229" t="str">
        <f>HYPERLINK("http://www.ncbi.nlm.nih.gov/Taxonomy/Browser/wwwtax.cgi?mode=Info&amp;id=7130&amp;lvl=3&amp;lin=f&amp;keep=1&amp;srchmode=1&amp;unlock","7130")</f>
        <v>7130</v>
      </c>
      <c r="F4229" t="s">
        <v>760</v>
      </c>
      <c r="G4229" t="str">
        <f>HYPERLINK("http://www.ncbi.nlm.nih.gov/Taxonomy/Browser/wwwtax.cgi?mode=Info&amp;id=7130&amp;lvl=3&amp;lin=f&amp;keep=1&amp;srchmode=1&amp;unlock","Manduca sexta")</f>
        <v>Manduca sexta</v>
      </c>
      <c r="H4229" t="s">
        <v>885</v>
      </c>
      <c r="I4229" t="str">
        <f>HYPERLINK("http://www.ncbi.nlm.nih.gov/protein/KAG6444103.1","hypothetical protein O3G_MSEX003225")</f>
        <v>hypothetical protein O3G_MSEX003225</v>
      </c>
      <c r="J4229">
        <v>2528.44</v>
      </c>
      <c r="K4229" t="s">
        <v>22</v>
      </c>
      <c r="L4229">
        <v>76</v>
      </c>
      <c r="M4229">
        <v>12.58</v>
      </c>
      <c r="N4229">
        <v>24.88</v>
      </c>
      <c r="O4229" t="s">
        <v>19</v>
      </c>
      <c r="P4229" t="s">
        <v>1320</v>
      </c>
      <c r="Q4229" t="s">
        <v>19</v>
      </c>
      <c r="R4229" t="str">
        <f>HYPERLINK("https://cfpub.epa.gov/ecotox/explore.cfm?ncbi=7130","Explore in ECOTOX")</f>
        <v>Explore in ECOTOX</v>
      </c>
    </row>
    <row r="4230" spans="1:18" x14ac:dyDescent="0.45">
      <c r="A4230" t="s">
        <v>1265</v>
      </c>
      <c r="B4230">
        <v>8</v>
      </c>
      <c r="C4230" t="str">
        <f>HYPERLINK("http://www.ncbi.nlm.nih.gov/protein/XP_031764088.1","XP_031764088.1")</f>
        <v>XP_031764088.1</v>
      </c>
      <c r="D4230">
        <v>23842</v>
      </c>
      <c r="E4230" t="str">
        <f>HYPERLINK("http://www.ncbi.nlm.nih.gov/Taxonomy/Browser/wwwtax.cgi?mode=Info&amp;id=7137&amp;lvl=3&amp;lin=f&amp;keep=1&amp;srchmode=1&amp;unlock","7137")</f>
        <v>7137</v>
      </c>
      <c r="F4230" t="s">
        <v>760</v>
      </c>
      <c r="G4230" t="str">
        <f>HYPERLINK("http://www.ncbi.nlm.nih.gov/Taxonomy/Browser/wwwtax.cgi?mode=Info&amp;id=7137&amp;lvl=3&amp;lin=f&amp;keep=1&amp;srchmode=1&amp;unlock","Galleria mellonella")</f>
        <v>Galleria mellonella</v>
      </c>
      <c r="H4230" t="s">
        <v>803</v>
      </c>
      <c r="I4230" t="str">
        <f>HYPERLINK("http://www.ncbi.nlm.nih.gov/protein/XP_031764088.1","ryanodine receptor isoform X23")</f>
        <v>ryanodine receptor isoform X23</v>
      </c>
      <c r="J4230">
        <v>2527.67</v>
      </c>
      <c r="K4230" t="s">
        <v>22</v>
      </c>
      <c r="L4230">
        <v>76</v>
      </c>
      <c r="M4230">
        <v>12.58</v>
      </c>
      <c r="N4230">
        <v>24.88</v>
      </c>
      <c r="O4230" t="s">
        <v>19</v>
      </c>
      <c r="P4230" t="s">
        <v>1320</v>
      </c>
      <c r="Q4230" t="s">
        <v>19</v>
      </c>
      <c r="R4230" t="str">
        <f>HYPERLINK("https://cfpub.epa.gov/ecotox/explore.cfm?ncbi=7137","Explore in ECOTOX")</f>
        <v>Explore in ECOTOX</v>
      </c>
    </row>
    <row r="4231" spans="1:18" x14ac:dyDescent="0.45">
      <c r="A4231" t="s">
        <v>1265</v>
      </c>
      <c r="B4231">
        <v>8</v>
      </c>
      <c r="C4231" t="str">
        <f>HYPERLINK("http://www.ncbi.nlm.nih.gov/protein/KRY23543.1","KRY23543.1")</f>
        <v>KRY23543.1</v>
      </c>
      <c r="D4231">
        <v>19507</v>
      </c>
      <c r="E4231" t="str">
        <f>HYPERLINK("http://www.ncbi.nlm.nih.gov/Taxonomy/Browser/wwwtax.cgi?mode=Info&amp;id=990121&amp;lvl=3&amp;lin=f&amp;keep=1&amp;srchmode=1&amp;unlock","990121")</f>
        <v>990121</v>
      </c>
      <c r="F4231" t="s">
        <v>1060</v>
      </c>
      <c r="G4231" t="str">
        <f>HYPERLINK("http://www.ncbi.nlm.nih.gov/Taxonomy/Browser/wwwtax.cgi?mode=Info&amp;id=990121&amp;lvl=3&amp;lin=f&amp;keep=1&amp;srchmode=1&amp;unlock","Trichinella patagoniensis")</f>
        <v>Trichinella patagoniensis</v>
      </c>
      <c r="H4231" t="s">
        <v>1027</v>
      </c>
      <c r="I4231" t="str">
        <f>HYPERLINK("http://www.ncbi.nlm.nih.gov/protein/KRY23543.1","Ryanodine receptor 44F")</f>
        <v>Ryanodine receptor 44F</v>
      </c>
      <c r="J4231">
        <v>2527.2800000000002</v>
      </c>
      <c r="K4231" t="s">
        <v>22</v>
      </c>
      <c r="L4231">
        <v>76</v>
      </c>
      <c r="M4231">
        <v>12.58</v>
      </c>
      <c r="N4231">
        <v>24.87</v>
      </c>
      <c r="O4231" t="s">
        <v>19</v>
      </c>
      <c r="P4231" t="s">
        <v>1320</v>
      </c>
      <c r="Q4231" t="s">
        <v>19</v>
      </c>
      <c r="R4231" t="str">
        <f>HYPERLINK("https://cfpub.epa.gov/ecotox/explore.cfm?ncbi=990121","Explore in ECOTOX")</f>
        <v>Explore in ECOTOX</v>
      </c>
    </row>
    <row r="4232" spans="1:18" x14ac:dyDescent="0.45">
      <c r="A4232" t="s">
        <v>1265</v>
      </c>
      <c r="B4232">
        <v>8</v>
      </c>
      <c r="C4232" t="str">
        <f>HYPERLINK("http://www.ncbi.nlm.nih.gov/protein/AFI80904.1","AFI80904.1")</f>
        <v>AFI80904.1</v>
      </c>
      <c r="D4232">
        <v>423</v>
      </c>
      <c r="E4232" t="str">
        <f>HYPERLINK("http://www.ncbi.nlm.nih.gov/Taxonomy/Browser/wwwtax.cgi?mode=Info&amp;id=437488&amp;lvl=3&amp;lin=f&amp;keep=1&amp;srchmode=1&amp;unlock","437488")</f>
        <v>437488</v>
      </c>
      <c r="F4232" t="s">
        <v>760</v>
      </c>
      <c r="G4232" t="str">
        <f>HYPERLINK("http://www.ncbi.nlm.nih.gov/Taxonomy/Browser/wwwtax.cgi?mode=Info&amp;id=437488&amp;lvl=3&amp;lin=f&amp;keep=1&amp;srchmode=1&amp;unlock","Cnaphalocrocis medinalis")</f>
        <v>Cnaphalocrocis medinalis</v>
      </c>
      <c r="H4232" t="s">
        <v>893</v>
      </c>
      <c r="I4232" t="str">
        <f>HYPERLINK("http://www.ncbi.nlm.nih.gov/protein/AFI80904.1","ryanodine receptor")</f>
        <v>ryanodine receptor</v>
      </c>
      <c r="J4232">
        <v>2526.9</v>
      </c>
      <c r="K4232" t="s">
        <v>22</v>
      </c>
      <c r="L4232">
        <v>76</v>
      </c>
      <c r="M4232">
        <v>12.58</v>
      </c>
      <c r="N4232">
        <v>24.87</v>
      </c>
      <c r="O4232" t="s">
        <v>19</v>
      </c>
      <c r="P4232" t="s">
        <v>1320</v>
      </c>
      <c r="Q4232" t="s">
        <v>19</v>
      </c>
      <c r="R4232" t="str">
        <f>HYPERLINK("https://cfpub.epa.gov/ecotox/explore.cfm?ncbi=437488","Explore in ECOTOX")</f>
        <v>Explore in ECOTOX</v>
      </c>
    </row>
    <row r="4233" spans="1:18" x14ac:dyDescent="0.45">
      <c r="A4233" t="s">
        <v>1265</v>
      </c>
      <c r="B4233">
        <v>8</v>
      </c>
      <c r="C4233" t="str">
        <f>HYPERLINK("http://www.ncbi.nlm.nih.gov/protein/XP_002735182.2","XP_002735182.2")</f>
        <v>XP_002735182.2</v>
      </c>
      <c r="D4233">
        <v>22977</v>
      </c>
      <c r="E4233" t="str">
        <f>HYPERLINK("http://www.ncbi.nlm.nih.gov/Taxonomy/Browser/wwwtax.cgi?mode=Info&amp;id=10224&amp;lvl=3&amp;lin=f&amp;keep=1&amp;srchmode=1&amp;unlock","10224")</f>
        <v>10224</v>
      </c>
      <c r="F4233" t="s">
        <v>1029</v>
      </c>
      <c r="G4233" t="str">
        <f>HYPERLINK("http://www.ncbi.nlm.nih.gov/Taxonomy/Browser/wwwtax.cgi?mode=Info&amp;id=10224&amp;lvl=3&amp;lin=f&amp;keep=1&amp;srchmode=1&amp;unlock","Saccoglossus kowalevskii")</f>
        <v>Saccoglossus kowalevskii</v>
      </c>
      <c r="H4233" t="s">
        <v>1030</v>
      </c>
      <c r="I4233" t="str">
        <f>HYPERLINK("http://www.ncbi.nlm.nih.gov/protein/XP_002735182.2","PREDICTED: LOW QUALITY PROTEIN: ryanodine receptor 2")</f>
        <v>PREDICTED: LOW QUALITY PROTEIN: ryanodine receptor 2</v>
      </c>
      <c r="J4233">
        <v>2526.5100000000002</v>
      </c>
      <c r="K4233" t="s">
        <v>22</v>
      </c>
      <c r="L4233">
        <v>76</v>
      </c>
      <c r="M4233">
        <v>12.58</v>
      </c>
      <c r="N4233">
        <v>24.87</v>
      </c>
      <c r="O4233" t="s">
        <v>19</v>
      </c>
      <c r="P4233" t="s">
        <v>1320</v>
      </c>
      <c r="Q4233" t="s">
        <v>19</v>
      </c>
      <c r="R4233" t="str">
        <f>HYPERLINK("https://cfpub.epa.gov/ecotox/explore.cfm?ncbi=10224","Explore in ECOTOX")</f>
        <v>Explore in ECOTOX</v>
      </c>
    </row>
    <row r="4234" spans="1:18" x14ac:dyDescent="0.45">
      <c r="A4234" t="s">
        <v>1265</v>
      </c>
      <c r="B4234">
        <v>8</v>
      </c>
      <c r="C4234" t="str">
        <f>HYPERLINK("http://www.ncbi.nlm.nih.gov/protein/CAH0718465.1","CAH0718465.1")</f>
        <v>CAH0718465.1</v>
      </c>
      <c r="D4234">
        <v>19712</v>
      </c>
      <c r="E4234" t="str">
        <f>HYPERLINK("http://www.ncbi.nlm.nih.gov/Taxonomy/Browser/wwwtax.cgi?mode=Info&amp;id=405034&amp;lvl=3&amp;lin=f&amp;keep=1&amp;srchmode=1&amp;unlock","405034")</f>
        <v>405034</v>
      </c>
      <c r="F4234" t="s">
        <v>760</v>
      </c>
      <c r="G4234" t="str">
        <f>HYPERLINK("http://www.ncbi.nlm.nih.gov/Taxonomy/Browser/wwwtax.cgi?mode=Info&amp;id=405034&amp;lvl=3&amp;lin=f&amp;keep=1&amp;srchmode=1&amp;unlock","Brenthis ino")</f>
        <v>Brenthis ino</v>
      </c>
      <c r="H4234" t="s">
        <v>802</v>
      </c>
      <c r="I4234" t="str">
        <f>HYPERLINK("http://www.ncbi.nlm.nih.gov/protein/CAH0718465.1","unnamed protein product, partial")</f>
        <v>unnamed protein product, partial</v>
      </c>
      <c r="J4234">
        <v>2526.5100000000002</v>
      </c>
      <c r="K4234" t="s">
        <v>22</v>
      </c>
      <c r="L4234">
        <v>76</v>
      </c>
      <c r="M4234">
        <v>12.58</v>
      </c>
      <c r="N4234">
        <v>24.87</v>
      </c>
      <c r="O4234" t="s">
        <v>19</v>
      </c>
      <c r="P4234" t="s">
        <v>1320</v>
      </c>
      <c r="Q4234" t="s">
        <v>19</v>
      </c>
      <c r="R4234" t="str">
        <f>HYPERLINK("https://cfpub.epa.gov/ecotox/explore.cfm?ncbi=405034","Explore in ECOTOX")</f>
        <v>Explore in ECOTOX</v>
      </c>
    </row>
    <row r="4235" spans="1:18" x14ac:dyDescent="0.45">
      <c r="A4235" t="s">
        <v>1265</v>
      </c>
      <c r="B4235">
        <v>8</v>
      </c>
      <c r="C4235" t="str">
        <f>HYPERLINK("http://www.ncbi.nlm.nih.gov/protein/AGW82429.1","AGW82429.1")</f>
        <v>AGW82429.1</v>
      </c>
      <c r="D4235">
        <v>35043</v>
      </c>
      <c r="E4235" t="str">
        <f>HYPERLINK("http://www.ncbi.nlm.nih.gov/Taxonomy/Browser/wwwtax.cgi?mode=Info&amp;id=108931&amp;lvl=3&amp;lin=f&amp;keep=1&amp;srchmode=1&amp;unlock","108931")</f>
        <v>108931</v>
      </c>
      <c r="F4235" t="s">
        <v>760</v>
      </c>
      <c r="G4235" t="str">
        <f>HYPERLINK("http://www.ncbi.nlm.nih.gov/Taxonomy/Browser/wwwtax.cgi?mode=Info&amp;id=108931&amp;lvl=3&amp;lin=f&amp;keep=1&amp;srchmode=1&amp;unlock","Nilaparvata lugens")</f>
        <v>Nilaparvata lugens</v>
      </c>
      <c r="H4235" t="s">
        <v>1056</v>
      </c>
      <c r="I4235" t="str">
        <f>HYPERLINK("http://www.ncbi.nlm.nih.gov/protein/AGW82429.1","ryanodine receptor")</f>
        <v>ryanodine receptor</v>
      </c>
      <c r="J4235">
        <v>2525.7399999999998</v>
      </c>
      <c r="K4235" t="s">
        <v>22</v>
      </c>
      <c r="L4235">
        <v>76</v>
      </c>
      <c r="M4235">
        <v>12.58</v>
      </c>
      <c r="N4235">
        <v>24.86</v>
      </c>
      <c r="O4235" t="s">
        <v>19</v>
      </c>
      <c r="P4235" t="s">
        <v>1320</v>
      </c>
      <c r="Q4235" t="s">
        <v>19</v>
      </c>
      <c r="R4235" t="str">
        <f>HYPERLINK("https://cfpub.epa.gov/ecotox/explore.cfm?ncbi=108931","Explore in ECOTOX")</f>
        <v>Explore in ECOTOX</v>
      </c>
    </row>
    <row r="4236" spans="1:18" x14ac:dyDescent="0.45">
      <c r="A4236" t="s">
        <v>1265</v>
      </c>
      <c r="B4236">
        <v>8</v>
      </c>
      <c r="C4236" t="str">
        <f>HYPERLINK("http://www.ncbi.nlm.nih.gov/protein/XP_050679285.1","XP_050679285.1")</f>
        <v>XP_050679285.1</v>
      </c>
      <c r="D4236">
        <v>42365</v>
      </c>
      <c r="E4236" t="str">
        <f>HYPERLINK("http://www.ncbi.nlm.nih.gov/Taxonomy/Browser/wwwtax.cgi?mode=Info&amp;id=189913&amp;lvl=3&amp;lin=f&amp;keep=1&amp;srchmode=1&amp;unlock","189913")</f>
        <v>189913</v>
      </c>
      <c r="F4236" t="s">
        <v>760</v>
      </c>
      <c r="G4236" t="str">
        <f>HYPERLINK("http://www.ncbi.nlm.nih.gov/Taxonomy/Browser/wwwtax.cgi?mode=Info&amp;id=189913&amp;lvl=3&amp;lin=f&amp;keep=1&amp;srchmode=1&amp;unlock","Leptidea sinapis")</f>
        <v>Leptidea sinapis</v>
      </c>
      <c r="H4236" t="s">
        <v>869</v>
      </c>
      <c r="I4236" t="str">
        <f>HYPERLINK("http://www.ncbi.nlm.nih.gov/protein/XP_050679285.1","ryanodine receptor isoform X5")</f>
        <v>ryanodine receptor isoform X5</v>
      </c>
      <c r="J4236">
        <v>2524.9699999999998</v>
      </c>
      <c r="K4236" t="s">
        <v>22</v>
      </c>
      <c r="L4236">
        <v>76</v>
      </c>
      <c r="M4236">
        <v>12.58</v>
      </c>
      <c r="N4236">
        <v>24.85</v>
      </c>
      <c r="O4236" t="s">
        <v>19</v>
      </c>
      <c r="P4236" t="s">
        <v>1320</v>
      </c>
      <c r="Q4236" t="s">
        <v>19</v>
      </c>
      <c r="R4236" t="str">
        <f>HYPERLINK("https://cfpub.epa.gov/ecotox/explore.cfm?ncbi=189913","Explore in ECOTOX")</f>
        <v>Explore in ECOTOX</v>
      </c>
    </row>
    <row r="4237" spans="1:18" x14ac:dyDescent="0.45">
      <c r="A4237" t="s">
        <v>1265</v>
      </c>
      <c r="B4237">
        <v>8</v>
      </c>
      <c r="C4237" t="str">
        <f>HYPERLINK("http://www.ncbi.nlm.nih.gov/protein/XP_053620695.1","XP_053620695.1")</f>
        <v>XP_053620695.1</v>
      </c>
      <c r="D4237">
        <v>26868</v>
      </c>
      <c r="E4237" t="str">
        <f>HYPERLINK("http://www.ncbi.nlm.nih.gov/Taxonomy/Browser/wwwtax.cgi?mode=Info&amp;id=58824&amp;lvl=3&amp;lin=f&amp;keep=1&amp;srchmode=1&amp;unlock","58824")</f>
        <v>58824</v>
      </c>
      <c r="F4237" t="s">
        <v>760</v>
      </c>
      <c r="G4237" t="str">
        <f>HYPERLINK("http://www.ncbi.nlm.nih.gov/Taxonomy/Browser/wwwtax.cgi?mode=Info&amp;id=58824&amp;lvl=3&amp;lin=f&amp;keep=1&amp;srchmode=1&amp;unlock","Plodia interpunctella")</f>
        <v>Plodia interpunctella</v>
      </c>
      <c r="H4237" t="s">
        <v>901</v>
      </c>
      <c r="I4237" t="str">
        <f>HYPERLINK("http://www.ncbi.nlm.nih.gov/protein/XP_053620695.1","ryanodine receptor isoform X7")</f>
        <v>ryanodine receptor isoform X7</v>
      </c>
      <c r="J4237">
        <v>2524.1999999999998</v>
      </c>
      <c r="K4237" t="s">
        <v>22</v>
      </c>
      <c r="L4237">
        <v>76</v>
      </c>
      <c r="M4237">
        <v>12.58</v>
      </c>
      <c r="N4237">
        <v>24.84</v>
      </c>
      <c r="O4237" t="s">
        <v>19</v>
      </c>
      <c r="P4237" t="s">
        <v>1320</v>
      </c>
      <c r="Q4237" t="s">
        <v>19</v>
      </c>
      <c r="R4237" t="str">
        <f>HYPERLINK("https://cfpub.epa.gov/ecotox/explore.cfm?ncbi=58824","Explore in ECOTOX")</f>
        <v>Explore in ECOTOX</v>
      </c>
    </row>
    <row r="4238" spans="1:18" x14ac:dyDescent="0.45">
      <c r="A4238" t="s">
        <v>1265</v>
      </c>
      <c r="B4238">
        <v>8</v>
      </c>
      <c r="C4238" t="str">
        <f>HYPERLINK("http://www.ncbi.nlm.nih.gov/protein/XP_059045907.1","XP_059045907.1")</f>
        <v>XP_059045907.1</v>
      </c>
      <c r="D4238">
        <v>18269</v>
      </c>
      <c r="E4238" t="str">
        <f>HYPERLINK("http://www.ncbi.nlm.nih.gov/Taxonomy/Browser/wwwtax.cgi?mode=Info&amp;id=688607&amp;lvl=3&amp;lin=f&amp;keep=1&amp;srchmode=1&amp;unlock","688607")</f>
        <v>688607</v>
      </c>
      <c r="F4238" t="s">
        <v>760</v>
      </c>
      <c r="G4238" t="str">
        <f>HYPERLINK("http://www.ncbi.nlm.nih.gov/Taxonomy/Browser/wwwtax.cgi?mode=Info&amp;id=688607&amp;lvl=3&amp;lin=f&amp;keep=1&amp;srchmode=1&amp;unlock","Achroia grisella")</f>
        <v>Achroia grisella</v>
      </c>
      <c r="H4238" t="s">
        <v>879</v>
      </c>
      <c r="I4238" t="str">
        <f>HYPERLINK("http://www.ncbi.nlm.nih.gov/protein/XP_059045907.1","ryanodine receptor")</f>
        <v>ryanodine receptor</v>
      </c>
      <c r="J4238">
        <v>2523.81</v>
      </c>
      <c r="K4238" t="s">
        <v>22</v>
      </c>
      <c r="L4238">
        <v>76</v>
      </c>
      <c r="M4238">
        <v>12.58</v>
      </c>
      <c r="N4238">
        <v>24.84</v>
      </c>
      <c r="O4238" t="s">
        <v>19</v>
      </c>
      <c r="P4238" t="s">
        <v>1320</v>
      </c>
      <c r="Q4238" t="s">
        <v>19</v>
      </c>
      <c r="R4238" t="str">
        <f>HYPERLINK("https://cfpub.epa.gov/ecotox/explore.cfm?ncbi=688607","Explore in ECOTOX")</f>
        <v>Explore in ECOTOX</v>
      </c>
    </row>
    <row r="4239" spans="1:18" x14ac:dyDescent="0.45">
      <c r="A4239" t="s">
        <v>1265</v>
      </c>
      <c r="B4239">
        <v>8</v>
      </c>
      <c r="C4239" t="str">
        <f>HYPERLINK("http://www.ncbi.nlm.nih.gov/protein/KRZ94973.1","KRZ94973.1")</f>
        <v>KRZ94973.1</v>
      </c>
      <c r="D4239">
        <v>18432</v>
      </c>
      <c r="E4239" t="str">
        <f>HYPERLINK("http://www.ncbi.nlm.nih.gov/Taxonomy/Browser/wwwtax.cgi?mode=Info&amp;id=92180&amp;lvl=3&amp;lin=f&amp;keep=1&amp;srchmode=1&amp;unlock","92180")</f>
        <v>92180</v>
      </c>
      <c r="F4239" t="s">
        <v>1060</v>
      </c>
      <c r="G4239" t="str">
        <f>HYPERLINK("http://www.ncbi.nlm.nih.gov/Taxonomy/Browser/wwwtax.cgi?mode=Info&amp;id=92180&amp;lvl=3&amp;lin=f&amp;keep=1&amp;srchmode=1&amp;unlock","Trichinella sp. T8")</f>
        <v>Trichinella sp. T8</v>
      </c>
      <c r="H4239" t="s">
        <v>1027</v>
      </c>
      <c r="I4239" t="str">
        <f>HYPERLINK("http://www.ncbi.nlm.nih.gov/protein/KRZ94973.1","Ryanodine receptor 44F")</f>
        <v>Ryanodine receptor 44F</v>
      </c>
      <c r="J4239">
        <v>2521.12</v>
      </c>
      <c r="K4239" t="s">
        <v>22</v>
      </c>
      <c r="L4239">
        <v>76</v>
      </c>
      <c r="M4239">
        <v>12.58</v>
      </c>
      <c r="N4239">
        <v>24.81</v>
      </c>
      <c r="O4239" t="s">
        <v>19</v>
      </c>
      <c r="P4239" t="s">
        <v>1320</v>
      </c>
      <c r="Q4239" t="s">
        <v>19</v>
      </c>
      <c r="R4239" t="str">
        <f>HYPERLINK("https://cfpub.epa.gov/ecotox/explore.cfm?ncbi=92180","Explore in ECOTOX")</f>
        <v>Explore in ECOTOX</v>
      </c>
    </row>
    <row r="4240" spans="1:18" x14ac:dyDescent="0.45">
      <c r="A4240" t="s">
        <v>1265</v>
      </c>
      <c r="B4240">
        <v>8</v>
      </c>
      <c r="C4240" t="str">
        <f>HYPERLINK("http://www.ncbi.nlm.nih.gov/protein/XP_028040409.1","XP_028040409.1")</f>
        <v>XP_028040409.1</v>
      </c>
      <c r="D4240">
        <v>20036</v>
      </c>
      <c r="E4240" t="str">
        <f>HYPERLINK("http://www.ncbi.nlm.nih.gov/Taxonomy/Browser/wwwtax.cgi?mode=Info&amp;id=7092&amp;lvl=3&amp;lin=f&amp;keep=1&amp;srchmode=1&amp;unlock","7092")</f>
        <v>7092</v>
      </c>
      <c r="F4240" t="s">
        <v>760</v>
      </c>
      <c r="G4240" t="str">
        <f>HYPERLINK("http://www.ncbi.nlm.nih.gov/Taxonomy/Browser/wwwtax.cgi?mode=Info&amp;id=7092&amp;lvl=3&amp;lin=f&amp;keep=1&amp;srchmode=1&amp;unlock","Bombyx mandarina")</f>
        <v>Bombyx mandarina</v>
      </c>
      <c r="H4240" t="s">
        <v>878</v>
      </c>
      <c r="I4240" t="str">
        <f>HYPERLINK("http://www.ncbi.nlm.nih.gov/protein/XP_028040409.1","ryanodine receptor isoform X6")</f>
        <v>ryanodine receptor isoform X6</v>
      </c>
      <c r="J4240">
        <v>2521.12</v>
      </c>
      <c r="K4240" t="s">
        <v>22</v>
      </c>
      <c r="L4240">
        <v>76</v>
      </c>
      <c r="M4240">
        <v>12.58</v>
      </c>
      <c r="N4240">
        <v>24.81</v>
      </c>
      <c r="O4240" t="s">
        <v>19</v>
      </c>
      <c r="P4240" t="s">
        <v>1320</v>
      </c>
      <c r="Q4240" t="s">
        <v>19</v>
      </c>
      <c r="R4240" t="str">
        <f>HYPERLINK("https://cfpub.epa.gov/ecotox/explore.cfm?ncbi=7092","Explore in ECOTOX")</f>
        <v>Explore in ECOTOX</v>
      </c>
    </row>
    <row r="4241" spans="1:18" x14ac:dyDescent="0.45">
      <c r="A4241" t="s">
        <v>1265</v>
      </c>
      <c r="B4241">
        <v>8</v>
      </c>
      <c r="C4241" t="str">
        <f>HYPERLINK("http://www.ncbi.nlm.nih.gov/protein/KRX28173.1","KRX28173.1")</f>
        <v>KRX28173.1</v>
      </c>
      <c r="D4241">
        <v>17020</v>
      </c>
      <c r="E4241" t="str">
        <f>HYPERLINK("http://www.ncbi.nlm.nih.gov/Taxonomy/Browser/wwwtax.cgi?mode=Info&amp;id=6336&amp;lvl=3&amp;lin=f&amp;keep=1&amp;srchmode=1&amp;unlock","6336")</f>
        <v>6336</v>
      </c>
      <c r="F4241" t="s">
        <v>1060</v>
      </c>
      <c r="G4241" t="str">
        <f>HYPERLINK("http://www.ncbi.nlm.nih.gov/Taxonomy/Browser/wwwtax.cgi?mode=Info&amp;id=6336&amp;lvl=3&amp;lin=f&amp;keep=1&amp;srchmode=1&amp;unlock","Trichinella nelsoni")</f>
        <v>Trichinella nelsoni</v>
      </c>
      <c r="H4241" t="s">
        <v>1027</v>
      </c>
      <c r="I4241" t="str">
        <f>HYPERLINK("http://www.ncbi.nlm.nih.gov/protein/KRX28173.1","Ryanodine receptor 44F")</f>
        <v>Ryanodine receptor 44F</v>
      </c>
      <c r="J4241">
        <v>2520.73</v>
      </c>
      <c r="K4241" t="s">
        <v>22</v>
      </c>
      <c r="L4241">
        <v>76</v>
      </c>
      <c r="M4241">
        <v>12.58</v>
      </c>
      <c r="N4241">
        <v>24.81</v>
      </c>
      <c r="O4241" t="s">
        <v>19</v>
      </c>
      <c r="P4241" t="s">
        <v>1320</v>
      </c>
      <c r="Q4241" t="s">
        <v>19</v>
      </c>
      <c r="R4241" t="str">
        <f>HYPERLINK("https://cfpub.epa.gov/ecotox/explore.cfm?ncbi=6336","Explore in ECOTOX")</f>
        <v>Explore in ECOTOX</v>
      </c>
    </row>
    <row r="4242" spans="1:18" x14ac:dyDescent="0.45">
      <c r="A4242" t="s">
        <v>1265</v>
      </c>
      <c r="B4242">
        <v>8</v>
      </c>
      <c r="C4242" t="str">
        <f>HYPERLINK("http://www.ncbi.nlm.nih.gov/protein/XP_046990544.1","XP_046990544.1")</f>
        <v>XP_046990544.1</v>
      </c>
      <c r="D4242">
        <v>26426</v>
      </c>
      <c r="E4242" t="str">
        <f>HYPERLINK("http://www.ncbi.nlm.nih.gov/Taxonomy/Browser/wwwtax.cgi?mode=Info&amp;id=7009&amp;lvl=3&amp;lin=f&amp;keep=1&amp;srchmode=1&amp;unlock","7009")</f>
        <v>7009</v>
      </c>
      <c r="F4242" t="s">
        <v>760</v>
      </c>
      <c r="G4242" t="str">
        <f>HYPERLINK("http://www.ncbi.nlm.nih.gov/Taxonomy/Browser/wwwtax.cgi?mode=Info&amp;id=7009&amp;lvl=3&amp;lin=f&amp;keep=1&amp;srchmode=1&amp;unlock","Schistocerca americana")</f>
        <v>Schistocerca americana</v>
      </c>
      <c r="H4242" t="s">
        <v>1036</v>
      </c>
      <c r="I4242" t="str">
        <f>HYPERLINK("http://www.ncbi.nlm.nih.gov/protein/XP_046990544.1","ryanodine receptor")</f>
        <v>ryanodine receptor</v>
      </c>
      <c r="J4242">
        <v>2520.73</v>
      </c>
      <c r="K4242" t="s">
        <v>22</v>
      </c>
      <c r="L4242">
        <v>76</v>
      </c>
      <c r="M4242">
        <v>12.58</v>
      </c>
      <c r="N4242">
        <v>24.81</v>
      </c>
      <c r="O4242" t="s">
        <v>19</v>
      </c>
      <c r="P4242" t="s">
        <v>1320</v>
      </c>
      <c r="Q4242" t="s">
        <v>19</v>
      </c>
      <c r="R4242" t="str">
        <f>HYPERLINK("https://cfpub.epa.gov/ecotox/explore.cfm?ncbi=7009","Explore in ECOTOX")</f>
        <v>Explore in ECOTOX</v>
      </c>
    </row>
    <row r="4243" spans="1:18" x14ac:dyDescent="0.45">
      <c r="A4243" t="s">
        <v>1265</v>
      </c>
      <c r="B4243">
        <v>8</v>
      </c>
      <c r="C4243" t="str">
        <f>HYPERLINK("http://www.ncbi.nlm.nih.gov/protein/XP_047108107.1","XP_047108107.1")</f>
        <v>XP_047108107.1</v>
      </c>
      <c r="D4243">
        <v>25762</v>
      </c>
      <c r="E4243" t="str">
        <f>HYPERLINK("http://www.ncbi.nlm.nih.gov/Taxonomy/Browser/wwwtax.cgi?mode=Info&amp;id=274613&amp;lvl=3&amp;lin=f&amp;keep=1&amp;srchmode=1&amp;unlock","274613")</f>
        <v>274613</v>
      </c>
      <c r="F4243" t="s">
        <v>760</v>
      </c>
      <c r="G4243" t="str">
        <f>HYPERLINK("http://www.ncbi.nlm.nih.gov/Taxonomy/Browser/wwwtax.cgi?mode=Info&amp;id=274613&amp;lvl=3&amp;lin=f&amp;keep=1&amp;srchmode=1&amp;unlock","Schistocerca piceifrons")</f>
        <v>Schistocerca piceifrons</v>
      </c>
      <c r="H4243" t="s">
        <v>1038</v>
      </c>
      <c r="I4243" t="str">
        <f>HYPERLINK("http://www.ncbi.nlm.nih.gov/protein/XP_047108107.1","ryanodine receptor")</f>
        <v>ryanodine receptor</v>
      </c>
      <c r="J4243">
        <v>2519.96</v>
      </c>
      <c r="K4243" t="s">
        <v>22</v>
      </c>
      <c r="L4243">
        <v>76</v>
      </c>
      <c r="M4243">
        <v>12.58</v>
      </c>
      <c r="N4243">
        <v>24.8</v>
      </c>
      <c r="O4243" t="s">
        <v>19</v>
      </c>
      <c r="P4243" t="s">
        <v>1320</v>
      </c>
      <c r="Q4243" t="s">
        <v>19</v>
      </c>
      <c r="R4243" t="str">
        <f>HYPERLINK("https://cfpub.epa.gov/ecotox/explore.cfm?ncbi=274613","Explore in ECOTOX")</f>
        <v>Explore in ECOTOX</v>
      </c>
    </row>
    <row r="4244" spans="1:18" x14ac:dyDescent="0.45">
      <c r="A4244" t="s">
        <v>1265</v>
      </c>
      <c r="B4244">
        <v>8</v>
      </c>
      <c r="C4244" t="str">
        <f>HYPERLINK("http://www.ncbi.nlm.nih.gov/protein/KRX66896.1","KRX66896.1")</f>
        <v>KRX66896.1</v>
      </c>
      <c r="D4244">
        <v>18541</v>
      </c>
      <c r="E4244" t="str">
        <f>HYPERLINK("http://www.ncbi.nlm.nih.gov/Taxonomy/Browser/wwwtax.cgi?mode=Info&amp;id=181606&amp;lvl=3&amp;lin=f&amp;keep=1&amp;srchmode=1&amp;unlock","181606")</f>
        <v>181606</v>
      </c>
      <c r="F4244" t="s">
        <v>1060</v>
      </c>
      <c r="G4244" t="str">
        <f>HYPERLINK("http://www.ncbi.nlm.nih.gov/Taxonomy/Browser/wwwtax.cgi?mode=Info&amp;id=181606&amp;lvl=3&amp;lin=f&amp;keep=1&amp;srchmode=1&amp;unlock","Trichinella sp. T9")</f>
        <v>Trichinella sp. T9</v>
      </c>
      <c r="H4244" t="s">
        <v>1027</v>
      </c>
      <c r="I4244" t="str">
        <f>HYPERLINK("http://www.ncbi.nlm.nih.gov/protein/KRX66896.1","Ryanodine receptor 44F")</f>
        <v>Ryanodine receptor 44F</v>
      </c>
      <c r="J4244">
        <v>2519.96</v>
      </c>
      <c r="K4244" t="s">
        <v>22</v>
      </c>
      <c r="L4244">
        <v>76</v>
      </c>
      <c r="M4244">
        <v>12.58</v>
      </c>
      <c r="N4244">
        <v>24.8</v>
      </c>
      <c r="O4244" t="s">
        <v>19</v>
      </c>
      <c r="P4244" t="s">
        <v>1320</v>
      </c>
      <c r="Q4244" t="s">
        <v>19</v>
      </c>
      <c r="R4244" t="str">
        <f>HYPERLINK("https://cfpub.epa.gov/ecotox/explore.cfm?ncbi=181606","Explore in ECOTOX")</f>
        <v>Explore in ECOTOX</v>
      </c>
    </row>
    <row r="4245" spans="1:18" x14ac:dyDescent="0.45">
      <c r="A4245" t="s">
        <v>1265</v>
      </c>
      <c r="B4245">
        <v>8</v>
      </c>
      <c r="C4245" t="str">
        <f>HYPERLINK("http://www.ncbi.nlm.nih.gov/protein/XP_049951021.1","XP_049951021.1")</f>
        <v>XP_049951021.1</v>
      </c>
      <c r="D4245">
        <v>27698</v>
      </c>
      <c r="E4245" t="str">
        <f>HYPERLINK("http://www.ncbi.nlm.nih.gov/Taxonomy/Browser/wwwtax.cgi?mode=Info&amp;id=2023355&amp;lvl=3&amp;lin=f&amp;keep=1&amp;srchmode=1&amp;unlock","2023355")</f>
        <v>2023355</v>
      </c>
      <c r="F4245" t="s">
        <v>760</v>
      </c>
      <c r="G4245" t="str">
        <f>HYPERLINK("http://www.ncbi.nlm.nih.gov/Taxonomy/Browser/wwwtax.cgi?mode=Info&amp;id=2023355&amp;lvl=3&amp;lin=f&amp;keep=1&amp;srchmode=1&amp;unlock","Schistocerca serialis cubense")</f>
        <v>Schistocerca serialis cubense</v>
      </c>
      <c r="H4245" t="s">
        <v>1041</v>
      </c>
      <c r="I4245" t="str">
        <f>HYPERLINK("http://www.ncbi.nlm.nih.gov/protein/XP_049951021.1","ryanodine receptor")</f>
        <v>ryanodine receptor</v>
      </c>
      <c r="J4245">
        <v>2519.58</v>
      </c>
      <c r="K4245" t="s">
        <v>22</v>
      </c>
      <c r="L4245">
        <v>76</v>
      </c>
      <c r="M4245">
        <v>12.58</v>
      </c>
      <c r="N4245">
        <v>24.8</v>
      </c>
      <c r="O4245" t="s">
        <v>19</v>
      </c>
      <c r="P4245" t="s">
        <v>1320</v>
      </c>
      <c r="Q4245" t="s">
        <v>19</v>
      </c>
      <c r="R4245" t="str">
        <f>HYPERLINK("https://cfpub.epa.gov/ecotox/explore.cfm?ncbi=2023355","Explore in ECOTOX")</f>
        <v>Explore in ECOTOX</v>
      </c>
    </row>
    <row r="4246" spans="1:18" x14ac:dyDescent="0.45">
      <c r="A4246" t="s">
        <v>1265</v>
      </c>
      <c r="B4246">
        <v>8</v>
      </c>
      <c r="C4246" t="str">
        <f>HYPERLINK("http://www.ncbi.nlm.nih.gov/protein/XP_023711458.1","XP_023711458.1")</f>
        <v>XP_023711458.1</v>
      </c>
      <c r="D4246">
        <v>59777</v>
      </c>
      <c r="E4246" t="str">
        <f>HYPERLINK("http://www.ncbi.nlm.nih.gov/Taxonomy/Browser/wwwtax.cgi?mode=Info&amp;id=105785&amp;lvl=3&amp;lin=f&amp;keep=1&amp;srchmode=1&amp;unlock","105785")</f>
        <v>105785</v>
      </c>
      <c r="F4246" t="s">
        <v>760</v>
      </c>
      <c r="G4246" t="str">
        <f>HYPERLINK("http://www.ncbi.nlm.nih.gov/Taxonomy/Browser/wwwtax.cgi?mode=Info&amp;id=105785&amp;lvl=3&amp;lin=f&amp;keep=1&amp;srchmode=1&amp;unlock","Cryptotermes secundus")</f>
        <v>Cryptotermes secundus</v>
      </c>
      <c r="H4246" t="s">
        <v>850</v>
      </c>
      <c r="I4246" t="str">
        <f>HYPERLINK("http://www.ncbi.nlm.nih.gov/protein/XP_023711458.1","ryanodine receptor isoform X1")</f>
        <v>ryanodine receptor isoform X1</v>
      </c>
      <c r="J4246">
        <v>2519.58</v>
      </c>
      <c r="K4246" t="s">
        <v>22</v>
      </c>
      <c r="L4246">
        <v>76</v>
      </c>
      <c r="M4246">
        <v>12.58</v>
      </c>
      <c r="N4246">
        <v>24.8</v>
      </c>
      <c r="O4246" t="s">
        <v>19</v>
      </c>
      <c r="P4246" t="s">
        <v>1320</v>
      </c>
      <c r="Q4246" t="s">
        <v>19</v>
      </c>
      <c r="R4246" t="str">
        <f>HYPERLINK("https://cfpub.epa.gov/ecotox/explore.cfm?ncbi=105785","Explore in ECOTOX")</f>
        <v>Explore in ECOTOX</v>
      </c>
    </row>
    <row r="4247" spans="1:18" x14ac:dyDescent="0.45">
      <c r="A4247" t="s">
        <v>1265</v>
      </c>
      <c r="B4247">
        <v>8</v>
      </c>
      <c r="C4247" t="str">
        <f>HYPERLINK("http://www.ncbi.nlm.nih.gov/protein/KRX50494.1","KRX50494.1")</f>
        <v>KRX50494.1</v>
      </c>
      <c r="D4247">
        <v>18644</v>
      </c>
      <c r="E4247" t="str">
        <f>HYPERLINK("http://www.ncbi.nlm.nih.gov/Taxonomy/Browser/wwwtax.cgi?mode=Info&amp;id=144512&amp;lvl=3&amp;lin=f&amp;keep=1&amp;srchmode=1&amp;unlock","144512")</f>
        <v>144512</v>
      </c>
      <c r="F4247" t="s">
        <v>1060</v>
      </c>
      <c r="G4247" t="str">
        <f>HYPERLINK("http://www.ncbi.nlm.nih.gov/Taxonomy/Browser/wwwtax.cgi?mode=Info&amp;id=144512&amp;lvl=3&amp;lin=f&amp;keep=1&amp;srchmode=1&amp;unlock","Trichinella murrelli")</f>
        <v>Trichinella murrelli</v>
      </c>
      <c r="H4247" t="s">
        <v>1027</v>
      </c>
      <c r="I4247" t="str">
        <f>HYPERLINK("http://www.ncbi.nlm.nih.gov/protein/KRX50494.1","Ryanodine receptor 44F")</f>
        <v>Ryanodine receptor 44F</v>
      </c>
      <c r="J4247">
        <v>2519.19</v>
      </c>
      <c r="K4247" t="s">
        <v>22</v>
      </c>
      <c r="L4247">
        <v>76</v>
      </c>
      <c r="M4247">
        <v>12.58</v>
      </c>
      <c r="N4247">
        <v>24.79</v>
      </c>
      <c r="O4247" t="s">
        <v>19</v>
      </c>
      <c r="P4247" t="s">
        <v>1320</v>
      </c>
      <c r="Q4247" t="s">
        <v>19</v>
      </c>
      <c r="R4247" t="str">
        <f>HYPERLINK("https://cfpub.epa.gov/ecotox/explore.cfm?ncbi=144512","Explore in ECOTOX")</f>
        <v>Explore in ECOTOX</v>
      </c>
    </row>
    <row r="4248" spans="1:18" x14ac:dyDescent="0.45">
      <c r="A4248" t="s">
        <v>1265</v>
      </c>
      <c r="B4248">
        <v>8</v>
      </c>
      <c r="C4248" t="str">
        <f>HYPERLINK("http://www.ncbi.nlm.nih.gov/protein/XP_037875961.1","XP_037875961.1")</f>
        <v>XP_037875961.1</v>
      </c>
      <c r="D4248">
        <v>33461</v>
      </c>
      <c r="E4248" t="str">
        <f>HYPERLINK("http://www.ncbi.nlm.nih.gov/Taxonomy/Browser/wwwtax.cgi?mode=Info&amp;id=7091&amp;lvl=3&amp;lin=f&amp;keep=1&amp;srchmode=1&amp;unlock","7091")</f>
        <v>7091</v>
      </c>
      <c r="F4248" t="s">
        <v>760</v>
      </c>
      <c r="G4248" t="str">
        <f>HYPERLINK("http://www.ncbi.nlm.nih.gov/Taxonomy/Browser/wwwtax.cgi?mode=Info&amp;id=7091&amp;lvl=3&amp;lin=f&amp;keep=1&amp;srchmode=1&amp;unlock","Bombyx mori")</f>
        <v>Bombyx mori</v>
      </c>
      <c r="H4248" t="s">
        <v>880</v>
      </c>
      <c r="I4248" t="str">
        <f>HYPERLINK("http://www.ncbi.nlm.nih.gov/protein/XP_037875961.1","ryanodine receptor isoform X5")</f>
        <v>ryanodine receptor isoform X5</v>
      </c>
      <c r="J4248">
        <v>2519.19</v>
      </c>
      <c r="K4248" t="s">
        <v>22</v>
      </c>
      <c r="L4248">
        <v>76</v>
      </c>
      <c r="M4248">
        <v>12.58</v>
      </c>
      <c r="N4248">
        <v>24.79</v>
      </c>
      <c r="O4248" t="s">
        <v>19</v>
      </c>
      <c r="P4248" t="s">
        <v>1320</v>
      </c>
      <c r="Q4248" t="s">
        <v>19</v>
      </c>
      <c r="R4248" t="str">
        <f>HYPERLINK("https://cfpub.epa.gov/ecotox/explore.cfm?ncbi=7091","Explore in ECOTOX")</f>
        <v>Explore in ECOTOX</v>
      </c>
    </row>
    <row r="4249" spans="1:18" x14ac:dyDescent="0.45">
      <c r="A4249" t="s">
        <v>1265</v>
      </c>
      <c r="B4249">
        <v>8</v>
      </c>
      <c r="C4249" t="str">
        <f>HYPERLINK("http://www.ncbi.nlm.nih.gov/protein/XP_049800975.1","XP_049800975.1")</f>
        <v>XP_049800975.1</v>
      </c>
      <c r="D4249">
        <v>28534</v>
      </c>
      <c r="E4249" t="str">
        <f>HYPERLINK("http://www.ncbi.nlm.nih.gov/Taxonomy/Browser/wwwtax.cgi?mode=Info&amp;id=7011&amp;lvl=3&amp;lin=f&amp;keep=1&amp;srchmode=1&amp;unlock","7011")</f>
        <v>7011</v>
      </c>
      <c r="F4249" t="s">
        <v>760</v>
      </c>
      <c r="G4249" t="str">
        <f>HYPERLINK("http://www.ncbi.nlm.nih.gov/Taxonomy/Browser/wwwtax.cgi?mode=Info&amp;id=7011&amp;lvl=3&amp;lin=f&amp;keep=1&amp;srchmode=1&amp;unlock","Schistocerca nitens")</f>
        <v>Schistocerca nitens</v>
      </c>
      <c r="H4249" t="s">
        <v>1040</v>
      </c>
      <c r="I4249" t="str">
        <f>HYPERLINK("http://www.ncbi.nlm.nih.gov/protein/XP_049800975.1","ryanodine receptor")</f>
        <v>ryanodine receptor</v>
      </c>
      <c r="J4249">
        <v>2518.81</v>
      </c>
      <c r="K4249" t="s">
        <v>22</v>
      </c>
      <c r="L4249">
        <v>76</v>
      </c>
      <c r="M4249">
        <v>12.58</v>
      </c>
      <c r="N4249">
        <v>24.79</v>
      </c>
      <c r="O4249" t="s">
        <v>19</v>
      </c>
      <c r="P4249" t="s">
        <v>1320</v>
      </c>
      <c r="Q4249" t="s">
        <v>19</v>
      </c>
      <c r="R4249" t="str">
        <f>HYPERLINK("https://cfpub.epa.gov/ecotox/explore.cfm?ncbi=7011","Explore in ECOTOX")</f>
        <v>Explore in ECOTOX</v>
      </c>
    </row>
    <row r="4250" spans="1:18" x14ac:dyDescent="0.45">
      <c r="A4250" t="s">
        <v>1265</v>
      </c>
      <c r="B4250">
        <v>8</v>
      </c>
      <c r="C4250" t="str">
        <f>HYPERLINK("http://www.ncbi.nlm.nih.gov/protein/XP_049775985.1","XP_049775985.1")</f>
        <v>XP_049775985.1</v>
      </c>
      <c r="D4250">
        <v>26383</v>
      </c>
      <c r="E4250" t="str">
        <f>HYPERLINK("http://www.ncbi.nlm.nih.gov/Taxonomy/Browser/wwwtax.cgi?mode=Info&amp;id=274614&amp;lvl=3&amp;lin=f&amp;keep=1&amp;srchmode=1&amp;unlock","274614")</f>
        <v>274614</v>
      </c>
      <c r="F4250" t="s">
        <v>760</v>
      </c>
      <c r="G4250" t="str">
        <f>HYPERLINK("http://www.ncbi.nlm.nih.gov/Taxonomy/Browser/wwwtax.cgi?mode=Info&amp;id=274614&amp;lvl=3&amp;lin=f&amp;keep=1&amp;srchmode=1&amp;unlock","Schistocerca cancellata")</f>
        <v>Schistocerca cancellata</v>
      </c>
      <c r="H4250" t="s">
        <v>1035</v>
      </c>
      <c r="I4250" t="str">
        <f>HYPERLINK("http://www.ncbi.nlm.nih.gov/protein/XP_049775985.1","ryanodine receptor")</f>
        <v>ryanodine receptor</v>
      </c>
      <c r="J4250">
        <v>2518.42</v>
      </c>
      <c r="K4250" t="s">
        <v>22</v>
      </c>
      <c r="L4250">
        <v>76</v>
      </c>
      <c r="M4250">
        <v>12.58</v>
      </c>
      <c r="N4250">
        <v>24.79</v>
      </c>
      <c r="O4250" t="s">
        <v>19</v>
      </c>
      <c r="P4250" t="s">
        <v>1320</v>
      </c>
      <c r="Q4250" t="s">
        <v>19</v>
      </c>
      <c r="R4250" t="str">
        <f>HYPERLINK("https://cfpub.epa.gov/ecotox/explore.cfm?ncbi=274614","Explore in ECOTOX")</f>
        <v>Explore in ECOTOX</v>
      </c>
    </row>
    <row r="4251" spans="1:18" x14ac:dyDescent="0.45">
      <c r="A4251" t="s">
        <v>1265</v>
      </c>
      <c r="B4251">
        <v>8</v>
      </c>
      <c r="C4251" t="str">
        <f>HYPERLINK("http://www.ncbi.nlm.nih.gov/protein/XP_046400097.1","XP_046400097.1")</f>
        <v>XP_046400097.1</v>
      </c>
      <c r="D4251">
        <v>27290</v>
      </c>
      <c r="E4251" t="str">
        <f>HYPERLINK("http://www.ncbi.nlm.nih.gov/Taxonomy/Browser/wwwtax.cgi?mode=Info&amp;id=197161&amp;lvl=3&amp;lin=f&amp;keep=1&amp;srchmode=1&amp;unlock","197161")</f>
        <v>197161</v>
      </c>
      <c r="F4251" t="s">
        <v>760</v>
      </c>
      <c r="G4251" t="str">
        <f>HYPERLINK("http://www.ncbi.nlm.nih.gov/Taxonomy/Browser/wwwtax.cgi?mode=Info&amp;id=197161&amp;lvl=3&amp;lin=f&amp;keep=1&amp;srchmode=1&amp;unlock","Ischnura elegans")</f>
        <v>Ischnura elegans</v>
      </c>
      <c r="H4251" t="s">
        <v>848</v>
      </c>
      <c r="I4251" t="str">
        <f>HYPERLINK("http://www.ncbi.nlm.nih.gov/protein/XP_046400097.1","ryanodine receptor isoform X2")</f>
        <v>ryanodine receptor isoform X2</v>
      </c>
      <c r="J4251">
        <v>2518.04</v>
      </c>
      <c r="K4251" t="s">
        <v>22</v>
      </c>
      <c r="L4251">
        <v>76</v>
      </c>
      <c r="M4251">
        <v>12.58</v>
      </c>
      <c r="N4251">
        <v>24.78</v>
      </c>
      <c r="O4251" t="s">
        <v>19</v>
      </c>
      <c r="P4251" t="s">
        <v>1320</v>
      </c>
      <c r="Q4251" t="s">
        <v>19</v>
      </c>
      <c r="R4251" t="str">
        <f>HYPERLINK("https://cfpub.epa.gov/ecotox/explore.cfm?ncbi=197161","Explore in ECOTOX")</f>
        <v>Explore in ECOTOX</v>
      </c>
    </row>
    <row r="4252" spans="1:18" x14ac:dyDescent="0.45">
      <c r="A4252" t="s">
        <v>1265</v>
      </c>
      <c r="B4252">
        <v>8</v>
      </c>
      <c r="C4252" t="str">
        <f>HYPERLINK("http://www.ncbi.nlm.nih.gov/protein/XP_022828487.1","XP_022828487.1")</f>
        <v>XP_022828487.1</v>
      </c>
      <c r="D4252">
        <v>24208</v>
      </c>
      <c r="E4252" t="str">
        <f>HYPERLINK("http://www.ncbi.nlm.nih.gov/Taxonomy/Browser/wwwtax.cgi?mode=Info&amp;id=69820&amp;lvl=3&amp;lin=f&amp;keep=1&amp;srchmode=1&amp;unlock","69820")</f>
        <v>69820</v>
      </c>
      <c r="F4252" t="s">
        <v>760</v>
      </c>
      <c r="G4252" t="str">
        <f>HYPERLINK("http://www.ncbi.nlm.nih.gov/Taxonomy/Browser/wwwtax.cgi?mode=Info&amp;id=69820&amp;lvl=3&amp;lin=f&amp;keep=1&amp;srchmode=1&amp;unlock","Spodoptera litura")</f>
        <v>Spodoptera litura</v>
      </c>
      <c r="H4252" t="s">
        <v>883</v>
      </c>
      <c r="I4252" t="str">
        <f>HYPERLINK("http://www.ncbi.nlm.nih.gov/protein/XP_022828487.1","ryanodine receptor")</f>
        <v>ryanodine receptor</v>
      </c>
      <c r="J4252">
        <v>2518.04</v>
      </c>
      <c r="K4252" t="s">
        <v>22</v>
      </c>
      <c r="L4252">
        <v>76</v>
      </c>
      <c r="M4252">
        <v>12.58</v>
      </c>
      <c r="N4252">
        <v>24.78</v>
      </c>
      <c r="O4252" t="s">
        <v>19</v>
      </c>
      <c r="P4252" t="s">
        <v>1320</v>
      </c>
      <c r="Q4252" t="s">
        <v>19</v>
      </c>
      <c r="R4252" t="str">
        <f>HYPERLINK("https://cfpub.epa.gov/ecotox/explore.cfm?ncbi=69820","Explore in ECOTOX")</f>
        <v>Explore in ECOTOX</v>
      </c>
    </row>
    <row r="4253" spans="1:18" x14ac:dyDescent="0.45">
      <c r="A4253" t="s">
        <v>1265</v>
      </c>
      <c r="B4253">
        <v>8</v>
      </c>
      <c r="C4253" t="str">
        <f>HYPERLINK("http://www.ncbi.nlm.nih.gov/protein/XP_049853811.1","XP_049853811.1")</f>
        <v>XP_049853811.1</v>
      </c>
      <c r="D4253">
        <v>38985</v>
      </c>
      <c r="E4253" t="str">
        <f>HYPERLINK("http://www.ncbi.nlm.nih.gov/Taxonomy/Browser/wwwtax.cgi?mode=Info&amp;id=7010&amp;lvl=3&amp;lin=f&amp;keep=1&amp;srchmode=1&amp;unlock","7010")</f>
        <v>7010</v>
      </c>
      <c r="F4253" t="s">
        <v>760</v>
      </c>
      <c r="G4253" t="str">
        <f>HYPERLINK("http://www.ncbi.nlm.nih.gov/Taxonomy/Browser/wwwtax.cgi?mode=Info&amp;id=7010&amp;lvl=3&amp;lin=f&amp;keep=1&amp;srchmode=1&amp;unlock","Schistocerca gregaria")</f>
        <v>Schistocerca gregaria</v>
      </c>
      <c r="H4253" t="s">
        <v>1034</v>
      </c>
      <c r="I4253" t="str">
        <f>HYPERLINK("http://www.ncbi.nlm.nih.gov/protein/XP_049853811.1","ryanodine receptor isoform X7")</f>
        <v>ryanodine receptor isoform X7</v>
      </c>
      <c r="J4253">
        <v>2517.65</v>
      </c>
      <c r="K4253" t="s">
        <v>22</v>
      </c>
      <c r="L4253">
        <v>76</v>
      </c>
      <c r="M4253">
        <v>12.58</v>
      </c>
      <c r="N4253">
        <v>24.78</v>
      </c>
      <c r="O4253" t="s">
        <v>19</v>
      </c>
      <c r="P4253" t="s">
        <v>1320</v>
      </c>
      <c r="Q4253" t="s">
        <v>19</v>
      </c>
      <c r="R4253" t="str">
        <f>HYPERLINK("https://cfpub.epa.gov/ecotox/explore.cfm?ncbi=7010","Explore in ECOTOX")</f>
        <v>Explore in ECOTOX</v>
      </c>
    </row>
    <row r="4254" spans="1:18" x14ac:dyDescent="0.45">
      <c r="A4254" t="s">
        <v>1265</v>
      </c>
      <c r="B4254">
        <v>8</v>
      </c>
      <c r="C4254" t="str">
        <f>HYPERLINK("http://www.ncbi.nlm.nih.gov/protein/XP_050357861.1","XP_050357861.1")</f>
        <v>XP_050357861.1</v>
      </c>
      <c r="D4254">
        <v>21491</v>
      </c>
      <c r="E4254" t="str">
        <f>HYPERLINK("http://www.ncbi.nlm.nih.gov/Taxonomy/Browser/wwwtax.cgi?mode=Info&amp;id=171585&amp;lvl=3&amp;lin=f&amp;keep=1&amp;srchmode=1&amp;unlock","171585")</f>
        <v>171585</v>
      </c>
      <c r="F4254" t="s">
        <v>760</v>
      </c>
      <c r="G4254" t="str">
        <f>HYPERLINK("http://www.ncbi.nlm.nih.gov/Taxonomy/Browser/wwwtax.cgi?mode=Info&amp;id=171585&amp;lvl=3&amp;lin=f&amp;keep=1&amp;srchmode=1&amp;unlock","Nymphalis io")</f>
        <v>Nymphalis io</v>
      </c>
      <c r="H4254" t="s">
        <v>875</v>
      </c>
      <c r="I4254" t="str">
        <f>HYPERLINK("http://www.ncbi.nlm.nih.gov/protein/XP_050357861.1","ryanodine receptor isoform X8")</f>
        <v>ryanodine receptor isoform X8</v>
      </c>
      <c r="J4254">
        <v>2516.4899999999998</v>
      </c>
      <c r="K4254" t="s">
        <v>22</v>
      </c>
      <c r="L4254">
        <v>76</v>
      </c>
      <c r="M4254">
        <v>12.58</v>
      </c>
      <c r="N4254">
        <v>24.77</v>
      </c>
      <c r="O4254" t="s">
        <v>19</v>
      </c>
      <c r="P4254" t="s">
        <v>1320</v>
      </c>
      <c r="Q4254" t="s">
        <v>19</v>
      </c>
      <c r="R4254" t="str">
        <f>HYPERLINK("https://cfpub.epa.gov/ecotox/explore.cfm?ncbi=171585","Explore in ECOTOX")</f>
        <v>Explore in ECOTOX</v>
      </c>
    </row>
    <row r="4255" spans="1:18" x14ac:dyDescent="0.45">
      <c r="A4255" t="s">
        <v>1265</v>
      </c>
      <c r="B4255">
        <v>8</v>
      </c>
      <c r="C4255" t="str">
        <f>HYPERLINK("http://www.ncbi.nlm.nih.gov/protein/KRY59582.1","KRY59582.1")</f>
        <v>KRY59582.1</v>
      </c>
      <c r="D4255">
        <v>20916</v>
      </c>
      <c r="E4255" t="str">
        <f>HYPERLINK("http://www.ncbi.nlm.nih.gov/Taxonomy/Browser/wwwtax.cgi?mode=Info&amp;id=45882&amp;lvl=3&amp;lin=f&amp;keep=1&amp;srchmode=1&amp;unlock","45882")</f>
        <v>45882</v>
      </c>
      <c r="F4255" t="s">
        <v>1060</v>
      </c>
      <c r="G4255" t="str">
        <f>HYPERLINK("http://www.ncbi.nlm.nih.gov/Taxonomy/Browser/wwwtax.cgi?mode=Info&amp;id=45882&amp;lvl=3&amp;lin=f&amp;keep=1&amp;srchmode=1&amp;unlock","Trichinella britovi")</f>
        <v>Trichinella britovi</v>
      </c>
      <c r="H4255" t="s">
        <v>1027</v>
      </c>
      <c r="I4255" t="str">
        <f>HYPERLINK("http://www.ncbi.nlm.nih.gov/protein/KRY59582.1","Ryanodine receptor 44F")</f>
        <v>Ryanodine receptor 44F</v>
      </c>
      <c r="J4255">
        <v>2513.8000000000002</v>
      </c>
      <c r="K4255" t="s">
        <v>22</v>
      </c>
      <c r="L4255">
        <v>76</v>
      </c>
      <c r="M4255">
        <v>12.58</v>
      </c>
      <c r="N4255">
        <v>24.74</v>
      </c>
      <c r="O4255" t="s">
        <v>19</v>
      </c>
      <c r="P4255" t="s">
        <v>1320</v>
      </c>
      <c r="Q4255" t="s">
        <v>19</v>
      </c>
      <c r="R4255" t="str">
        <f>HYPERLINK("https://cfpub.epa.gov/ecotox/explore.cfm?ncbi=45882","Explore in ECOTOX")</f>
        <v>Explore in ECOTOX</v>
      </c>
    </row>
    <row r="4256" spans="1:18" x14ac:dyDescent="0.45">
      <c r="A4256" t="s">
        <v>1265</v>
      </c>
      <c r="B4256">
        <v>8</v>
      </c>
      <c r="C4256" t="str">
        <f>HYPERLINK("http://www.ncbi.nlm.nih.gov/protein/KFD47585.1","KFD47585.1")</f>
        <v>KFD47585.1</v>
      </c>
      <c r="D4256">
        <v>38524</v>
      </c>
      <c r="E4256" t="str">
        <f>HYPERLINK("http://www.ncbi.nlm.nih.gov/Taxonomy/Browser/wwwtax.cgi?mode=Info&amp;id=68888&amp;lvl=3&amp;lin=f&amp;keep=1&amp;srchmode=1&amp;unlock","68888")</f>
        <v>68888</v>
      </c>
      <c r="F4256" t="s">
        <v>1060</v>
      </c>
      <c r="G4256" t="str">
        <f>HYPERLINK("http://www.ncbi.nlm.nih.gov/Taxonomy/Browser/wwwtax.cgi?mode=Info&amp;id=68888&amp;lvl=3&amp;lin=f&amp;keep=1&amp;srchmode=1&amp;unlock","Trichuris suis")</f>
        <v>Trichuris suis</v>
      </c>
      <c r="H4256" t="s">
        <v>1107</v>
      </c>
      <c r="I4256" t="str">
        <f>HYPERLINK("http://www.ncbi.nlm.nih.gov/protein/KFD47585.1","hypothetical protein M513_11549")</f>
        <v>hypothetical protein M513_11549</v>
      </c>
      <c r="J4256">
        <v>2513.41</v>
      </c>
      <c r="K4256" t="s">
        <v>22</v>
      </c>
      <c r="L4256">
        <v>76</v>
      </c>
      <c r="M4256">
        <v>12.58</v>
      </c>
      <c r="N4256">
        <v>24.74</v>
      </c>
      <c r="O4256" t="s">
        <v>19</v>
      </c>
      <c r="P4256" t="s">
        <v>1320</v>
      </c>
      <c r="Q4256" t="s">
        <v>19</v>
      </c>
      <c r="R4256" t="str">
        <f>HYPERLINK("https://cfpub.epa.gov/ecotox/explore.cfm?ncbi=68888","Explore in ECOTOX")</f>
        <v>Explore in ECOTOX</v>
      </c>
    </row>
    <row r="4257" spans="1:18" x14ac:dyDescent="0.45">
      <c r="A4257" t="s">
        <v>1265</v>
      </c>
      <c r="B4257">
        <v>8</v>
      </c>
      <c r="C4257" t="str">
        <f>HYPERLINK("http://www.ncbi.nlm.nih.gov/protein/XP_046974314.1","XP_046974314.1")</f>
        <v>XP_046974314.1</v>
      </c>
      <c r="D4257">
        <v>19970</v>
      </c>
      <c r="E4257" t="str">
        <f>HYPERLINK("http://www.ncbi.nlm.nih.gov/Taxonomy/Browser/wwwtax.cgi?mode=Info&amp;id=171605&amp;lvl=3&amp;lin=f&amp;keep=1&amp;srchmode=1&amp;unlock","171605")</f>
        <v>171605</v>
      </c>
      <c r="F4257" t="s">
        <v>760</v>
      </c>
      <c r="G4257" t="str">
        <f>HYPERLINK("http://www.ncbi.nlm.nih.gov/Taxonomy/Browser/wwwtax.cgi?mode=Info&amp;id=171605&amp;lvl=3&amp;lin=f&amp;keep=1&amp;srchmode=1&amp;unlock","Vanessa cardui")</f>
        <v>Vanessa cardui</v>
      </c>
      <c r="H4257" t="s">
        <v>868</v>
      </c>
      <c r="I4257" t="str">
        <f>HYPERLINK("http://www.ncbi.nlm.nih.gov/protein/XP_046974314.1","ryanodine receptor")</f>
        <v>ryanodine receptor</v>
      </c>
      <c r="J4257">
        <v>2513.0300000000002</v>
      </c>
      <c r="K4257" t="s">
        <v>22</v>
      </c>
      <c r="L4257">
        <v>76</v>
      </c>
      <c r="M4257">
        <v>12.58</v>
      </c>
      <c r="N4257">
        <v>24.73</v>
      </c>
      <c r="O4257" t="s">
        <v>19</v>
      </c>
      <c r="P4257" t="s">
        <v>1320</v>
      </c>
      <c r="Q4257" t="s">
        <v>19</v>
      </c>
      <c r="R4257" t="str">
        <f>HYPERLINK("https://cfpub.epa.gov/ecotox/explore.cfm?ncbi=171605","Explore in ECOTOX")</f>
        <v>Explore in ECOTOX</v>
      </c>
    </row>
    <row r="4258" spans="1:18" x14ac:dyDescent="0.45">
      <c r="A4258" t="s">
        <v>1265</v>
      </c>
      <c r="B4258">
        <v>8</v>
      </c>
      <c r="C4258" t="str">
        <f>HYPERLINK("http://www.ncbi.nlm.nih.gov/protein/XP_047541207.1","XP_047541207.1")</f>
        <v>XP_047541207.1</v>
      </c>
      <c r="D4258">
        <v>20161</v>
      </c>
      <c r="E4258" t="str">
        <f>HYPERLINK("http://www.ncbi.nlm.nih.gov/Taxonomy/Browser/wwwtax.cgi?mode=Info&amp;id=42275&amp;lvl=3&amp;lin=f&amp;keep=1&amp;srchmode=1&amp;unlock","42275")</f>
        <v>42275</v>
      </c>
      <c r="F4258" t="s">
        <v>760</v>
      </c>
      <c r="G4258" t="str">
        <f>HYPERLINK("http://www.ncbi.nlm.nih.gov/Taxonomy/Browser/wwwtax.cgi?mode=Info&amp;id=42275&amp;lvl=3&amp;lin=f&amp;keep=1&amp;srchmode=1&amp;unlock","Vanessa atalanta")</f>
        <v>Vanessa atalanta</v>
      </c>
      <c r="H4258" t="s">
        <v>864</v>
      </c>
      <c r="I4258" t="str">
        <f>HYPERLINK("http://www.ncbi.nlm.nih.gov/protein/XP_047541207.1","ryanodine receptor isoform X25")</f>
        <v>ryanodine receptor isoform X25</v>
      </c>
      <c r="J4258">
        <v>2512.64</v>
      </c>
      <c r="K4258" t="s">
        <v>22</v>
      </c>
      <c r="L4258">
        <v>76</v>
      </c>
      <c r="M4258">
        <v>12.58</v>
      </c>
      <c r="N4258">
        <v>24.73</v>
      </c>
      <c r="O4258" t="s">
        <v>19</v>
      </c>
      <c r="P4258" t="s">
        <v>1320</v>
      </c>
      <c r="Q4258" t="s">
        <v>19</v>
      </c>
      <c r="R4258" t="str">
        <f>HYPERLINK("https://cfpub.epa.gov/ecotox/explore.cfm?ncbi=42275","Explore in ECOTOX")</f>
        <v>Explore in ECOTOX</v>
      </c>
    </row>
    <row r="4259" spans="1:18" x14ac:dyDescent="0.45">
      <c r="A4259" t="s">
        <v>1265</v>
      </c>
      <c r="B4259">
        <v>8</v>
      </c>
      <c r="C4259" t="str">
        <f>HYPERLINK("http://www.ncbi.nlm.nih.gov/protein/XP_026484115.1","XP_026484115.1")</f>
        <v>XP_026484115.1</v>
      </c>
      <c r="D4259">
        <v>18776</v>
      </c>
      <c r="E4259" t="str">
        <f>HYPERLINK("http://www.ncbi.nlm.nih.gov/Taxonomy/Browser/wwwtax.cgi?mode=Info&amp;id=334116&amp;lvl=3&amp;lin=f&amp;keep=1&amp;srchmode=1&amp;unlock","334116")</f>
        <v>334116</v>
      </c>
      <c r="F4259" t="s">
        <v>760</v>
      </c>
      <c r="G4259" t="str">
        <f>HYPERLINK("http://www.ncbi.nlm.nih.gov/Taxonomy/Browser/wwwtax.cgi?mode=Info&amp;id=334116&amp;lvl=3&amp;lin=f&amp;keep=1&amp;srchmode=1&amp;unlock","Vanessa tameamea")</f>
        <v>Vanessa tameamea</v>
      </c>
      <c r="H4259" t="s">
        <v>874</v>
      </c>
      <c r="I4259" t="str">
        <f>HYPERLINK("http://www.ncbi.nlm.nih.gov/protein/XP_026484115.1","ryanodine receptor isoform X25")</f>
        <v>ryanodine receptor isoform X25</v>
      </c>
      <c r="J4259">
        <v>2512.2600000000002</v>
      </c>
      <c r="K4259" t="s">
        <v>22</v>
      </c>
      <c r="L4259">
        <v>76</v>
      </c>
      <c r="M4259">
        <v>12.58</v>
      </c>
      <c r="N4259">
        <v>24.73</v>
      </c>
      <c r="O4259" t="s">
        <v>19</v>
      </c>
      <c r="P4259" t="s">
        <v>1320</v>
      </c>
      <c r="Q4259" t="s">
        <v>19</v>
      </c>
      <c r="R4259" t="str">
        <f>HYPERLINK("https://cfpub.epa.gov/ecotox/explore.cfm?ncbi=334116","Explore in ECOTOX")</f>
        <v>Explore in ECOTOX</v>
      </c>
    </row>
    <row r="4260" spans="1:18" x14ac:dyDescent="0.45">
      <c r="A4260" t="s">
        <v>1265</v>
      </c>
      <c r="B4260">
        <v>8</v>
      </c>
      <c r="C4260" t="str">
        <f>HYPERLINK("http://www.ncbi.nlm.nih.gov/protein/ELT95828.1","ELT95828.1")</f>
        <v>ELT95828.1</v>
      </c>
      <c r="D4260">
        <v>32054</v>
      </c>
      <c r="E4260" t="str">
        <f>HYPERLINK("http://www.ncbi.nlm.nih.gov/Taxonomy/Browser/wwwtax.cgi?mode=Info&amp;id=283909&amp;lvl=3&amp;lin=f&amp;keep=1&amp;srchmode=1&amp;unlock","283909")</f>
        <v>283909</v>
      </c>
      <c r="F4260" t="s">
        <v>862</v>
      </c>
      <c r="G4260" t="str">
        <f>HYPERLINK("http://www.ncbi.nlm.nih.gov/Taxonomy/Browser/wwwtax.cgi?mode=Info&amp;id=283909&amp;lvl=3&amp;lin=f&amp;keep=1&amp;srchmode=1&amp;unlock","Capitella teleta")</f>
        <v>Capitella teleta</v>
      </c>
      <c r="H4260" t="s">
        <v>863</v>
      </c>
      <c r="I4260" t="str">
        <f>HYPERLINK("http://www.ncbi.nlm.nih.gov/protein/ELT95828.1","hypothetical protein CAPTEDRAFT_159249")</f>
        <v>hypothetical protein CAPTEDRAFT_159249</v>
      </c>
      <c r="J4260">
        <v>2510.33</v>
      </c>
      <c r="K4260" t="s">
        <v>22</v>
      </c>
      <c r="L4260">
        <v>76</v>
      </c>
      <c r="M4260">
        <v>12.58</v>
      </c>
      <c r="N4260">
        <v>24.71</v>
      </c>
      <c r="O4260" t="s">
        <v>19</v>
      </c>
      <c r="P4260" t="s">
        <v>1320</v>
      </c>
      <c r="Q4260" t="s">
        <v>19</v>
      </c>
      <c r="R4260" t="str">
        <f>HYPERLINK("https://cfpub.epa.gov/ecotox/explore.cfm?ncbi=283909","Explore in ECOTOX")</f>
        <v>Explore in ECOTOX</v>
      </c>
    </row>
    <row r="4261" spans="1:18" x14ac:dyDescent="0.45">
      <c r="A4261" t="s">
        <v>1265</v>
      </c>
      <c r="B4261">
        <v>8</v>
      </c>
      <c r="C4261" t="str">
        <f>HYPERLINK("http://www.ncbi.nlm.nih.gov/protein/XP_045457465.1","XP_045457465.1")</f>
        <v>XP_045457465.1</v>
      </c>
      <c r="D4261">
        <v>14884</v>
      </c>
      <c r="E4261" t="str">
        <f>HYPERLINK("http://www.ncbi.nlm.nih.gov/Taxonomy/Browser/wwwtax.cgi?mode=Info&amp;id=113334&amp;lvl=3&amp;lin=f&amp;keep=1&amp;srchmode=1&amp;unlock","113334")</f>
        <v>113334</v>
      </c>
      <c r="F4261" t="s">
        <v>760</v>
      </c>
      <c r="G4261" t="str">
        <f>HYPERLINK("http://www.ncbi.nlm.nih.gov/Taxonomy/Browser/wwwtax.cgi?mode=Info&amp;id=113334&amp;lvl=3&amp;lin=f&amp;keep=1&amp;srchmode=1&amp;unlock","Melitaea cinxia")</f>
        <v>Melitaea cinxia</v>
      </c>
      <c r="H4261" t="s">
        <v>1042</v>
      </c>
      <c r="I4261" t="str">
        <f>HYPERLINK("http://www.ncbi.nlm.nih.gov/protein/XP_045457465.1","ryanodine receptor")</f>
        <v>ryanodine receptor</v>
      </c>
      <c r="J4261">
        <v>2509.9499999999998</v>
      </c>
      <c r="K4261" t="s">
        <v>22</v>
      </c>
      <c r="L4261">
        <v>76</v>
      </c>
      <c r="M4261">
        <v>12.58</v>
      </c>
      <c r="N4261">
        <v>24.7</v>
      </c>
      <c r="O4261" t="s">
        <v>19</v>
      </c>
      <c r="P4261" t="s">
        <v>1320</v>
      </c>
      <c r="Q4261" t="s">
        <v>19</v>
      </c>
      <c r="R4261" t="str">
        <f>HYPERLINK("https://cfpub.epa.gov/ecotox/explore.cfm?ncbi=113334","Explore in ECOTOX")</f>
        <v>Explore in ECOTOX</v>
      </c>
    </row>
    <row r="4262" spans="1:18" x14ac:dyDescent="0.45">
      <c r="A4262" t="s">
        <v>1265</v>
      </c>
      <c r="B4262">
        <v>8</v>
      </c>
      <c r="C4262" t="str">
        <f>HYPERLINK("http://www.ncbi.nlm.nih.gov/protein/XP_049881996.1","XP_049881996.1")</f>
        <v>XP_049881996.1</v>
      </c>
      <c r="D4262">
        <v>23810</v>
      </c>
      <c r="E4262" t="str">
        <f>HYPERLINK("http://www.ncbi.nlm.nih.gov/Taxonomy/Browser/wwwtax.cgi?mode=Info&amp;id=13191&amp;lvl=3&amp;lin=f&amp;keep=1&amp;srchmode=1&amp;unlock","13191")</f>
        <v>13191</v>
      </c>
      <c r="F4262" t="s">
        <v>760</v>
      </c>
      <c r="G4262" t="str">
        <f>HYPERLINK("http://www.ncbi.nlm.nih.gov/Taxonomy/Browser/wwwtax.cgi?mode=Info&amp;id=13191&amp;lvl=3&amp;lin=f&amp;keep=1&amp;srchmode=1&amp;unlock","Pectinophora gossypiella")</f>
        <v>Pectinophora gossypiella</v>
      </c>
      <c r="H4262" t="s">
        <v>911</v>
      </c>
      <c r="I4262" t="str">
        <f>HYPERLINK("http://www.ncbi.nlm.nih.gov/protein/XP_049881996.1","ryanodine receptor isoform X4")</f>
        <v>ryanodine receptor isoform X4</v>
      </c>
      <c r="J4262">
        <v>2507.64</v>
      </c>
      <c r="K4262" t="s">
        <v>22</v>
      </c>
      <c r="L4262">
        <v>76</v>
      </c>
      <c r="M4262">
        <v>12.58</v>
      </c>
      <c r="N4262">
        <v>24.68</v>
      </c>
      <c r="O4262" t="s">
        <v>19</v>
      </c>
      <c r="P4262" t="s">
        <v>1320</v>
      </c>
      <c r="Q4262" t="s">
        <v>19</v>
      </c>
      <c r="R4262" t="str">
        <f>HYPERLINK("https://cfpub.epa.gov/ecotox/explore.cfm?ncbi=13191","Explore in ECOTOX")</f>
        <v>Explore in ECOTOX</v>
      </c>
    </row>
    <row r="4263" spans="1:18" x14ac:dyDescent="0.45">
      <c r="A4263" t="s">
        <v>1265</v>
      </c>
      <c r="B4263">
        <v>8</v>
      </c>
      <c r="C4263" t="str">
        <f>HYPERLINK("http://www.ncbi.nlm.nih.gov/protein/XP_014233028.1","XP_014233028.1")</f>
        <v>XP_014233028.1</v>
      </c>
      <c r="D4263">
        <v>21217</v>
      </c>
      <c r="E4263" t="str">
        <f>HYPERLINK("http://www.ncbi.nlm.nih.gov/Taxonomy/Browser/wwwtax.cgi?mode=Info&amp;id=7493&amp;lvl=3&amp;lin=f&amp;keep=1&amp;srchmode=1&amp;unlock","7493")</f>
        <v>7493</v>
      </c>
      <c r="F4263" t="s">
        <v>760</v>
      </c>
      <c r="G4263" t="str">
        <f>HYPERLINK("http://www.ncbi.nlm.nih.gov/Taxonomy/Browser/wwwtax.cgi?mode=Info&amp;id=7493&amp;lvl=3&amp;lin=f&amp;keep=1&amp;srchmode=1&amp;unlock","Trichogramma pretiosum")</f>
        <v>Trichogramma pretiosum</v>
      </c>
      <c r="H4263" t="s">
        <v>947</v>
      </c>
      <c r="I4263" t="str">
        <f>HYPERLINK("http://www.ncbi.nlm.nih.gov/protein/XP_014233028.1","ryanodine receptor isoform X6")</f>
        <v>ryanodine receptor isoform X6</v>
      </c>
      <c r="J4263">
        <v>2507.25</v>
      </c>
      <c r="K4263" t="s">
        <v>22</v>
      </c>
      <c r="L4263">
        <v>76</v>
      </c>
      <c r="M4263">
        <v>12.58</v>
      </c>
      <c r="N4263">
        <v>24.68</v>
      </c>
      <c r="O4263" t="s">
        <v>19</v>
      </c>
      <c r="P4263" t="s">
        <v>1320</v>
      </c>
      <c r="Q4263" t="s">
        <v>19</v>
      </c>
      <c r="R4263" t="str">
        <f>HYPERLINK("https://cfpub.epa.gov/ecotox/explore.cfm?ncbi=7493","Explore in ECOTOX")</f>
        <v>Explore in ECOTOX</v>
      </c>
    </row>
    <row r="4264" spans="1:18" x14ac:dyDescent="0.45">
      <c r="A4264" t="s">
        <v>1265</v>
      </c>
      <c r="B4264">
        <v>8</v>
      </c>
      <c r="C4264" t="str">
        <f>HYPERLINK("http://www.ncbi.nlm.nih.gov/protein/ATX64237.1","ATX64237.1")</f>
        <v>ATX64237.1</v>
      </c>
      <c r="D4264">
        <v>72</v>
      </c>
      <c r="E4264" t="str">
        <f>HYPERLINK("http://www.ncbi.nlm.nih.gov/Taxonomy/Browser/wwwtax.cgi?mode=Info&amp;id=480707&amp;lvl=3&amp;lin=f&amp;keep=1&amp;srchmode=1&amp;unlock","480707")</f>
        <v>480707</v>
      </c>
      <c r="F4264" t="s">
        <v>760</v>
      </c>
      <c r="G4264" t="str">
        <f>HYPERLINK("http://www.ncbi.nlm.nih.gov/Taxonomy/Browser/wwwtax.cgi?mode=Info&amp;id=480707&amp;lvl=3&amp;lin=f&amp;keep=1&amp;srchmode=1&amp;unlock","Adoxophyes orana")</f>
        <v>Adoxophyes orana</v>
      </c>
      <c r="H4264" t="s">
        <v>959</v>
      </c>
      <c r="I4264" t="str">
        <f>HYPERLINK("http://www.ncbi.nlm.nih.gov/protein/ATX64237.1","ryanodine receptor 1")</f>
        <v>ryanodine receptor 1</v>
      </c>
      <c r="J4264">
        <v>2506.86</v>
      </c>
      <c r="K4264" t="s">
        <v>22</v>
      </c>
      <c r="L4264">
        <v>76</v>
      </c>
      <c r="M4264">
        <v>12.58</v>
      </c>
      <c r="N4264">
        <v>24.67</v>
      </c>
      <c r="O4264" t="s">
        <v>19</v>
      </c>
      <c r="P4264" t="s">
        <v>1320</v>
      </c>
      <c r="Q4264" t="s">
        <v>19</v>
      </c>
      <c r="R4264" t="str">
        <f>HYPERLINK("https://cfpub.epa.gov/ecotox/explore.cfm?ncbi=480707","Explore in ECOTOX")</f>
        <v>Explore in ECOTOX</v>
      </c>
    </row>
    <row r="4265" spans="1:18" x14ac:dyDescent="0.45">
      <c r="A4265" t="s">
        <v>1265</v>
      </c>
      <c r="B4265">
        <v>8</v>
      </c>
      <c r="C4265" t="str">
        <f>HYPERLINK("http://www.ncbi.nlm.nih.gov/protein/VDI80221.1","VDI80221.1")</f>
        <v>VDI80221.1</v>
      </c>
      <c r="D4265">
        <v>83902</v>
      </c>
      <c r="E4265" t="str">
        <f>HYPERLINK("http://www.ncbi.nlm.nih.gov/Taxonomy/Browser/wwwtax.cgi?mode=Info&amp;id=29158&amp;lvl=3&amp;lin=f&amp;keep=1&amp;srchmode=1&amp;unlock","29158")</f>
        <v>29158</v>
      </c>
      <c r="F4265" t="s">
        <v>833</v>
      </c>
      <c r="G4265" t="str">
        <f>HYPERLINK("http://www.ncbi.nlm.nih.gov/Taxonomy/Browser/wwwtax.cgi?mode=Info&amp;id=29158&amp;lvl=3&amp;lin=f&amp;keep=1&amp;srchmode=1&amp;unlock","Mytilus galloprovincialis")</f>
        <v>Mytilus galloprovincialis</v>
      </c>
      <c r="H4265" t="s">
        <v>1019</v>
      </c>
      <c r="I4265" t="str">
        <f>HYPERLINK("http://www.ncbi.nlm.nih.gov/protein/VDI80221.1","ryanodine receptor 2")</f>
        <v>ryanodine receptor 2</v>
      </c>
      <c r="J4265">
        <v>2498.7800000000002</v>
      </c>
      <c r="K4265" t="s">
        <v>22</v>
      </c>
      <c r="L4265">
        <v>76</v>
      </c>
      <c r="M4265">
        <v>12.58</v>
      </c>
      <c r="N4265">
        <v>24.59</v>
      </c>
      <c r="O4265" t="s">
        <v>19</v>
      </c>
      <c r="P4265" t="s">
        <v>1320</v>
      </c>
      <c r="Q4265" t="s">
        <v>19</v>
      </c>
      <c r="R4265" t="str">
        <f>HYPERLINK("https://cfpub.epa.gov/ecotox/explore.cfm?ncbi=29158","Explore in ECOTOX")</f>
        <v>Explore in ECOTOX</v>
      </c>
    </row>
    <row r="4266" spans="1:18" x14ac:dyDescent="0.45">
      <c r="A4266" t="s">
        <v>1265</v>
      </c>
      <c r="B4266">
        <v>8</v>
      </c>
      <c r="C4266" t="str">
        <f>HYPERLINK("http://www.ncbi.nlm.nih.gov/protein/AFK84959.1","AFK84959.1")</f>
        <v>AFK84959.1</v>
      </c>
      <c r="D4266">
        <v>18618</v>
      </c>
      <c r="E4266" t="str">
        <f>HYPERLINK("http://www.ncbi.nlm.nih.gov/Taxonomy/Browser/wwwtax.cgi?mode=Info&amp;id=195883&amp;lvl=3&amp;lin=f&amp;keep=1&amp;srchmode=1&amp;unlock","195883")</f>
        <v>195883</v>
      </c>
      <c r="F4266" t="s">
        <v>760</v>
      </c>
      <c r="G4266" t="str">
        <f>HYPERLINK("http://www.ncbi.nlm.nih.gov/Taxonomy/Browser/wwwtax.cgi?mode=Info&amp;id=195883&amp;lvl=3&amp;lin=f&amp;keep=1&amp;srchmode=1&amp;unlock","Laodelphax striatellus")</f>
        <v>Laodelphax striatellus</v>
      </c>
      <c r="H4266" t="s">
        <v>881</v>
      </c>
      <c r="I4266" t="str">
        <f>HYPERLINK("http://www.ncbi.nlm.nih.gov/protein/AFK84959.1","ryanodine receptor")</f>
        <v>ryanodine receptor</v>
      </c>
      <c r="J4266">
        <v>2497.62</v>
      </c>
      <c r="K4266" t="s">
        <v>22</v>
      </c>
      <c r="L4266">
        <v>76</v>
      </c>
      <c r="M4266">
        <v>12.58</v>
      </c>
      <c r="N4266">
        <v>24.58</v>
      </c>
      <c r="O4266" t="s">
        <v>19</v>
      </c>
      <c r="P4266" t="s">
        <v>1320</v>
      </c>
      <c r="Q4266" t="s">
        <v>19</v>
      </c>
      <c r="R4266" t="str">
        <f>HYPERLINK("https://cfpub.epa.gov/ecotox/explore.cfm?ncbi=195883","Explore in ECOTOX")</f>
        <v>Explore in ECOTOX</v>
      </c>
    </row>
    <row r="4267" spans="1:18" x14ac:dyDescent="0.45">
      <c r="A4267" t="s">
        <v>1265</v>
      </c>
      <c r="B4267">
        <v>8</v>
      </c>
      <c r="C4267" t="str">
        <f>HYPERLINK("http://www.ncbi.nlm.nih.gov/protein/KAK3911259.1","KAK3911259.1")</f>
        <v>KAK3911259.1</v>
      </c>
      <c r="D4267">
        <v>26206</v>
      </c>
      <c r="E4267" t="str">
        <f>HYPERLINK("http://www.ncbi.nlm.nih.gov/Taxonomy/Browser/wwwtax.cgi?mode=Info&amp;id=407009&amp;lvl=3&amp;lin=f&amp;keep=1&amp;srchmode=1&amp;unlock","407009")</f>
        <v>407009</v>
      </c>
      <c r="F4267" t="s">
        <v>760</v>
      </c>
      <c r="G4267" t="str">
        <f>HYPERLINK("http://www.ncbi.nlm.nih.gov/Taxonomy/Browser/wwwtax.cgi?mode=Info&amp;id=407009&amp;lvl=3&amp;lin=f&amp;keep=1&amp;srchmode=1&amp;unlock","Frankliniella fusca")</f>
        <v>Frankliniella fusca</v>
      </c>
      <c r="H4267" t="s">
        <v>1037</v>
      </c>
      <c r="I4267" t="str">
        <f>HYPERLINK("http://www.ncbi.nlm.nih.gov/protein/KAK3911259.1","hypothetical protein KUF71_021040")</f>
        <v>hypothetical protein KUF71_021040</v>
      </c>
      <c r="J4267">
        <v>2497.62</v>
      </c>
      <c r="K4267" t="s">
        <v>19</v>
      </c>
      <c r="L4267">
        <v>76</v>
      </c>
      <c r="M4267">
        <v>12.58</v>
      </c>
      <c r="N4267">
        <v>24.58</v>
      </c>
      <c r="O4267" t="s">
        <v>19</v>
      </c>
      <c r="P4267" t="s">
        <v>1320</v>
      </c>
      <c r="Q4267" t="s">
        <v>19</v>
      </c>
      <c r="R4267" t="str">
        <f>HYPERLINK("https://cfpub.epa.gov/ecotox/explore.cfm?ncbi=407009","Explore in ECOTOX")</f>
        <v>Explore in ECOTOX</v>
      </c>
    </row>
    <row r="4268" spans="1:18" x14ac:dyDescent="0.45">
      <c r="A4268" t="s">
        <v>1265</v>
      </c>
      <c r="B4268">
        <v>8</v>
      </c>
      <c r="C4268" t="str">
        <f>HYPERLINK("http://www.ncbi.nlm.nih.gov/protein/XP_002424547.1","XP_002424547.1")</f>
        <v>XP_002424547.1</v>
      </c>
      <c r="D4268">
        <v>21887</v>
      </c>
      <c r="E4268" t="str">
        <f>HYPERLINK("http://www.ncbi.nlm.nih.gov/Taxonomy/Browser/wwwtax.cgi?mode=Info&amp;id=121224&amp;lvl=3&amp;lin=f&amp;keep=1&amp;srchmode=1&amp;unlock","121224")</f>
        <v>121224</v>
      </c>
      <c r="F4268" t="s">
        <v>760</v>
      </c>
      <c r="G4268" t="str">
        <f>HYPERLINK("http://www.ncbi.nlm.nih.gov/Taxonomy/Browser/wwwtax.cgi?mode=Info&amp;id=121224&amp;lvl=3&amp;lin=f&amp;keep=1&amp;srchmode=1&amp;unlock","Pediculus humanus corporis")</f>
        <v>Pediculus humanus corporis</v>
      </c>
      <c r="H4268" t="s">
        <v>1049</v>
      </c>
      <c r="I4268" t="str">
        <f>HYPERLINK("http://www.ncbi.nlm.nih.gov/protein/XP_002424547.1","Ryanodine receptor, putative")</f>
        <v>Ryanodine receptor, putative</v>
      </c>
      <c r="J4268">
        <v>2497.62</v>
      </c>
      <c r="K4268" t="s">
        <v>22</v>
      </c>
      <c r="L4268">
        <v>76</v>
      </c>
      <c r="M4268">
        <v>12.58</v>
      </c>
      <c r="N4268">
        <v>24.58</v>
      </c>
      <c r="O4268" t="s">
        <v>19</v>
      </c>
      <c r="P4268" t="s">
        <v>1320</v>
      </c>
      <c r="Q4268" t="s">
        <v>19</v>
      </c>
      <c r="R4268" t="str">
        <f>HYPERLINK("https://cfpub.epa.gov/ecotox/explore.cfm?ncbi=121224","Explore in ECOTOX")</f>
        <v>Explore in ECOTOX</v>
      </c>
    </row>
    <row r="4269" spans="1:18" x14ac:dyDescent="0.45">
      <c r="A4269" t="s">
        <v>1265</v>
      </c>
      <c r="B4269">
        <v>8</v>
      </c>
      <c r="C4269" t="str">
        <f>HYPERLINK("http://www.ncbi.nlm.nih.gov/protein/XP_054285011.1","XP_054285011.1")</f>
        <v>XP_054285011.1</v>
      </c>
      <c r="D4269">
        <v>34645</v>
      </c>
      <c r="E4269" t="str">
        <f>HYPERLINK("http://www.ncbi.nlm.nih.gov/Taxonomy/Browser/wwwtax.cgi?mode=Info&amp;id=74068&amp;lvl=3&amp;lin=f&amp;keep=1&amp;srchmode=1&amp;unlock","74068")</f>
        <v>74068</v>
      </c>
      <c r="F4269" t="s">
        <v>760</v>
      </c>
      <c r="G4269" t="str">
        <f>HYPERLINK("http://www.ncbi.nlm.nih.gov/Taxonomy/Browser/wwwtax.cgi?mode=Info&amp;id=74068&amp;lvl=3&amp;lin=f&amp;keep=1&amp;srchmode=1&amp;unlock","Macrosteles quadrilineatus")</f>
        <v>Macrosteles quadrilineatus</v>
      </c>
      <c r="H4269" t="s">
        <v>1044</v>
      </c>
      <c r="I4269" t="str">
        <f>HYPERLINK("http://www.ncbi.nlm.nih.gov/protein/XP_054285011.1","ryanodine receptor isoform X1")</f>
        <v>ryanodine receptor isoform X1</v>
      </c>
      <c r="J4269">
        <v>2497.23</v>
      </c>
      <c r="K4269" t="s">
        <v>19</v>
      </c>
      <c r="L4269">
        <v>76</v>
      </c>
      <c r="M4269">
        <v>12.58</v>
      </c>
      <c r="N4269">
        <v>24.58</v>
      </c>
      <c r="O4269" t="s">
        <v>19</v>
      </c>
      <c r="P4269" t="s">
        <v>1320</v>
      </c>
      <c r="Q4269" t="s">
        <v>19</v>
      </c>
      <c r="R4269" t="str">
        <f>HYPERLINK("https://cfpub.epa.gov/ecotox/explore.cfm?ncbi=74068","Explore in ECOTOX")</f>
        <v>Explore in ECOTOX</v>
      </c>
    </row>
    <row r="4270" spans="1:18" x14ac:dyDescent="0.45">
      <c r="A4270" t="s">
        <v>1265</v>
      </c>
      <c r="B4270">
        <v>8</v>
      </c>
      <c r="C4270" t="str">
        <f>HYPERLINK("http://www.ncbi.nlm.nih.gov/protein/CAI9729939.1","CAI9729939.1")</f>
        <v>CAI9729939.1</v>
      </c>
      <c r="D4270">
        <v>30776</v>
      </c>
      <c r="E4270" t="str">
        <f>HYPERLINK("http://www.ncbi.nlm.nih.gov/Taxonomy/Browser/wwwtax.cgi?mode=Info&amp;id=6645&amp;lvl=3&amp;lin=f&amp;keep=1&amp;srchmode=1&amp;unlock","6645")</f>
        <v>6645</v>
      </c>
      <c r="F4270" t="s">
        <v>1010</v>
      </c>
      <c r="G4270" t="str">
        <f>HYPERLINK("http://www.ncbi.nlm.nih.gov/Taxonomy/Browser/wwwtax.cgi?mode=Info&amp;id=6645&amp;lvl=3&amp;lin=f&amp;keep=1&amp;srchmode=1&amp;unlock","Octopus vulgaris")</f>
        <v>Octopus vulgaris</v>
      </c>
      <c r="H4270" t="s">
        <v>1012</v>
      </c>
      <c r="I4270" t="str">
        <f>HYPERLINK("http://www.ncbi.nlm.nih.gov/protein/CAI9729939.1","ryanodine receptor-like isoform X8")</f>
        <v>ryanodine receptor-like isoform X8</v>
      </c>
      <c r="J4270">
        <v>2496.85</v>
      </c>
      <c r="K4270" t="s">
        <v>19</v>
      </c>
      <c r="L4270">
        <v>76</v>
      </c>
      <c r="M4270">
        <v>12.58</v>
      </c>
      <c r="N4270">
        <v>24.57</v>
      </c>
      <c r="O4270" t="s">
        <v>19</v>
      </c>
      <c r="P4270" t="s">
        <v>1320</v>
      </c>
      <c r="Q4270" t="s">
        <v>19</v>
      </c>
      <c r="R4270" t="str">
        <f>HYPERLINK("https://cfpub.epa.gov/ecotox/explore.cfm?ncbi=6645","Explore in ECOTOX")</f>
        <v>Explore in ECOTOX</v>
      </c>
    </row>
    <row r="4271" spans="1:18" x14ac:dyDescent="0.45">
      <c r="A4271" t="s">
        <v>1265</v>
      </c>
      <c r="B4271">
        <v>8</v>
      </c>
      <c r="C4271" t="str">
        <f>HYPERLINK("http://www.ncbi.nlm.nih.gov/protein/CAD7424342.1","CAD7424342.1")</f>
        <v>CAD7424342.1</v>
      </c>
      <c r="D4271">
        <v>13140</v>
      </c>
      <c r="E4271" t="str">
        <f>HYPERLINK("http://www.ncbi.nlm.nih.gov/Taxonomy/Browser/wwwtax.cgi?mode=Info&amp;id=170555&amp;lvl=3&amp;lin=f&amp;keep=1&amp;srchmode=1&amp;unlock","170555")</f>
        <v>170555</v>
      </c>
      <c r="F4271" t="s">
        <v>760</v>
      </c>
      <c r="G4271" t="str">
        <f>HYPERLINK("http://www.ncbi.nlm.nih.gov/Taxonomy/Browser/wwwtax.cgi?mode=Info&amp;id=170555&amp;lvl=3&amp;lin=f&amp;keep=1&amp;srchmode=1&amp;unlock","Timema monikensis")</f>
        <v>Timema monikensis</v>
      </c>
      <c r="H4271" t="s">
        <v>1039</v>
      </c>
      <c r="I4271" t="str">
        <f>HYPERLINK("http://www.ncbi.nlm.nih.gov/protein/CAD7424342.1","unnamed protein product")</f>
        <v>unnamed protein product</v>
      </c>
      <c r="J4271">
        <v>2494.54</v>
      </c>
      <c r="K4271" t="s">
        <v>22</v>
      </c>
      <c r="L4271">
        <v>76</v>
      </c>
      <c r="M4271">
        <v>12.58</v>
      </c>
      <c r="N4271">
        <v>24.55</v>
      </c>
      <c r="O4271" t="s">
        <v>19</v>
      </c>
      <c r="P4271" t="s">
        <v>1320</v>
      </c>
      <c r="Q4271" t="s">
        <v>19</v>
      </c>
      <c r="R4271" t="str">
        <f>HYPERLINK("https://cfpub.epa.gov/ecotox/explore.cfm?ncbi=170555","Explore in ECOTOX")</f>
        <v>Explore in ECOTOX</v>
      </c>
    </row>
    <row r="4272" spans="1:18" x14ac:dyDescent="0.45">
      <c r="A4272" t="s">
        <v>1265</v>
      </c>
      <c r="B4272">
        <v>8</v>
      </c>
      <c r="C4272" t="str">
        <f>HYPERLINK("http://www.ncbi.nlm.nih.gov/protein/CDW52896.1","CDW52896.1")</f>
        <v>CDW52896.1</v>
      </c>
      <c r="D4272">
        <v>9912</v>
      </c>
      <c r="E4272" t="str">
        <f>HYPERLINK("http://www.ncbi.nlm.nih.gov/Taxonomy/Browser/wwwtax.cgi?mode=Info&amp;id=36087&amp;lvl=3&amp;lin=f&amp;keep=1&amp;srchmode=1&amp;unlock","36087")</f>
        <v>36087</v>
      </c>
      <c r="F4272" t="s">
        <v>1060</v>
      </c>
      <c r="G4272" t="str">
        <f>HYPERLINK("http://www.ncbi.nlm.nih.gov/Taxonomy/Browser/wwwtax.cgi?mode=Info&amp;id=36087&amp;lvl=3&amp;lin=f&amp;keep=1&amp;srchmode=1&amp;unlock","Trichuris trichiura")</f>
        <v>Trichuris trichiura</v>
      </c>
      <c r="H4272" t="s">
        <v>1119</v>
      </c>
      <c r="I4272" t="str">
        <f>HYPERLINK("http://www.ncbi.nlm.nih.gov/protein/CDW52896.1","ryanodine receptor")</f>
        <v>ryanodine receptor</v>
      </c>
      <c r="J4272">
        <v>2493.38</v>
      </c>
      <c r="K4272" t="s">
        <v>22</v>
      </c>
      <c r="L4272">
        <v>76</v>
      </c>
      <c r="M4272">
        <v>12.58</v>
      </c>
      <c r="N4272">
        <v>24.54</v>
      </c>
      <c r="O4272" t="s">
        <v>19</v>
      </c>
      <c r="P4272" t="s">
        <v>1320</v>
      </c>
      <c r="Q4272" t="s">
        <v>19</v>
      </c>
      <c r="R4272" t="str">
        <f>HYPERLINK("https://cfpub.epa.gov/ecotox/explore.cfm?ncbi=36087","Explore in ECOTOX")</f>
        <v>Explore in ECOTOX</v>
      </c>
    </row>
    <row r="4273" spans="1:18" x14ac:dyDescent="0.45">
      <c r="A4273" t="s">
        <v>1265</v>
      </c>
      <c r="B4273">
        <v>8</v>
      </c>
      <c r="C4273" t="str">
        <f>HYPERLINK("http://www.ncbi.nlm.nih.gov/protein/XP_036147382.1","XP_036147382.1")</f>
        <v>XP_036147382.1</v>
      </c>
      <c r="D4273">
        <v>29228</v>
      </c>
      <c r="E4273" t="str">
        <f>HYPERLINK("http://www.ncbi.nlm.nih.gov/Taxonomy/Browser/wwwtax.cgi?mode=Info&amp;id=307658&amp;lvl=3&amp;lin=f&amp;keep=1&amp;srchmode=1&amp;unlock","307658")</f>
        <v>307658</v>
      </c>
      <c r="F4273" t="s">
        <v>760</v>
      </c>
      <c r="G4273" t="str">
        <f>HYPERLINK("http://www.ncbi.nlm.nih.gov/Taxonomy/Browser/wwwtax.cgi?mode=Info&amp;id=307658&amp;lvl=3&amp;lin=f&amp;keep=1&amp;srchmode=1&amp;unlock","Monomorium pharaonis")</f>
        <v>Monomorium pharaonis</v>
      </c>
      <c r="H4273" t="s">
        <v>770</v>
      </c>
      <c r="I4273" t="str">
        <f>HYPERLINK("http://www.ncbi.nlm.nih.gov/protein/XP_036147382.1","ryanodine receptor isoform X13")</f>
        <v>ryanodine receptor isoform X13</v>
      </c>
      <c r="J4273">
        <v>2491.84</v>
      </c>
      <c r="K4273" t="s">
        <v>22</v>
      </c>
      <c r="L4273">
        <v>76</v>
      </c>
      <c r="M4273">
        <v>12.58</v>
      </c>
      <c r="N4273">
        <v>24.52</v>
      </c>
      <c r="O4273" t="s">
        <v>19</v>
      </c>
      <c r="P4273" t="s">
        <v>1320</v>
      </c>
      <c r="Q4273" t="s">
        <v>19</v>
      </c>
      <c r="R4273" t="str">
        <f>HYPERLINK("https://cfpub.epa.gov/ecotox/explore.cfm?ncbi=307658","Explore in ECOTOX")</f>
        <v>Explore in ECOTOX</v>
      </c>
    </row>
    <row r="4274" spans="1:18" x14ac:dyDescent="0.45">
      <c r="A4274" t="s">
        <v>1265</v>
      </c>
      <c r="B4274">
        <v>8</v>
      </c>
      <c r="C4274" t="str">
        <f>HYPERLINK("http://www.ncbi.nlm.nih.gov/protein/XP_023290527.1","XP_023290527.1")</f>
        <v>XP_023290527.1</v>
      </c>
      <c r="D4274">
        <v>19714</v>
      </c>
      <c r="E4274" t="str">
        <f>HYPERLINK("http://www.ncbi.nlm.nih.gov/Taxonomy/Browser/wwwtax.cgi?mode=Info&amp;id=222816&amp;lvl=3&amp;lin=f&amp;keep=1&amp;srchmode=1&amp;unlock","222816")</f>
        <v>222816</v>
      </c>
      <c r="F4274" t="s">
        <v>760</v>
      </c>
      <c r="G4274" t="str">
        <f>HYPERLINK("http://www.ncbi.nlm.nih.gov/Taxonomy/Browser/wwwtax.cgi?mode=Info&amp;id=222816&amp;lvl=3&amp;lin=f&amp;keep=1&amp;srchmode=1&amp;unlock","Orussus abietinus")</f>
        <v>Orussus abietinus</v>
      </c>
      <c r="H4274" t="s">
        <v>1080</v>
      </c>
      <c r="I4274" t="str">
        <f>HYPERLINK("http://www.ncbi.nlm.nih.gov/protein/XP_023290527.1","ryanodine receptor")</f>
        <v>ryanodine receptor</v>
      </c>
      <c r="J4274">
        <v>2489.5300000000002</v>
      </c>
      <c r="K4274" t="s">
        <v>22</v>
      </c>
      <c r="L4274">
        <v>76</v>
      </c>
      <c r="M4274">
        <v>12.58</v>
      </c>
      <c r="N4274">
        <v>24.5</v>
      </c>
      <c r="O4274" t="s">
        <v>19</v>
      </c>
      <c r="P4274" t="s">
        <v>1320</v>
      </c>
      <c r="Q4274" t="s">
        <v>19</v>
      </c>
      <c r="R4274" t="str">
        <f>HYPERLINK("https://cfpub.epa.gov/ecotox/explore.cfm?ncbi=222816","Explore in ECOTOX")</f>
        <v>Explore in ECOTOX</v>
      </c>
    </row>
    <row r="4275" spans="1:18" x14ac:dyDescent="0.45">
      <c r="A4275" t="s">
        <v>1265</v>
      </c>
      <c r="B4275">
        <v>8</v>
      </c>
      <c r="C4275" t="str">
        <f>HYPERLINK("http://www.ncbi.nlm.nih.gov/protein/XP_052124088.1","XP_052124088.1")</f>
        <v>XP_052124088.1</v>
      </c>
      <c r="D4275">
        <v>44628</v>
      </c>
      <c r="E4275" t="str">
        <f>HYPERLINK("http://www.ncbi.nlm.nih.gov/Taxonomy/Browser/wwwtax.cgi?mode=Info&amp;id=133901&amp;lvl=3&amp;lin=f&amp;keep=1&amp;srchmode=1&amp;unlock","133901")</f>
        <v>133901</v>
      </c>
      <c r="F4275" t="s">
        <v>760</v>
      </c>
      <c r="G4275" t="str">
        <f>HYPERLINK("http://www.ncbi.nlm.nih.gov/Taxonomy/Browser/wwwtax.cgi?mode=Info&amp;id=133901&amp;lvl=3&amp;lin=f&amp;keep=1&amp;srchmode=1&amp;unlock","Frankliniella occidentalis")</f>
        <v>Frankliniella occidentalis</v>
      </c>
      <c r="H4275" t="s">
        <v>1031</v>
      </c>
      <c r="I4275" t="str">
        <f>HYPERLINK("http://www.ncbi.nlm.nih.gov/protein/XP_052124088.1","ryanodine receptor")</f>
        <v>ryanodine receptor</v>
      </c>
      <c r="J4275">
        <v>2487.9899999999998</v>
      </c>
      <c r="K4275" t="s">
        <v>19</v>
      </c>
      <c r="L4275">
        <v>76</v>
      </c>
      <c r="M4275">
        <v>12.58</v>
      </c>
      <c r="N4275">
        <v>24.49</v>
      </c>
      <c r="O4275" t="s">
        <v>19</v>
      </c>
      <c r="P4275" t="s">
        <v>1320</v>
      </c>
      <c r="Q4275" t="s">
        <v>19</v>
      </c>
      <c r="R4275" t="str">
        <f>HYPERLINK("https://cfpub.epa.gov/ecotox/explore.cfm?ncbi=133901","Explore in ECOTOX")</f>
        <v>Explore in ECOTOX</v>
      </c>
    </row>
    <row r="4276" spans="1:18" x14ac:dyDescent="0.45">
      <c r="A4276" t="s">
        <v>1265</v>
      </c>
      <c r="B4276">
        <v>8</v>
      </c>
      <c r="C4276" t="str">
        <f>HYPERLINK("http://www.ncbi.nlm.nih.gov/protein/AHW99829.1","AHW99829.1")</f>
        <v>AHW99829.1</v>
      </c>
      <c r="D4276">
        <v>572</v>
      </c>
      <c r="E4276" t="str">
        <f>HYPERLINK("http://www.ncbi.nlm.nih.gov/Taxonomy/Browser/wwwtax.cgi?mode=Info&amp;id=113103&amp;lvl=3&amp;lin=f&amp;keep=1&amp;srchmode=1&amp;unlock","113103")</f>
        <v>113103</v>
      </c>
      <c r="F4276" t="s">
        <v>760</v>
      </c>
      <c r="G4276" t="str">
        <f>HYPERLINK("http://www.ncbi.nlm.nih.gov/Taxonomy/Browser/wwwtax.cgi?mode=Info&amp;id=113103&amp;lvl=3&amp;lin=f&amp;keep=1&amp;srchmode=1&amp;unlock","Sogatella furcifera")</f>
        <v>Sogatella furcifera</v>
      </c>
      <c r="H4276" t="s">
        <v>1072</v>
      </c>
      <c r="I4276" t="str">
        <f>HYPERLINK("http://www.ncbi.nlm.nih.gov/protein/AHW99829.1","ryanodine receptor")</f>
        <v>ryanodine receptor</v>
      </c>
      <c r="J4276">
        <v>2486.06</v>
      </c>
      <c r="K4276" t="s">
        <v>22</v>
      </c>
      <c r="L4276">
        <v>76</v>
      </c>
      <c r="M4276">
        <v>12.58</v>
      </c>
      <c r="N4276">
        <v>24.47</v>
      </c>
      <c r="O4276" t="s">
        <v>19</v>
      </c>
      <c r="P4276" t="s">
        <v>1320</v>
      </c>
      <c r="Q4276" t="s">
        <v>19</v>
      </c>
      <c r="R4276" t="str">
        <f>HYPERLINK("https://cfpub.epa.gov/ecotox/explore.cfm?ncbi=113103","Explore in ECOTOX")</f>
        <v>Explore in ECOTOX</v>
      </c>
    </row>
    <row r="4277" spans="1:18" x14ac:dyDescent="0.45">
      <c r="A4277" t="s">
        <v>1265</v>
      </c>
      <c r="B4277">
        <v>8</v>
      </c>
      <c r="C4277" t="str">
        <f>HYPERLINK("http://www.ncbi.nlm.nih.gov/protein/XP_060521134.1","XP_060521134.1")</f>
        <v>XP_060521134.1</v>
      </c>
      <c r="D4277">
        <v>22096</v>
      </c>
      <c r="E4277" t="str">
        <f>HYPERLINK("http://www.ncbi.nlm.nih.gov/Taxonomy/Browser/wwwtax.cgi?mode=Info&amp;id=197179&amp;lvl=3&amp;lin=f&amp;keep=1&amp;srchmode=1&amp;unlock","197179")</f>
        <v>197179</v>
      </c>
      <c r="F4277" t="s">
        <v>760</v>
      </c>
      <c r="G4277" t="str">
        <f>HYPERLINK("http://www.ncbi.nlm.nih.gov/Taxonomy/Browser/wwwtax.cgi?mode=Info&amp;id=197179&amp;lvl=3&amp;lin=f&amp;keep=1&amp;srchmode=1&amp;unlock","Cylas formicarius")</f>
        <v>Cylas formicarius</v>
      </c>
      <c r="H4277" t="s">
        <v>918</v>
      </c>
      <c r="I4277" t="str">
        <f>HYPERLINK("http://www.ncbi.nlm.nih.gov/protein/XP_060521134.1","ryanodine receptor isoform X1")</f>
        <v>ryanodine receptor isoform X1</v>
      </c>
      <c r="J4277">
        <v>2485.29</v>
      </c>
      <c r="K4277" t="s">
        <v>22</v>
      </c>
      <c r="L4277">
        <v>76</v>
      </c>
      <c r="M4277">
        <v>12.58</v>
      </c>
      <c r="N4277">
        <v>24.46</v>
      </c>
      <c r="O4277" t="s">
        <v>19</v>
      </c>
      <c r="P4277" t="s">
        <v>1320</v>
      </c>
      <c r="Q4277" t="s">
        <v>19</v>
      </c>
      <c r="R4277" t="str">
        <f>HYPERLINK("https://cfpub.epa.gov/ecotox/explore.cfm?ncbi=197179","Explore in ECOTOX")</f>
        <v>Explore in ECOTOX</v>
      </c>
    </row>
    <row r="4278" spans="1:18" x14ac:dyDescent="0.45">
      <c r="A4278" t="s">
        <v>1265</v>
      </c>
      <c r="B4278">
        <v>8</v>
      </c>
      <c r="C4278" t="str">
        <f>HYPERLINK("http://www.ncbi.nlm.nih.gov/protein/XP_024876756.1","XP_024876756.1")</f>
        <v>XP_024876756.1</v>
      </c>
      <c r="D4278">
        <v>27313</v>
      </c>
      <c r="E4278" t="str">
        <f>HYPERLINK("http://www.ncbi.nlm.nih.gov/Taxonomy/Browser/wwwtax.cgi?mode=Info&amp;id=300111&amp;lvl=3&amp;lin=f&amp;keep=1&amp;srchmode=1&amp;unlock","300111")</f>
        <v>300111</v>
      </c>
      <c r="F4278" t="s">
        <v>760</v>
      </c>
      <c r="G4278" t="str">
        <f>HYPERLINK("http://www.ncbi.nlm.nih.gov/Taxonomy/Browser/wwwtax.cgi?mode=Info&amp;id=300111&amp;lvl=3&amp;lin=f&amp;keep=1&amp;srchmode=1&amp;unlock","Temnothorax curvispinosus")</f>
        <v>Temnothorax curvispinosus</v>
      </c>
      <c r="H4278" t="s">
        <v>769</v>
      </c>
      <c r="I4278" t="str">
        <f>HYPERLINK("http://www.ncbi.nlm.nih.gov/protein/XP_024876756.1","ryanodine receptor isoform X8")</f>
        <v>ryanodine receptor isoform X8</v>
      </c>
      <c r="J4278">
        <v>2485.29</v>
      </c>
      <c r="K4278" t="s">
        <v>22</v>
      </c>
      <c r="L4278">
        <v>76</v>
      </c>
      <c r="M4278">
        <v>12.58</v>
      </c>
      <c r="N4278">
        <v>24.46</v>
      </c>
      <c r="O4278" t="s">
        <v>19</v>
      </c>
      <c r="P4278" t="s">
        <v>1320</v>
      </c>
      <c r="Q4278" t="s">
        <v>19</v>
      </c>
      <c r="R4278" t="str">
        <f>HYPERLINK("https://cfpub.epa.gov/ecotox/explore.cfm?ncbi=300111","Explore in ECOTOX")</f>
        <v>Explore in ECOTOX</v>
      </c>
    </row>
    <row r="4279" spans="1:18" x14ac:dyDescent="0.45">
      <c r="A4279" t="s">
        <v>1265</v>
      </c>
      <c r="B4279">
        <v>8</v>
      </c>
      <c r="C4279" t="str">
        <f>HYPERLINK("http://www.ncbi.nlm.nih.gov/protein/NP_001308588.1","NP_001308588.1")</f>
        <v>NP_001308588.1</v>
      </c>
      <c r="D4279">
        <v>42420</v>
      </c>
      <c r="E4279" t="str">
        <f>HYPERLINK("http://www.ncbi.nlm.nih.gov/Taxonomy/Browser/wwwtax.cgi?mode=Info&amp;id=7070&amp;lvl=3&amp;lin=f&amp;keep=1&amp;srchmode=1&amp;unlock","7070")</f>
        <v>7070</v>
      </c>
      <c r="F4279" t="s">
        <v>760</v>
      </c>
      <c r="G4279" t="str">
        <f>HYPERLINK("http://www.ncbi.nlm.nih.gov/Taxonomy/Browser/wwwtax.cgi?mode=Info&amp;id=7070&amp;lvl=3&amp;lin=f&amp;keep=1&amp;srchmode=1&amp;unlock","Tribolium castaneum")</f>
        <v>Tribolium castaneum</v>
      </c>
      <c r="H4279" t="s">
        <v>884</v>
      </c>
      <c r="I4279" t="str">
        <f>HYPERLINK("http://www.ncbi.nlm.nih.gov/protein/NP_001308588.1","ryanodine receptor")</f>
        <v>ryanodine receptor</v>
      </c>
      <c r="J4279">
        <v>2481.83</v>
      </c>
      <c r="K4279" t="s">
        <v>22</v>
      </c>
      <c r="L4279">
        <v>76</v>
      </c>
      <c r="M4279">
        <v>12.58</v>
      </c>
      <c r="N4279">
        <v>24.43</v>
      </c>
      <c r="O4279" t="s">
        <v>19</v>
      </c>
      <c r="P4279" t="s">
        <v>1320</v>
      </c>
      <c r="Q4279" t="s">
        <v>19</v>
      </c>
      <c r="R4279" t="str">
        <f>HYPERLINK("https://cfpub.epa.gov/ecotox/explore.cfm?ncbi=7070","Explore in ECOTOX")</f>
        <v>Explore in ECOTOX</v>
      </c>
    </row>
    <row r="4280" spans="1:18" x14ac:dyDescent="0.45">
      <c r="A4280" t="s">
        <v>1265</v>
      </c>
      <c r="B4280">
        <v>8</v>
      </c>
      <c r="C4280" t="str">
        <f>HYPERLINK("http://www.ncbi.nlm.nih.gov/protein/XP_009059256.1","XP_009059256.1")</f>
        <v>XP_009059256.1</v>
      </c>
      <c r="D4280">
        <v>47715</v>
      </c>
      <c r="E4280" t="str">
        <f>HYPERLINK("http://www.ncbi.nlm.nih.gov/Taxonomy/Browser/wwwtax.cgi?mode=Info&amp;id=225164&amp;lvl=3&amp;lin=f&amp;keep=1&amp;srchmode=1&amp;unlock","225164")</f>
        <v>225164</v>
      </c>
      <c r="F4280" t="s">
        <v>757</v>
      </c>
      <c r="G4280" t="str">
        <f>HYPERLINK("http://www.ncbi.nlm.nih.gov/Taxonomy/Browser/wwwtax.cgi?mode=Info&amp;id=225164&amp;lvl=3&amp;lin=f&amp;keep=1&amp;srchmode=1&amp;unlock","Lottia gigantea")</f>
        <v>Lottia gigantea</v>
      </c>
      <c r="H4280" t="s">
        <v>851</v>
      </c>
      <c r="I4280" t="str">
        <f>HYPERLINK("http://www.ncbi.nlm.nih.gov/protein/XP_009059256.1","hypothetical protein LOTGIDRAFT_123762")</f>
        <v>hypothetical protein LOTGIDRAFT_123762</v>
      </c>
      <c r="J4280">
        <v>2480.67</v>
      </c>
      <c r="K4280" t="s">
        <v>22</v>
      </c>
      <c r="L4280">
        <v>76</v>
      </c>
      <c r="M4280">
        <v>12.58</v>
      </c>
      <c r="N4280">
        <v>24.41</v>
      </c>
      <c r="O4280" t="s">
        <v>19</v>
      </c>
      <c r="P4280" t="s">
        <v>1320</v>
      </c>
      <c r="Q4280" t="s">
        <v>19</v>
      </c>
      <c r="R4280" t="str">
        <f>HYPERLINK("https://cfpub.epa.gov/ecotox/explore.cfm?ncbi=225164","Explore in ECOTOX")</f>
        <v>Explore in ECOTOX</v>
      </c>
    </row>
    <row r="4281" spans="1:18" x14ac:dyDescent="0.45">
      <c r="A4281" t="s">
        <v>1265</v>
      </c>
      <c r="B4281">
        <v>8</v>
      </c>
      <c r="C4281" t="str">
        <f>HYPERLINK("http://www.ncbi.nlm.nih.gov/protein/KAF7408370.1","KAF7408370.1")</f>
        <v>KAF7408370.1</v>
      </c>
      <c r="D4281">
        <v>41869</v>
      </c>
      <c r="E4281" t="str">
        <f>HYPERLINK("http://www.ncbi.nlm.nih.gov/Taxonomy/Browser/wwwtax.cgi?mode=Info&amp;id=7454&amp;lvl=3&amp;lin=f&amp;keep=1&amp;srchmode=1&amp;unlock","7454")</f>
        <v>7454</v>
      </c>
      <c r="F4281" t="s">
        <v>760</v>
      </c>
      <c r="G4281" t="str">
        <f>HYPERLINK("http://www.ncbi.nlm.nih.gov/Taxonomy/Browser/wwwtax.cgi?mode=Info&amp;id=7454&amp;lvl=3&amp;lin=f&amp;keep=1&amp;srchmode=1&amp;unlock","Vespula vulgaris")</f>
        <v>Vespula vulgaris</v>
      </c>
      <c r="H4281" t="s">
        <v>805</v>
      </c>
      <c r="I4281" t="str">
        <f>HYPERLINK("http://www.ncbi.nlm.nih.gov/protein/KAF7408370.1","hypothetical protein HZH66_002907")</f>
        <v>hypothetical protein HZH66_002907</v>
      </c>
      <c r="J4281">
        <v>2480.67</v>
      </c>
      <c r="K4281" t="s">
        <v>19</v>
      </c>
      <c r="L4281">
        <v>76</v>
      </c>
      <c r="M4281">
        <v>12.58</v>
      </c>
      <c r="N4281">
        <v>24.41</v>
      </c>
      <c r="O4281" t="s">
        <v>19</v>
      </c>
      <c r="P4281" t="s">
        <v>1320</v>
      </c>
      <c r="Q4281" t="s">
        <v>19</v>
      </c>
      <c r="R4281" t="str">
        <f>HYPERLINK("https://cfpub.epa.gov/ecotox/explore.cfm?ncbi=7454","Explore in ECOTOX")</f>
        <v>Explore in ECOTOX</v>
      </c>
    </row>
    <row r="4282" spans="1:18" x14ac:dyDescent="0.45">
      <c r="A4282" t="s">
        <v>1265</v>
      </c>
      <c r="B4282">
        <v>8</v>
      </c>
      <c r="C4282" t="str">
        <f>HYPERLINK("http://www.ncbi.nlm.nih.gov/protein/TGZ51927.1","TGZ51927.1")</f>
        <v>TGZ51927.1</v>
      </c>
      <c r="D4282">
        <v>13123</v>
      </c>
      <c r="E4282" t="str">
        <f>HYPERLINK("http://www.ncbi.nlm.nih.gov/Taxonomy/Browser/wwwtax.cgi?mode=Info&amp;id=300112&amp;lvl=3&amp;lin=f&amp;keep=1&amp;srchmode=1&amp;unlock","300112")</f>
        <v>300112</v>
      </c>
      <c r="F4282" t="s">
        <v>760</v>
      </c>
      <c r="G4282" t="str">
        <f>HYPERLINK("http://www.ncbi.nlm.nih.gov/Taxonomy/Browser/wwwtax.cgi?mode=Info&amp;id=300112&amp;lvl=3&amp;lin=f&amp;keep=1&amp;srchmode=1&amp;unlock","Temnothorax longispinosus")</f>
        <v>Temnothorax longispinosus</v>
      </c>
      <c r="H4282" t="s">
        <v>769</v>
      </c>
      <c r="I4282" t="str">
        <f>HYPERLINK("http://www.ncbi.nlm.nih.gov/protein/TGZ51927.1","Ryanodine receptor 44F")</f>
        <v>Ryanodine receptor 44F</v>
      </c>
      <c r="J4282">
        <v>2480.29</v>
      </c>
      <c r="K4282" t="s">
        <v>22</v>
      </c>
      <c r="L4282">
        <v>76</v>
      </c>
      <c r="M4282">
        <v>12.58</v>
      </c>
      <c r="N4282">
        <v>24.41</v>
      </c>
      <c r="O4282" t="s">
        <v>19</v>
      </c>
      <c r="P4282" t="s">
        <v>1320</v>
      </c>
      <c r="Q4282" t="s">
        <v>19</v>
      </c>
      <c r="R4282" t="str">
        <f>HYPERLINK("https://cfpub.epa.gov/ecotox/explore.cfm?ncbi=300112","Explore in ECOTOX")</f>
        <v>Explore in ECOTOX</v>
      </c>
    </row>
    <row r="4283" spans="1:18" x14ac:dyDescent="0.45">
      <c r="A4283" t="s">
        <v>1265</v>
      </c>
      <c r="B4283">
        <v>8</v>
      </c>
      <c r="C4283" t="str">
        <f>HYPERLINK("http://www.ncbi.nlm.nih.gov/protein/KRY90212.1","KRY90212.1")</f>
        <v>KRY90212.1</v>
      </c>
      <c r="D4283">
        <v>81561</v>
      </c>
      <c r="E4283" t="str">
        <f>HYPERLINK("http://www.ncbi.nlm.nih.gov/Taxonomy/Browser/wwwtax.cgi?mode=Info&amp;id=6337&amp;lvl=3&amp;lin=f&amp;keep=1&amp;srchmode=1&amp;unlock","6337")</f>
        <v>6337</v>
      </c>
      <c r="F4283" t="s">
        <v>1060</v>
      </c>
      <c r="G4283" t="str">
        <f>HYPERLINK("http://www.ncbi.nlm.nih.gov/Taxonomy/Browser/wwwtax.cgi?mode=Info&amp;id=6337&amp;lvl=3&amp;lin=f&amp;keep=1&amp;srchmode=1&amp;unlock","Trichinella pseudospiralis")</f>
        <v>Trichinella pseudospiralis</v>
      </c>
      <c r="H4283" t="s">
        <v>1027</v>
      </c>
      <c r="I4283" t="str">
        <f>HYPERLINK("http://www.ncbi.nlm.nih.gov/protein/KRY90212.1","Ryanodine receptor 44F")</f>
        <v>Ryanodine receptor 44F</v>
      </c>
      <c r="J4283">
        <v>2480.29</v>
      </c>
      <c r="K4283" t="s">
        <v>22</v>
      </c>
      <c r="L4283">
        <v>76</v>
      </c>
      <c r="M4283">
        <v>12.58</v>
      </c>
      <c r="N4283">
        <v>24.41</v>
      </c>
      <c r="O4283" t="s">
        <v>19</v>
      </c>
      <c r="P4283" t="s">
        <v>1320</v>
      </c>
      <c r="Q4283" t="s">
        <v>19</v>
      </c>
      <c r="R4283" t="str">
        <f>HYPERLINK("https://cfpub.epa.gov/ecotox/explore.cfm?ncbi=6337","Explore in ECOTOX")</f>
        <v>Explore in ECOTOX</v>
      </c>
    </row>
    <row r="4284" spans="1:18" x14ac:dyDescent="0.45">
      <c r="A4284" t="s">
        <v>1265</v>
      </c>
      <c r="B4284">
        <v>8</v>
      </c>
      <c r="C4284" t="str">
        <f>HYPERLINK("http://www.ncbi.nlm.nih.gov/protein/XP_018373274.1","XP_018373274.1")</f>
        <v>XP_018373274.1</v>
      </c>
      <c r="D4284">
        <v>40061</v>
      </c>
      <c r="E4284" t="str">
        <f>HYPERLINK("http://www.ncbi.nlm.nih.gov/Taxonomy/Browser/wwwtax.cgi?mode=Info&amp;id=471704&amp;lvl=3&amp;lin=f&amp;keep=1&amp;srchmode=1&amp;unlock","471704")</f>
        <v>471704</v>
      </c>
      <c r="F4284" t="s">
        <v>760</v>
      </c>
      <c r="G4284" t="str">
        <f>HYPERLINK("http://www.ncbi.nlm.nih.gov/Taxonomy/Browser/wwwtax.cgi?mode=Info&amp;id=471704&amp;lvl=3&amp;lin=f&amp;keep=1&amp;srchmode=1&amp;unlock","Trachymyrmex cornetzi")</f>
        <v>Trachymyrmex cornetzi</v>
      </c>
      <c r="H4284" t="s">
        <v>769</v>
      </c>
      <c r="I4284" t="str">
        <f>HYPERLINK("http://www.ncbi.nlm.nih.gov/protein/XP_018373274.1","PREDICTED: ryanodine receptor isoform X13")</f>
        <v>PREDICTED: ryanodine receptor isoform X13</v>
      </c>
      <c r="J4284">
        <v>2480.29</v>
      </c>
      <c r="K4284" t="s">
        <v>22</v>
      </c>
      <c r="L4284">
        <v>76</v>
      </c>
      <c r="M4284">
        <v>12.58</v>
      </c>
      <c r="N4284">
        <v>24.41</v>
      </c>
      <c r="O4284" t="s">
        <v>19</v>
      </c>
      <c r="P4284" t="s">
        <v>1320</v>
      </c>
      <c r="Q4284" t="s">
        <v>19</v>
      </c>
      <c r="R4284" t="str">
        <f>HYPERLINK("https://cfpub.epa.gov/ecotox/explore.cfm?ncbi=471704","Explore in ECOTOX")</f>
        <v>Explore in ECOTOX</v>
      </c>
    </row>
    <row r="4285" spans="1:18" x14ac:dyDescent="0.45">
      <c r="A4285" t="s">
        <v>1265</v>
      </c>
      <c r="B4285">
        <v>8</v>
      </c>
      <c r="C4285" t="str">
        <f>HYPERLINK("http://www.ncbi.nlm.nih.gov/protein/CAD7194666.1","CAD7194666.1")</f>
        <v>CAD7194666.1</v>
      </c>
      <c r="D4285">
        <v>14103</v>
      </c>
      <c r="E4285" t="str">
        <f>HYPERLINK("http://www.ncbi.nlm.nih.gov/Taxonomy/Browser/wwwtax.cgi?mode=Info&amp;id=61478&amp;lvl=3&amp;lin=f&amp;keep=1&amp;srchmode=1&amp;unlock","61478")</f>
        <v>61478</v>
      </c>
      <c r="F4285" t="s">
        <v>760</v>
      </c>
      <c r="G4285" t="str">
        <f>HYPERLINK("http://www.ncbi.nlm.nih.gov/Taxonomy/Browser/wwwtax.cgi?mode=Info&amp;id=61478&amp;lvl=3&amp;lin=f&amp;keep=1&amp;srchmode=1&amp;unlock","Timema douglasi")</f>
        <v>Timema douglasi</v>
      </c>
      <c r="H4285" t="s">
        <v>1039</v>
      </c>
      <c r="I4285" t="str">
        <f>HYPERLINK("http://www.ncbi.nlm.nih.gov/protein/CAD7194666.1","unnamed protein product")</f>
        <v>unnamed protein product</v>
      </c>
      <c r="J4285">
        <v>2479.52</v>
      </c>
      <c r="K4285" t="s">
        <v>22</v>
      </c>
      <c r="L4285">
        <v>76</v>
      </c>
      <c r="M4285">
        <v>12.58</v>
      </c>
      <c r="N4285">
        <v>24.4</v>
      </c>
      <c r="O4285" t="s">
        <v>19</v>
      </c>
      <c r="P4285" t="s">
        <v>1320</v>
      </c>
      <c r="Q4285" t="s">
        <v>19</v>
      </c>
      <c r="R4285" t="str">
        <f>HYPERLINK("https://cfpub.epa.gov/ecotox/explore.cfm?ncbi=61478","Explore in ECOTOX")</f>
        <v>Explore in ECOTOX</v>
      </c>
    </row>
    <row r="4286" spans="1:18" x14ac:dyDescent="0.45">
      <c r="A4286" t="s">
        <v>1265</v>
      </c>
      <c r="B4286">
        <v>8</v>
      </c>
      <c r="C4286" t="str">
        <f>HYPERLINK("http://www.ncbi.nlm.nih.gov/protein/XP_046435087.1","XP_046435087.1")</f>
        <v>XP_046435087.1</v>
      </c>
      <c r="D4286">
        <v>27443</v>
      </c>
      <c r="E4286" t="str">
        <f>HYPERLINK("http://www.ncbi.nlm.nih.gov/Taxonomy/Browser/wwwtax.cgi?mode=Info&amp;id=2872261&amp;lvl=3&amp;lin=f&amp;keep=1&amp;srchmode=1&amp;unlock","2872261")</f>
        <v>2872261</v>
      </c>
      <c r="F4286" t="s">
        <v>760</v>
      </c>
      <c r="G4286" t="str">
        <f>HYPERLINK("http://www.ncbi.nlm.nih.gov/Taxonomy/Browser/wwwtax.cgi?mode=Info&amp;id=2872261&amp;lvl=3&amp;lin=f&amp;keep=1&amp;srchmode=1&amp;unlock","Neodiprion fabricii")</f>
        <v>Neodiprion fabricii</v>
      </c>
      <c r="H4286" t="s">
        <v>1046</v>
      </c>
      <c r="I4286" t="str">
        <f>HYPERLINK("http://www.ncbi.nlm.nih.gov/protein/XP_046435087.1","ryanodine receptor")</f>
        <v>ryanodine receptor</v>
      </c>
      <c r="J4286">
        <v>2478.75</v>
      </c>
      <c r="K4286" t="s">
        <v>22</v>
      </c>
      <c r="L4286">
        <v>76</v>
      </c>
      <c r="M4286">
        <v>12.58</v>
      </c>
      <c r="N4286">
        <v>24.4</v>
      </c>
      <c r="O4286" t="s">
        <v>19</v>
      </c>
      <c r="P4286" t="s">
        <v>1320</v>
      </c>
      <c r="Q4286" t="s">
        <v>19</v>
      </c>
      <c r="R4286" t="str">
        <f>HYPERLINK("https://cfpub.epa.gov/ecotox/explore.cfm?ncbi=2872261","Explore in ECOTOX")</f>
        <v>Explore in ECOTOX</v>
      </c>
    </row>
    <row r="4287" spans="1:18" x14ac:dyDescent="0.45">
      <c r="A4287" t="s">
        <v>1265</v>
      </c>
      <c r="B4287">
        <v>8</v>
      </c>
      <c r="C4287" t="str">
        <f>HYPERLINK("http://www.ncbi.nlm.nih.gov/protein/XP_043461897.1","XP_043461897.1")</f>
        <v>XP_043461897.1</v>
      </c>
      <c r="D4287">
        <v>24681</v>
      </c>
      <c r="E4287" t="str">
        <f>HYPERLINK("http://www.ncbi.nlm.nih.gov/Taxonomy/Browser/wwwtax.cgi?mode=Info&amp;id=63436&amp;lvl=3&amp;lin=f&amp;keep=1&amp;srchmode=1&amp;unlock","63436")</f>
        <v>63436</v>
      </c>
      <c r="F4287" t="s">
        <v>760</v>
      </c>
      <c r="G4287" t="str">
        <f>HYPERLINK("http://www.ncbi.nlm.nih.gov/Taxonomy/Browser/wwwtax.cgi?mode=Info&amp;id=63436&amp;lvl=3&amp;lin=f&amp;keep=1&amp;srchmode=1&amp;unlock","Leptopilina heterotoma")</f>
        <v>Leptopilina heterotoma</v>
      </c>
      <c r="H4287" t="s">
        <v>769</v>
      </c>
      <c r="I4287" t="str">
        <f>HYPERLINK("http://www.ncbi.nlm.nih.gov/protein/XP_043461897.1","ryanodine receptor isoform X13")</f>
        <v>ryanodine receptor isoform X13</v>
      </c>
      <c r="J4287">
        <v>2477.1999999999998</v>
      </c>
      <c r="K4287" t="s">
        <v>19</v>
      </c>
      <c r="L4287">
        <v>76</v>
      </c>
      <c r="M4287">
        <v>12.58</v>
      </c>
      <c r="N4287">
        <v>24.38</v>
      </c>
      <c r="O4287" t="s">
        <v>19</v>
      </c>
      <c r="P4287" t="s">
        <v>1320</v>
      </c>
      <c r="Q4287" t="s">
        <v>19</v>
      </c>
      <c r="R4287" t="str">
        <f>HYPERLINK("https://cfpub.epa.gov/ecotox/explore.cfm?ncbi=63436","Explore in ECOTOX")</f>
        <v>Explore in ECOTOX</v>
      </c>
    </row>
    <row r="4288" spans="1:18" x14ac:dyDescent="0.45">
      <c r="A4288" t="s">
        <v>1265</v>
      </c>
      <c r="B4288">
        <v>8</v>
      </c>
      <c r="C4288" t="str">
        <f>HYPERLINK("http://www.ncbi.nlm.nih.gov/protein/XP_048525323.1","XP_048525323.1")</f>
        <v>XP_048525323.1</v>
      </c>
      <c r="D4288">
        <v>82933</v>
      </c>
      <c r="E4288" t="str">
        <f>HYPERLINK("http://www.ncbi.nlm.nih.gov/Taxonomy/Browser/wwwtax.cgi?mode=Info&amp;id=77166&amp;lvl=3&amp;lin=f&amp;keep=1&amp;srchmode=1&amp;unlock","77166")</f>
        <v>77166</v>
      </c>
      <c r="F4288" t="s">
        <v>760</v>
      </c>
      <c r="G4288" t="str">
        <f>HYPERLINK("http://www.ncbi.nlm.nih.gov/Taxonomy/Browser/wwwtax.cgi?mode=Info&amp;id=77166&amp;lvl=3&amp;lin=f&amp;keep=1&amp;srchmode=1&amp;unlock","Dendroctonus ponderosae")</f>
        <v>Dendroctonus ponderosae</v>
      </c>
      <c r="H4288" t="s">
        <v>938</v>
      </c>
      <c r="I4288" t="str">
        <f>HYPERLINK("http://www.ncbi.nlm.nih.gov/protein/XP_048525323.1","ryanodine receptor isoform X3")</f>
        <v>ryanodine receptor isoform X3</v>
      </c>
      <c r="J4288">
        <v>2476.8200000000002</v>
      </c>
      <c r="K4288" t="s">
        <v>22</v>
      </c>
      <c r="L4288">
        <v>76</v>
      </c>
      <c r="M4288">
        <v>12.58</v>
      </c>
      <c r="N4288">
        <v>24.38</v>
      </c>
      <c r="O4288" t="s">
        <v>19</v>
      </c>
      <c r="P4288" t="s">
        <v>1320</v>
      </c>
      <c r="Q4288" t="s">
        <v>19</v>
      </c>
      <c r="R4288" t="str">
        <f>HYPERLINK("https://cfpub.epa.gov/ecotox/explore.cfm?ncbi=77166","Explore in ECOTOX")</f>
        <v>Explore in ECOTOX</v>
      </c>
    </row>
    <row r="4289" spans="1:18" x14ac:dyDescent="0.45">
      <c r="A4289" t="s">
        <v>1265</v>
      </c>
      <c r="B4289">
        <v>8</v>
      </c>
      <c r="C4289" t="str">
        <f>HYPERLINK("http://www.ncbi.nlm.nih.gov/protein/XP_043526034.1","XP_043526034.1")</f>
        <v>XP_043526034.1</v>
      </c>
      <c r="D4289">
        <v>34731</v>
      </c>
      <c r="E4289" t="str">
        <f>HYPERLINK("http://www.ncbi.nlm.nih.gov/Taxonomy/Browser/wwwtax.cgi?mode=Info&amp;id=561572&amp;lvl=3&amp;lin=f&amp;keep=1&amp;srchmode=1&amp;unlock","561572")</f>
        <v>561572</v>
      </c>
      <c r="F4289" t="s">
        <v>760</v>
      </c>
      <c r="G4289" t="str">
        <f>HYPERLINK("http://www.ncbi.nlm.nih.gov/Taxonomy/Browser/wwwtax.cgi?mode=Info&amp;id=561572&amp;lvl=3&amp;lin=f&amp;keep=1&amp;srchmode=1&amp;unlock","Frieseomelitta varia")</f>
        <v>Frieseomelitta varia</v>
      </c>
      <c r="H4289" t="s">
        <v>817</v>
      </c>
      <c r="I4289" t="str">
        <f>HYPERLINK("http://www.ncbi.nlm.nih.gov/protein/XP_043526034.1","ryanodine receptor isoform X10")</f>
        <v>ryanodine receptor isoform X10</v>
      </c>
      <c r="J4289">
        <v>2474.5100000000002</v>
      </c>
      <c r="K4289" t="s">
        <v>22</v>
      </c>
      <c r="L4289">
        <v>76</v>
      </c>
      <c r="M4289">
        <v>12.58</v>
      </c>
      <c r="N4289">
        <v>24.35</v>
      </c>
      <c r="O4289" t="s">
        <v>19</v>
      </c>
      <c r="P4289" t="s">
        <v>1320</v>
      </c>
      <c r="Q4289" t="s">
        <v>19</v>
      </c>
      <c r="R4289" t="str">
        <f>HYPERLINK("https://cfpub.epa.gov/ecotox/explore.cfm?ncbi=561572","Explore in ECOTOX")</f>
        <v>Explore in ECOTOX</v>
      </c>
    </row>
    <row r="4290" spans="1:18" x14ac:dyDescent="0.45">
      <c r="A4290" t="s">
        <v>1265</v>
      </c>
      <c r="B4290">
        <v>8</v>
      </c>
      <c r="C4290" t="str">
        <f>HYPERLINK("http://www.ncbi.nlm.nih.gov/protein/XP_046492257.1","XP_046492257.1")</f>
        <v>XP_046492257.1</v>
      </c>
      <c r="D4290">
        <v>28716</v>
      </c>
      <c r="E4290" t="str">
        <f>HYPERLINK("http://www.ncbi.nlm.nih.gov/Taxonomy/Browser/wwwtax.cgi?mode=Info&amp;id=441929&amp;lvl=3&amp;lin=f&amp;keep=1&amp;srchmode=1&amp;unlock","441929")</f>
        <v>441929</v>
      </c>
      <c r="F4290" t="s">
        <v>760</v>
      </c>
      <c r="G4290" t="str">
        <f>HYPERLINK("http://www.ncbi.nlm.nih.gov/Taxonomy/Browser/wwwtax.cgi?mode=Info&amp;id=441929&amp;lvl=3&amp;lin=f&amp;keep=1&amp;srchmode=1&amp;unlock","Neodiprion pinetum")</f>
        <v>Neodiprion pinetum</v>
      </c>
      <c r="H4290" t="s">
        <v>1058</v>
      </c>
      <c r="I4290" t="str">
        <f>HYPERLINK("http://www.ncbi.nlm.nih.gov/protein/XP_046492257.1","ryanodine receptor")</f>
        <v>ryanodine receptor</v>
      </c>
      <c r="J4290">
        <v>2474.12</v>
      </c>
      <c r="K4290" t="s">
        <v>19</v>
      </c>
      <c r="L4290">
        <v>76</v>
      </c>
      <c r="M4290">
        <v>12.58</v>
      </c>
      <c r="N4290">
        <v>24.35</v>
      </c>
      <c r="O4290" t="s">
        <v>19</v>
      </c>
      <c r="P4290" t="s">
        <v>1320</v>
      </c>
      <c r="Q4290" t="s">
        <v>19</v>
      </c>
      <c r="R4290" t="str">
        <f>HYPERLINK("https://cfpub.epa.gov/ecotox/explore.cfm?ncbi=441929","Explore in ECOTOX")</f>
        <v>Explore in ECOTOX</v>
      </c>
    </row>
    <row r="4291" spans="1:18" x14ac:dyDescent="0.45">
      <c r="A4291" t="s">
        <v>1265</v>
      </c>
      <c r="B4291">
        <v>8</v>
      </c>
      <c r="C4291" t="str">
        <f>HYPERLINK("http://www.ncbi.nlm.nih.gov/protein/XP_018566922.1","XP_018566922.1")</f>
        <v>XP_018566922.1</v>
      </c>
      <c r="D4291">
        <v>21062</v>
      </c>
      <c r="E4291" t="str">
        <f>HYPERLINK("http://www.ncbi.nlm.nih.gov/Taxonomy/Browser/wwwtax.cgi?mode=Info&amp;id=217634&amp;lvl=3&amp;lin=f&amp;keep=1&amp;srchmode=1&amp;unlock","217634")</f>
        <v>217634</v>
      </c>
      <c r="F4291" t="s">
        <v>760</v>
      </c>
      <c r="G4291" t="str">
        <f>HYPERLINK("http://www.ncbi.nlm.nih.gov/Taxonomy/Browser/wwwtax.cgi?mode=Info&amp;id=217634&amp;lvl=3&amp;lin=f&amp;keep=1&amp;srchmode=1&amp;unlock","Anoplophora glabripennis")</f>
        <v>Anoplophora glabripennis</v>
      </c>
      <c r="H4291" t="s">
        <v>897</v>
      </c>
      <c r="I4291" t="str">
        <f>HYPERLINK("http://www.ncbi.nlm.nih.gov/protein/XP_018566922.1","ryanodine receptor isoform X3")</f>
        <v>ryanodine receptor isoform X3</v>
      </c>
      <c r="J4291">
        <v>2473.7399999999998</v>
      </c>
      <c r="K4291" t="s">
        <v>22</v>
      </c>
      <c r="L4291">
        <v>76</v>
      </c>
      <c r="M4291">
        <v>12.58</v>
      </c>
      <c r="N4291">
        <v>24.35</v>
      </c>
      <c r="O4291" t="s">
        <v>19</v>
      </c>
      <c r="P4291" t="s">
        <v>1320</v>
      </c>
      <c r="Q4291" t="s">
        <v>19</v>
      </c>
      <c r="R4291" t="str">
        <f>HYPERLINK("https://cfpub.epa.gov/ecotox/explore.cfm?ncbi=217634","Explore in ECOTOX")</f>
        <v>Explore in ECOTOX</v>
      </c>
    </row>
    <row r="4292" spans="1:18" x14ac:dyDescent="0.45">
      <c r="A4292" t="s">
        <v>1265</v>
      </c>
      <c r="B4292">
        <v>8</v>
      </c>
      <c r="C4292" t="str">
        <f>HYPERLINK("http://www.ncbi.nlm.nih.gov/protein/CAH1389012.1","CAH1389012.1")</f>
        <v>CAH1389012.1</v>
      </c>
      <c r="D4292">
        <v>20409</v>
      </c>
      <c r="E4292" t="str">
        <f>HYPERLINK("http://www.ncbi.nlm.nih.gov/Taxonomy/Browser/wwwtax.cgi?mode=Info&amp;id=85310&amp;lvl=3&amp;lin=f&amp;keep=1&amp;srchmode=1&amp;unlock","85310")</f>
        <v>85310</v>
      </c>
      <c r="F4292" t="s">
        <v>760</v>
      </c>
      <c r="G4292" t="str">
        <f>HYPERLINK("http://www.ncbi.nlm.nih.gov/Taxonomy/Browser/wwwtax.cgi?mode=Info&amp;id=85310&amp;lvl=3&amp;lin=f&amp;keep=1&amp;srchmode=1&amp;unlock","Nezara viridula")</f>
        <v>Nezara viridula</v>
      </c>
      <c r="H4292" t="s">
        <v>867</v>
      </c>
      <c r="I4292" t="str">
        <f>HYPERLINK("http://www.ncbi.nlm.nih.gov/protein/CAH1389012.1","unnamed protein product")</f>
        <v>unnamed protein product</v>
      </c>
      <c r="J4292">
        <v>2473.35</v>
      </c>
      <c r="K4292" t="s">
        <v>22</v>
      </c>
      <c r="L4292">
        <v>76</v>
      </c>
      <c r="M4292">
        <v>12.58</v>
      </c>
      <c r="N4292">
        <v>24.34</v>
      </c>
      <c r="O4292" t="s">
        <v>19</v>
      </c>
      <c r="P4292" t="s">
        <v>1320</v>
      </c>
      <c r="Q4292" t="s">
        <v>19</v>
      </c>
      <c r="R4292" t="str">
        <f>HYPERLINK("https://cfpub.epa.gov/ecotox/explore.cfm?ncbi=85310","Explore in ECOTOX")</f>
        <v>Explore in ECOTOX</v>
      </c>
    </row>
    <row r="4293" spans="1:18" x14ac:dyDescent="0.45">
      <c r="A4293" t="s">
        <v>1265</v>
      </c>
      <c r="B4293">
        <v>8</v>
      </c>
      <c r="C4293" t="str">
        <f>HYPERLINK("http://www.ncbi.nlm.nih.gov/protein/XP_046602030.1","XP_046602030.1")</f>
        <v>XP_046602030.1</v>
      </c>
      <c r="D4293">
        <v>28663</v>
      </c>
      <c r="E4293" t="str">
        <f>HYPERLINK("http://www.ncbi.nlm.nih.gov/Taxonomy/Browser/wwwtax.cgi?mode=Info&amp;id=441921&amp;lvl=3&amp;lin=f&amp;keep=1&amp;srchmode=1&amp;unlock","441921")</f>
        <v>441921</v>
      </c>
      <c r="F4293" t="s">
        <v>760</v>
      </c>
      <c r="G4293" t="str">
        <f>HYPERLINK("http://www.ncbi.nlm.nih.gov/Taxonomy/Browser/wwwtax.cgi?mode=Info&amp;id=441921&amp;lvl=3&amp;lin=f&amp;keep=1&amp;srchmode=1&amp;unlock","Neodiprion lecontei")</f>
        <v>Neodiprion lecontei</v>
      </c>
      <c r="H4293" t="s">
        <v>1059</v>
      </c>
      <c r="I4293" t="str">
        <f>HYPERLINK("http://www.ncbi.nlm.nih.gov/protein/XP_046602030.1","ryanodine receptor")</f>
        <v>ryanodine receptor</v>
      </c>
      <c r="J4293">
        <v>2473.35</v>
      </c>
      <c r="K4293" t="s">
        <v>19</v>
      </c>
      <c r="L4293">
        <v>76</v>
      </c>
      <c r="M4293">
        <v>12.58</v>
      </c>
      <c r="N4293">
        <v>24.34</v>
      </c>
      <c r="O4293" t="s">
        <v>19</v>
      </c>
      <c r="P4293" t="s">
        <v>1320</v>
      </c>
      <c r="Q4293" t="s">
        <v>19</v>
      </c>
      <c r="R4293" t="str">
        <f>HYPERLINK("https://cfpub.epa.gov/ecotox/explore.cfm?ncbi=441921","Explore in ECOTOX")</f>
        <v>Explore in ECOTOX</v>
      </c>
    </row>
    <row r="4294" spans="1:18" x14ac:dyDescent="0.45">
      <c r="A4294" t="s">
        <v>1265</v>
      </c>
      <c r="B4294">
        <v>8</v>
      </c>
      <c r="C4294" t="str">
        <f>HYPERLINK("http://www.ncbi.nlm.nih.gov/protein/KAJ1521535.1","KAJ1521535.1")</f>
        <v>KAJ1521535.1</v>
      </c>
      <c r="D4294">
        <v>12925</v>
      </c>
      <c r="E4294" t="str">
        <f>HYPERLINK("http://www.ncbi.nlm.nih.gov/Taxonomy/Browser/wwwtax.cgi?mode=Info&amp;id=439358&amp;lvl=3&amp;lin=f&amp;keep=1&amp;srchmode=1&amp;unlock","439358")</f>
        <v>439358</v>
      </c>
      <c r="F4294" t="s">
        <v>760</v>
      </c>
      <c r="G4294" t="str">
        <f>HYPERLINK("http://www.ncbi.nlm.nih.gov/Taxonomy/Browser/wwwtax.cgi?mode=Info&amp;id=439358&amp;lvl=3&amp;lin=f&amp;keep=1&amp;srchmode=1&amp;unlock","Megalurothrips usitatus")</f>
        <v>Megalurothrips usitatus</v>
      </c>
      <c r="H4294" t="s">
        <v>1054</v>
      </c>
      <c r="I4294" t="str">
        <f>HYPERLINK("http://www.ncbi.nlm.nih.gov/protein/KAJ1521535.1","hypothetical protein ONE63_003195")</f>
        <v>hypothetical protein ONE63_003195</v>
      </c>
      <c r="J4294">
        <v>2473.35</v>
      </c>
      <c r="K4294" t="s">
        <v>19</v>
      </c>
      <c r="L4294">
        <v>76</v>
      </c>
      <c r="M4294">
        <v>12.58</v>
      </c>
      <c r="N4294">
        <v>24.34</v>
      </c>
      <c r="O4294" t="s">
        <v>19</v>
      </c>
      <c r="P4294" t="s">
        <v>1320</v>
      </c>
      <c r="Q4294" t="s">
        <v>19</v>
      </c>
      <c r="R4294" t="str">
        <f>HYPERLINK("https://cfpub.epa.gov/ecotox/explore.cfm?ncbi=439358","Explore in ECOTOX")</f>
        <v>Explore in ECOTOX</v>
      </c>
    </row>
    <row r="4295" spans="1:18" x14ac:dyDescent="0.45">
      <c r="A4295" t="s">
        <v>1265</v>
      </c>
      <c r="B4295">
        <v>8</v>
      </c>
      <c r="C4295" t="str">
        <f>HYPERLINK("http://www.ncbi.nlm.nih.gov/protein/AKM95170.1","AKM95170.1")</f>
        <v>AKM95170.1</v>
      </c>
      <c r="D4295">
        <v>11</v>
      </c>
      <c r="E4295" t="str">
        <f>HYPERLINK("http://www.ncbi.nlm.nih.gov/Taxonomy/Browser/wwwtax.cgi?mode=Info&amp;id=298404&amp;lvl=3&amp;lin=f&amp;keep=1&amp;srchmode=1&amp;unlock","298404")</f>
        <v>298404</v>
      </c>
      <c r="F4295" t="s">
        <v>760</v>
      </c>
      <c r="G4295" t="str">
        <f>HYPERLINK("http://www.ncbi.nlm.nih.gov/Taxonomy/Browser/wwwtax.cgi?mode=Info&amp;id=298404&amp;lvl=3&amp;lin=f&amp;keep=1&amp;srchmode=1&amp;unlock","Dialeurodes citri")</f>
        <v>Dialeurodes citri</v>
      </c>
      <c r="H4295" t="s">
        <v>944</v>
      </c>
      <c r="I4295" t="str">
        <f>HYPERLINK("http://www.ncbi.nlm.nih.gov/protein/AKM95170.1","ryanodine receptor")</f>
        <v>ryanodine receptor</v>
      </c>
      <c r="J4295">
        <v>2472.58</v>
      </c>
      <c r="K4295" t="s">
        <v>19</v>
      </c>
      <c r="L4295">
        <v>76</v>
      </c>
      <c r="M4295">
        <v>12.58</v>
      </c>
      <c r="N4295">
        <v>24.33</v>
      </c>
      <c r="O4295" t="s">
        <v>19</v>
      </c>
      <c r="P4295" t="s">
        <v>1320</v>
      </c>
      <c r="Q4295" t="s">
        <v>19</v>
      </c>
      <c r="R4295" t="str">
        <f>HYPERLINK("https://cfpub.epa.gov/ecotox/explore.cfm?ncbi=298404","Explore in ECOTOX")</f>
        <v>Explore in ECOTOX</v>
      </c>
    </row>
    <row r="4296" spans="1:18" x14ac:dyDescent="0.45">
      <c r="A4296" t="s">
        <v>1265</v>
      </c>
      <c r="B4296">
        <v>8</v>
      </c>
      <c r="C4296" t="str">
        <f>HYPERLINK("http://www.ncbi.nlm.nih.gov/protein/KRZ77567.1","KRZ77567.1")</f>
        <v>KRZ77567.1</v>
      </c>
      <c r="D4296">
        <v>16253</v>
      </c>
      <c r="E4296" t="str">
        <f>HYPERLINK("http://www.ncbi.nlm.nih.gov/Taxonomy/Browser/wwwtax.cgi?mode=Info&amp;id=268474&amp;lvl=3&amp;lin=f&amp;keep=1&amp;srchmode=1&amp;unlock","268474")</f>
        <v>268474</v>
      </c>
      <c r="F4296" t="s">
        <v>1060</v>
      </c>
      <c r="G4296" t="str">
        <f>HYPERLINK("http://www.ncbi.nlm.nih.gov/Taxonomy/Browser/wwwtax.cgi?mode=Info&amp;id=268474&amp;lvl=3&amp;lin=f&amp;keep=1&amp;srchmode=1&amp;unlock","Trichinella papuae")</f>
        <v>Trichinella papuae</v>
      </c>
      <c r="H4296" t="s">
        <v>1027</v>
      </c>
      <c r="I4296" t="str">
        <f>HYPERLINK("http://www.ncbi.nlm.nih.gov/protein/KRZ77567.1","Ryanodine receptor 44F, partial")</f>
        <v>Ryanodine receptor 44F, partial</v>
      </c>
      <c r="J4296">
        <v>2471.4299999999998</v>
      </c>
      <c r="K4296" t="s">
        <v>22</v>
      </c>
      <c r="L4296">
        <v>76</v>
      </c>
      <c r="M4296">
        <v>12.58</v>
      </c>
      <c r="N4296">
        <v>24.32</v>
      </c>
      <c r="O4296" t="s">
        <v>19</v>
      </c>
      <c r="P4296" t="s">
        <v>1320</v>
      </c>
      <c r="Q4296" t="s">
        <v>19</v>
      </c>
      <c r="R4296" t="str">
        <f>HYPERLINK("https://cfpub.epa.gov/ecotox/explore.cfm?ncbi=268474","Explore in ECOTOX")</f>
        <v>Explore in ECOTOX</v>
      </c>
    </row>
    <row r="4297" spans="1:18" x14ac:dyDescent="0.45">
      <c r="A4297" t="s">
        <v>1265</v>
      </c>
      <c r="B4297">
        <v>8</v>
      </c>
      <c r="C4297" t="str">
        <f>HYPERLINK("http://www.ncbi.nlm.nih.gov/protein/CAH1366395.1","CAH1366395.1")</f>
        <v>CAH1366395.1</v>
      </c>
      <c r="D4297">
        <v>58483</v>
      </c>
      <c r="E4297" t="str">
        <f>HYPERLINK("http://www.ncbi.nlm.nih.gov/Taxonomy/Browser/wwwtax.cgi?mode=Info&amp;id=7067&amp;lvl=3&amp;lin=f&amp;keep=1&amp;srchmode=1&amp;unlock","7067")</f>
        <v>7067</v>
      </c>
      <c r="F4297" t="s">
        <v>760</v>
      </c>
      <c r="G4297" t="str">
        <f>HYPERLINK("http://www.ncbi.nlm.nih.gov/Taxonomy/Browser/wwwtax.cgi?mode=Info&amp;id=7067&amp;lvl=3&amp;lin=f&amp;keep=1&amp;srchmode=1&amp;unlock","Tenebrio molitor")</f>
        <v>Tenebrio molitor</v>
      </c>
      <c r="H4297" t="s">
        <v>902</v>
      </c>
      <c r="I4297" t="str">
        <f>HYPERLINK("http://www.ncbi.nlm.nih.gov/protein/CAH1366395.1","unnamed protein product")</f>
        <v>unnamed protein product</v>
      </c>
      <c r="J4297">
        <v>2471.04</v>
      </c>
      <c r="K4297" t="s">
        <v>22</v>
      </c>
      <c r="L4297">
        <v>76</v>
      </c>
      <c r="M4297">
        <v>12.58</v>
      </c>
      <c r="N4297">
        <v>24.32</v>
      </c>
      <c r="O4297" t="s">
        <v>19</v>
      </c>
      <c r="P4297" t="s">
        <v>1320</v>
      </c>
      <c r="Q4297" t="s">
        <v>19</v>
      </c>
      <c r="R4297" t="str">
        <f>HYPERLINK("https://cfpub.epa.gov/ecotox/explore.cfm?ncbi=7067","Explore in ECOTOX")</f>
        <v>Explore in ECOTOX</v>
      </c>
    </row>
    <row r="4298" spans="1:18" x14ac:dyDescent="0.45">
      <c r="A4298" t="s">
        <v>1265</v>
      </c>
      <c r="B4298">
        <v>8</v>
      </c>
      <c r="C4298" t="str">
        <f>HYPERLINK("http://www.ncbi.nlm.nih.gov/protein/XP_052106421.1","XP_052106421.1")</f>
        <v>XP_052106421.1</v>
      </c>
      <c r="D4298">
        <v>50240</v>
      </c>
      <c r="E4298" t="str">
        <f>HYPERLINK("http://www.ncbi.nlm.nih.gov/Taxonomy/Browser/wwwtax.cgi?mode=Info&amp;id=6549&amp;lvl=3&amp;lin=f&amp;keep=1&amp;srchmode=1&amp;unlock","6549")</f>
        <v>6549</v>
      </c>
      <c r="F4298" t="s">
        <v>833</v>
      </c>
      <c r="G4298" t="str">
        <f>HYPERLINK("http://www.ncbi.nlm.nih.gov/Taxonomy/Browser/wwwtax.cgi?mode=Info&amp;id=6549&amp;lvl=3&amp;lin=f&amp;keep=1&amp;srchmode=1&amp;unlock","Mytilus californianus")</f>
        <v>Mytilus californianus</v>
      </c>
      <c r="H4298" t="s">
        <v>1028</v>
      </c>
      <c r="I4298" t="str">
        <f>HYPERLINK("http://www.ncbi.nlm.nih.gov/protein/XP_052106421.1","ryanodine receptor-like")</f>
        <v>ryanodine receptor-like</v>
      </c>
      <c r="J4298">
        <v>2471.04</v>
      </c>
      <c r="K4298" t="s">
        <v>22</v>
      </c>
      <c r="L4298">
        <v>76</v>
      </c>
      <c r="M4298">
        <v>12.58</v>
      </c>
      <c r="N4298">
        <v>24.32</v>
      </c>
      <c r="O4298" t="s">
        <v>19</v>
      </c>
      <c r="P4298" t="s">
        <v>1320</v>
      </c>
      <c r="Q4298" t="s">
        <v>19</v>
      </c>
      <c r="R4298" t="str">
        <f>HYPERLINK("https://cfpub.epa.gov/ecotox/explore.cfm?ncbi=6549","Explore in ECOTOX")</f>
        <v>Explore in ECOTOX</v>
      </c>
    </row>
    <row r="4299" spans="1:18" x14ac:dyDescent="0.45">
      <c r="A4299" t="s">
        <v>1265</v>
      </c>
      <c r="B4299">
        <v>8</v>
      </c>
      <c r="C4299" t="str">
        <f>HYPERLINK("http://www.ncbi.nlm.nih.gov/protein/GBP39010.1","GBP39010.1")</f>
        <v>GBP39010.1</v>
      </c>
      <c r="D4299">
        <v>96443</v>
      </c>
      <c r="E4299" t="str">
        <f>HYPERLINK("http://www.ncbi.nlm.nih.gov/Taxonomy/Browser/wwwtax.cgi?mode=Info&amp;id=151549&amp;lvl=3&amp;lin=f&amp;keep=1&amp;srchmode=1&amp;unlock","151549")</f>
        <v>151549</v>
      </c>
      <c r="F4299" t="s">
        <v>760</v>
      </c>
      <c r="G4299" t="str">
        <f>HYPERLINK("http://www.ncbi.nlm.nih.gov/Taxonomy/Browser/wwwtax.cgi?mode=Info&amp;id=151549&amp;lvl=3&amp;lin=f&amp;keep=1&amp;srchmode=1&amp;unlock","Eumeta japonica")</f>
        <v>Eumeta japonica</v>
      </c>
      <c r="H4299" t="s">
        <v>1088</v>
      </c>
      <c r="I4299" t="str">
        <f>HYPERLINK("http://www.ncbi.nlm.nih.gov/protein/GBP39010.1","Ryanodine receptor")</f>
        <v>Ryanodine receptor</v>
      </c>
      <c r="J4299">
        <v>2469.89</v>
      </c>
      <c r="K4299" t="s">
        <v>22</v>
      </c>
      <c r="L4299">
        <v>76</v>
      </c>
      <c r="M4299">
        <v>12.58</v>
      </c>
      <c r="N4299">
        <v>24.31</v>
      </c>
      <c r="O4299" t="s">
        <v>19</v>
      </c>
      <c r="P4299" t="s">
        <v>1320</v>
      </c>
      <c r="Q4299" t="s">
        <v>19</v>
      </c>
      <c r="R4299" t="str">
        <f>HYPERLINK("https://cfpub.epa.gov/ecotox/explore.cfm?ncbi=151549","Explore in ECOTOX")</f>
        <v>Explore in ECOTOX</v>
      </c>
    </row>
    <row r="4300" spans="1:18" x14ac:dyDescent="0.45">
      <c r="A4300" t="s">
        <v>1265</v>
      </c>
      <c r="B4300">
        <v>8</v>
      </c>
      <c r="C4300" t="str">
        <f>HYPERLINK("http://www.ncbi.nlm.nih.gov/protein/XP_031774553.1","XP_031774553.1")</f>
        <v>XP_031774553.1</v>
      </c>
      <c r="D4300">
        <v>18934</v>
      </c>
      <c r="E4300" t="str">
        <f>HYPERLINK("http://www.ncbi.nlm.nih.gov/Taxonomy/Browser/wwwtax.cgi?mode=Info&amp;id=7463&amp;lvl=3&amp;lin=f&amp;keep=1&amp;srchmode=1&amp;unlock","7463")</f>
        <v>7463</v>
      </c>
      <c r="F4300" t="s">
        <v>760</v>
      </c>
      <c r="G4300" t="str">
        <f>HYPERLINK("http://www.ncbi.nlm.nih.gov/Taxonomy/Browser/wwwtax.cgi?mode=Info&amp;id=7463&amp;lvl=3&amp;lin=f&amp;keep=1&amp;srchmode=1&amp;unlock","Apis florea")</f>
        <v>Apis florea</v>
      </c>
      <c r="H4300" t="s">
        <v>1083</v>
      </c>
      <c r="I4300" t="str">
        <f>HYPERLINK("http://www.ncbi.nlm.nih.gov/protein/XP_031774553.1","LOW QUALITY PROTEIN: ryanodine receptor")</f>
        <v>LOW QUALITY PROTEIN: ryanodine receptor</v>
      </c>
      <c r="J4300">
        <v>2467.96</v>
      </c>
      <c r="K4300" t="s">
        <v>22</v>
      </c>
      <c r="L4300">
        <v>76</v>
      </c>
      <c r="M4300">
        <v>12.58</v>
      </c>
      <c r="N4300">
        <v>24.29</v>
      </c>
      <c r="O4300" t="s">
        <v>19</v>
      </c>
      <c r="P4300" t="s">
        <v>1320</v>
      </c>
      <c r="Q4300" t="s">
        <v>19</v>
      </c>
      <c r="R4300" t="str">
        <f>HYPERLINK("https://cfpub.epa.gov/ecotox/explore.cfm?ncbi=7463","Explore in ECOTOX")</f>
        <v>Explore in ECOTOX</v>
      </c>
    </row>
    <row r="4301" spans="1:18" x14ac:dyDescent="0.45">
      <c r="A4301" t="s">
        <v>1265</v>
      </c>
      <c r="B4301">
        <v>8</v>
      </c>
      <c r="C4301" t="str">
        <f>HYPERLINK("http://www.ncbi.nlm.nih.gov/protein/XP_031369531.1","XP_031369531.1")</f>
        <v>XP_031369531.1</v>
      </c>
      <c r="D4301">
        <v>20479</v>
      </c>
      <c r="E4301" t="str">
        <f>HYPERLINK("http://www.ncbi.nlm.nih.gov/Taxonomy/Browser/wwwtax.cgi?mode=Info&amp;id=7462&amp;lvl=3&amp;lin=f&amp;keep=1&amp;srchmode=1&amp;unlock","7462")</f>
        <v>7462</v>
      </c>
      <c r="F4301" t="s">
        <v>760</v>
      </c>
      <c r="G4301" t="str">
        <f>HYPERLINK("http://www.ncbi.nlm.nih.gov/Taxonomy/Browser/wwwtax.cgi?mode=Info&amp;id=7462&amp;lvl=3&amp;lin=f&amp;keep=1&amp;srchmode=1&amp;unlock","Apis dorsata")</f>
        <v>Apis dorsata</v>
      </c>
      <c r="H4301" t="s">
        <v>1066</v>
      </c>
      <c r="I4301" t="str">
        <f>HYPERLINK("http://www.ncbi.nlm.nih.gov/protein/XP_031369531.1","ryanodine receptor isoform X4")</f>
        <v>ryanodine receptor isoform X4</v>
      </c>
      <c r="J4301">
        <v>2467.5700000000002</v>
      </c>
      <c r="K4301" t="s">
        <v>22</v>
      </c>
      <c r="L4301">
        <v>76</v>
      </c>
      <c r="M4301">
        <v>12.58</v>
      </c>
      <c r="N4301">
        <v>24.29</v>
      </c>
      <c r="O4301" t="s">
        <v>19</v>
      </c>
      <c r="P4301" t="s">
        <v>1320</v>
      </c>
      <c r="Q4301" t="s">
        <v>19</v>
      </c>
      <c r="R4301" t="str">
        <f>HYPERLINK("https://cfpub.epa.gov/ecotox/explore.cfm?ncbi=7462","Explore in ECOTOX")</f>
        <v>Explore in ECOTOX</v>
      </c>
    </row>
    <row r="4302" spans="1:18" x14ac:dyDescent="0.45">
      <c r="A4302" t="s">
        <v>1265</v>
      </c>
      <c r="B4302">
        <v>8</v>
      </c>
      <c r="C4302" t="str">
        <f>HYPERLINK("http://www.ncbi.nlm.nih.gov/protein/KAK1131229.1","KAK1131229.1")</f>
        <v>KAK1131229.1</v>
      </c>
      <c r="D4302">
        <v>21376</v>
      </c>
      <c r="E4302" t="str">
        <f>HYPERLINK("http://www.ncbi.nlm.nih.gov/Taxonomy/Browser/wwwtax.cgi?mode=Info&amp;id=60889&amp;lvl=3&amp;lin=f&amp;keep=1&amp;srchmode=1&amp;unlock","60889")</f>
        <v>60889</v>
      </c>
      <c r="F4302" t="s">
        <v>760</v>
      </c>
      <c r="G4302" t="str">
        <f>HYPERLINK("http://www.ncbi.nlm.nih.gov/Taxonomy/Browser/wwwtax.cgi?mode=Info&amp;id=60889&amp;lvl=3&amp;lin=f&amp;keep=1&amp;srchmode=1&amp;unlock","Melipona bicolor")</f>
        <v>Melipona bicolor</v>
      </c>
      <c r="H4302" t="s">
        <v>817</v>
      </c>
      <c r="I4302" t="str">
        <f>HYPERLINK("http://www.ncbi.nlm.nih.gov/protein/KAK1131229.1","hypothetical protein K0M31_017517")</f>
        <v>hypothetical protein K0M31_017517</v>
      </c>
      <c r="J4302">
        <v>2466.42</v>
      </c>
      <c r="K4302" t="s">
        <v>22</v>
      </c>
      <c r="L4302">
        <v>76</v>
      </c>
      <c r="M4302">
        <v>12.58</v>
      </c>
      <c r="N4302">
        <v>24.27</v>
      </c>
      <c r="O4302" t="s">
        <v>19</v>
      </c>
      <c r="P4302" t="s">
        <v>1320</v>
      </c>
      <c r="Q4302" t="s">
        <v>19</v>
      </c>
      <c r="R4302" t="str">
        <f>HYPERLINK("https://cfpub.epa.gov/ecotox/explore.cfm?ncbi=60889","Explore in ECOTOX")</f>
        <v>Explore in ECOTOX</v>
      </c>
    </row>
    <row r="4303" spans="1:18" x14ac:dyDescent="0.45">
      <c r="A4303" t="s">
        <v>1265</v>
      </c>
      <c r="B4303">
        <v>8</v>
      </c>
      <c r="C4303" t="str">
        <f>HYPERLINK("http://www.ncbi.nlm.nih.gov/protein/XP_043802535.1","XP_043802535.1")</f>
        <v>XP_043802535.1</v>
      </c>
      <c r="D4303">
        <v>20599</v>
      </c>
      <c r="E4303" t="str">
        <f>HYPERLINK("http://www.ncbi.nlm.nih.gov/Taxonomy/Browser/wwwtax.cgi?mode=Info&amp;id=183418&amp;lvl=3&amp;lin=f&amp;keep=1&amp;srchmode=1&amp;unlock","183418")</f>
        <v>183418</v>
      </c>
      <c r="F4303" t="s">
        <v>760</v>
      </c>
      <c r="G4303" t="str">
        <f>HYPERLINK("http://www.ncbi.nlm.nih.gov/Taxonomy/Browser/wwwtax.cgi?mode=Info&amp;id=183418&amp;lvl=3&amp;lin=f&amp;keep=1&amp;srchmode=1&amp;unlock","Apis laboriosa")</f>
        <v>Apis laboriosa</v>
      </c>
      <c r="H4303" t="s">
        <v>1068</v>
      </c>
      <c r="I4303" t="str">
        <f>HYPERLINK("http://www.ncbi.nlm.nih.gov/protein/XP_043802535.1","ryanodine receptor isoform X4")</f>
        <v>ryanodine receptor isoform X4</v>
      </c>
      <c r="J4303">
        <v>2466.0300000000002</v>
      </c>
      <c r="K4303" t="s">
        <v>22</v>
      </c>
      <c r="L4303">
        <v>76</v>
      </c>
      <c r="M4303">
        <v>12.58</v>
      </c>
      <c r="N4303">
        <v>24.27</v>
      </c>
      <c r="O4303" t="s">
        <v>19</v>
      </c>
      <c r="P4303" t="s">
        <v>1320</v>
      </c>
      <c r="Q4303" t="s">
        <v>19</v>
      </c>
      <c r="R4303" t="str">
        <f>HYPERLINK("https://cfpub.epa.gov/ecotox/explore.cfm?ncbi=183418","Explore in ECOTOX")</f>
        <v>Explore in ECOTOX</v>
      </c>
    </row>
    <row r="4304" spans="1:18" x14ac:dyDescent="0.45">
      <c r="A4304" t="s">
        <v>1265</v>
      </c>
      <c r="B4304">
        <v>8</v>
      </c>
      <c r="C4304" t="str">
        <f>HYPERLINK("http://www.ncbi.nlm.nih.gov/protein/XP_055596494.1","XP_055596494.1")</f>
        <v>XP_055596494.1</v>
      </c>
      <c r="D4304">
        <v>30080</v>
      </c>
      <c r="E4304" t="str">
        <f>HYPERLINK("http://www.ncbi.nlm.nih.gov/Taxonomy/Browser/wwwtax.cgi?mode=Info&amp;id=190385&amp;lvl=3&amp;lin=f&amp;keep=1&amp;srchmode=1&amp;unlock","190385")</f>
        <v>190385</v>
      </c>
      <c r="F4304" t="s">
        <v>760</v>
      </c>
      <c r="G4304" t="str">
        <f>HYPERLINK("http://www.ncbi.nlm.nih.gov/Taxonomy/Browser/wwwtax.cgi?mode=Info&amp;id=190385&amp;lvl=3&amp;lin=f&amp;keep=1&amp;srchmode=1&amp;unlock","Uranotaenia lowii")</f>
        <v>Uranotaenia lowii</v>
      </c>
      <c r="H4304" t="s">
        <v>917</v>
      </c>
      <c r="I4304" t="str">
        <f>HYPERLINK("http://www.ncbi.nlm.nih.gov/protein/XP_055596494.1","ryanodine receptor isoform X20")</f>
        <v>ryanodine receptor isoform X20</v>
      </c>
      <c r="J4304">
        <v>2464.88</v>
      </c>
      <c r="K4304" t="s">
        <v>22</v>
      </c>
      <c r="L4304">
        <v>76</v>
      </c>
      <c r="M4304">
        <v>12.58</v>
      </c>
      <c r="N4304">
        <v>24.26</v>
      </c>
      <c r="O4304" t="s">
        <v>19</v>
      </c>
      <c r="P4304" t="s">
        <v>1320</v>
      </c>
      <c r="Q4304" t="s">
        <v>19</v>
      </c>
      <c r="R4304" t="str">
        <f>HYPERLINK("https://cfpub.epa.gov/ecotox/explore.cfm?ncbi=190385","Explore in ECOTOX")</f>
        <v>Explore in ECOTOX</v>
      </c>
    </row>
    <row r="4305" spans="1:18" x14ac:dyDescent="0.45">
      <c r="A4305" t="s">
        <v>1265</v>
      </c>
      <c r="B4305">
        <v>8</v>
      </c>
      <c r="C4305" t="str">
        <f>HYPERLINK("http://www.ncbi.nlm.nih.gov/protein/CAH0546152.1","CAH0546152.1")</f>
        <v>CAH0546152.1</v>
      </c>
      <c r="D4305">
        <v>16100</v>
      </c>
      <c r="E4305" t="str">
        <f>HYPERLINK("http://www.ncbi.nlm.nih.gov/Taxonomy/Browser/wwwtax.cgi?mode=Info&amp;id=1431903&amp;lvl=3&amp;lin=f&amp;keep=1&amp;srchmode=1&amp;unlock","1431903")</f>
        <v>1431903</v>
      </c>
      <c r="F4305" t="s">
        <v>760</v>
      </c>
      <c r="G4305" t="str">
        <f>HYPERLINK("http://www.ncbi.nlm.nih.gov/Taxonomy/Browser/wwwtax.cgi?mode=Info&amp;id=1431903&amp;lvl=3&amp;lin=f&amp;keep=1&amp;srchmode=1&amp;unlock","Brassicogethes aeneus")</f>
        <v>Brassicogethes aeneus</v>
      </c>
      <c r="H4305" t="s">
        <v>934</v>
      </c>
      <c r="I4305" t="str">
        <f>HYPERLINK("http://www.ncbi.nlm.nih.gov/protein/CAH0546152.1","unnamed protein product")</f>
        <v>unnamed protein product</v>
      </c>
      <c r="J4305">
        <v>2463.34</v>
      </c>
      <c r="K4305" t="s">
        <v>22</v>
      </c>
      <c r="L4305">
        <v>76</v>
      </c>
      <c r="M4305">
        <v>12.58</v>
      </c>
      <c r="N4305">
        <v>24.24</v>
      </c>
      <c r="O4305" t="s">
        <v>19</v>
      </c>
      <c r="P4305" t="s">
        <v>1320</v>
      </c>
      <c r="Q4305" t="s">
        <v>19</v>
      </c>
      <c r="R4305" t="str">
        <f>HYPERLINK("https://cfpub.epa.gov/ecotox/explore.cfm?ncbi=1431903","Explore in ECOTOX")</f>
        <v>Explore in ECOTOX</v>
      </c>
    </row>
    <row r="4306" spans="1:18" x14ac:dyDescent="0.45">
      <c r="A4306" t="s">
        <v>1265</v>
      </c>
      <c r="B4306">
        <v>8</v>
      </c>
      <c r="C4306" t="str">
        <f>HYPERLINK("http://www.ncbi.nlm.nih.gov/protein/XP_045464163.1","XP_045464163.1")</f>
        <v>XP_045464163.1</v>
      </c>
      <c r="D4306">
        <v>24467</v>
      </c>
      <c r="E4306" t="str">
        <f>HYPERLINK("http://www.ncbi.nlm.nih.gov/Taxonomy/Browser/wwwtax.cgi?mode=Info&amp;id=115357&amp;lvl=3&amp;lin=f&amp;keep=1&amp;srchmode=1&amp;unlock","115357")</f>
        <v>115357</v>
      </c>
      <c r="F4306" t="s">
        <v>760</v>
      </c>
      <c r="G4306" t="str">
        <f>HYPERLINK("http://www.ncbi.nlm.nih.gov/Taxonomy/Browser/wwwtax.cgi?mode=Info&amp;id=115357&amp;lvl=3&amp;lin=f&amp;keep=1&amp;srchmode=1&amp;unlock","Harmonia axyridis")</f>
        <v>Harmonia axyridis</v>
      </c>
      <c r="H4306" t="s">
        <v>978</v>
      </c>
      <c r="I4306" t="str">
        <f>HYPERLINK("http://www.ncbi.nlm.nih.gov/protein/XP_045464163.1","ryanodine receptor isoform X3")</f>
        <v>ryanodine receptor isoform X3</v>
      </c>
      <c r="J4306">
        <v>2462.9499999999998</v>
      </c>
      <c r="K4306" t="s">
        <v>22</v>
      </c>
      <c r="L4306">
        <v>76</v>
      </c>
      <c r="M4306">
        <v>12.58</v>
      </c>
      <c r="N4306">
        <v>24.24</v>
      </c>
      <c r="O4306" t="s">
        <v>19</v>
      </c>
      <c r="P4306" t="s">
        <v>1320</v>
      </c>
      <c r="Q4306" t="s">
        <v>19</v>
      </c>
      <c r="R4306" t="str">
        <f>HYPERLINK("https://cfpub.epa.gov/ecotox/explore.cfm?ncbi=115357","Explore in ECOTOX")</f>
        <v>Explore in ECOTOX</v>
      </c>
    </row>
    <row r="4307" spans="1:18" x14ac:dyDescent="0.45">
      <c r="A4307" t="s">
        <v>1265</v>
      </c>
      <c r="B4307">
        <v>8</v>
      </c>
      <c r="C4307" t="str">
        <f>HYPERLINK("http://www.ncbi.nlm.nih.gov/protein/XP_012250199.1","XP_012250199.1")</f>
        <v>XP_012250199.1</v>
      </c>
      <c r="D4307">
        <v>24542</v>
      </c>
      <c r="E4307" t="str">
        <f>HYPERLINK("http://www.ncbi.nlm.nih.gov/Taxonomy/Browser/wwwtax.cgi?mode=Info&amp;id=132113&amp;lvl=3&amp;lin=f&amp;keep=1&amp;srchmode=1&amp;unlock","132113")</f>
        <v>132113</v>
      </c>
      <c r="F4307" t="s">
        <v>760</v>
      </c>
      <c r="G4307" t="str">
        <f>HYPERLINK("http://www.ncbi.nlm.nih.gov/Taxonomy/Browser/wwwtax.cgi?mode=Info&amp;id=132113&amp;lvl=3&amp;lin=f&amp;keep=1&amp;srchmode=1&amp;unlock","Bombus impatiens")</f>
        <v>Bombus impatiens</v>
      </c>
      <c r="H4307" t="s">
        <v>1061</v>
      </c>
      <c r="I4307" t="str">
        <f>HYPERLINK("http://www.ncbi.nlm.nih.gov/protein/XP_012250199.1","ryanodine receptor isoform X8")</f>
        <v>ryanodine receptor isoform X8</v>
      </c>
      <c r="J4307">
        <v>2462.1799999999998</v>
      </c>
      <c r="K4307" t="s">
        <v>22</v>
      </c>
      <c r="L4307">
        <v>76</v>
      </c>
      <c r="M4307">
        <v>12.58</v>
      </c>
      <c r="N4307">
        <v>24.23</v>
      </c>
      <c r="O4307" t="s">
        <v>19</v>
      </c>
      <c r="P4307" t="s">
        <v>1320</v>
      </c>
      <c r="Q4307" t="s">
        <v>19</v>
      </c>
      <c r="R4307" t="str">
        <f>HYPERLINK("https://cfpub.epa.gov/ecotox/explore.cfm?ncbi=132113","Explore in ECOTOX")</f>
        <v>Explore in ECOTOX</v>
      </c>
    </row>
    <row r="4308" spans="1:18" x14ac:dyDescent="0.45">
      <c r="A4308" t="s">
        <v>1265</v>
      </c>
      <c r="B4308">
        <v>8</v>
      </c>
      <c r="C4308" t="str">
        <f>HYPERLINK("http://www.ncbi.nlm.nih.gov/protein/XP_050481042.1","XP_050481042.1")</f>
        <v>XP_050481042.1</v>
      </c>
      <c r="D4308">
        <v>27820</v>
      </c>
      <c r="E4308" t="str">
        <f>HYPERLINK("http://www.ncbi.nlm.nih.gov/Taxonomy/Browser/wwwtax.cgi?mode=Info&amp;id=85661&amp;lvl=3&amp;lin=f&amp;keep=1&amp;srchmode=1&amp;unlock","85661")</f>
        <v>85661</v>
      </c>
      <c r="F4308" t="s">
        <v>760</v>
      </c>
      <c r="G4308" t="str">
        <f>HYPERLINK("http://www.ncbi.nlm.nih.gov/Taxonomy/Browser/wwwtax.cgi?mode=Info&amp;id=85661&amp;lvl=3&amp;lin=f&amp;keep=1&amp;srchmode=1&amp;unlock","Bombus huntii")</f>
        <v>Bombus huntii</v>
      </c>
      <c r="H4308" t="s">
        <v>928</v>
      </c>
      <c r="I4308" t="str">
        <f>HYPERLINK("http://www.ncbi.nlm.nih.gov/protein/XP_050481042.1","ryanodine receptor isoform X6")</f>
        <v>ryanodine receptor isoform X6</v>
      </c>
      <c r="J4308">
        <v>2462.1799999999998</v>
      </c>
      <c r="K4308" t="s">
        <v>22</v>
      </c>
      <c r="L4308">
        <v>76</v>
      </c>
      <c r="M4308">
        <v>12.58</v>
      </c>
      <c r="N4308">
        <v>24.23</v>
      </c>
      <c r="O4308" t="s">
        <v>19</v>
      </c>
      <c r="P4308" t="s">
        <v>1320</v>
      </c>
      <c r="Q4308" t="s">
        <v>19</v>
      </c>
      <c r="R4308" t="str">
        <f>HYPERLINK("https://cfpub.epa.gov/ecotox/explore.cfm?ncbi=85661","Explore in ECOTOX")</f>
        <v>Explore in ECOTOX</v>
      </c>
    </row>
    <row r="4309" spans="1:18" x14ac:dyDescent="0.45">
      <c r="A4309" t="s">
        <v>1265</v>
      </c>
      <c r="B4309">
        <v>8</v>
      </c>
      <c r="C4309" t="str">
        <f>HYPERLINK("http://www.ncbi.nlm.nih.gov/protein/XP_043604793.1","XP_043604793.1")</f>
        <v>XP_043604793.1</v>
      </c>
      <c r="D4309">
        <v>28314</v>
      </c>
      <c r="E4309" t="str">
        <f>HYPERLINK("http://www.ncbi.nlm.nih.gov/Taxonomy/Browser/wwwtax.cgi?mode=Info&amp;id=396416&amp;lvl=3&amp;lin=f&amp;keep=1&amp;srchmode=1&amp;unlock","396416")</f>
        <v>396416</v>
      </c>
      <c r="F4309" t="s">
        <v>760</v>
      </c>
      <c r="G4309" t="str">
        <f>HYPERLINK("http://www.ncbi.nlm.nih.gov/Taxonomy/Browser/wwwtax.cgi?mode=Info&amp;id=396416&amp;lvl=3&amp;lin=f&amp;keep=1&amp;srchmode=1&amp;unlock","Bombus pyrosoma")</f>
        <v>Bombus pyrosoma</v>
      </c>
      <c r="H4309" t="s">
        <v>928</v>
      </c>
      <c r="I4309" t="str">
        <f>HYPERLINK("http://www.ncbi.nlm.nih.gov/protein/XP_043604793.1","ryanodine receptor isoform X17")</f>
        <v>ryanodine receptor isoform X17</v>
      </c>
      <c r="J4309">
        <v>2462.1799999999998</v>
      </c>
      <c r="K4309" t="s">
        <v>22</v>
      </c>
      <c r="L4309">
        <v>76</v>
      </c>
      <c r="M4309">
        <v>12.58</v>
      </c>
      <c r="N4309">
        <v>24.23</v>
      </c>
      <c r="O4309" t="s">
        <v>19</v>
      </c>
      <c r="P4309" t="s">
        <v>1320</v>
      </c>
      <c r="Q4309" t="s">
        <v>19</v>
      </c>
      <c r="R4309" t="str">
        <f>HYPERLINK("https://cfpub.epa.gov/ecotox/explore.cfm?ncbi=396416","Explore in ECOTOX")</f>
        <v>Explore in ECOTOX</v>
      </c>
    </row>
    <row r="4310" spans="1:18" x14ac:dyDescent="0.45">
      <c r="A4310" t="s">
        <v>1265</v>
      </c>
      <c r="B4310">
        <v>8</v>
      </c>
      <c r="C4310" t="str">
        <f>HYPERLINK("http://www.ncbi.nlm.nih.gov/protein/XP_033191848.1","XP_033191848.1")</f>
        <v>XP_033191848.1</v>
      </c>
      <c r="D4310">
        <v>24339</v>
      </c>
      <c r="E4310" t="str">
        <f>HYPERLINK("http://www.ncbi.nlm.nih.gov/Taxonomy/Browser/wwwtax.cgi?mode=Info&amp;id=2705178&amp;lvl=3&amp;lin=f&amp;keep=1&amp;srchmode=1&amp;unlock","2705178")</f>
        <v>2705178</v>
      </c>
      <c r="F4310" t="s">
        <v>760</v>
      </c>
      <c r="G4310" t="str">
        <f>HYPERLINK("http://www.ncbi.nlm.nih.gov/Taxonomy/Browser/wwwtax.cgi?mode=Info&amp;id=2705178&amp;lvl=3&amp;lin=f&amp;keep=1&amp;srchmode=1&amp;unlock","Bombus vancouverensis nearcticus")</f>
        <v>Bombus vancouverensis nearcticus</v>
      </c>
      <c r="H4310" t="s">
        <v>928</v>
      </c>
      <c r="I4310" t="str">
        <f>HYPERLINK("http://www.ncbi.nlm.nih.gov/protein/XP_033191848.1","ryanodine receptor isoform X8")</f>
        <v>ryanodine receptor isoform X8</v>
      </c>
      <c r="J4310">
        <v>2462.1799999999998</v>
      </c>
      <c r="K4310" t="s">
        <v>22</v>
      </c>
      <c r="L4310">
        <v>76</v>
      </c>
      <c r="M4310">
        <v>12.58</v>
      </c>
      <c r="N4310">
        <v>24.23</v>
      </c>
      <c r="O4310" t="s">
        <v>19</v>
      </c>
      <c r="P4310" t="s">
        <v>1320</v>
      </c>
      <c r="Q4310" t="s">
        <v>19</v>
      </c>
      <c r="R4310" t="str">
        <f>HYPERLINK("https://cfpub.epa.gov/ecotox/explore.cfm?ncbi=2705178","Explore in ECOTOX")</f>
        <v>Explore in ECOTOX</v>
      </c>
    </row>
    <row r="4311" spans="1:18" x14ac:dyDescent="0.45">
      <c r="A4311" t="s">
        <v>1265</v>
      </c>
      <c r="B4311">
        <v>8</v>
      </c>
      <c r="C4311" t="str">
        <f>HYPERLINK("http://www.ncbi.nlm.nih.gov/protein/XP_060817760.1","XP_060817760.1")</f>
        <v>XP_060817760.1</v>
      </c>
      <c r="D4311">
        <v>22550</v>
      </c>
      <c r="E4311" t="str">
        <f>HYPERLINK("http://www.ncbi.nlm.nih.gov/Taxonomy/Browser/wwwtax.cgi?mode=Info&amp;id=65598&amp;lvl=3&amp;lin=f&amp;keep=1&amp;srchmode=1&amp;unlock","65598")</f>
        <v>65598</v>
      </c>
      <c r="F4311" t="s">
        <v>760</v>
      </c>
      <c r="G4311" t="str">
        <f>HYPERLINK("http://www.ncbi.nlm.nih.gov/Taxonomy/Browser/wwwtax.cgi?mode=Info&amp;id=65598&amp;lvl=3&amp;lin=f&amp;keep=1&amp;srchmode=1&amp;unlock","Bombus pascuorum")</f>
        <v>Bombus pascuorum</v>
      </c>
      <c r="H4311" t="s">
        <v>928</v>
      </c>
      <c r="I4311" t="str">
        <f>HYPERLINK("http://www.ncbi.nlm.nih.gov/protein/XP_060817760.1","ryanodine receptor isoform X8")</f>
        <v>ryanodine receptor isoform X8</v>
      </c>
      <c r="J4311">
        <v>2461.8000000000002</v>
      </c>
      <c r="K4311" t="s">
        <v>22</v>
      </c>
      <c r="L4311">
        <v>76</v>
      </c>
      <c r="M4311">
        <v>12.58</v>
      </c>
      <c r="N4311">
        <v>24.23</v>
      </c>
      <c r="O4311" t="s">
        <v>19</v>
      </c>
      <c r="P4311" t="s">
        <v>1320</v>
      </c>
      <c r="Q4311" t="s">
        <v>19</v>
      </c>
      <c r="R4311" t="str">
        <f>HYPERLINK("https://cfpub.epa.gov/ecotox/explore.cfm?ncbi=65598","Explore in ECOTOX")</f>
        <v>Explore in ECOTOX</v>
      </c>
    </row>
    <row r="4312" spans="1:18" x14ac:dyDescent="0.45">
      <c r="A4312" t="s">
        <v>1265</v>
      </c>
      <c r="B4312">
        <v>8</v>
      </c>
      <c r="C4312" t="str">
        <f>HYPERLINK("http://www.ncbi.nlm.nih.gov/protein/XP_061515389.1","XP_061515389.1")</f>
        <v>XP_061515389.1</v>
      </c>
      <c r="D4312">
        <v>40523</v>
      </c>
      <c r="E4312" t="str">
        <f>HYPERLINK("http://www.ncbi.nlm.nih.gov/Taxonomy/Browser/wwwtax.cgi?mode=Info&amp;id=7165&amp;lvl=3&amp;lin=f&amp;keep=1&amp;srchmode=1&amp;unlock","7165")</f>
        <v>7165</v>
      </c>
      <c r="F4312" t="s">
        <v>760</v>
      </c>
      <c r="G4312" t="str">
        <f>HYPERLINK("http://www.ncbi.nlm.nih.gov/Taxonomy/Browser/wwwtax.cgi?mode=Info&amp;id=7165&amp;lvl=3&amp;lin=f&amp;keep=1&amp;srchmode=1&amp;unlock","Anopheles gambiae")</f>
        <v>Anopheles gambiae</v>
      </c>
      <c r="H4312" t="s">
        <v>940</v>
      </c>
      <c r="I4312" t="str">
        <f>HYPERLINK("http://www.ncbi.nlm.nih.gov/protein/XP_061515389.1","ryanodine receptor isoform X9")</f>
        <v>ryanodine receptor isoform X9</v>
      </c>
      <c r="J4312">
        <v>2461.8000000000002</v>
      </c>
      <c r="K4312" t="s">
        <v>22</v>
      </c>
      <c r="L4312">
        <v>76</v>
      </c>
      <c r="M4312">
        <v>12.58</v>
      </c>
      <c r="N4312">
        <v>24.23</v>
      </c>
      <c r="O4312" t="s">
        <v>19</v>
      </c>
      <c r="P4312" t="s">
        <v>1320</v>
      </c>
      <c r="Q4312" t="s">
        <v>19</v>
      </c>
      <c r="R4312" t="str">
        <f>HYPERLINK("https://cfpub.epa.gov/ecotox/explore.cfm?ncbi=7165","Explore in ECOTOX")</f>
        <v>Explore in ECOTOX</v>
      </c>
    </row>
    <row r="4313" spans="1:18" x14ac:dyDescent="0.45">
      <c r="A4313" t="s">
        <v>1265</v>
      </c>
      <c r="B4313">
        <v>8</v>
      </c>
      <c r="C4313" t="str">
        <f>HYPERLINK("http://www.ncbi.nlm.nih.gov/protein/XP_040168205.1","XP_040168205.1")</f>
        <v>XP_040168205.1</v>
      </c>
      <c r="D4313">
        <v>27762</v>
      </c>
      <c r="E4313" t="str">
        <f>HYPERLINK("http://www.ncbi.nlm.nih.gov/Taxonomy/Browser/wwwtax.cgi?mode=Info&amp;id=7173&amp;lvl=3&amp;lin=f&amp;keep=1&amp;srchmode=1&amp;unlock","7173")</f>
        <v>7173</v>
      </c>
      <c r="F4313" t="s">
        <v>760</v>
      </c>
      <c r="G4313" t="str">
        <f>HYPERLINK("http://www.ncbi.nlm.nih.gov/Taxonomy/Browser/wwwtax.cgi?mode=Info&amp;id=7173&amp;lvl=3&amp;lin=f&amp;keep=1&amp;srchmode=1&amp;unlock","Anopheles arabiensis")</f>
        <v>Anopheles arabiensis</v>
      </c>
      <c r="H4313" t="s">
        <v>917</v>
      </c>
      <c r="I4313" t="str">
        <f>HYPERLINK("http://www.ncbi.nlm.nih.gov/protein/XP_040168205.1","ryanodine receptor isoform X13")</f>
        <v>ryanodine receptor isoform X13</v>
      </c>
      <c r="J4313">
        <v>2461.41</v>
      </c>
      <c r="K4313" t="s">
        <v>22</v>
      </c>
      <c r="L4313">
        <v>76</v>
      </c>
      <c r="M4313">
        <v>12.58</v>
      </c>
      <c r="N4313">
        <v>24.22</v>
      </c>
      <c r="O4313" t="s">
        <v>19</v>
      </c>
      <c r="P4313" t="s">
        <v>1320</v>
      </c>
      <c r="Q4313" t="s">
        <v>19</v>
      </c>
      <c r="R4313" t="str">
        <f>HYPERLINK("https://cfpub.epa.gov/ecotox/explore.cfm?ncbi=7173","Explore in ECOTOX")</f>
        <v>Explore in ECOTOX</v>
      </c>
    </row>
    <row r="4314" spans="1:18" x14ac:dyDescent="0.45">
      <c r="A4314" t="s">
        <v>1265</v>
      </c>
      <c r="B4314">
        <v>8</v>
      </c>
      <c r="C4314" t="str">
        <f>HYPERLINK("http://www.ncbi.nlm.nih.gov/protein/XP_033302142.1","XP_033302142.1")</f>
        <v>XP_033302142.1</v>
      </c>
      <c r="D4314">
        <v>24041</v>
      </c>
      <c r="E4314" t="str">
        <f>HYPERLINK("http://www.ncbi.nlm.nih.gov/Taxonomy/Browser/wwwtax.cgi?mode=Info&amp;id=103933&amp;lvl=3&amp;lin=f&amp;keep=1&amp;srchmode=1&amp;unlock","103933")</f>
        <v>103933</v>
      </c>
      <c r="F4314" t="s">
        <v>760</v>
      </c>
      <c r="G4314" t="str">
        <f>HYPERLINK("http://www.ncbi.nlm.nih.gov/Taxonomy/Browser/wwwtax.cgi?mode=Info&amp;id=103933&amp;lvl=3&amp;lin=f&amp;keep=1&amp;srchmode=1&amp;unlock","Bombus bifarius")</f>
        <v>Bombus bifarius</v>
      </c>
      <c r="H4314" t="s">
        <v>928</v>
      </c>
      <c r="I4314" t="str">
        <f>HYPERLINK("http://www.ncbi.nlm.nih.gov/protein/XP_033302142.1","ryanodine receptor isoform X7")</f>
        <v>ryanodine receptor isoform X7</v>
      </c>
      <c r="J4314">
        <v>2461.41</v>
      </c>
      <c r="K4314" t="s">
        <v>22</v>
      </c>
      <c r="L4314">
        <v>76</v>
      </c>
      <c r="M4314">
        <v>12.58</v>
      </c>
      <c r="N4314">
        <v>24.22</v>
      </c>
      <c r="O4314" t="s">
        <v>19</v>
      </c>
      <c r="P4314" t="s">
        <v>1320</v>
      </c>
      <c r="Q4314" t="s">
        <v>19</v>
      </c>
      <c r="R4314" t="str">
        <f>HYPERLINK("https://cfpub.epa.gov/ecotox/explore.cfm?ncbi=103933","Explore in ECOTOX")</f>
        <v>Explore in ECOTOX</v>
      </c>
    </row>
    <row r="4315" spans="1:18" x14ac:dyDescent="0.45">
      <c r="A4315" t="s">
        <v>1265</v>
      </c>
      <c r="B4315">
        <v>8</v>
      </c>
      <c r="C4315" t="str">
        <f>HYPERLINK("http://www.ncbi.nlm.nih.gov/protein/XP_041783476.1","XP_041783476.1")</f>
        <v>XP_041783476.1</v>
      </c>
      <c r="D4315">
        <v>29037</v>
      </c>
      <c r="E4315" t="str">
        <f>HYPERLINK("http://www.ncbi.nlm.nih.gov/Taxonomy/Browser/wwwtax.cgi?mode=Info&amp;id=30066&amp;lvl=3&amp;lin=f&amp;keep=1&amp;srchmode=1&amp;unlock","30066")</f>
        <v>30066</v>
      </c>
      <c r="F4315" t="s">
        <v>760</v>
      </c>
      <c r="G4315" t="str">
        <f>HYPERLINK("http://www.ncbi.nlm.nih.gov/Taxonomy/Browser/wwwtax.cgi?mode=Info&amp;id=30066&amp;lvl=3&amp;lin=f&amp;keep=1&amp;srchmode=1&amp;unlock","Anopheles merus")</f>
        <v>Anopheles merus</v>
      </c>
      <c r="H4315" t="s">
        <v>917</v>
      </c>
      <c r="I4315" t="str">
        <f>HYPERLINK("http://www.ncbi.nlm.nih.gov/protein/XP_041783476.1","ryanodine receptor isoform X8")</f>
        <v>ryanodine receptor isoform X8</v>
      </c>
      <c r="J4315">
        <v>2459.1</v>
      </c>
      <c r="K4315" t="s">
        <v>22</v>
      </c>
      <c r="L4315">
        <v>76</v>
      </c>
      <c r="M4315">
        <v>12.58</v>
      </c>
      <c r="N4315">
        <v>24.2</v>
      </c>
      <c r="O4315" t="s">
        <v>19</v>
      </c>
      <c r="P4315" t="s">
        <v>1320</v>
      </c>
      <c r="Q4315" t="s">
        <v>19</v>
      </c>
      <c r="R4315" t="str">
        <f>HYPERLINK("https://cfpub.epa.gov/ecotox/explore.cfm?ncbi=30066","Explore in ECOTOX")</f>
        <v>Explore in ECOTOX</v>
      </c>
    </row>
    <row r="4316" spans="1:18" x14ac:dyDescent="0.45">
      <c r="A4316" t="s">
        <v>1265</v>
      </c>
      <c r="B4316">
        <v>8</v>
      </c>
      <c r="C4316" t="str">
        <f>HYPERLINK("http://www.ncbi.nlm.nih.gov/protein/XP_013145421.1","XP_013145421.1")</f>
        <v>XP_013145421.1</v>
      </c>
      <c r="D4316">
        <v>17972</v>
      </c>
      <c r="E4316" t="str">
        <f>HYPERLINK("http://www.ncbi.nlm.nih.gov/Taxonomy/Browser/wwwtax.cgi?mode=Info&amp;id=76194&amp;lvl=3&amp;lin=f&amp;keep=1&amp;srchmode=1&amp;unlock","76194")</f>
        <v>76194</v>
      </c>
      <c r="F4316" t="s">
        <v>760</v>
      </c>
      <c r="G4316" t="str">
        <f>HYPERLINK("http://www.ncbi.nlm.nih.gov/Taxonomy/Browser/wwwtax.cgi?mode=Info&amp;id=76194&amp;lvl=3&amp;lin=f&amp;keep=1&amp;srchmode=1&amp;unlock","Papilio polytes")</f>
        <v>Papilio polytes</v>
      </c>
      <c r="H4316" t="s">
        <v>1079</v>
      </c>
      <c r="I4316" t="str">
        <f>HYPERLINK("http://www.ncbi.nlm.nih.gov/protein/XP_013145421.1","PREDICTED: ryanodine receptor 44F")</f>
        <v>PREDICTED: ryanodine receptor 44F</v>
      </c>
      <c r="J4316">
        <v>2458.71</v>
      </c>
      <c r="K4316" t="s">
        <v>22</v>
      </c>
      <c r="L4316">
        <v>76</v>
      </c>
      <c r="M4316">
        <v>12.58</v>
      </c>
      <c r="N4316">
        <v>24.2</v>
      </c>
      <c r="O4316" t="s">
        <v>19</v>
      </c>
      <c r="P4316" t="s">
        <v>1320</v>
      </c>
      <c r="Q4316" t="s">
        <v>19</v>
      </c>
      <c r="R4316" t="str">
        <f>HYPERLINK("https://cfpub.epa.gov/ecotox/explore.cfm?ncbi=76194","Explore in ECOTOX")</f>
        <v>Explore in ECOTOX</v>
      </c>
    </row>
    <row r="4317" spans="1:18" x14ac:dyDescent="0.45">
      <c r="A4317" t="s">
        <v>1265</v>
      </c>
      <c r="B4317">
        <v>8</v>
      </c>
      <c r="C4317" t="str">
        <f>HYPERLINK("http://www.ncbi.nlm.nih.gov/protein/XP_044590956.1","XP_044590956.1")</f>
        <v>XP_044590956.1</v>
      </c>
      <c r="D4317">
        <v>44566</v>
      </c>
      <c r="E4317" t="str">
        <f>HYPERLINK("http://www.ncbi.nlm.nih.gov/Taxonomy/Browser/wwwtax.cgi?mode=Info&amp;id=32391&amp;lvl=3&amp;lin=f&amp;keep=1&amp;srchmode=1&amp;unlock","32391")</f>
        <v>32391</v>
      </c>
      <c r="F4317" t="s">
        <v>760</v>
      </c>
      <c r="G4317" t="str">
        <f>HYPERLINK("http://www.ncbi.nlm.nih.gov/Taxonomy/Browser/wwwtax.cgi?mode=Info&amp;id=32391&amp;lvl=3&amp;lin=f&amp;keep=1&amp;srchmode=1&amp;unlock","Cotesia glomerata")</f>
        <v>Cotesia glomerata</v>
      </c>
      <c r="H4317" t="s">
        <v>769</v>
      </c>
      <c r="I4317" t="str">
        <f>HYPERLINK("http://www.ncbi.nlm.nih.gov/protein/XP_044590956.1","ryanodine receptor isoform X9")</f>
        <v>ryanodine receptor isoform X9</v>
      </c>
      <c r="J4317">
        <v>2457.94</v>
      </c>
      <c r="K4317" t="s">
        <v>22</v>
      </c>
      <c r="L4317">
        <v>76</v>
      </c>
      <c r="M4317">
        <v>12.58</v>
      </c>
      <c r="N4317">
        <v>24.19</v>
      </c>
      <c r="O4317" t="s">
        <v>19</v>
      </c>
      <c r="P4317" t="s">
        <v>1320</v>
      </c>
      <c r="Q4317" t="s">
        <v>19</v>
      </c>
      <c r="R4317" t="str">
        <f>HYPERLINK("https://cfpub.epa.gov/ecotox/explore.cfm?ncbi=32391","Explore in ECOTOX")</f>
        <v>Explore in ECOTOX</v>
      </c>
    </row>
    <row r="4318" spans="1:18" x14ac:dyDescent="0.45">
      <c r="A4318" t="s">
        <v>1265</v>
      </c>
      <c r="B4318">
        <v>8</v>
      </c>
      <c r="C4318" t="str">
        <f>HYPERLINK("http://www.ncbi.nlm.nih.gov/protein/XP_058833958.1","XP_058833958.1")</f>
        <v>XP_058833958.1</v>
      </c>
      <c r="D4318">
        <v>30052</v>
      </c>
      <c r="E4318" t="str">
        <f>HYPERLINK("http://www.ncbi.nlm.nih.gov/Taxonomy/Browser/wwwtax.cgi?mode=Info&amp;id=2498891&amp;lvl=3&amp;lin=f&amp;keep=1&amp;srchmode=1&amp;unlock","2498891")</f>
        <v>2498891</v>
      </c>
      <c r="F4318" t="s">
        <v>760</v>
      </c>
      <c r="G4318" t="str">
        <f>HYPERLINK("http://www.ncbi.nlm.nih.gov/Taxonomy/Browser/wwwtax.cgi?mode=Info&amp;id=2498891&amp;lvl=3&amp;lin=f&amp;keep=1&amp;srchmode=1&amp;unlock","Topomyia yanbarensis")</f>
        <v>Topomyia yanbarensis</v>
      </c>
      <c r="H4318" t="s">
        <v>917</v>
      </c>
      <c r="I4318" t="str">
        <f>HYPERLINK("http://www.ncbi.nlm.nih.gov/protein/XP_058833958.1","ryanodine receptor isoform X19")</f>
        <v>ryanodine receptor isoform X19</v>
      </c>
      <c r="J4318">
        <v>2457.56</v>
      </c>
      <c r="K4318" t="s">
        <v>22</v>
      </c>
      <c r="L4318">
        <v>76</v>
      </c>
      <c r="M4318">
        <v>12.58</v>
      </c>
      <c r="N4318">
        <v>24.19</v>
      </c>
      <c r="O4318" t="s">
        <v>19</v>
      </c>
      <c r="P4318" t="s">
        <v>1320</v>
      </c>
      <c r="Q4318" t="s">
        <v>19</v>
      </c>
      <c r="R4318" t="str">
        <f>HYPERLINK("https://cfpub.epa.gov/ecotox/explore.cfm?ncbi=2498891","Explore in ECOTOX")</f>
        <v>Explore in ECOTOX</v>
      </c>
    </row>
    <row r="4319" spans="1:18" x14ac:dyDescent="0.45">
      <c r="A4319" t="s">
        <v>1265</v>
      </c>
      <c r="B4319">
        <v>8</v>
      </c>
      <c r="C4319" t="str">
        <f>HYPERLINK("http://www.ncbi.nlm.nih.gov/protein/XP_053671898.1","XP_053671898.1")</f>
        <v>XP_053671898.1</v>
      </c>
      <c r="D4319">
        <v>11914</v>
      </c>
      <c r="E4319" t="str">
        <f>HYPERLINK("http://www.ncbi.nlm.nih.gov/Taxonomy/Browser/wwwtax.cgi?mode=Info&amp;id=185578&amp;lvl=3&amp;lin=f&amp;keep=1&amp;srchmode=1&amp;unlock","185578")</f>
        <v>185578</v>
      </c>
      <c r="F4319" t="s">
        <v>760</v>
      </c>
      <c r="G4319" t="str">
        <f>HYPERLINK("http://www.ncbi.nlm.nih.gov/Taxonomy/Browser/wwwtax.cgi?mode=Info&amp;id=185578&amp;lvl=3&amp;lin=f&amp;keep=1&amp;srchmode=1&amp;unlock","Anopheles nili")</f>
        <v>Anopheles nili</v>
      </c>
      <c r="H4319" t="s">
        <v>917</v>
      </c>
      <c r="I4319" t="str">
        <f>HYPERLINK("http://www.ncbi.nlm.nih.gov/protein/XP_053671898.1","ryanodine receptor isoform X8")</f>
        <v>ryanodine receptor isoform X8</v>
      </c>
      <c r="J4319">
        <v>2457.56</v>
      </c>
      <c r="K4319" t="s">
        <v>22</v>
      </c>
      <c r="L4319">
        <v>76</v>
      </c>
      <c r="M4319">
        <v>12.58</v>
      </c>
      <c r="N4319">
        <v>24.19</v>
      </c>
      <c r="O4319" t="s">
        <v>19</v>
      </c>
      <c r="P4319" t="s">
        <v>1320</v>
      </c>
      <c r="Q4319" t="s">
        <v>19</v>
      </c>
      <c r="R4319" t="str">
        <f>HYPERLINK("https://cfpub.epa.gov/ecotox/explore.cfm?ncbi=185578","Explore in ECOTOX")</f>
        <v>Explore in ECOTOX</v>
      </c>
    </row>
    <row r="4320" spans="1:18" x14ac:dyDescent="0.45">
      <c r="A4320" t="s">
        <v>1265</v>
      </c>
      <c r="B4320">
        <v>8</v>
      </c>
      <c r="C4320" t="str">
        <f>HYPERLINK("http://www.ncbi.nlm.nih.gov/protein/CAG9761741.1","CAG9761741.1")</f>
        <v>CAG9761741.1</v>
      </c>
      <c r="D4320">
        <v>15498</v>
      </c>
      <c r="E4320" t="str">
        <f>HYPERLINK("http://www.ncbi.nlm.nih.gov/Taxonomy/Browser/wwwtax.cgi?mode=Info&amp;id=467358&amp;lvl=3&amp;lin=f&amp;keep=1&amp;srchmode=1&amp;unlock","467358")</f>
        <v>467358</v>
      </c>
      <c r="F4320" t="s">
        <v>760</v>
      </c>
      <c r="G4320" t="str">
        <f>HYPERLINK("http://www.ncbi.nlm.nih.gov/Taxonomy/Browser/wwwtax.cgi?mode=Info&amp;id=467358&amp;lvl=3&amp;lin=f&amp;keep=1&amp;srchmode=1&amp;unlock","Ceutorhynchus assimilis")</f>
        <v>Ceutorhynchus assimilis</v>
      </c>
      <c r="H4320" t="s">
        <v>987</v>
      </c>
      <c r="I4320" t="str">
        <f>HYPERLINK("http://www.ncbi.nlm.nih.gov/protein/CAG9761741.1","unnamed protein product")</f>
        <v>unnamed protein product</v>
      </c>
      <c r="J4320">
        <v>2456.79</v>
      </c>
      <c r="K4320" t="s">
        <v>22</v>
      </c>
      <c r="L4320">
        <v>76</v>
      </c>
      <c r="M4320">
        <v>12.58</v>
      </c>
      <c r="N4320">
        <v>24.18</v>
      </c>
      <c r="O4320" t="s">
        <v>19</v>
      </c>
      <c r="P4320" t="s">
        <v>1320</v>
      </c>
      <c r="Q4320" t="s">
        <v>19</v>
      </c>
      <c r="R4320" t="str">
        <f>HYPERLINK("https://cfpub.epa.gov/ecotox/explore.cfm?ncbi=467358","Explore in ECOTOX")</f>
        <v>Explore in ECOTOX</v>
      </c>
    </row>
    <row r="4321" spans="1:18" x14ac:dyDescent="0.45">
      <c r="A4321" t="s">
        <v>1265</v>
      </c>
      <c r="B4321">
        <v>8</v>
      </c>
      <c r="C4321" t="str">
        <f>HYPERLINK("http://www.ncbi.nlm.nih.gov/protein/XP_018405013.1","XP_018405013.1")</f>
        <v>XP_018405013.1</v>
      </c>
      <c r="D4321">
        <v>31343</v>
      </c>
      <c r="E4321" t="str">
        <f>HYPERLINK("http://www.ncbi.nlm.nih.gov/Taxonomy/Browser/wwwtax.cgi?mode=Info&amp;id=456900&amp;lvl=3&amp;lin=f&amp;keep=1&amp;srchmode=1&amp;unlock","456900")</f>
        <v>456900</v>
      </c>
      <c r="F4321" t="s">
        <v>760</v>
      </c>
      <c r="G4321" t="str">
        <f>HYPERLINK("http://www.ncbi.nlm.nih.gov/Taxonomy/Browser/wwwtax.cgi?mode=Info&amp;id=456900&amp;lvl=3&amp;lin=f&amp;keep=1&amp;srchmode=1&amp;unlock","Cyphomyrmex costatus")</f>
        <v>Cyphomyrmex costatus</v>
      </c>
      <c r="H4321" t="s">
        <v>769</v>
      </c>
      <c r="I4321" t="str">
        <f>HYPERLINK("http://www.ncbi.nlm.nih.gov/protein/XP_018405013.1","PREDICTED: ryanodine receptor")</f>
        <v>PREDICTED: ryanodine receptor</v>
      </c>
      <c r="J4321">
        <v>2456.79</v>
      </c>
      <c r="K4321" t="s">
        <v>22</v>
      </c>
      <c r="L4321">
        <v>76</v>
      </c>
      <c r="M4321">
        <v>12.58</v>
      </c>
      <c r="N4321">
        <v>24.18</v>
      </c>
      <c r="O4321" t="s">
        <v>19</v>
      </c>
      <c r="P4321" t="s">
        <v>1320</v>
      </c>
      <c r="Q4321" t="s">
        <v>19</v>
      </c>
      <c r="R4321" t="str">
        <f>HYPERLINK("https://cfpub.epa.gov/ecotox/explore.cfm?ncbi=456900","Explore in ECOTOX")</f>
        <v>Explore in ECOTOX</v>
      </c>
    </row>
    <row r="4322" spans="1:18" x14ac:dyDescent="0.45">
      <c r="A4322" t="s">
        <v>1265</v>
      </c>
      <c r="B4322">
        <v>8</v>
      </c>
      <c r="C4322" t="str">
        <f>HYPERLINK("http://www.ncbi.nlm.nih.gov/protein/BES99791.1","BES99791.1")</f>
        <v>BES99791.1</v>
      </c>
      <c r="D4322">
        <v>41089</v>
      </c>
      <c r="E4322" t="str">
        <f>HYPERLINK("http://www.ncbi.nlm.nih.gov/Taxonomy/Browser/wwwtax.cgi?mode=Info&amp;id=355587&amp;lvl=3&amp;lin=f&amp;keep=1&amp;srchmode=1&amp;unlock","355587")</f>
        <v>355587</v>
      </c>
      <c r="F4322" t="s">
        <v>760</v>
      </c>
      <c r="G4322" t="str">
        <f>HYPERLINK("http://www.ncbi.nlm.nih.gov/Taxonomy/Browser/wwwtax.cgi?mode=Info&amp;id=355587&amp;lvl=3&amp;lin=f&amp;keep=1&amp;srchmode=1&amp;unlock","Nesidiocoris tenuis")</f>
        <v>Nesidiocoris tenuis</v>
      </c>
      <c r="H4322" t="s">
        <v>1062</v>
      </c>
      <c r="I4322" t="str">
        <f>HYPERLINK("http://www.ncbi.nlm.nih.gov/protein/BES99791.1","ryanodine receptor")</f>
        <v>ryanodine receptor</v>
      </c>
      <c r="J4322">
        <v>2456.79</v>
      </c>
      <c r="K4322" t="s">
        <v>22</v>
      </c>
      <c r="L4322">
        <v>76</v>
      </c>
      <c r="M4322">
        <v>12.58</v>
      </c>
      <c r="N4322">
        <v>24.18</v>
      </c>
      <c r="O4322" t="s">
        <v>19</v>
      </c>
      <c r="P4322" t="s">
        <v>1320</v>
      </c>
      <c r="Q4322" t="s">
        <v>19</v>
      </c>
      <c r="R4322" t="str">
        <f>HYPERLINK("https://cfpub.epa.gov/ecotox/explore.cfm?ncbi=355587","Explore in ECOTOX")</f>
        <v>Explore in ECOTOX</v>
      </c>
    </row>
    <row r="4323" spans="1:18" x14ac:dyDescent="0.45">
      <c r="A4323" t="s">
        <v>1265</v>
      </c>
      <c r="B4323">
        <v>8</v>
      </c>
      <c r="C4323" t="str">
        <f>HYPERLINK("http://www.ncbi.nlm.nih.gov/protein/XP_031640514.1","XP_031640514.1")</f>
        <v>XP_031640514.1</v>
      </c>
      <c r="D4323">
        <v>24977</v>
      </c>
      <c r="E4323" t="str">
        <f>HYPERLINK("http://www.ncbi.nlm.nih.gov/Taxonomy/Browser/wwwtax.cgi?mode=Info&amp;id=265458&amp;lvl=3&amp;lin=f&amp;keep=1&amp;srchmode=1&amp;unlock","265458")</f>
        <v>265458</v>
      </c>
      <c r="F4323" t="s">
        <v>760</v>
      </c>
      <c r="G4323" t="str">
        <f>HYPERLINK("http://www.ncbi.nlm.nih.gov/Taxonomy/Browser/wwwtax.cgi?mode=Info&amp;id=265458&amp;lvl=3&amp;lin=f&amp;keep=1&amp;srchmode=1&amp;unlock","Contarinia nasturtii")</f>
        <v>Contarinia nasturtii</v>
      </c>
      <c r="H4323" t="s">
        <v>993</v>
      </c>
      <c r="I4323" t="str">
        <f>HYPERLINK("http://www.ncbi.nlm.nih.gov/protein/XP_031640514.1","ryanodine receptor isoform X6")</f>
        <v>ryanodine receptor isoform X6</v>
      </c>
      <c r="J4323">
        <v>2455.25</v>
      </c>
      <c r="K4323" t="s">
        <v>22</v>
      </c>
      <c r="L4323">
        <v>76</v>
      </c>
      <c r="M4323">
        <v>12.58</v>
      </c>
      <c r="N4323">
        <v>24.16</v>
      </c>
      <c r="O4323" t="s">
        <v>19</v>
      </c>
      <c r="P4323" t="s">
        <v>1320</v>
      </c>
      <c r="Q4323" t="s">
        <v>19</v>
      </c>
      <c r="R4323" t="str">
        <f>HYPERLINK("https://cfpub.epa.gov/ecotox/explore.cfm?ncbi=265458","Explore in ECOTOX")</f>
        <v>Explore in ECOTOX</v>
      </c>
    </row>
    <row r="4324" spans="1:18" x14ac:dyDescent="0.45">
      <c r="A4324" t="s">
        <v>1265</v>
      </c>
      <c r="B4324">
        <v>8</v>
      </c>
      <c r="C4324" t="str">
        <f>HYPERLINK("http://www.ncbi.nlm.nih.gov/protein/EAA13701.4","EAA13701.4")</f>
        <v>EAA13701.4</v>
      </c>
      <c r="D4324">
        <v>21058</v>
      </c>
      <c r="E4324" t="str">
        <f>HYPERLINK("http://www.ncbi.nlm.nih.gov/Taxonomy/Browser/wwwtax.cgi?mode=Info&amp;id=180454&amp;lvl=3&amp;lin=f&amp;keep=1&amp;srchmode=1&amp;unlock","180454")</f>
        <v>180454</v>
      </c>
      <c r="F4324" t="s">
        <v>760</v>
      </c>
      <c r="G4324" t="str">
        <f>HYPERLINK("http://www.ncbi.nlm.nih.gov/Taxonomy/Browser/wwwtax.cgi?mode=Info&amp;id=180454&amp;lvl=3&amp;lin=f&amp;keep=1&amp;srchmode=1&amp;unlock","Anopheles gambiae str. PEST")</f>
        <v>Anopheles gambiae str. PEST</v>
      </c>
      <c r="H4324" t="s">
        <v>940</v>
      </c>
      <c r="I4324" t="str">
        <f>HYPERLINK("http://www.ncbi.nlm.nih.gov/protein/EAA13701.4","AGAP010750-PA")</f>
        <v>AGAP010750-PA</v>
      </c>
      <c r="J4324">
        <v>2454.48</v>
      </c>
      <c r="K4324" t="s">
        <v>22</v>
      </c>
      <c r="L4324">
        <v>76</v>
      </c>
      <c r="M4324">
        <v>12.58</v>
      </c>
      <c r="N4324">
        <v>24.16</v>
      </c>
      <c r="O4324" t="s">
        <v>19</v>
      </c>
      <c r="P4324" t="s">
        <v>1320</v>
      </c>
      <c r="Q4324" t="s">
        <v>19</v>
      </c>
      <c r="R4324" t="str">
        <f>HYPERLINK("https://cfpub.epa.gov/ecotox/explore.cfm?ncbi=180454","Explore in ECOTOX")</f>
        <v>Explore in ECOTOX</v>
      </c>
    </row>
    <row r="4325" spans="1:18" x14ac:dyDescent="0.45">
      <c r="A4325" t="s">
        <v>1265</v>
      </c>
      <c r="B4325">
        <v>8</v>
      </c>
      <c r="C4325" t="str">
        <f>HYPERLINK("http://www.ncbi.nlm.nih.gov/protein/GFR18429.1","GFR18429.1")</f>
        <v>GFR18429.1</v>
      </c>
      <c r="D4325">
        <v>69136</v>
      </c>
      <c r="E4325" t="str">
        <f>HYPERLINK("http://www.ncbi.nlm.nih.gov/Taxonomy/Browser/wwwtax.cgi?mode=Info&amp;id=2740835&amp;lvl=3&amp;lin=f&amp;keep=1&amp;srchmode=1&amp;unlock","2740835")</f>
        <v>2740835</v>
      </c>
      <c r="F4325" t="s">
        <v>904</v>
      </c>
      <c r="G4325" t="str">
        <f>HYPERLINK("http://www.ncbi.nlm.nih.gov/Taxonomy/Browser/wwwtax.cgi?mode=Info&amp;id=2740835&amp;lvl=3&amp;lin=f&amp;keep=1&amp;srchmode=1&amp;unlock","Trichonephila clavata")</f>
        <v>Trichonephila clavata</v>
      </c>
      <c r="H4325" t="s">
        <v>1057</v>
      </c>
      <c r="I4325" t="str">
        <f>HYPERLINK("http://www.ncbi.nlm.nih.gov/protein/GFR18429.1","ryanodine receptor")</f>
        <v>ryanodine receptor</v>
      </c>
      <c r="J4325">
        <v>2453.71</v>
      </c>
      <c r="K4325" t="s">
        <v>22</v>
      </c>
      <c r="L4325">
        <v>76</v>
      </c>
      <c r="M4325">
        <v>12.58</v>
      </c>
      <c r="N4325">
        <v>24.15</v>
      </c>
      <c r="O4325" t="s">
        <v>19</v>
      </c>
      <c r="P4325" t="s">
        <v>1320</v>
      </c>
      <c r="Q4325" t="s">
        <v>19</v>
      </c>
      <c r="R4325" t="str">
        <f>HYPERLINK("https://cfpub.epa.gov/ecotox/explore.cfm?ncbi=2740835","Explore in ECOTOX")</f>
        <v>Explore in ECOTOX</v>
      </c>
    </row>
    <row r="4326" spans="1:18" x14ac:dyDescent="0.45">
      <c r="A4326" t="s">
        <v>1265</v>
      </c>
      <c r="B4326">
        <v>8</v>
      </c>
      <c r="C4326" t="str">
        <f>HYPERLINK("http://www.ncbi.nlm.nih.gov/protein/XP_017766340.1","XP_017766340.1")</f>
        <v>XP_017766340.1</v>
      </c>
      <c r="D4326">
        <v>26863</v>
      </c>
      <c r="E4326" t="str">
        <f>HYPERLINK("http://www.ncbi.nlm.nih.gov/Taxonomy/Browser/wwwtax.cgi?mode=Info&amp;id=516756&amp;lvl=3&amp;lin=f&amp;keep=1&amp;srchmode=1&amp;unlock","516756")</f>
        <v>516756</v>
      </c>
      <c r="F4326" t="s">
        <v>760</v>
      </c>
      <c r="G4326" t="str">
        <f>HYPERLINK("http://www.ncbi.nlm.nih.gov/Taxonomy/Browser/wwwtax.cgi?mode=Info&amp;id=516756&amp;lvl=3&amp;lin=f&amp;keep=1&amp;srchmode=1&amp;unlock","Eufriesea mexicana")</f>
        <v>Eufriesea mexicana</v>
      </c>
      <c r="H4326" t="s">
        <v>1084</v>
      </c>
      <c r="I4326" t="str">
        <f>HYPERLINK("http://www.ncbi.nlm.nih.gov/protein/XP_017766340.1","PREDICTED: LOW QUALITY PROTEIN: ryanodine receptor")</f>
        <v>PREDICTED: LOW QUALITY PROTEIN: ryanodine receptor</v>
      </c>
      <c r="J4326">
        <v>2453.71</v>
      </c>
      <c r="K4326" t="s">
        <v>22</v>
      </c>
      <c r="L4326">
        <v>76</v>
      </c>
      <c r="M4326">
        <v>12.58</v>
      </c>
      <c r="N4326">
        <v>24.15</v>
      </c>
      <c r="O4326" t="s">
        <v>19</v>
      </c>
      <c r="P4326" t="s">
        <v>1320</v>
      </c>
      <c r="Q4326" t="s">
        <v>19</v>
      </c>
      <c r="R4326" t="str">
        <f>HYPERLINK("https://cfpub.epa.gov/ecotox/explore.cfm?ncbi=516756","Explore in ECOTOX")</f>
        <v>Explore in ECOTOX</v>
      </c>
    </row>
    <row r="4327" spans="1:18" x14ac:dyDescent="0.45">
      <c r="A4327" t="s">
        <v>1265</v>
      </c>
      <c r="B4327">
        <v>8</v>
      </c>
      <c r="C4327" t="str">
        <f>HYPERLINK("http://www.ncbi.nlm.nih.gov/protein/XP_057319089.1","XP_057319089.1")</f>
        <v>XP_057319089.1</v>
      </c>
      <c r="D4327">
        <v>24802</v>
      </c>
      <c r="E4327" t="str">
        <f>HYPERLINK("http://www.ncbi.nlm.nih.gov/Taxonomy/Browser/wwwtax.cgi?mode=Info&amp;id=375433&amp;lvl=3&amp;lin=f&amp;keep=1&amp;srchmode=1&amp;unlock","375433")</f>
        <v>375433</v>
      </c>
      <c r="F4327" t="s">
        <v>760</v>
      </c>
      <c r="G4327" t="str">
        <f>HYPERLINK("http://www.ncbi.nlm.nih.gov/Taxonomy/Browser/wwwtax.cgi?mode=Info&amp;id=375433&amp;lvl=3&amp;lin=f&amp;keep=1&amp;srchmode=1&amp;unlock","Microplitis mediator")</f>
        <v>Microplitis mediator</v>
      </c>
      <c r="H4327" t="s">
        <v>769</v>
      </c>
      <c r="I4327" t="str">
        <f>HYPERLINK("http://www.ncbi.nlm.nih.gov/protein/XP_057319089.1","ryanodine receptor isoform X10")</f>
        <v>ryanodine receptor isoform X10</v>
      </c>
      <c r="J4327">
        <v>2452.94</v>
      </c>
      <c r="K4327" t="s">
        <v>22</v>
      </c>
      <c r="L4327">
        <v>76</v>
      </c>
      <c r="M4327">
        <v>12.58</v>
      </c>
      <c r="N4327">
        <v>24.14</v>
      </c>
      <c r="O4327" t="s">
        <v>19</v>
      </c>
      <c r="P4327" t="s">
        <v>1320</v>
      </c>
      <c r="Q4327" t="s">
        <v>19</v>
      </c>
      <c r="R4327" t="str">
        <f>HYPERLINK("https://cfpub.epa.gov/ecotox/explore.cfm?ncbi=375433","Explore in ECOTOX")</f>
        <v>Explore in ECOTOX</v>
      </c>
    </row>
    <row r="4328" spans="1:18" x14ac:dyDescent="0.45">
      <c r="A4328" t="s">
        <v>1265</v>
      </c>
      <c r="B4328">
        <v>8</v>
      </c>
      <c r="C4328" t="str">
        <f>HYPERLINK("http://www.ncbi.nlm.nih.gov/protein/XP_037888093.1","XP_037888093.1")</f>
        <v>XP_037888093.1</v>
      </c>
      <c r="D4328">
        <v>38017</v>
      </c>
      <c r="E4328" t="str">
        <f>HYPERLINK("http://www.ncbi.nlm.nih.gov/Taxonomy/Browser/wwwtax.cgi?mode=Info&amp;id=7396&amp;lvl=3&amp;lin=f&amp;keep=1&amp;srchmode=1&amp;unlock","7396")</f>
        <v>7396</v>
      </c>
      <c r="F4328" t="s">
        <v>760</v>
      </c>
      <c r="G4328" t="str">
        <f>HYPERLINK("http://www.ncbi.nlm.nih.gov/Taxonomy/Browser/wwwtax.cgi?mode=Info&amp;id=7396&amp;lvl=3&amp;lin=f&amp;keep=1&amp;srchmode=1&amp;unlock","Glossina fuscipes")</f>
        <v>Glossina fuscipes</v>
      </c>
      <c r="H4328" t="s">
        <v>1077</v>
      </c>
      <c r="I4328" t="str">
        <f>HYPERLINK("http://www.ncbi.nlm.nih.gov/protein/XP_037888093.1","ryanodine receptor isoform X4")</f>
        <v>ryanodine receptor isoform X4</v>
      </c>
      <c r="J4328">
        <v>2452.5500000000002</v>
      </c>
      <c r="K4328" t="s">
        <v>22</v>
      </c>
      <c r="L4328">
        <v>76</v>
      </c>
      <c r="M4328">
        <v>12.58</v>
      </c>
      <c r="N4328">
        <v>24.14</v>
      </c>
      <c r="O4328" t="s">
        <v>19</v>
      </c>
      <c r="P4328" t="s">
        <v>1320</v>
      </c>
      <c r="Q4328" t="s">
        <v>19</v>
      </c>
      <c r="R4328" t="str">
        <f>HYPERLINK("https://cfpub.epa.gov/ecotox/explore.cfm?ncbi=7396","Explore in ECOTOX")</f>
        <v>Explore in ECOTOX</v>
      </c>
    </row>
    <row r="4329" spans="1:18" x14ac:dyDescent="0.45">
      <c r="A4329" t="s">
        <v>1265</v>
      </c>
      <c r="B4329">
        <v>8</v>
      </c>
      <c r="C4329" t="str">
        <f>HYPERLINK("http://www.ncbi.nlm.nih.gov/protein/CAH7756755.1","CAH7756755.1")</f>
        <v>CAH7756755.1</v>
      </c>
      <c r="D4329">
        <v>56145</v>
      </c>
      <c r="E4329" t="str">
        <f>HYPERLINK("http://www.ncbi.nlm.nih.gov/Taxonomy/Browser/wwwtax.cgi?mode=Info&amp;id=146774&amp;lvl=3&amp;lin=f&amp;keep=1&amp;srchmode=1&amp;unlock","146774")</f>
        <v>146774</v>
      </c>
      <c r="F4329" t="s">
        <v>760</v>
      </c>
      <c r="G4329" t="str">
        <f>HYPERLINK("http://www.ncbi.nlm.nih.gov/Taxonomy/Browser/wwwtax.cgi?mode=Info&amp;id=146774&amp;lvl=3&amp;lin=f&amp;keep=1&amp;srchmode=1&amp;unlock","Callosobruchus chinensis")</f>
        <v>Callosobruchus chinensis</v>
      </c>
      <c r="H4329" t="s">
        <v>912</v>
      </c>
      <c r="I4329" t="str">
        <f>HYPERLINK("http://www.ncbi.nlm.nih.gov/protein/CAH7756755.1","unnamed protein product")</f>
        <v>unnamed protein product</v>
      </c>
      <c r="J4329">
        <v>2451.4</v>
      </c>
      <c r="K4329" t="s">
        <v>22</v>
      </c>
      <c r="L4329">
        <v>76</v>
      </c>
      <c r="M4329">
        <v>12.58</v>
      </c>
      <c r="N4329">
        <v>24.13</v>
      </c>
      <c r="O4329" t="s">
        <v>19</v>
      </c>
      <c r="P4329" t="s">
        <v>1320</v>
      </c>
      <c r="Q4329" t="s">
        <v>19</v>
      </c>
      <c r="R4329" t="str">
        <f>HYPERLINK("https://cfpub.epa.gov/ecotox/explore.cfm?ncbi=146774","Explore in ECOTOX")</f>
        <v>Explore in ECOTOX</v>
      </c>
    </row>
    <row r="4330" spans="1:18" x14ac:dyDescent="0.45">
      <c r="A4330" t="s">
        <v>1265</v>
      </c>
      <c r="B4330">
        <v>8</v>
      </c>
      <c r="C4330" t="str">
        <f>HYPERLINK("http://www.ncbi.nlm.nih.gov/protein/XP_053596708.1","XP_053596708.1")</f>
        <v>XP_053596708.1</v>
      </c>
      <c r="D4330">
        <v>20440</v>
      </c>
      <c r="E4330" t="str">
        <f>HYPERLINK("http://www.ncbi.nlm.nih.gov/Taxonomy/Browser/wwwtax.cgi?mode=Info&amp;id=69319&amp;lvl=3&amp;lin=f&amp;keep=1&amp;srchmode=1&amp;unlock","69319")</f>
        <v>69319</v>
      </c>
      <c r="F4330" t="s">
        <v>760</v>
      </c>
      <c r="G4330" t="str">
        <f>HYPERLINK("http://www.ncbi.nlm.nih.gov/Taxonomy/Browser/wwwtax.cgi?mode=Info&amp;id=69319&amp;lvl=3&amp;lin=f&amp;keep=1&amp;srchmode=1&amp;unlock","Microplitis demolitor")</f>
        <v>Microplitis demolitor</v>
      </c>
      <c r="H4330" t="s">
        <v>769</v>
      </c>
      <c r="I4330" t="str">
        <f>HYPERLINK("http://www.ncbi.nlm.nih.gov/protein/XP_053596708.1","ryanodine receptor isoform X1")</f>
        <v>ryanodine receptor isoform X1</v>
      </c>
      <c r="J4330">
        <v>2450.63</v>
      </c>
      <c r="K4330" t="s">
        <v>22</v>
      </c>
      <c r="L4330">
        <v>76</v>
      </c>
      <c r="M4330">
        <v>12.58</v>
      </c>
      <c r="N4330">
        <v>24.12</v>
      </c>
      <c r="O4330" t="s">
        <v>19</v>
      </c>
      <c r="P4330" t="s">
        <v>1320</v>
      </c>
      <c r="Q4330" t="s">
        <v>19</v>
      </c>
      <c r="R4330" t="str">
        <f>HYPERLINK("https://cfpub.epa.gov/ecotox/explore.cfm?ncbi=69319","Explore in ECOTOX")</f>
        <v>Explore in ECOTOX</v>
      </c>
    </row>
    <row r="4331" spans="1:18" x14ac:dyDescent="0.45">
      <c r="A4331" t="s">
        <v>1265</v>
      </c>
      <c r="B4331">
        <v>8</v>
      </c>
      <c r="C4331" t="str">
        <f>HYPERLINK("http://www.ncbi.nlm.nih.gov/protein/KAF7989549.1","KAF7989549.1")</f>
        <v>KAF7989549.1</v>
      </c>
      <c r="D4331">
        <v>32415</v>
      </c>
      <c r="E4331" t="str">
        <f>HYPERLINK("http://www.ncbi.nlm.nih.gov/Taxonomy/Browser/wwwtax.cgi?mode=Info&amp;id=684658&amp;lvl=3&amp;lin=f&amp;keep=1&amp;srchmode=1&amp;unlock","684658")</f>
        <v>684658</v>
      </c>
      <c r="F4331" t="s">
        <v>760</v>
      </c>
      <c r="G4331" t="str">
        <f>HYPERLINK("http://www.ncbi.nlm.nih.gov/Taxonomy/Browser/wwwtax.cgi?mode=Info&amp;id=684658&amp;lvl=3&amp;lin=f&amp;keep=1&amp;srchmode=1&amp;unlock","Aphidius gifuensis")</f>
        <v>Aphidius gifuensis</v>
      </c>
      <c r="H4331" t="s">
        <v>769</v>
      </c>
      <c r="I4331" t="str">
        <f>HYPERLINK("http://www.ncbi.nlm.nih.gov/protein/KAF7989549.1","hypothetical protein HCN44_008223")</f>
        <v>hypothetical protein HCN44_008223</v>
      </c>
      <c r="J4331">
        <v>2450.63</v>
      </c>
      <c r="K4331" t="s">
        <v>22</v>
      </c>
      <c r="L4331">
        <v>76</v>
      </c>
      <c r="M4331">
        <v>12.58</v>
      </c>
      <c r="N4331">
        <v>24.12</v>
      </c>
      <c r="O4331" t="s">
        <v>19</v>
      </c>
      <c r="P4331" t="s">
        <v>1320</v>
      </c>
      <c r="Q4331" t="s">
        <v>19</v>
      </c>
      <c r="R4331" t="str">
        <f>HYPERLINK("https://cfpub.epa.gov/ecotox/explore.cfm?ncbi=684658","Explore in ECOTOX")</f>
        <v>Explore in ECOTOX</v>
      </c>
    </row>
    <row r="4332" spans="1:18" x14ac:dyDescent="0.45">
      <c r="A4332" t="s">
        <v>1265</v>
      </c>
      <c r="B4332">
        <v>8</v>
      </c>
      <c r="C4332" t="str">
        <f>HYPERLINK("http://www.ncbi.nlm.nih.gov/protein/XP_029160909.1","XP_029160909.1")</f>
        <v>XP_029160909.1</v>
      </c>
      <c r="D4332">
        <v>24332</v>
      </c>
      <c r="E4332" t="str">
        <f>HYPERLINK("http://www.ncbi.nlm.nih.gov/Taxonomy/Browser/wwwtax.cgi?mode=Info&amp;id=613905&amp;lvl=3&amp;lin=f&amp;keep=1&amp;srchmode=1&amp;unlock","613905")</f>
        <v>613905</v>
      </c>
      <c r="F4332" t="s">
        <v>760</v>
      </c>
      <c r="G4332" t="str">
        <f>HYPERLINK("http://www.ncbi.nlm.nih.gov/Taxonomy/Browser/wwwtax.cgi?mode=Info&amp;id=613905&amp;lvl=3&amp;lin=f&amp;keep=1&amp;srchmode=1&amp;unlock","Nylanderia fulva")</f>
        <v>Nylanderia fulva</v>
      </c>
      <c r="H4332" t="s">
        <v>769</v>
      </c>
      <c r="I4332" t="str">
        <f>HYPERLINK("http://www.ncbi.nlm.nih.gov/protein/XP_029160909.1","LOW QUALITY PROTEIN: ryanodine receptor")</f>
        <v>LOW QUALITY PROTEIN: ryanodine receptor</v>
      </c>
      <c r="J4332">
        <v>2450.2399999999998</v>
      </c>
      <c r="K4332" t="s">
        <v>22</v>
      </c>
      <c r="L4332">
        <v>76</v>
      </c>
      <c r="M4332">
        <v>12.58</v>
      </c>
      <c r="N4332">
        <v>24.11</v>
      </c>
      <c r="O4332" t="s">
        <v>19</v>
      </c>
      <c r="P4332" t="s">
        <v>1320</v>
      </c>
      <c r="Q4332" t="s">
        <v>19</v>
      </c>
      <c r="R4332" t="str">
        <f>HYPERLINK("https://cfpub.epa.gov/ecotox/explore.cfm?ncbi=613905","Explore in ECOTOX")</f>
        <v>Explore in ECOTOX</v>
      </c>
    </row>
    <row r="4333" spans="1:18" x14ac:dyDescent="0.45">
      <c r="A4333" t="s">
        <v>1265</v>
      </c>
      <c r="B4333">
        <v>8</v>
      </c>
      <c r="C4333" t="str">
        <f>HYPERLINK("http://www.ncbi.nlm.nih.gov/protein/XP_058462432.1","XP_058462432.1")</f>
        <v>XP_058462432.1</v>
      </c>
      <c r="D4333">
        <v>25649</v>
      </c>
      <c r="E4333" t="str">
        <f>HYPERLINK("http://www.ncbi.nlm.nih.gov/Taxonomy/Browser/wwwtax.cgi?mode=Info&amp;id=325434&amp;lvl=3&amp;lin=f&amp;keep=1&amp;srchmode=1&amp;unlock","325434")</f>
        <v>325434</v>
      </c>
      <c r="F4333" t="s">
        <v>760</v>
      </c>
      <c r="G4333" t="str">
        <f>HYPERLINK("http://www.ncbi.nlm.nih.gov/Taxonomy/Browser/wwwtax.cgi?mode=Info&amp;id=325434&amp;lvl=3&amp;lin=f&amp;keep=1&amp;srchmode=1&amp;unlock","Malaya genurostris")</f>
        <v>Malaya genurostris</v>
      </c>
      <c r="H4333" t="s">
        <v>917</v>
      </c>
      <c r="I4333" t="str">
        <f>HYPERLINK("http://www.ncbi.nlm.nih.gov/protein/XP_058462432.1","ryanodine receptor isoform X25")</f>
        <v>ryanodine receptor isoform X25</v>
      </c>
      <c r="J4333">
        <v>2449.86</v>
      </c>
      <c r="K4333" t="s">
        <v>22</v>
      </c>
      <c r="L4333">
        <v>76</v>
      </c>
      <c r="M4333">
        <v>12.58</v>
      </c>
      <c r="N4333">
        <v>24.11</v>
      </c>
      <c r="O4333" t="s">
        <v>19</v>
      </c>
      <c r="P4333" t="s">
        <v>1320</v>
      </c>
      <c r="Q4333" t="s">
        <v>19</v>
      </c>
      <c r="R4333" t="str">
        <f>HYPERLINK("https://cfpub.epa.gov/ecotox/explore.cfm?ncbi=325434","Explore in ECOTOX")</f>
        <v>Explore in ECOTOX</v>
      </c>
    </row>
    <row r="4334" spans="1:18" x14ac:dyDescent="0.45">
      <c r="A4334" t="s">
        <v>1265</v>
      </c>
      <c r="B4334">
        <v>8</v>
      </c>
      <c r="C4334" t="str">
        <f>HYPERLINK("http://www.ncbi.nlm.nih.gov/protein/KAG8039117.1","KAG8039117.1")</f>
        <v>KAG8039117.1</v>
      </c>
      <c r="D4334">
        <v>8423</v>
      </c>
      <c r="E4334" t="str">
        <f>HYPERLINK("http://www.ncbi.nlm.nih.gov/Taxonomy/Browser/wwwtax.cgi?mode=Info&amp;id=2053667&amp;lvl=3&amp;lin=f&amp;keep=1&amp;srchmode=1&amp;unlock","2053667")</f>
        <v>2053667</v>
      </c>
      <c r="F4334" t="s">
        <v>760</v>
      </c>
      <c r="G4334" t="str">
        <f>HYPERLINK("http://www.ncbi.nlm.nih.gov/Taxonomy/Browser/wwwtax.cgi?mode=Info&amp;id=2053667&amp;lvl=3&amp;lin=f&amp;keep=1&amp;srchmode=1&amp;unlock","Cotesia typhae")</f>
        <v>Cotesia typhae</v>
      </c>
      <c r="H4334" t="s">
        <v>769</v>
      </c>
      <c r="I4334" t="str">
        <f>HYPERLINK("http://www.ncbi.nlm.nih.gov/protein/KAG8039117.1","hypothetical protein G9C98_003424")</f>
        <v>hypothetical protein G9C98_003424</v>
      </c>
      <c r="J4334">
        <v>2448.31</v>
      </c>
      <c r="K4334" t="s">
        <v>22</v>
      </c>
      <c r="L4334">
        <v>76</v>
      </c>
      <c r="M4334">
        <v>12.58</v>
      </c>
      <c r="N4334">
        <v>24.1</v>
      </c>
      <c r="O4334" t="s">
        <v>19</v>
      </c>
      <c r="P4334" t="s">
        <v>1320</v>
      </c>
      <c r="Q4334" t="s">
        <v>19</v>
      </c>
      <c r="R4334" t="str">
        <f>HYPERLINK("https://cfpub.epa.gov/ecotox/explore.cfm?ncbi=2053667","Explore in ECOTOX")</f>
        <v>Explore in ECOTOX</v>
      </c>
    </row>
    <row r="4335" spans="1:18" x14ac:dyDescent="0.45">
      <c r="A4335" t="s">
        <v>1265</v>
      </c>
      <c r="B4335">
        <v>8</v>
      </c>
      <c r="C4335" t="str">
        <f>HYPERLINK("http://www.ncbi.nlm.nih.gov/protein/CAH2015687.1","CAH2015687.1")</f>
        <v>CAH2015687.1</v>
      </c>
      <c r="D4335">
        <v>115963</v>
      </c>
      <c r="E4335" t="str">
        <f>HYPERLINK("http://www.ncbi.nlm.nih.gov/Taxonomy/Browser/wwwtax.cgi?mode=Info&amp;id=200917&amp;lvl=3&amp;lin=f&amp;keep=1&amp;srchmode=1&amp;unlock","200917")</f>
        <v>200917</v>
      </c>
      <c r="F4335" t="s">
        <v>760</v>
      </c>
      <c r="G4335" t="str">
        <f>HYPERLINK("http://www.ncbi.nlm.nih.gov/Taxonomy/Browser/wwwtax.cgi?mode=Info&amp;id=200917&amp;lvl=3&amp;lin=f&amp;keep=1&amp;srchmode=1&amp;unlock","Acanthoscelides obtectus")</f>
        <v>Acanthoscelides obtectus</v>
      </c>
      <c r="H4335" t="s">
        <v>910</v>
      </c>
      <c r="I4335" t="str">
        <f>HYPERLINK("http://www.ncbi.nlm.nih.gov/protein/CAH2015687.1","unnamed protein product")</f>
        <v>unnamed protein product</v>
      </c>
      <c r="J4335">
        <v>2447.54</v>
      </c>
      <c r="K4335" t="s">
        <v>22</v>
      </c>
      <c r="L4335">
        <v>76</v>
      </c>
      <c r="M4335">
        <v>12.58</v>
      </c>
      <c r="N4335">
        <v>24.09</v>
      </c>
      <c r="O4335" t="s">
        <v>19</v>
      </c>
      <c r="P4335" t="s">
        <v>1320</v>
      </c>
      <c r="Q4335" t="s">
        <v>19</v>
      </c>
      <c r="R4335" t="str">
        <f>HYPERLINK("https://cfpub.epa.gov/ecotox/explore.cfm?ncbi=200917","Explore in ECOTOX")</f>
        <v>Explore in ECOTOX</v>
      </c>
    </row>
    <row r="4336" spans="1:18" x14ac:dyDescent="0.45">
      <c r="A4336" t="s">
        <v>1265</v>
      </c>
      <c r="B4336">
        <v>8</v>
      </c>
      <c r="C4336" t="str">
        <f>HYPERLINK("http://www.ncbi.nlm.nih.gov/protein/XP_049274432.1","XP_049274432.1")</f>
        <v>XP_049274432.1</v>
      </c>
      <c r="D4336">
        <v>56850</v>
      </c>
      <c r="E4336" t="str">
        <f>HYPERLINK("http://www.ncbi.nlm.nih.gov/Taxonomy/Browser/wwwtax.cgi?mode=Info&amp;id=34632&amp;lvl=3&amp;lin=f&amp;keep=1&amp;srchmode=1&amp;unlock","34632")</f>
        <v>34632</v>
      </c>
      <c r="F4336" t="s">
        <v>904</v>
      </c>
      <c r="G4336" t="str">
        <f>HYPERLINK("http://www.ncbi.nlm.nih.gov/Taxonomy/Browser/wwwtax.cgi?mode=Info&amp;id=34632&amp;lvl=3&amp;lin=f&amp;keep=1&amp;srchmode=1&amp;unlock","Rhipicephalus sanguineus")</f>
        <v>Rhipicephalus sanguineus</v>
      </c>
      <c r="H4336" t="s">
        <v>1078</v>
      </c>
      <c r="I4336" t="str">
        <f>HYPERLINK("http://www.ncbi.nlm.nih.gov/protein/XP_049274432.1","LOW QUALITY PROTEIN: ryanodine receptor-like")</f>
        <v>LOW QUALITY PROTEIN: ryanodine receptor-like</v>
      </c>
      <c r="J4336">
        <v>2446.77</v>
      </c>
      <c r="K4336" t="s">
        <v>22</v>
      </c>
      <c r="L4336">
        <v>76</v>
      </c>
      <c r="M4336">
        <v>12.58</v>
      </c>
      <c r="N4336">
        <v>24.08</v>
      </c>
      <c r="O4336" t="s">
        <v>19</v>
      </c>
      <c r="P4336" t="s">
        <v>1320</v>
      </c>
      <c r="Q4336" t="s">
        <v>19</v>
      </c>
      <c r="R4336" t="str">
        <f>HYPERLINK("https://cfpub.epa.gov/ecotox/explore.cfm?ncbi=34632","Explore in ECOTOX")</f>
        <v>Explore in ECOTOX</v>
      </c>
    </row>
    <row r="4337" spans="1:18" x14ac:dyDescent="0.45">
      <c r="A4337" t="s">
        <v>1265</v>
      </c>
      <c r="B4337">
        <v>8</v>
      </c>
      <c r="C4337" t="str">
        <f>HYPERLINK("http://www.ncbi.nlm.nih.gov/protein/QEE14187.1","QEE14187.1")</f>
        <v>QEE14187.1</v>
      </c>
      <c r="D4337">
        <v>71</v>
      </c>
      <c r="E4337" t="str">
        <f>HYPERLINK("http://www.ncbi.nlm.nih.gov/Taxonomy/Browser/wwwtax.cgi?mode=Info&amp;id=57062&amp;lvl=3&amp;lin=f&amp;keep=1&amp;srchmode=1&amp;unlock","57062")</f>
        <v>57062</v>
      </c>
      <c r="F4337" t="s">
        <v>760</v>
      </c>
      <c r="G4337" t="str">
        <f>HYPERLINK("http://www.ncbi.nlm.nih.gov/Taxonomy/Browser/wwwtax.cgi?mode=Info&amp;id=57062&amp;lvl=3&amp;lin=f&amp;keep=1&amp;srchmode=1&amp;unlock","Hypothenemus hampei")</f>
        <v>Hypothenemus hampei</v>
      </c>
      <c r="H4337" t="s">
        <v>979</v>
      </c>
      <c r="I4337" t="str">
        <f>HYPERLINK("http://www.ncbi.nlm.nih.gov/protein/QEE14187.1","ryanodine receptor")</f>
        <v>ryanodine receptor</v>
      </c>
      <c r="J4337">
        <v>2446.77</v>
      </c>
      <c r="K4337" t="s">
        <v>22</v>
      </c>
      <c r="L4337">
        <v>76</v>
      </c>
      <c r="M4337">
        <v>12.58</v>
      </c>
      <c r="N4337">
        <v>24.08</v>
      </c>
      <c r="O4337" t="s">
        <v>19</v>
      </c>
      <c r="P4337" t="s">
        <v>1320</v>
      </c>
      <c r="Q4337" t="s">
        <v>19</v>
      </c>
      <c r="R4337" t="str">
        <f>HYPERLINK("https://cfpub.epa.gov/ecotox/explore.cfm?ncbi=57062","Explore in ECOTOX")</f>
        <v>Explore in ECOTOX</v>
      </c>
    </row>
    <row r="4338" spans="1:18" x14ac:dyDescent="0.45">
      <c r="A4338" t="s">
        <v>1265</v>
      </c>
      <c r="B4338">
        <v>8</v>
      </c>
      <c r="C4338" t="str">
        <f>HYPERLINK("http://www.ncbi.nlm.nih.gov/protein/XP_037582055.1","XP_037582055.1")</f>
        <v>XP_037582055.1</v>
      </c>
      <c r="D4338">
        <v>62995</v>
      </c>
      <c r="E4338" t="str">
        <f>HYPERLINK("http://www.ncbi.nlm.nih.gov/Taxonomy/Browser/wwwtax.cgi?mode=Info&amp;id=543639&amp;lvl=3&amp;lin=f&amp;keep=1&amp;srchmode=1&amp;unlock","543639")</f>
        <v>543639</v>
      </c>
      <c r="F4338" t="s">
        <v>904</v>
      </c>
      <c r="G4338" t="str">
        <f>HYPERLINK("http://www.ncbi.nlm.nih.gov/Taxonomy/Browser/wwwtax.cgi?mode=Info&amp;id=543639&amp;lvl=3&amp;lin=f&amp;keep=1&amp;srchmode=1&amp;unlock","Dermacentor silvarum")</f>
        <v>Dermacentor silvarum</v>
      </c>
      <c r="H4338" t="s">
        <v>951</v>
      </c>
      <c r="I4338" t="str">
        <f>HYPERLINK("http://www.ncbi.nlm.nih.gov/protein/XP_037582055.1","LOW QUALITY PROTEIN: ryanodine receptor-like")</f>
        <v>LOW QUALITY PROTEIN: ryanodine receptor-like</v>
      </c>
      <c r="J4338">
        <v>2446</v>
      </c>
      <c r="K4338" t="s">
        <v>22</v>
      </c>
      <c r="L4338">
        <v>76</v>
      </c>
      <c r="M4338">
        <v>12.58</v>
      </c>
      <c r="N4338">
        <v>24.07</v>
      </c>
      <c r="O4338" t="s">
        <v>19</v>
      </c>
      <c r="P4338" t="s">
        <v>1320</v>
      </c>
      <c r="Q4338" t="s">
        <v>19</v>
      </c>
      <c r="R4338" t="str">
        <f>HYPERLINK("https://cfpub.epa.gov/ecotox/explore.cfm?ncbi=543639","Explore in ECOTOX")</f>
        <v>Explore in ECOTOX</v>
      </c>
    </row>
    <row r="4339" spans="1:18" x14ac:dyDescent="0.45">
      <c r="A4339" t="s">
        <v>1265</v>
      </c>
      <c r="B4339">
        <v>8</v>
      </c>
      <c r="C4339" t="str">
        <f>HYPERLINK("http://www.ncbi.nlm.nih.gov/protein/XP_043283363.1","XP_043283363.1")</f>
        <v>XP_043283363.1</v>
      </c>
      <c r="D4339">
        <v>24001</v>
      </c>
      <c r="E4339" t="str">
        <f>HYPERLINK("http://www.ncbi.nlm.nih.gov/Taxonomy/Browser/wwwtax.cgi?mode=Info&amp;id=32260&amp;lvl=3&amp;lin=f&amp;keep=1&amp;srchmode=1&amp;unlock","32260")</f>
        <v>32260</v>
      </c>
      <c r="F4339" t="s">
        <v>760</v>
      </c>
      <c r="G4339" t="str">
        <f>HYPERLINK("http://www.ncbi.nlm.nih.gov/Taxonomy/Browser/wwwtax.cgi?mode=Info&amp;id=32260&amp;lvl=3&amp;lin=f&amp;keep=1&amp;srchmode=1&amp;unlock","Venturia canescens")</f>
        <v>Venturia canescens</v>
      </c>
      <c r="H4339" t="s">
        <v>769</v>
      </c>
      <c r="I4339" t="str">
        <f>HYPERLINK("http://www.ncbi.nlm.nih.gov/protein/XP_043283363.1","ryanodine receptor isoform X15")</f>
        <v>ryanodine receptor isoform X15</v>
      </c>
      <c r="J4339">
        <v>2445.62</v>
      </c>
      <c r="K4339" t="s">
        <v>22</v>
      </c>
      <c r="L4339">
        <v>76</v>
      </c>
      <c r="M4339">
        <v>12.58</v>
      </c>
      <c r="N4339">
        <v>24.07</v>
      </c>
      <c r="O4339" t="s">
        <v>19</v>
      </c>
      <c r="P4339" t="s">
        <v>1320</v>
      </c>
      <c r="Q4339" t="s">
        <v>19</v>
      </c>
      <c r="R4339" t="str">
        <f>HYPERLINK("https://cfpub.epa.gov/ecotox/explore.cfm?ncbi=32260","Explore in ECOTOX")</f>
        <v>Explore in ECOTOX</v>
      </c>
    </row>
    <row r="4340" spans="1:18" x14ac:dyDescent="0.45">
      <c r="A4340" t="s">
        <v>1265</v>
      </c>
      <c r="B4340">
        <v>8</v>
      </c>
      <c r="C4340" t="str">
        <f>HYPERLINK("http://www.ncbi.nlm.nih.gov/protein/KAF7268962.1","KAF7268962.1")</f>
        <v>KAF7268962.1</v>
      </c>
      <c r="D4340">
        <v>25918</v>
      </c>
      <c r="E4340" t="str">
        <f>HYPERLINK("http://www.ncbi.nlm.nih.gov/Taxonomy/Browser/wwwtax.cgi?mode=Info&amp;id=354439&amp;lvl=3&amp;lin=f&amp;keep=1&amp;srchmode=1&amp;unlock","354439")</f>
        <v>354439</v>
      </c>
      <c r="F4340" t="s">
        <v>760</v>
      </c>
      <c r="G4340" t="str">
        <f>HYPERLINK("http://www.ncbi.nlm.nih.gov/Taxonomy/Browser/wwwtax.cgi?mode=Info&amp;id=354439&amp;lvl=3&amp;lin=f&amp;keep=1&amp;srchmode=1&amp;unlock","Rhynchophorus ferrugineus")</f>
        <v>Rhynchophorus ferrugineus</v>
      </c>
      <c r="H4340" t="s">
        <v>1098</v>
      </c>
      <c r="I4340" t="str">
        <f>HYPERLINK("http://www.ncbi.nlm.nih.gov/protein/KAF7268962.1","hypothetical protein GWI33_017947")</f>
        <v>hypothetical protein GWI33_017947</v>
      </c>
      <c r="J4340">
        <v>2445.23</v>
      </c>
      <c r="K4340" t="s">
        <v>22</v>
      </c>
      <c r="L4340">
        <v>76</v>
      </c>
      <c r="M4340">
        <v>12.58</v>
      </c>
      <c r="N4340">
        <v>24.07</v>
      </c>
      <c r="O4340" t="s">
        <v>19</v>
      </c>
      <c r="P4340" t="s">
        <v>1320</v>
      </c>
      <c r="Q4340" t="s">
        <v>19</v>
      </c>
      <c r="R4340" t="str">
        <f>HYPERLINK("https://cfpub.epa.gov/ecotox/explore.cfm?ncbi=354439","Explore in ECOTOX")</f>
        <v>Explore in ECOTOX</v>
      </c>
    </row>
    <row r="4341" spans="1:18" x14ac:dyDescent="0.45">
      <c r="A4341" t="s">
        <v>1265</v>
      </c>
      <c r="B4341">
        <v>8</v>
      </c>
      <c r="C4341" t="str">
        <f>HYPERLINK("http://www.ncbi.nlm.nih.gov/protein/XP_017836897.1","XP_017836897.1")</f>
        <v>XP_017836897.1</v>
      </c>
      <c r="D4341">
        <v>31296</v>
      </c>
      <c r="E4341" t="str">
        <f>HYPERLINK("http://www.ncbi.nlm.nih.gov/Taxonomy/Browser/wwwtax.cgi?mode=Info&amp;id=30019&amp;lvl=3&amp;lin=f&amp;keep=1&amp;srchmode=1&amp;unlock","30019")</f>
        <v>30019</v>
      </c>
      <c r="F4341" t="s">
        <v>760</v>
      </c>
      <c r="G4341" t="str">
        <f>HYPERLINK("http://www.ncbi.nlm.nih.gov/Taxonomy/Browser/wwwtax.cgi?mode=Info&amp;id=30019&amp;lvl=3&amp;lin=f&amp;keep=1&amp;srchmode=1&amp;unlock","Drosophila busckii")</f>
        <v>Drosophila busckii</v>
      </c>
      <c r="H4341" t="s">
        <v>953</v>
      </c>
      <c r="I4341" t="str">
        <f>HYPERLINK("http://www.ncbi.nlm.nih.gov/protein/XP_017836897.1","ryanodine receptor isoform X6")</f>
        <v>ryanodine receptor isoform X6</v>
      </c>
      <c r="J4341">
        <v>2443.69</v>
      </c>
      <c r="K4341" t="s">
        <v>22</v>
      </c>
      <c r="L4341">
        <v>76</v>
      </c>
      <c r="M4341">
        <v>12.58</v>
      </c>
      <c r="N4341">
        <v>24.05</v>
      </c>
      <c r="O4341" t="s">
        <v>19</v>
      </c>
      <c r="P4341" t="s">
        <v>1320</v>
      </c>
      <c r="Q4341" t="s">
        <v>19</v>
      </c>
      <c r="R4341" t="str">
        <f>HYPERLINK("https://cfpub.epa.gov/ecotox/explore.cfm?ncbi=30019","Explore in ECOTOX")</f>
        <v>Explore in ECOTOX</v>
      </c>
    </row>
    <row r="4342" spans="1:18" x14ac:dyDescent="0.45">
      <c r="A4342" t="s">
        <v>1265</v>
      </c>
      <c r="B4342">
        <v>8</v>
      </c>
      <c r="C4342" t="str">
        <f>HYPERLINK("http://www.ncbi.nlm.nih.gov/protein/KAG5313865.1","KAG5313865.1")</f>
        <v>KAG5313865.1</v>
      </c>
      <c r="D4342">
        <v>8970</v>
      </c>
      <c r="E4342" t="str">
        <f>HYPERLINK("http://www.ncbi.nlm.nih.gov/Taxonomy/Browser/wwwtax.cgi?mode=Info&amp;id=230686&amp;lvl=3&amp;lin=f&amp;keep=1&amp;srchmode=1&amp;unlock","230686")</f>
        <v>230686</v>
      </c>
      <c r="F4342" t="s">
        <v>760</v>
      </c>
      <c r="G4342" t="str">
        <f>HYPERLINK("http://www.ncbi.nlm.nih.gov/Taxonomy/Browser/wwwtax.cgi?mode=Info&amp;id=230686&amp;lvl=3&amp;lin=f&amp;keep=1&amp;srchmode=1&amp;unlock","Acromyrmex insinuator")</f>
        <v>Acromyrmex insinuator</v>
      </c>
      <c r="H4342" t="s">
        <v>769</v>
      </c>
      <c r="I4342" t="str">
        <f>HYPERLINK("http://www.ncbi.nlm.nih.gov/protein/KAG5313865.1","RYR protein, partial")</f>
        <v>RYR protein, partial</v>
      </c>
      <c r="J4342">
        <v>2441.38</v>
      </c>
      <c r="K4342" t="s">
        <v>22</v>
      </c>
      <c r="L4342">
        <v>76</v>
      </c>
      <c r="M4342">
        <v>12.58</v>
      </c>
      <c r="N4342">
        <v>24.03</v>
      </c>
      <c r="O4342" t="s">
        <v>19</v>
      </c>
      <c r="P4342" t="s">
        <v>1320</v>
      </c>
      <c r="Q4342" t="s">
        <v>19</v>
      </c>
      <c r="R4342" t="str">
        <f>HYPERLINK("https://cfpub.epa.gov/ecotox/explore.cfm?ncbi=230686","Explore in ECOTOX")</f>
        <v>Explore in ECOTOX</v>
      </c>
    </row>
    <row r="4343" spans="1:18" x14ac:dyDescent="0.45">
      <c r="A4343" t="s">
        <v>1265</v>
      </c>
      <c r="B4343">
        <v>8</v>
      </c>
      <c r="C4343" t="str">
        <f>HYPERLINK("http://www.ncbi.nlm.nih.gov/protein/KAG6803327.1","KAG6803327.1")</f>
        <v>KAG6803327.1</v>
      </c>
      <c r="D4343">
        <v>10383</v>
      </c>
      <c r="E4343" t="str">
        <f>HYPERLINK("http://www.ncbi.nlm.nih.gov/Taxonomy/Browser/wwwtax.cgi?mode=Info&amp;id=200407&amp;lvl=3&amp;lin=f&amp;keep=1&amp;srchmode=1&amp;unlock","200407")</f>
        <v>200407</v>
      </c>
      <c r="F4343" t="s">
        <v>760</v>
      </c>
      <c r="G4343" t="str">
        <f>HYPERLINK("http://www.ncbi.nlm.nih.gov/Taxonomy/Browser/wwwtax.cgi?mode=Info&amp;id=200407&amp;lvl=3&amp;lin=f&amp;keep=1&amp;srchmode=1&amp;unlock","Apis mellifera caucasica")</f>
        <v>Apis mellifera caucasica</v>
      </c>
      <c r="H4343" t="s">
        <v>1086</v>
      </c>
      <c r="I4343" t="str">
        <f>HYPERLINK("http://www.ncbi.nlm.nih.gov/protein/KAG6803327.1","ryanodine receptor isoform X1")</f>
        <v>ryanodine receptor isoform X1</v>
      </c>
      <c r="J4343">
        <v>2441</v>
      </c>
      <c r="K4343" t="s">
        <v>22</v>
      </c>
      <c r="L4343">
        <v>76</v>
      </c>
      <c r="M4343">
        <v>12.58</v>
      </c>
      <c r="N4343">
        <v>24.02</v>
      </c>
      <c r="O4343" t="s">
        <v>19</v>
      </c>
      <c r="P4343" t="s">
        <v>1320</v>
      </c>
      <c r="Q4343" t="s">
        <v>19</v>
      </c>
      <c r="R4343" t="str">
        <f>HYPERLINK("https://cfpub.epa.gov/ecotox/explore.cfm?ncbi=200407","Explore in ECOTOX")</f>
        <v>Explore in ECOTOX</v>
      </c>
    </row>
    <row r="4344" spans="1:18" x14ac:dyDescent="0.45">
      <c r="A4344" t="s">
        <v>1265</v>
      </c>
      <c r="B4344">
        <v>8</v>
      </c>
      <c r="C4344" t="str">
        <f>HYPERLINK("http://www.ncbi.nlm.nih.gov/protein/KAG9435291.1","KAG9435291.1")</f>
        <v>KAG9435291.1</v>
      </c>
      <c r="D4344">
        <v>10750</v>
      </c>
      <c r="E4344" t="str">
        <f>HYPERLINK("http://www.ncbi.nlm.nih.gov/Taxonomy/Browser/wwwtax.cgi?mode=Info&amp;id=88217&amp;lvl=3&amp;lin=f&amp;keep=1&amp;srchmode=1&amp;unlock","88217")</f>
        <v>88217</v>
      </c>
      <c r="F4344" t="s">
        <v>760</v>
      </c>
      <c r="G4344" t="str">
        <f>HYPERLINK("http://www.ncbi.nlm.nih.gov/Taxonomy/Browser/wwwtax.cgi?mode=Info&amp;id=88217&amp;lvl=3&amp;lin=f&amp;keep=1&amp;srchmode=1&amp;unlock","Apis mellifera carnica")</f>
        <v>Apis mellifera carnica</v>
      </c>
      <c r="H4344" t="s">
        <v>1087</v>
      </c>
      <c r="I4344" t="str">
        <f>HYPERLINK("http://www.ncbi.nlm.nih.gov/protein/KAG9435291.1","ryanodine receptor isoform X1")</f>
        <v>ryanodine receptor isoform X1</v>
      </c>
      <c r="J4344">
        <v>2440.23</v>
      </c>
      <c r="K4344" t="s">
        <v>22</v>
      </c>
      <c r="L4344">
        <v>76</v>
      </c>
      <c r="M4344">
        <v>12.58</v>
      </c>
      <c r="N4344">
        <v>24.02</v>
      </c>
      <c r="O4344" t="s">
        <v>19</v>
      </c>
      <c r="P4344" t="s">
        <v>1320</v>
      </c>
      <c r="Q4344" t="s">
        <v>19</v>
      </c>
      <c r="R4344" t="str">
        <f>HYPERLINK("https://cfpub.epa.gov/ecotox/explore.cfm?ncbi=88217","Explore in ECOTOX")</f>
        <v>Explore in ECOTOX</v>
      </c>
    </row>
    <row r="4345" spans="1:18" x14ac:dyDescent="0.45">
      <c r="A4345" t="s">
        <v>1265</v>
      </c>
      <c r="B4345">
        <v>8</v>
      </c>
      <c r="C4345" t="str">
        <f>HYPERLINK("http://www.ncbi.nlm.nih.gov/protein/XP_011496960.1","XP_011496960.1")</f>
        <v>XP_011496960.1</v>
      </c>
      <c r="D4345">
        <v>12688</v>
      </c>
      <c r="E4345" t="str">
        <f>HYPERLINK("http://www.ncbi.nlm.nih.gov/Taxonomy/Browser/wwwtax.cgi?mode=Info&amp;id=326594&amp;lvl=3&amp;lin=f&amp;keep=1&amp;srchmode=1&amp;unlock","326594")</f>
        <v>326594</v>
      </c>
      <c r="F4345" t="s">
        <v>760</v>
      </c>
      <c r="G4345" t="str">
        <f>HYPERLINK("http://www.ncbi.nlm.nih.gov/Taxonomy/Browser/wwwtax.cgi?mode=Info&amp;id=326594&amp;lvl=3&amp;lin=f&amp;keep=1&amp;srchmode=1&amp;unlock","Ceratosolen solmsi marchali")</f>
        <v>Ceratosolen solmsi marchali</v>
      </c>
      <c r="H4345" t="s">
        <v>1076</v>
      </c>
      <c r="I4345" t="str">
        <f>HYPERLINK("http://www.ncbi.nlm.nih.gov/protein/XP_011496960.1","PREDICTED: LOW QUALITY PROTEIN: ryanodine receptor 44F")</f>
        <v>PREDICTED: LOW QUALITY PROTEIN: ryanodine receptor 44F</v>
      </c>
      <c r="J4345">
        <v>2439.84</v>
      </c>
      <c r="K4345" t="s">
        <v>22</v>
      </c>
      <c r="L4345">
        <v>76</v>
      </c>
      <c r="M4345">
        <v>12.58</v>
      </c>
      <c r="N4345">
        <v>24.01</v>
      </c>
      <c r="O4345" t="s">
        <v>19</v>
      </c>
      <c r="P4345" t="s">
        <v>1320</v>
      </c>
      <c r="Q4345" t="s">
        <v>19</v>
      </c>
      <c r="R4345" t="str">
        <f>HYPERLINK("https://cfpub.epa.gov/ecotox/explore.cfm?ncbi=326594","Explore in ECOTOX")</f>
        <v>Explore in ECOTOX</v>
      </c>
    </row>
    <row r="4346" spans="1:18" x14ac:dyDescent="0.45">
      <c r="A4346" t="s">
        <v>1265</v>
      </c>
      <c r="B4346">
        <v>8</v>
      </c>
      <c r="C4346" t="str">
        <f>HYPERLINK("http://www.ncbi.nlm.nih.gov/protein/XP_014249567.1","XP_014249567.1")</f>
        <v>XP_014249567.1</v>
      </c>
      <c r="D4346">
        <v>24343</v>
      </c>
      <c r="E4346" t="str">
        <f>HYPERLINK("http://www.ncbi.nlm.nih.gov/Taxonomy/Browser/wwwtax.cgi?mode=Info&amp;id=79782&amp;lvl=3&amp;lin=f&amp;keep=1&amp;srchmode=1&amp;unlock","79782")</f>
        <v>79782</v>
      </c>
      <c r="F4346" t="s">
        <v>760</v>
      </c>
      <c r="G4346" t="str">
        <f>HYPERLINK("http://www.ncbi.nlm.nih.gov/Taxonomy/Browser/wwwtax.cgi?mode=Info&amp;id=79782&amp;lvl=3&amp;lin=f&amp;keep=1&amp;srchmode=1&amp;unlock","Cimex lectularius")</f>
        <v>Cimex lectularius</v>
      </c>
      <c r="H4346" t="s">
        <v>1085</v>
      </c>
      <c r="I4346" t="str">
        <f>HYPERLINK("http://www.ncbi.nlm.nih.gov/protein/XP_014249567.1","ryanodine receptor isoform X3")</f>
        <v>ryanodine receptor isoform X3</v>
      </c>
      <c r="J4346">
        <v>2436.37</v>
      </c>
      <c r="K4346" t="s">
        <v>22</v>
      </c>
      <c r="L4346">
        <v>76</v>
      </c>
      <c r="M4346">
        <v>12.58</v>
      </c>
      <c r="N4346">
        <v>23.98</v>
      </c>
      <c r="O4346" t="s">
        <v>19</v>
      </c>
      <c r="P4346" t="s">
        <v>1320</v>
      </c>
      <c r="Q4346" t="s">
        <v>19</v>
      </c>
      <c r="R4346" t="str">
        <f>HYPERLINK("https://cfpub.epa.gov/ecotox/explore.cfm?ncbi=79782","Explore in ECOTOX")</f>
        <v>Explore in ECOTOX</v>
      </c>
    </row>
    <row r="4347" spans="1:18" x14ac:dyDescent="0.45">
      <c r="A4347" t="s">
        <v>1265</v>
      </c>
      <c r="B4347">
        <v>8</v>
      </c>
      <c r="C4347" t="str">
        <f>HYPERLINK("http://www.ncbi.nlm.nih.gov/protein/CAB3362503.1","CAB3362503.1")</f>
        <v>CAB3362503.1</v>
      </c>
      <c r="D4347">
        <v>31111</v>
      </c>
      <c r="E4347" t="str">
        <f>HYPERLINK("http://www.ncbi.nlm.nih.gov/Taxonomy/Browser/wwwtax.cgi?mode=Info&amp;id=197152&amp;lvl=3&amp;lin=f&amp;keep=1&amp;srchmode=1&amp;unlock","197152")</f>
        <v>197152</v>
      </c>
      <c r="F4347" t="s">
        <v>760</v>
      </c>
      <c r="G4347" t="str">
        <f>HYPERLINK("http://www.ncbi.nlm.nih.gov/Taxonomy/Browser/wwwtax.cgi?mode=Info&amp;id=197152&amp;lvl=3&amp;lin=f&amp;keep=1&amp;srchmode=1&amp;unlock","Cloeon dipterum")</f>
        <v>Cloeon dipterum</v>
      </c>
      <c r="H4347" t="s">
        <v>819</v>
      </c>
      <c r="I4347" t="str">
        <f>HYPERLINK("http://www.ncbi.nlm.nih.gov/protein/CAB3362503.1","Hypothetical predicted protein")</f>
        <v>Hypothetical predicted protein</v>
      </c>
      <c r="J4347">
        <v>2436.37</v>
      </c>
      <c r="K4347" t="s">
        <v>22</v>
      </c>
      <c r="L4347">
        <v>76</v>
      </c>
      <c r="M4347">
        <v>12.58</v>
      </c>
      <c r="N4347">
        <v>23.98</v>
      </c>
      <c r="O4347" t="s">
        <v>19</v>
      </c>
      <c r="P4347" t="s">
        <v>1320</v>
      </c>
      <c r="Q4347" t="s">
        <v>19</v>
      </c>
      <c r="R4347" t="str">
        <f>HYPERLINK("https://cfpub.epa.gov/ecotox/explore.cfm?ncbi=197152","Explore in ECOTOX")</f>
        <v>Explore in ECOTOX</v>
      </c>
    </row>
    <row r="4348" spans="1:18" x14ac:dyDescent="0.45">
      <c r="A4348" t="s">
        <v>1265</v>
      </c>
      <c r="B4348">
        <v>8</v>
      </c>
      <c r="C4348" t="str">
        <f>HYPERLINK("http://www.ncbi.nlm.nih.gov/protein/XP_033127881.1","XP_033127881.1")</f>
        <v>XP_033127881.1</v>
      </c>
      <c r="D4348">
        <v>32797</v>
      </c>
      <c r="E4348" t="str">
        <f>HYPERLINK("http://www.ncbi.nlm.nih.gov/Taxonomy/Browser/wwwtax.cgi?mode=Info&amp;id=1529436&amp;lvl=3&amp;lin=f&amp;keep=1&amp;srchmode=1&amp;unlock","1529436")</f>
        <v>1529436</v>
      </c>
      <c r="F4348" t="s">
        <v>1112</v>
      </c>
      <c r="G4348" t="str">
        <f>HYPERLINK("http://www.ncbi.nlm.nih.gov/Taxonomy/Browser/wwwtax.cgi?mode=Info&amp;id=1529436&amp;lvl=3&amp;lin=f&amp;keep=1&amp;srchmode=1&amp;unlock","Anneissia japonica")</f>
        <v>Anneissia japonica</v>
      </c>
      <c r="H4348" t="s">
        <v>1113</v>
      </c>
      <c r="I4348" t="str">
        <f>HYPERLINK("http://www.ncbi.nlm.nih.gov/protein/XP_033127881.1","ryanodine receptor 2-like")</f>
        <v>ryanodine receptor 2-like</v>
      </c>
      <c r="J4348">
        <v>2434.06</v>
      </c>
      <c r="K4348" t="s">
        <v>22</v>
      </c>
      <c r="L4348">
        <v>76</v>
      </c>
      <c r="M4348">
        <v>12.58</v>
      </c>
      <c r="N4348">
        <v>23.96</v>
      </c>
      <c r="O4348" t="s">
        <v>19</v>
      </c>
      <c r="P4348" t="s">
        <v>1320</v>
      </c>
      <c r="Q4348" t="s">
        <v>19</v>
      </c>
      <c r="R4348" t="str">
        <f>HYPERLINK("https://cfpub.epa.gov/ecotox/explore.cfm?ncbi=1529436","Explore in ECOTOX")</f>
        <v>Explore in ECOTOX</v>
      </c>
    </row>
    <row r="4349" spans="1:18" x14ac:dyDescent="0.45">
      <c r="A4349" t="s">
        <v>1265</v>
      </c>
      <c r="B4349">
        <v>8</v>
      </c>
      <c r="C4349" t="str">
        <f>HYPERLINK("http://www.ncbi.nlm.nih.gov/protein/KZS04686.1","KZS04686.1")</f>
        <v>KZS04686.1</v>
      </c>
      <c r="D4349">
        <v>93103</v>
      </c>
      <c r="E4349" t="str">
        <f>HYPERLINK("http://www.ncbi.nlm.nih.gov/Taxonomy/Browser/wwwtax.cgi?mode=Info&amp;id=35525&amp;lvl=3&amp;lin=f&amp;keep=1&amp;srchmode=1&amp;unlock","35525")</f>
        <v>35525</v>
      </c>
      <c r="F4349" t="s">
        <v>1073</v>
      </c>
      <c r="G4349" t="str">
        <f>HYPERLINK("http://www.ncbi.nlm.nih.gov/Taxonomy/Browser/wwwtax.cgi?mode=Info&amp;id=35525&amp;lvl=3&amp;lin=f&amp;keep=1&amp;srchmode=1&amp;unlock","Daphnia magna")</f>
        <v>Daphnia magna</v>
      </c>
      <c r="H4349" t="s">
        <v>1074</v>
      </c>
      <c r="I4349" t="str">
        <f>HYPERLINK("http://www.ncbi.nlm.nih.gov/protein/KZS04686.1","Ryanodine receptor")</f>
        <v>Ryanodine receptor</v>
      </c>
      <c r="J4349">
        <v>2434.06</v>
      </c>
      <c r="K4349" t="s">
        <v>22</v>
      </c>
      <c r="L4349">
        <v>76</v>
      </c>
      <c r="M4349">
        <v>12.58</v>
      </c>
      <c r="N4349">
        <v>23.96</v>
      </c>
      <c r="O4349" t="s">
        <v>19</v>
      </c>
      <c r="P4349" t="s">
        <v>1320</v>
      </c>
      <c r="Q4349" t="s">
        <v>19</v>
      </c>
      <c r="R4349" t="str">
        <f>HYPERLINK("https://cfpub.epa.gov/ecotox/explore.cfm?ncbi=35525","Explore in ECOTOX")</f>
        <v>Explore in ECOTOX</v>
      </c>
    </row>
    <row r="4350" spans="1:18" x14ac:dyDescent="0.45">
      <c r="A4350" t="s">
        <v>1265</v>
      </c>
      <c r="B4350">
        <v>8</v>
      </c>
      <c r="C4350" t="str">
        <f>HYPERLINK("http://www.ncbi.nlm.nih.gov/protein/KAI9557111.1","KAI9557111.1")</f>
        <v>KAI9557111.1</v>
      </c>
      <c r="D4350">
        <v>20141</v>
      </c>
      <c r="E4350" t="str">
        <f>HYPERLINK("http://www.ncbi.nlm.nih.gov/Taxonomy/Browser/wwwtax.cgi?mode=Info&amp;id=1820382&amp;lvl=3&amp;lin=f&amp;keep=1&amp;srchmode=1&amp;unlock","1820382")</f>
        <v>1820382</v>
      </c>
      <c r="F4350" t="s">
        <v>1073</v>
      </c>
      <c r="G4350" t="str">
        <f>HYPERLINK("http://www.ncbi.nlm.nih.gov/Taxonomy/Browser/wwwtax.cgi?mode=Info&amp;id=1820382&amp;lvl=3&amp;lin=f&amp;keep=1&amp;srchmode=1&amp;unlock","Daphnia sinensis")</f>
        <v>Daphnia sinensis</v>
      </c>
      <c r="H4350" t="s">
        <v>1074</v>
      </c>
      <c r="I4350" t="str">
        <f>HYPERLINK("http://www.ncbi.nlm.nih.gov/protein/KAI9557111.1","hypothetical protein GHT06_016909")</f>
        <v>hypothetical protein GHT06_016909</v>
      </c>
      <c r="J4350">
        <v>2432.91</v>
      </c>
      <c r="K4350" t="s">
        <v>22</v>
      </c>
      <c r="L4350">
        <v>76</v>
      </c>
      <c r="M4350">
        <v>12.58</v>
      </c>
      <c r="N4350">
        <v>23.94</v>
      </c>
      <c r="O4350" t="s">
        <v>19</v>
      </c>
      <c r="P4350" t="s">
        <v>1320</v>
      </c>
      <c r="Q4350" t="s">
        <v>19</v>
      </c>
      <c r="R4350" t="str">
        <f>HYPERLINK("https://cfpub.epa.gov/ecotox/explore.cfm?ncbi=1820382","Explore in ECOTOX")</f>
        <v>Explore in ECOTOX</v>
      </c>
    </row>
    <row r="4351" spans="1:18" x14ac:dyDescent="0.45">
      <c r="A4351" t="s">
        <v>1265</v>
      </c>
      <c r="B4351">
        <v>8</v>
      </c>
      <c r="C4351" t="str">
        <f>HYPERLINK("http://www.ncbi.nlm.nih.gov/protein/KAG5318438.1","KAG5318438.1")</f>
        <v>KAG5318438.1</v>
      </c>
      <c r="D4351">
        <v>9123</v>
      </c>
      <c r="E4351" t="str">
        <f>HYPERLINK("http://www.ncbi.nlm.nih.gov/Taxonomy/Browser/wwwtax.cgi?mode=Info&amp;id=230685&amp;lvl=3&amp;lin=f&amp;keep=1&amp;srchmode=1&amp;unlock","230685")</f>
        <v>230685</v>
      </c>
      <c r="F4351" t="s">
        <v>760</v>
      </c>
      <c r="G4351" t="str">
        <f>HYPERLINK("http://www.ncbi.nlm.nih.gov/Taxonomy/Browser/wwwtax.cgi?mode=Info&amp;id=230685&amp;lvl=3&amp;lin=f&amp;keep=1&amp;srchmode=1&amp;unlock","Acromyrmex heyeri")</f>
        <v>Acromyrmex heyeri</v>
      </c>
      <c r="H4351" t="s">
        <v>769</v>
      </c>
      <c r="I4351" t="str">
        <f>HYPERLINK("http://www.ncbi.nlm.nih.gov/protein/KAG5318438.1","RYR protein, partial")</f>
        <v>RYR protein, partial</v>
      </c>
      <c r="J4351">
        <v>2431.37</v>
      </c>
      <c r="K4351" t="s">
        <v>22</v>
      </c>
      <c r="L4351">
        <v>76</v>
      </c>
      <c r="M4351">
        <v>12.58</v>
      </c>
      <c r="N4351">
        <v>23.93</v>
      </c>
      <c r="O4351" t="s">
        <v>19</v>
      </c>
      <c r="P4351" t="s">
        <v>1320</v>
      </c>
      <c r="Q4351" t="s">
        <v>19</v>
      </c>
      <c r="R4351" t="str">
        <f>HYPERLINK("https://cfpub.epa.gov/ecotox/explore.cfm?ncbi=230685","Explore in ECOTOX")</f>
        <v>Explore in ECOTOX</v>
      </c>
    </row>
    <row r="4352" spans="1:18" x14ac:dyDescent="0.45">
      <c r="A4352" t="s">
        <v>1265</v>
      </c>
      <c r="B4352">
        <v>8</v>
      </c>
      <c r="C4352" t="str">
        <f>HYPERLINK("http://www.ncbi.nlm.nih.gov/protein/CAD7393765.1","CAD7393765.1")</f>
        <v>CAD7393765.1</v>
      </c>
      <c r="D4352">
        <v>14355</v>
      </c>
      <c r="E4352" t="str">
        <f>HYPERLINK("http://www.ncbi.nlm.nih.gov/Taxonomy/Browser/wwwtax.cgi?mode=Info&amp;id=61476&amp;lvl=3&amp;lin=f&amp;keep=1&amp;srchmode=1&amp;unlock","61476")</f>
        <v>61476</v>
      </c>
      <c r="F4352" t="s">
        <v>760</v>
      </c>
      <c r="G4352" t="str">
        <f>HYPERLINK("http://www.ncbi.nlm.nih.gov/Taxonomy/Browser/wwwtax.cgi?mode=Info&amp;id=61476&amp;lvl=3&amp;lin=f&amp;keep=1&amp;srchmode=1&amp;unlock","Timema cristinae")</f>
        <v>Timema cristinae</v>
      </c>
      <c r="H4352" t="s">
        <v>1039</v>
      </c>
      <c r="I4352" t="str">
        <f>HYPERLINK("http://www.ncbi.nlm.nih.gov/protein/CAD7393765.1","unnamed protein product")</f>
        <v>unnamed protein product</v>
      </c>
      <c r="J4352">
        <v>2429.8200000000002</v>
      </c>
      <c r="K4352" t="s">
        <v>22</v>
      </c>
      <c r="L4352">
        <v>76</v>
      </c>
      <c r="M4352">
        <v>12.58</v>
      </c>
      <c r="N4352">
        <v>23.91</v>
      </c>
      <c r="O4352" t="s">
        <v>19</v>
      </c>
      <c r="P4352" t="s">
        <v>1320</v>
      </c>
      <c r="Q4352" t="s">
        <v>19</v>
      </c>
      <c r="R4352" t="str">
        <f>HYPERLINK("https://cfpub.epa.gov/ecotox/explore.cfm?ncbi=61476","Explore in ECOTOX")</f>
        <v>Explore in ECOTOX</v>
      </c>
    </row>
    <row r="4353" spans="1:18" x14ac:dyDescent="0.45">
      <c r="A4353" t="s">
        <v>1265</v>
      </c>
      <c r="B4353">
        <v>8</v>
      </c>
      <c r="C4353" t="str">
        <f>HYPERLINK("http://www.ncbi.nlm.nih.gov/protein/CAD6204845.1","CAD6204845.1")</f>
        <v>CAD6204845.1</v>
      </c>
      <c r="D4353">
        <v>27936</v>
      </c>
      <c r="E4353" t="str">
        <f>HYPERLINK("http://www.ncbi.nlm.nih.gov/Taxonomy/Browser/wwwtax.cgi?mode=Info&amp;id=51543&amp;lvl=3&amp;lin=f&amp;keep=1&amp;srchmode=1&amp;unlock","51543")</f>
        <v>51543</v>
      </c>
      <c r="F4353" t="s">
        <v>760</v>
      </c>
      <c r="G4353" t="str">
        <f>HYPERLINK("http://www.ncbi.nlm.nih.gov/Taxonomy/Browser/wwwtax.cgi?mode=Info&amp;id=51543&amp;lvl=3&amp;lin=f&amp;keep=1&amp;srchmode=1&amp;unlock","Cotesia congregata")</f>
        <v>Cotesia congregata</v>
      </c>
      <c r="H4353" t="s">
        <v>769</v>
      </c>
      <c r="I4353" t="str">
        <f>HYPERLINK("http://www.ncbi.nlm.nih.gov/protein/CAD6204845.1","GSCOCG00003010001-RA-CDS")</f>
        <v>GSCOCG00003010001-RA-CDS</v>
      </c>
      <c r="J4353">
        <v>2429.44</v>
      </c>
      <c r="K4353" t="s">
        <v>22</v>
      </c>
      <c r="L4353">
        <v>76</v>
      </c>
      <c r="M4353">
        <v>12.58</v>
      </c>
      <c r="N4353">
        <v>23.91</v>
      </c>
      <c r="O4353" t="s">
        <v>19</v>
      </c>
      <c r="P4353" t="s">
        <v>1320</v>
      </c>
      <c r="Q4353" t="s">
        <v>19</v>
      </c>
      <c r="R4353" t="str">
        <f>HYPERLINK("https://cfpub.epa.gov/ecotox/explore.cfm?ncbi=51543","Explore in ECOTOX")</f>
        <v>Explore in ECOTOX</v>
      </c>
    </row>
    <row r="4354" spans="1:18" x14ac:dyDescent="0.45">
      <c r="A4354" t="s">
        <v>1265</v>
      </c>
      <c r="B4354">
        <v>8</v>
      </c>
      <c r="C4354" t="str">
        <f>HYPERLINK("http://www.ncbi.nlm.nih.gov/protein/KAK0162053.1","KAK0162053.1")</f>
        <v>KAK0162053.1</v>
      </c>
      <c r="D4354">
        <v>12933</v>
      </c>
      <c r="E4354" t="str">
        <f>HYPERLINK("http://www.ncbi.nlm.nih.gov/Taxonomy/Browser/wwwtax.cgi?mode=Info&amp;id=165561&amp;lvl=3&amp;lin=f&amp;keep=1&amp;srchmode=1&amp;unlock","165561")</f>
        <v>165561</v>
      </c>
      <c r="F4354" t="s">
        <v>760</v>
      </c>
      <c r="G4354" t="str">
        <f>HYPERLINK("http://www.ncbi.nlm.nih.gov/Taxonomy/Browser/wwwtax.cgi?mode=Info&amp;id=165561&amp;lvl=3&amp;lin=f&amp;keep=1&amp;srchmode=1&amp;unlock","Microctonus hyperodae")</f>
        <v>Microctonus hyperodae</v>
      </c>
      <c r="H4354" t="s">
        <v>769</v>
      </c>
      <c r="I4354" t="str">
        <f>HYPERLINK("http://www.ncbi.nlm.nih.gov/protein/KAK0162053.1","hypothetical protein PV327_008421")</f>
        <v>hypothetical protein PV327_008421</v>
      </c>
      <c r="J4354">
        <v>2429.44</v>
      </c>
      <c r="K4354" t="s">
        <v>22</v>
      </c>
      <c r="L4354">
        <v>76</v>
      </c>
      <c r="M4354">
        <v>12.58</v>
      </c>
      <c r="N4354">
        <v>23.91</v>
      </c>
      <c r="O4354" t="s">
        <v>19</v>
      </c>
      <c r="P4354" t="s">
        <v>1320</v>
      </c>
      <c r="Q4354" t="s">
        <v>19</v>
      </c>
      <c r="R4354" t="str">
        <f>HYPERLINK("https://cfpub.epa.gov/ecotox/explore.cfm?ncbi=165561","Explore in ECOTOX")</f>
        <v>Explore in ECOTOX</v>
      </c>
    </row>
    <row r="4355" spans="1:18" x14ac:dyDescent="0.45">
      <c r="A4355" t="s">
        <v>1265</v>
      </c>
      <c r="B4355">
        <v>8</v>
      </c>
      <c r="C4355" t="str">
        <f>HYPERLINK("http://www.ncbi.nlm.nih.gov/protein/CAH0100917.1","CAH0100917.1")</f>
        <v>CAH0100917.1</v>
      </c>
      <c r="D4355">
        <v>16000</v>
      </c>
      <c r="E4355" t="str">
        <f>HYPERLINK("http://www.ncbi.nlm.nih.gov/Taxonomy/Browser/wwwtax.cgi?mode=Info&amp;id=27404&amp;lvl=3&amp;lin=f&amp;keep=1&amp;srchmode=1&amp;unlock","27404")</f>
        <v>27404</v>
      </c>
      <c r="F4355" t="s">
        <v>1073</v>
      </c>
      <c r="G4355" t="str">
        <f>HYPERLINK("http://www.ncbi.nlm.nih.gov/Taxonomy/Browser/wwwtax.cgi?mode=Info&amp;id=27404&amp;lvl=3&amp;lin=f&amp;keep=1&amp;srchmode=1&amp;unlock","Daphnia galeata")</f>
        <v>Daphnia galeata</v>
      </c>
      <c r="H4355" t="s">
        <v>1074</v>
      </c>
      <c r="I4355" t="str">
        <f>HYPERLINK("http://www.ncbi.nlm.nih.gov/protein/CAH0100917.1","unnamed protein product, partial")</f>
        <v>unnamed protein product, partial</v>
      </c>
      <c r="J4355">
        <v>2424.4299999999998</v>
      </c>
      <c r="K4355" t="s">
        <v>22</v>
      </c>
      <c r="L4355">
        <v>76</v>
      </c>
      <c r="M4355">
        <v>12.58</v>
      </c>
      <c r="N4355">
        <v>23.86</v>
      </c>
      <c r="O4355" t="s">
        <v>19</v>
      </c>
      <c r="P4355" t="s">
        <v>1320</v>
      </c>
      <c r="Q4355" t="s">
        <v>19</v>
      </c>
      <c r="R4355" t="str">
        <f>HYPERLINK("https://cfpub.epa.gov/ecotox/explore.cfm?ncbi=27404","Explore in ECOTOX")</f>
        <v>Explore in ECOTOX</v>
      </c>
    </row>
    <row r="4356" spans="1:18" x14ac:dyDescent="0.45">
      <c r="A4356" t="s">
        <v>1265</v>
      </c>
      <c r="B4356">
        <v>8</v>
      </c>
      <c r="C4356" t="str">
        <f>HYPERLINK("http://www.ncbi.nlm.nih.gov/protein/XP_025830516.1","XP_025830516.1")</f>
        <v>XP_025830516.1</v>
      </c>
      <c r="D4356">
        <v>22260</v>
      </c>
      <c r="E4356" t="str">
        <f>HYPERLINK("http://www.ncbi.nlm.nih.gov/Taxonomy/Browser/wwwtax.cgi?mode=Info&amp;id=224129&amp;lvl=3&amp;lin=f&amp;keep=1&amp;srchmode=1&amp;unlock","224129")</f>
        <v>224129</v>
      </c>
      <c r="F4356" t="s">
        <v>760</v>
      </c>
      <c r="G4356" t="str">
        <f>HYPERLINK("http://www.ncbi.nlm.nih.gov/Taxonomy/Browser/wwwtax.cgi?mode=Info&amp;id=224129&amp;lvl=3&amp;lin=f&amp;keep=1&amp;srchmode=1&amp;unlock","Agrilus planipennis")</f>
        <v>Agrilus planipennis</v>
      </c>
      <c r="H4356" t="s">
        <v>1099</v>
      </c>
      <c r="I4356" t="str">
        <f>HYPERLINK("http://www.ncbi.nlm.nih.gov/protein/XP_025830516.1","ryanodine receptor")</f>
        <v>ryanodine receptor</v>
      </c>
      <c r="J4356">
        <v>2422.5100000000002</v>
      </c>
      <c r="K4356" t="s">
        <v>22</v>
      </c>
      <c r="L4356">
        <v>76</v>
      </c>
      <c r="M4356">
        <v>12.58</v>
      </c>
      <c r="N4356">
        <v>23.84</v>
      </c>
      <c r="O4356" t="s">
        <v>19</v>
      </c>
      <c r="P4356" t="s">
        <v>1320</v>
      </c>
      <c r="Q4356" t="s">
        <v>19</v>
      </c>
      <c r="R4356" t="str">
        <f>HYPERLINK("https://cfpub.epa.gov/ecotox/explore.cfm?ncbi=224129","Explore in ECOTOX")</f>
        <v>Explore in ECOTOX</v>
      </c>
    </row>
    <row r="4357" spans="1:18" x14ac:dyDescent="0.45">
      <c r="A4357" t="s">
        <v>1265</v>
      </c>
      <c r="B4357">
        <v>8</v>
      </c>
      <c r="C4357" t="str">
        <f>HYPERLINK("http://www.ncbi.nlm.nih.gov/protein/XP_059488121.1","XP_059488121.1")</f>
        <v>XP_059488121.1</v>
      </c>
      <c r="D4357">
        <v>23097</v>
      </c>
      <c r="E4357" t="str">
        <f>HYPERLINK("http://www.ncbi.nlm.nih.gov/Taxonomy/Browser/wwwtax.cgi?mode=Info&amp;id=2078957&amp;lvl=3&amp;lin=f&amp;keep=1&amp;srchmode=1&amp;unlock","2078957")</f>
        <v>2078957</v>
      </c>
      <c r="F4357" t="s">
        <v>760</v>
      </c>
      <c r="G4357" t="str">
        <f>HYPERLINK("http://www.ncbi.nlm.nih.gov/Taxonomy/Browser/wwwtax.cgi?mode=Info&amp;id=2078957&amp;lvl=3&amp;lin=f&amp;keep=1&amp;srchmode=1&amp;unlock","Neocloeon triangulifer")</f>
        <v>Neocloeon triangulifer</v>
      </c>
      <c r="H4357" t="s">
        <v>819</v>
      </c>
      <c r="I4357" t="str">
        <f>HYPERLINK("http://www.ncbi.nlm.nih.gov/protein/XP_059488121.1","LOW QUALITY PROTEIN: ryanodine receptor")</f>
        <v>LOW QUALITY PROTEIN: ryanodine receptor</v>
      </c>
      <c r="J4357">
        <v>2421.35</v>
      </c>
      <c r="K4357" t="s">
        <v>22</v>
      </c>
      <c r="L4357">
        <v>76</v>
      </c>
      <c r="M4357">
        <v>12.58</v>
      </c>
      <c r="N4357">
        <v>23.83</v>
      </c>
      <c r="O4357" t="s">
        <v>19</v>
      </c>
      <c r="P4357" t="s">
        <v>1320</v>
      </c>
      <c r="Q4357" t="s">
        <v>19</v>
      </c>
      <c r="R4357" t="str">
        <f>HYPERLINK("https://cfpub.epa.gov/ecotox/explore.cfm?ncbi=2078957","Explore in ECOTOX")</f>
        <v>Explore in ECOTOX</v>
      </c>
    </row>
    <row r="4358" spans="1:18" x14ac:dyDescent="0.45">
      <c r="A4358" t="s">
        <v>1265</v>
      </c>
      <c r="B4358">
        <v>8</v>
      </c>
      <c r="C4358" t="str">
        <f>HYPERLINK("http://www.ncbi.nlm.nih.gov/protein/XP_059350832.1","XP_059350832.1")</f>
        <v>XP_059350832.1</v>
      </c>
      <c r="D4358">
        <v>18551</v>
      </c>
      <c r="E4358" t="str">
        <f>HYPERLINK("http://www.ncbi.nlm.nih.gov/Taxonomy/Browser/wwwtax.cgi?mode=Info&amp;id=120202&amp;lvl=3&amp;lin=f&amp;keep=1&amp;srchmode=1&amp;unlock","120202")</f>
        <v>120202</v>
      </c>
      <c r="F4358" t="s">
        <v>1073</v>
      </c>
      <c r="G4358" t="str">
        <f>HYPERLINK("http://www.ncbi.nlm.nih.gov/Taxonomy/Browser/wwwtax.cgi?mode=Info&amp;id=120202&amp;lvl=3&amp;lin=f&amp;keep=1&amp;srchmode=1&amp;unlock","Daphnia carinata")</f>
        <v>Daphnia carinata</v>
      </c>
      <c r="H4358" t="s">
        <v>1074</v>
      </c>
      <c r="I4358" t="str">
        <f>HYPERLINK("http://www.ncbi.nlm.nih.gov/protein/XP_059350832.1","ryanodine receptor-like")</f>
        <v>ryanodine receptor-like</v>
      </c>
      <c r="J4358">
        <v>2420.19</v>
      </c>
      <c r="K4358" t="s">
        <v>22</v>
      </c>
      <c r="L4358">
        <v>76</v>
      </c>
      <c r="M4358">
        <v>12.58</v>
      </c>
      <c r="N4358">
        <v>23.82</v>
      </c>
      <c r="O4358" t="s">
        <v>19</v>
      </c>
      <c r="P4358" t="s">
        <v>1320</v>
      </c>
      <c r="Q4358" t="s">
        <v>19</v>
      </c>
      <c r="R4358" t="str">
        <f>HYPERLINK("https://cfpub.epa.gov/ecotox/explore.cfm?ncbi=120202","Explore in ECOTOX")</f>
        <v>Explore in ECOTOX</v>
      </c>
    </row>
    <row r="4359" spans="1:18" x14ac:dyDescent="0.45">
      <c r="A4359" t="s">
        <v>1265</v>
      </c>
      <c r="B4359">
        <v>8</v>
      </c>
      <c r="C4359" t="str">
        <f>HYPERLINK("http://www.ncbi.nlm.nih.gov/protein/XP_046647485.1","XP_046647485.1")</f>
        <v>XP_046647485.1</v>
      </c>
      <c r="D4359">
        <v>28564</v>
      </c>
      <c r="E4359" t="str">
        <f>HYPERLINK("http://www.ncbi.nlm.nih.gov/Taxonomy/Browser/wwwtax.cgi?mode=Info&amp;id=35523&amp;lvl=3&amp;lin=f&amp;keep=1&amp;srchmode=1&amp;unlock","35523")</f>
        <v>35523</v>
      </c>
      <c r="F4359" t="s">
        <v>1073</v>
      </c>
      <c r="G4359" t="str">
        <f>HYPERLINK("http://www.ncbi.nlm.nih.gov/Taxonomy/Browser/wwwtax.cgi?mode=Info&amp;id=35523&amp;lvl=3&amp;lin=f&amp;keep=1&amp;srchmode=1&amp;unlock","Daphnia pulicaria")</f>
        <v>Daphnia pulicaria</v>
      </c>
      <c r="H4359" t="s">
        <v>1074</v>
      </c>
      <c r="I4359" t="str">
        <f>HYPERLINK("http://www.ncbi.nlm.nih.gov/protein/XP_046647485.1","ryanodine receptor-like isoform X2")</f>
        <v>ryanodine receptor-like isoform X2</v>
      </c>
      <c r="J4359">
        <v>2418.27</v>
      </c>
      <c r="K4359" t="s">
        <v>22</v>
      </c>
      <c r="L4359">
        <v>76</v>
      </c>
      <c r="M4359">
        <v>12.58</v>
      </c>
      <c r="N4359">
        <v>23.8</v>
      </c>
      <c r="O4359" t="s">
        <v>19</v>
      </c>
      <c r="P4359" t="s">
        <v>1320</v>
      </c>
      <c r="Q4359" t="s">
        <v>19</v>
      </c>
      <c r="R4359" t="str">
        <f>HYPERLINK("https://cfpub.epa.gov/ecotox/explore.cfm?ncbi=35523","Explore in ECOTOX")</f>
        <v>Explore in ECOTOX</v>
      </c>
    </row>
    <row r="4360" spans="1:18" x14ac:dyDescent="0.45">
      <c r="A4360" t="s">
        <v>1265</v>
      </c>
      <c r="B4360">
        <v>8</v>
      </c>
      <c r="C4360" t="str">
        <f>HYPERLINK("http://www.ncbi.nlm.nih.gov/protein/KAK0085860.1","KAK0085860.1")</f>
        <v>KAK0085860.1</v>
      </c>
      <c r="D4360">
        <v>42615</v>
      </c>
      <c r="E4360" t="str">
        <f>HYPERLINK("http://www.ncbi.nlm.nih.gov/Taxonomy/Browser/wwwtax.cgi?mode=Info&amp;id=144406&amp;lvl=3&amp;lin=f&amp;keep=1&amp;srchmode=1&amp;unlock","144406")</f>
        <v>144406</v>
      </c>
      <c r="F4360" t="s">
        <v>760</v>
      </c>
      <c r="G4360" t="str">
        <f>HYPERLINK("http://www.ncbi.nlm.nih.gov/Taxonomy/Browser/wwwtax.cgi?mode=Info&amp;id=144406&amp;lvl=3&amp;lin=f&amp;keep=1&amp;srchmode=1&amp;unlock","Microctonus aethiopoides")</f>
        <v>Microctonus aethiopoides</v>
      </c>
      <c r="H4360" t="s">
        <v>769</v>
      </c>
      <c r="I4360" t="str">
        <f>HYPERLINK("http://www.ncbi.nlm.nih.gov/protein/KAK0085860.1","hypothetical protein PV325_004300")</f>
        <v>hypothetical protein PV325_004300</v>
      </c>
      <c r="J4360">
        <v>2417.88</v>
      </c>
      <c r="K4360" t="s">
        <v>22</v>
      </c>
      <c r="L4360">
        <v>76</v>
      </c>
      <c r="M4360">
        <v>12.58</v>
      </c>
      <c r="N4360">
        <v>23.8</v>
      </c>
      <c r="O4360" t="s">
        <v>19</v>
      </c>
      <c r="P4360" t="s">
        <v>1320</v>
      </c>
      <c r="Q4360" t="s">
        <v>19</v>
      </c>
      <c r="R4360" t="str">
        <f>HYPERLINK("https://cfpub.epa.gov/ecotox/explore.cfm?ncbi=144406","Explore in ECOTOX")</f>
        <v>Explore in ECOTOX</v>
      </c>
    </row>
    <row r="4361" spans="1:18" x14ac:dyDescent="0.45">
      <c r="A4361" t="s">
        <v>1265</v>
      </c>
      <c r="B4361">
        <v>8</v>
      </c>
      <c r="C4361" t="str">
        <f>HYPERLINK("http://www.ncbi.nlm.nih.gov/protein/XP_050517098.1","XP_050517098.1")</f>
        <v>XP_050517098.1</v>
      </c>
      <c r="D4361">
        <v>32503</v>
      </c>
      <c r="E4361" t="str">
        <f>HYPERLINK("http://www.ncbi.nlm.nih.gov/Taxonomy/Browser/wwwtax.cgi?mode=Info&amp;id=50390&amp;lvl=3&amp;lin=f&amp;keep=1&amp;srchmode=1&amp;unlock","50390")</f>
        <v>50390</v>
      </c>
      <c r="F4361" t="s">
        <v>760</v>
      </c>
      <c r="G4361" t="str">
        <f>HYPERLINK("http://www.ncbi.nlm.nih.gov/Taxonomy/Browser/wwwtax.cgi?mode=Info&amp;id=50390&amp;lvl=3&amp;lin=f&amp;keep=1&amp;srchmode=1&amp;unlock","Diabrotica virgifera virgifera")</f>
        <v>Diabrotica virgifera virgifera</v>
      </c>
      <c r="H4361" t="s">
        <v>937</v>
      </c>
      <c r="I4361" t="str">
        <f>HYPERLINK("http://www.ncbi.nlm.nih.gov/protein/XP_050517098.1","ryanodine receptor isoform X5")</f>
        <v>ryanodine receptor isoform X5</v>
      </c>
      <c r="J4361">
        <v>2417.11</v>
      </c>
      <c r="K4361" t="s">
        <v>22</v>
      </c>
      <c r="L4361">
        <v>76</v>
      </c>
      <c r="M4361">
        <v>12.58</v>
      </c>
      <c r="N4361">
        <v>23.79</v>
      </c>
      <c r="O4361" t="s">
        <v>19</v>
      </c>
      <c r="P4361" t="s">
        <v>1320</v>
      </c>
      <c r="Q4361" t="s">
        <v>19</v>
      </c>
      <c r="R4361" t="str">
        <f>HYPERLINK("https://cfpub.epa.gov/ecotox/explore.cfm?ncbi=50390","Explore in ECOTOX")</f>
        <v>Explore in ECOTOX</v>
      </c>
    </row>
    <row r="4362" spans="1:18" x14ac:dyDescent="0.45">
      <c r="A4362" t="s">
        <v>1265</v>
      </c>
      <c r="B4362">
        <v>8</v>
      </c>
      <c r="C4362" t="str">
        <f>HYPERLINK("http://www.ncbi.nlm.nih.gov/protein/EFX89429.1","EFX89429.1")</f>
        <v>EFX89429.1</v>
      </c>
      <c r="D4362">
        <v>62607</v>
      </c>
      <c r="E4362" t="str">
        <f>HYPERLINK("http://www.ncbi.nlm.nih.gov/Taxonomy/Browser/wwwtax.cgi?mode=Info&amp;id=6669&amp;lvl=3&amp;lin=f&amp;keep=1&amp;srchmode=1&amp;unlock","6669")</f>
        <v>6669</v>
      </c>
      <c r="F4362" t="s">
        <v>1073</v>
      </c>
      <c r="G4362" t="str">
        <f>HYPERLINK("http://www.ncbi.nlm.nih.gov/Taxonomy/Browser/wwwtax.cgi?mode=Info&amp;id=6669&amp;lvl=3&amp;lin=f&amp;keep=1&amp;srchmode=1&amp;unlock","Daphnia pulex")</f>
        <v>Daphnia pulex</v>
      </c>
      <c r="H4362" t="s">
        <v>1089</v>
      </c>
      <c r="I4362" t="str">
        <f>HYPERLINK("http://www.ncbi.nlm.nih.gov/protein/EFX89429.1","hypothetical protein DAPPUDRAFT_310496")</f>
        <v>hypothetical protein DAPPUDRAFT_310496</v>
      </c>
      <c r="J4362">
        <v>2417.11</v>
      </c>
      <c r="K4362" t="s">
        <v>22</v>
      </c>
      <c r="L4362">
        <v>76</v>
      </c>
      <c r="M4362">
        <v>12.58</v>
      </c>
      <c r="N4362">
        <v>23.79</v>
      </c>
      <c r="O4362" t="s">
        <v>19</v>
      </c>
      <c r="P4362" t="s">
        <v>1320</v>
      </c>
      <c r="Q4362" t="s">
        <v>19</v>
      </c>
      <c r="R4362" t="str">
        <f>HYPERLINK("https://cfpub.epa.gov/ecotox/explore.cfm?ncbi=6669","Explore in ECOTOX")</f>
        <v>Explore in ECOTOX</v>
      </c>
    </row>
    <row r="4363" spans="1:18" x14ac:dyDescent="0.45">
      <c r="A4363" t="s">
        <v>1265</v>
      </c>
      <c r="B4363">
        <v>8</v>
      </c>
      <c r="C4363" t="str">
        <f>HYPERLINK("http://www.ncbi.nlm.nih.gov/protein/CAG9841016.1","CAG9841016.1")</f>
        <v>CAG9841016.1</v>
      </c>
      <c r="D4363">
        <v>15931</v>
      </c>
      <c r="E4363" t="str">
        <f>HYPERLINK("http://www.ncbi.nlm.nih.gov/Taxonomy/Browser/wwwtax.cgi?mode=Info&amp;id=107213&amp;lvl=3&amp;lin=f&amp;keep=1&amp;srchmode=1&amp;unlock","107213")</f>
        <v>107213</v>
      </c>
      <c r="F4363" t="s">
        <v>760</v>
      </c>
      <c r="G4363" t="str">
        <f>HYPERLINK("http://www.ncbi.nlm.nih.gov/Taxonomy/Browser/wwwtax.cgi?mode=Info&amp;id=107213&amp;lvl=3&amp;lin=f&amp;keep=1&amp;srchmode=1&amp;unlock","Diabrotica balteata")</f>
        <v>Diabrotica balteata</v>
      </c>
      <c r="H4363" t="s">
        <v>876</v>
      </c>
      <c r="I4363" t="str">
        <f>HYPERLINK("http://www.ncbi.nlm.nih.gov/protein/CAG9841016.1","unnamed protein product")</f>
        <v>unnamed protein product</v>
      </c>
      <c r="J4363">
        <v>2411.34</v>
      </c>
      <c r="K4363" t="s">
        <v>22</v>
      </c>
      <c r="L4363">
        <v>76</v>
      </c>
      <c r="M4363">
        <v>12.58</v>
      </c>
      <c r="N4363">
        <v>23.73</v>
      </c>
      <c r="O4363" t="s">
        <v>19</v>
      </c>
      <c r="P4363" t="s">
        <v>1320</v>
      </c>
      <c r="Q4363" t="s">
        <v>19</v>
      </c>
      <c r="R4363" t="str">
        <f>HYPERLINK("https://cfpub.epa.gov/ecotox/explore.cfm?ncbi=107213","Explore in ECOTOX")</f>
        <v>Explore in ECOTOX</v>
      </c>
    </row>
    <row r="4364" spans="1:18" x14ac:dyDescent="0.45">
      <c r="A4364" t="s">
        <v>1265</v>
      </c>
      <c r="B4364">
        <v>8</v>
      </c>
      <c r="C4364" t="str">
        <f>HYPERLINK("http://www.ncbi.nlm.nih.gov/protein/XP_040073761.2","XP_040073761.2")</f>
        <v>XP_040073761.2</v>
      </c>
      <c r="D4364">
        <v>55881</v>
      </c>
      <c r="E4364" t="str">
        <f>HYPERLINK("http://www.ncbi.nlm.nih.gov/Taxonomy/Browser/wwwtax.cgi?mode=Info&amp;id=6945&amp;lvl=3&amp;lin=f&amp;keep=1&amp;srchmode=1&amp;unlock","6945")</f>
        <v>6945</v>
      </c>
      <c r="F4364" t="s">
        <v>904</v>
      </c>
      <c r="G4364" t="str">
        <f>HYPERLINK("http://www.ncbi.nlm.nih.gov/Taxonomy/Browser/wwwtax.cgi?mode=Info&amp;id=6945&amp;lvl=3&amp;lin=f&amp;keep=1&amp;srchmode=1&amp;unlock","Ixodes scapularis")</f>
        <v>Ixodes scapularis</v>
      </c>
      <c r="H4364" t="s">
        <v>969</v>
      </c>
      <c r="I4364" t="str">
        <f>HYPERLINK("http://www.ncbi.nlm.nih.gov/protein/XP_040073761.2","ryanodine receptor")</f>
        <v>ryanodine receptor</v>
      </c>
      <c r="J4364">
        <v>2407.48</v>
      </c>
      <c r="K4364" t="s">
        <v>22</v>
      </c>
      <c r="L4364">
        <v>76</v>
      </c>
      <c r="M4364">
        <v>12.58</v>
      </c>
      <c r="N4364">
        <v>23.69</v>
      </c>
      <c r="O4364" t="s">
        <v>19</v>
      </c>
      <c r="P4364" t="s">
        <v>1320</v>
      </c>
      <c r="Q4364" t="s">
        <v>19</v>
      </c>
      <c r="R4364" t="str">
        <f>HYPERLINK("https://cfpub.epa.gov/ecotox/explore.cfm?ncbi=6945","Explore in ECOTOX")</f>
        <v>Explore in ECOTOX</v>
      </c>
    </row>
    <row r="4365" spans="1:18" x14ac:dyDescent="0.45">
      <c r="A4365" t="s">
        <v>1265</v>
      </c>
      <c r="B4365">
        <v>8</v>
      </c>
      <c r="C4365" t="str">
        <f>HYPERLINK("http://www.ncbi.nlm.nih.gov/protein/XP_042892545.1","XP_042892545.1")</f>
        <v>XP_042892545.1</v>
      </c>
      <c r="D4365">
        <v>40256</v>
      </c>
      <c r="E4365" t="str">
        <f>HYPERLINK("http://www.ncbi.nlm.nih.gov/Taxonomy/Browser/wwwtax.cgi?mode=Info&amp;id=27405&amp;lvl=3&amp;lin=f&amp;keep=1&amp;srchmode=1&amp;unlock","27405")</f>
        <v>27405</v>
      </c>
      <c r="F4365" t="s">
        <v>779</v>
      </c>
      <c r="G4365" t="str">
        <f>HYPERLINK("http://www.ncbi.nlm.nih.gov/Taxonomy/Browser/wwwtax.cgi?mode=Info&amp;id=27405&amp;lvl=3&amp;lin=f&amp;keep=1&amp;srchmode=1&amp;unlock","Penaeus japonicus")</f>
        <v>Penaeus japonicus</v>
      </c>
      <c r="H4365" t="s">
        <v>824</v>
      </c>
      <c r="I4365" t="str">
        <f>HYPERLINK("http://www.ncbi.nlm.nih.gov/protein/XP_042892545.1","ryanodine receptor-like isoform X7")</f>
        <v>ryanodine receptor-like isoform X7</v>
      </c>
      <c r="J4365">
        <v>2405.94</v>
      </c>
      <c r="K4365" t="s">
        <v>22</v>
      </c>
      <c r="L4365">
        <v>76</v>
      </c>
      <c r="M4365">
        <v>12.58</v>
      </c>
      <c r="N4365">
        <v>23.68</v>
      </c>
      <c r="O4365" t="s">
        <v>19</v>
      </c>
      <c r="P4365" t="s">
        <v>1320</v>
      </c>
      <c r="Q4365" t="s">
        <v>19</v>
      </c>
      <c r="R4365" t="str">
        <f>HYPERLINK("https://cfpub.epa.gov/ecotox/explore.cfm?ncbi=27405","Explore in ECOTOX")</f>
        <v>Explore in ECOTOX</v>
      </c>
    </row>
    <row r="4366" spans="1:18" x14ac:dyDescent="0.45">
      <c r="A4366" t="s">
        <v>1265</v>
      </c>
      <c r="B4366">
        <v>8</v>
      </c>
      <c r="C4366" t="str">
        <f>HYPERLINK("http://www.ncbi.nlm.nih.gov/protein/KAK4295194.1","KAK4295194.1")</f>
        <v>KAK4295194.1</v>
      </c>
      <c r="D4366">
        <v>42854</v>
      </c>
      <c r="E4366" t="str">
        <f>HYPERLINK("http://www.ncbi.nlm.nih.gov/Taxonomy/Browser/wwwtax.cgi?mode=Info&amp;id=1843537&amp;lvl=3&amp;lin=f&amp;keep=1&amp;srchmode=1&amp;unlock","1843537")</f>
        <v>1843537</v>
      </c>
      <c r="F4366" t="s">
        <v>779</v>
      </c>
      <c r="G4366" t="str">
        <f>HYPERLINK("http://www.ncbi.nlm.nih.gov/Taxonomy/Browser/wwwtax.cgi?mode=Info&amp;id=1843537&amp;lvl=3&amp;lin=f&amp;keep=1&amp;srchmode=1&amp;unlock","Petrolisthes manimaculis")</f>
        <v>Petrolisthes manimaculis</v>
      </c>
      <c r="H4366" t="s">
        <v>1091</v>
      </c>
      <c r="I4366" t="str">
        <f>HYPERLINK("http://www.ncbi.nlm.nih.gov/protein/KAK4295194.1","hypothetical protein Pmani_032231, partial")</f>
        <v>hypothetical protein Pmani_032231, partial</v>
      </c>
      <c r="J4366">
        <v>2395.54</v>
      </c>
      <c r="K4366" t="s">
        <v>22</v>
      </c>
      <c r="L4366">
        <v>76</v>
      </c>
      <c r="M4366">
        <v>12.58</v>
      </c>
      <c r="N4366">
        <v>23.58</v>
      </c>
      <c r="O4366" t="s">
        <v>19</v>
      </c>
      <c r="P4366" t="s">
        <v>1320</v>
      </c>
      <c r="Q4366" t="s">
        <v>19</v>
      </c>
      <c r="R4366" t="str">
        <f>HYPERLINK("https://cfpub.epa.gov/ecotox/explore.cfm?ncbi=1843537","Explore in ECOTOX")</f>
        <v>Explore in ECOTOX</v>
      </c>
    </row>
    <row r="4367" spans="1:18" x14ac:dyDescent="0.45">
      <c r="A4367" t="s">
        <v>1265</v>
      </c>
      <c r="B4367">
        <v>8</v>
      </c>
      <c r="C4367" t="str">
        <f>HYPERLINK("http://www.ncbi.nlm.nih.gov/protein/KAG8184851.1","KAG8184851.1")</f>
        <v>KAG8184851.1</v>
      </c>
      <c r="D4367">
        <v>32264</v>
      </c>
      <c r="E4367" t="str">
        <f>HYPERLINK("http://www.ncbi.nlm.nih.gov/Taxonomy/Browser/wwwtax.cgi?mode=Info&amp;id=931172&amp;lvl=3&amp;lin=f&amp;keep=1&amp;srchmode=1&amp;unlock","931172")</f>
        <v>931172</v>
      </c>
      <c r="F4367" t="s">
        <v>904</v>
      </c>
      <c r="G4367" t="str">
        <f>HYPERLINK("http://www.ncbi.nlm.nih.gov/Taxonomy/Browser/wwwtax.cgi?mode=Info&amp;id=931172&amp;lvl=3&amp;lin=f&amp;keep=1&amp;srchmode=1&amp;unlock","Oedothorax gibbosus")</f>
        <v>Oedothorax gibbosus</v>
      </c>
      <c r="H4367" t="s">
        <v>1082</v>
      </c>
      <c r="I4367" t="str">
        <f>HYPERLINK("http://www.ncbi.nlm.nih.gov/protein/KAG8184851.1","hypothetical protein JTE90_012099")</f>
        <v>hypothetical protein JTE90_012099</v>
      </c>
      <c r="J4367">
        <v>2394.77</v>
      </c>
      <c r="K4367" t="s">
        <v>22</v>
      </c>
      <c r="L4367">
        <v>76</v>
      </c>
      <c r="M4367">
        <v>12.58</v>
      </c>
      <c r="N4367">
        <v>23.57</v>
      </c>
      <c r="O4367" t="s">
        <v>19</v>
      </c>
      <c r="P4367" t="s">
        <v>1320</v>
      </c>
      <c r="Q4367" t="s">
        <v>19</v>
      </c>
      <c r="R4367" t="str">
        <f>HYPERLINK("https://cfpub.epa.gov/ecotox/explore.cfm?ncbi=931172","Explore in ECOTOX")</f>
        <v>Explore in ECOTOX</v>
      </c>
    </row>
    <row r="4368" spans="1:18" x14ac:dyDescent="0.45">
      <c r="A4368" t="s">
        <v>1265</v>
      </c>
      <c r="B4368">
        <v>8</v>
      </c>
      <c r="C4368" t="str">
        <f>HYPERLINK("http://www.ncbi.nlm.nih.gov/protein/KAK3867881.1","KAK3867881.1")</f>
        <v>KAK3867881.1</v>
      </c>
      <c r="D4368">
        <v>47484</v>
      </c>
      <c r="E4368" t="str">
        <f>HYPERLINK("http://www.ncbi.nlm.nih.gov/Taxonomy/Browser/wwwtax.cgi?mode=Info&amp;id=88211&amp;lvl=3&amp;lin=f&amp;keep=1&amp;srchmode=1&amp;unlock","88211")</f>
        <v>88211</v>
      </c>
      <c r="F4368" t="s">
        <v>779</v>
      </c>
      <c r="G4368" t="str">
        <f>HYPERLINK("http://www.ncbi.nlm.nih.gov/Taxonomy/Browser/wwwtax.cgi?mode=Info&amp;id=88211&amp;lvl=3&amp;lin=f&amp;keep=1&amp;srchmode=1&amp;unlock","Petrolisthes cinctipes")</f>
        <v>Petrolisthes cinctipes</v>
      </c>
      <c r="H4368" t="s">
        <v>1094</v>
      </c>
      <c r="I4368" t="str">
        <f>HYPERLINK("http://www.ncbi.nlm.nih.gov/protein/KAK3867881.1","hypothetical protein Pcinc_026695, partial")</f>
        <v>hypothetical protein Pcinc_026695, partial</v>
      </c>
      <c r="J4368">
        <v>2393.62</v>
      </c>
      <c r="K4368" t="s">
        <v>22</v>
      </c>
      <c r="L4368">
        <v>76</v>
      </c>
      <c r="M4368">
        <v>12.58</v>
      </c>
      <c r="N4368">
        <v>23.56</v>
      </c>
      <c r="O4368" t="s">
        <v>19</v>
      </c>
      <c r="P4368" t="s">
        <v>1320</v>
      </c>
      <c r="Q4368" t="s">
        <v>19</v>
      </c>
      <c r="R4368" t="str">
        <f>HYPERLINK("https://cfpub.epa.gov/ecotox/explore.cfm?ncbi=88211","Explore in ECOTOX")</f>
        <v>Explore in ECOTOX</v>
      </c>
    </row>
    <row r="4369" spans="1:18" x14ac:dyDescent="0.45">
      <c r="A4369" t="s">
        <v>1265</v>
      </c>
      <c r="B4369">
        <v>8</v>
      </c>
      <c r="C4369" t="str">
        <f>HYPERLINK("http://www.ncbi.nlm.nih.gov/protein/XP_022252763.1","XP_022252763.1")</f>
        <v>XP_022252763.1</v>
      </c>
      <c r="D4369">
        <v>39085</v>
      </c>
      <c r="E4369" t="str">
        <f>HYPERLINK("http://www.ncbi.nlm.nih.gov/Taxonomy/Browser/wwwtax.cgi?mode=Info&amp;id=6850&amp;lvl=3&amp;lin=f&amp;keep=1&amp;srchmode=1&amp;unlock","6850")</f>
        <v>6850</v>
      </c>
      <c r="F4369" t="s">
        <v>981</v>
      </c>
      <c r="G4369" t="str">
        <f>HYPERLINK("http://www.ncbi.nlm.nih.gov/Taxonomy/Browser/wwwtax.cgi?mode=Info&amp;id=6850&amp;lvl=3&amp;lin=f&amp;keep=1&amp;srchmode=1&amp;unlock","Limulus polyphemus")</f>
        <v>Limulus polyphemus</v>
      </c>
      <c r="H4369" t="s">
        <v>982</v>
      </c>
      <c r="I4369" t="str">
        <f>HYPERLINK("http://www.ncbi.nlm.nih.gov/protein/XP_022252763.1","ryanodine receptor-like, partial")</f>
        <v>ryanodine receptor-like, partial</v>
      </c>
      <c r="J4369">
        <v>2392.08</v>
      </c>
      <c r="K4369" t="s">
        <v>22</v>
      </c>
      <c r="L4369">
        <v>76</v>
      </c>
      <c r="M4369">
        <v>12.58</v>
      </c>
      <c r="N4369">
        <v>23.54</v>
      </c>
      <c r="O4369" t="s">
        <v>19</v>
      </c>
      <c r="P4369" t="s">
        <v>1320</v>
      </c>
      <c r="Q4369" t="s">
        <v>19</v>
      </c>
      <c r="R4369" t="str">
        <f>HYPERLINK("https://cfpub.epa.gov/ecotox/explore.cfm?ncbi=6850","Explore in ECOTOX")</f>
        <v>Explore in ECOTOX</v>
      </c>
    </row>
    <row r="4370" spans="1:18" x14ac:dyDescent="0.45">
      <c r="A4370" t="s">
        <v>1265</v>
      </c>
      <c r="B4370">
        <v>8</v>
      </c>
      <c r="C4370" t="str">
        <f>HYPERLINK("http://www.ncbi.nlm.nih.gov/protein/XP_035704014.1","XP_035704014.1")</f>
        <v>XP_035704014.1</v>
      </c>
      <c r="D4370">
        <v>66154</v>
      </c>
      <c r="E4370" t="str">
        <f>HYPERLINK("http://www.ncbi.nlm.nih.gov/Taxonomy/Browser/wwwtax.cgi?mode=Info&amp;id=158441&amp;lvl=3&amp;lin=f&amp;keep=1&amp;srchmode=1&amp;unlock","158441")</f>
        <v>158441</v>
      </c>
      <c r="F4370" t="s">
        <v>999</v>
      </c>
      <c r="G4370" t="str">
        <f>HYPERLINK("http://www.ncbi.nlm.nih.gov/Taxonomy/Browser/wwwtax.cgi?mode=Info&amp;id=158441&amp;lvl=3&amp;lin=f&amp;keep=1&amp;srchmode=1&amp;unlock","Folsomia candida")</f>
        <v>Folsomia candida</v>
      </c>
      <c r="H4370" t="s">
        <v>1000</v>
      </c>
      <c r="I4370" t="str">
        <f>HYPERLINK("http://www.ncbi.nlm.nih.gov/protein/XP_035704014.1","ryanodine receptor isoform X9")</f>
        <v>ryanodine receptor isoform X9</v>
      </c>
      <c r="J4370">
        <v>2391.69</v>
      </c>
      <c r="K4370" t="s">
        <v>22</v>
      </c>
      <c r="L4370">
        <v>76</v>
      </c>
      <c r="M4370">
        <v>12.58</v>
      </c>
      <c r="N4370">
        <v>23.54</v>
      </c>
      <c r="O4370" t="s">
        <v>19</v>
      </c>
      <c r="P4370" t="s">
        <v>1320</v>
      </c>
      <c r="Q4370" t="s">
        <v>19</v>
      </c>
      <c r="R4370" t="str">
        <f>HYPERLINK("https://cfpub.epa.gov/ecotox/explore.cfm?ncbi=158441","Explore in ECOTOX")</f>
        <v>Explore in ECOTOX</v>
      </c>
    </row>
    <row r="4371" spans="1:18" x14ac:dyDescent="0.45">
      <c r="A4371" t="s">
        <v>1265</v>
      </c>
      <c r="B4371">
        <v>8</v>
      </c>
      <c r="C4371" t="str">
        <f>HYPERLINK("http://www.ncbi.nlm.nih.gov/protein/XP_022665128.1","XP_022665128.1")</f>
        <v>XP_022665128.1</v>
      </c>
      <c r="D4371">
        <v>30713</v>
      </c>
      <c r="E4371" t="str">
        <f>HYPERLINK("http://www.ncbi.nlm.nih.gov/Taxonomy/Browser/wwwtax.cgi?mode=Info&amp;id=109461&amp;lvl=3&amp;lin=f&amp;keep=1&amp;srchmode=1&amp;unlock","109461")</f>
        <v>109461</v>
      </c>
      <c r="F4371" t="s">
        <v>904</v>
      </c>
      <c r="G4371" t="str">
        <f>HYPERLINK("http://www.ncbi.nlm.nih.gov/Taxonomy/Browser/wwwtax.cgi?mode=Info&amp;id=109461&amp;lvl=3&amp;lin=f&amp;keep=1&amp;srchmode=1&amp;unlock","Varroa destructor")</f>
        <v>Varroa destructor</v>
      </c>
      <c r="H4371" t="s">
        <v>1101</v>
      </c>
      <c r="I4371" t="str">
        <f>HYPERLINK("http://www.ncbi.nlm.nih.gov/protein/XP_022665128.1","LOW QUALITY PROTEIN: ryanodine receptor-like")</f>
        <v>LOW QUALITY PROTEIN: ryanodine receptor-like</v>
      </c>
      <c r="J4371">
        <v>2380.13</v>
      </c>
      <c r="K4371" t="s">
        <v>22</v>
      </c>
      <c r="L4371">
        <v>76</v>
      </c>
      <c r="M4371">
        <v>12.58</v>
      </c>
      <c r="N4371">
        <v>23.42</v>
      </c>
      <c r="O4371" t="s">
        <v>19</v>
      </c>
      <c r="P4371" t="s">
        <v>1320</v>
      </c>
      <c r="Q4371" t="s">
        <v>19</v>
      </c>
      <c r="R4371" t="str">
        <f>HYPERLINK("https://cfpub.epa.gov/ecotox/explore.cfm?ncbi=109461","Explore in ECOTOX")</f>
        <v>Explore in ECOTOX</v>
      </c>
    </row>
    <row r="4372" spans="1:18" x14ac:dyDescent="0.45">
      <c r="A4372" t="s">
        <v>1265</v>
      </c>
      <c r="B4372">
        <v>8</v>
      </c>
      <c r="C4372" t="str">
        <f>HYPERLINK("http://www.ncbi.nlm.nih.gov/protein/XP_022694949.1","XP_022694949.1")</f>
        <v>XP_022694949.1</v>
      </c>
      <c r="D4372">
        <v>26020</v>
      </c>
      <c r="E4372" t="str">
        <f>HYPERLINK("http://www.ncbi.nlm.nih.gov/Taxonomy/Browser/wwwtax.cgi?mode=Info&amp;id=62625&amp;lvl=3&amp;lin=f&amp;keep=1&amp;srchmode=1&amp;unlock","62625")</f>
        <v>62625</v>
      </c>
      <c r="F4372" t="s">
        <v>904</v>
      </c>
      <c r="G4372" t="str">
        <f>HYPERLINK("http://www.ncbi.nlm.nih.gov/Taxonomy/Browser/wwwtax.cgi?mode=Info&amp;id=62625&amp;lvl=3&amp;lin=f&amp;keep=1&amp;srchmode=1&amp;unlock","Varroa jacobsoni")</f>
        <v>Varroa jacobsoni</v>
      </c>
      <c r="H4372" t="s">
        <v>992</v>
      </c>
      <c r="I4372" t="str">
        <f>HYPERLINK("http://www.ncbi.nlm.nih.gov/protein/XP_022694949.1","LOW QUALITY PROTEIN: ryanodine receptor-like")</f>
        <v>LOW QUALITY PROTEIN: ryanodine receptor-like</v>
      </c>
      <c r="J4372">
        <v>2378.98</v>
      </c>
      <c r="K4372" t="s">
        <v>22</v>
      </c>
      <c r="L4372">
        <v>76</v>
      </c>
      <c r="M4372">
        <v>12.58</v>
      </c>
      <c r="N4372">
        <v>23.41</v>
      </c>
      <c r="O4372" t="s">
        <v>19</v>
      </c>
      <c r="P4372" t="s">
        <v>1320</v>
      </c>
      <c r="Q4372" t="s">
        <v>19</v>
      </c>
      <c r="R4372" t="str">
        <f>HYPERLINK("https://cfpub.epa.gov/ecotox/explore.cfm?ncbi=62625","Explore in ECOTOX")</f>
        <v>Explore in ECOTOX</v>
      </c>
    </row>
    <row r="4373" spans="1:18" x14ac:dyDescent="0.45">
      <c r="A4373" t="s">
        <v>1265</v>
      </c>
      <c r="B4373">
        <v>8</v>
      </c>
      <c r="C4373" t="str">
        <f>HYPERLINK("http://www.ncbi.nlm.nih.gov/protein/XP_046909164.1","XP_046909164.1")</f>
        <v>XP_046909164.1</v>
      </c>
      <c r="D4373">
        <v>40247</v>
      </c>
      <c r="E4373" t="str">
        <f>HYPERLINK("http://www.ncbi.nlm.nih.gov/Taxonomy/Browser/wwwtax.cgi?mode=Info&amp;id=6954&amp;lvl=3&amp;lin=f&amp;keep=1&amp;srchmode=1&amp;unlock","6954")</f>
        <v>6954</v>
      </c>
      <c r="F4373" t="s">
        <v>904</v>
      </c>
      <c r="G4373" t="str">
        <f>HYPERLINK("http://www.ncbi.nlm.nih.gov/Taxonomy/Browser/wwwtax.cgi?mode=Info&amp;id=6954&amp;lvl=3&amp;lin=f&amp;keep=1&amp;srchmode=1&amp;unlock","Dermatophagoides farinae")</f>
        <v>Dermatophagoides farinae</v>
      </c>
      <c r="H4373" t="s">
        <v>1001</v>
      </c>
      <c r="I4373" t="str">
        <f>HYPERLINK("http://www.ncbi.nlm.nih.gov/protein/XP_046909164.1","LOW QUALITY PROTEIN: ryanodine receptor-like")</f>
        <v>LOW QUALITY PROTEIN: ryanodine receptor-like</v>
      </c>
      <c r="J4373">
        <v>2375.5100000000002</v>
      </c>
      <c r="K4373" t="s">
        <v>22</v>
      </c>
      <c r="L4373">
        <v>76</v>
      </c>
      <c r="M4373">
        <v>12.58</v>
      </c>
      <c r="N4373">
        <v>23.38</v>
      </c>
      <c r="O4373" t="s">
        <v>19</v>
      </c>
      <c r="P4373" t="s">
        <v>1320</v>
      </c>
      <c r="Q4373" t="s">
        <v>19</v>
      </c>
      <c r="R4373" t="str">
        <f>HYPERLINK("https://cfpub.epa.gov/ecotox/explore.cfm?ncbi=6954","Explore in ECOTOX")</f>
        <v>Explore in ECOTOX</v>
      </c>
    </row>
    <row r="4374" spans="1:18" x14ac:dyDescent="0.45">
      <c r="A4374" t="s">
        <v>1265</v>
      </c>
      <c r="B4374">
        <v>8</v>
      </c>
      <c r="C4374" t="str">
        <f>HYPERLINK("http://www.ncbi.nlm.nih.gov/protein/KAJ6217176.1","KAJ6217176.1")</f>
        <v>KAJ6217176.1</v>
      </c>
      <c r="D4374">
        <v>27412</v>
      </c>
      <c r="E4374" t="str">
        <f>HYPERLINK("http://www.ncbi.nlm.nih.gov/Taxonomy/Browser/wwwtax.cgi?mode=Info&amp;id=40697&amp;lvl=3&amp;lin=f&amp;keep=1&amp;srchmode=1&amp;unlock","40697")</f>
        <v>40697</v>
      </c>
      <c r="F4374" t="s">
        <v>904</v>
      </c>
      <c r="G4374" t="str">
        <f>HYPERLINK("http://www.ncbi.nlm.nih.gov/Taxonomy/Browser/wwwtax.cgi?mode=Info&amp;id=40697&amp;lvl=3&amp;lin=f&amp;keep=1&amp;srchmode=1&amp;unlock","Blomia tropicalis")</f>
        <v>Blomia tropicalis</v>
      </c>
      <c r="H4374" t="s">
        <v>992</v>
      </c>
      <c r="I4374" t="str">
        <f>HYPERLINK("http://www.ncbi.nlm.nih.gov/protein/KAJ6217176.1","hypothetical protein RDWZM_008333")</f>
        <v>hypothetical protein RDWZM_008333</v>
      </c>
      <c r="J4374">
        <v>2373.59</v>
      </c>
      <c r="K4374" t="s">
        <v>22</v>
      </c>
      <c r="L4374">
        <v>76</v>
      </c>
      <c r="M4374">
        <v>12.58</v>
      </c>
      <c r="N4374">
        <v>23.36</v>
      </c>
      <c r="O4374" t="s">
        <v>19</v>
      </c>
      <c r="P4374" t="s">
        <v>1320</v>
      </c>
      <c r="Q4374" t="s">
        <v>19</v>
      </c>
      <c r="R4374" t="str">
        <f>HYPERLINK("https://cfpub.epa.gov/ecotox/explore.cfm?ncbi=40697","Explore in ECOTOX")</f>
        <v>Explore in ECOTOX</v>
      </c>
    </row>
    <row r="4375" spans="1:18" x14ac:dyDescent="0.45">
      <c r="A4375" t="s">
        <v>1265</v>
      </c>
      <c r="B4375">
        <v>8</v>
      </c>
      <c r="C4375" t="str">
        <f>HYPERLINK("http://www.ncbi.nlm.nih.gov/protein/XP_042241828.1","XP_042241828.1")</f>
        <v>XP_042241828.1</v>
      </c>
      <c r="D4375">
        <v>65984</v>
      </c>
      <c r="E4375" t="str">
        <f>HYPERLINK("http://www.ncbi.nlm.nih.gov/Taxonomy/Browser/wwwtax.cgi?mode=Info&amp;id=6706&amp;lvl=3&amp;lin=f&amp;keep=1&amp;srchmode=1&amp;unlock","6706")</f>
        <v>6706</v>
      </c>
      <c r="F4375" t="s">
        <v>779</v>
      </c>
      <c r="G4375" t="str">
        <f>HYPERLINK("http://www.ncbi.nlm.nih.gov/Taxonomy/Browser/wwwtax.cgi?mode=Info&amp;id=6706&amp;lvl=3&amp;lin=f&amp;keep=1&amp;srchmode=1&amp;unlock","Homarus americanus")</f>
        <v>Homarus americanus</v>
      </c>
      <c r="H4375" t="s">
        <v>1095</v>
      </c>
      <c r="I4375" t="str">
        <f>HYPERLINK("http://www.ncbi.nlm.nih.gov/protein/XP_042241828.1","LOW QUALITY PROTEIN: ryanodine receptor-like")</f>
        <v>LOW QUALITY PROTEIN: ryanodine receptor-like</v>
      </c>
      <c r="J4375">
        <v>2368.96</v>
      </c>
      <c r="K4375" t="s">
        <v>22</v>
      </c>
      <c r="L4375">
        <v>76</v>
      </c>
      <c r="M4375">
        <v>12.58</v>
      </c>
      <c r="N4375">
        <v>23.31</v>
      </c>
      <c r="O4375" t="s">
        <v>19</v>
      </c>
      <c r="P4375" t="s">
        <v>1320</v>
      </c>
      <c r="Q4375" t="s">
        <v>19</v>
      </c>
      <c r="R4375" t="str">
        <f>HYPERLINK("https://cfpub.epa.gov/ecotox/explore.cfm?ncbi=6706","Explore in ECOTOX")</f>
        <v>Explore in ECOTOX</v>
      </c>
    </row>
    <row r="4376" spans="1:18" x14ac:dyDescent="0.45">
      <c r="A4376" t="s">
        <v>1265</v>
      </c>
      <c r="B4376">
        <v>8</v>
      </c>
      <c r="C4376" t="str">
        <f>HYPERLINK("http://www.ncbi.nlm.nih.gov/protein/NP_001310043.1","NP_001310043.1")</f>
        <v>NP_001310043.1</v>
      </c>
      <c r="D4376">
        <v>16497</v>
      </c>
      <c r="E4376" t="str">
        <f>HYPERLINK("http://www.ncbi.nlm.nih.gov/Taxonomy/Browser/wwwtax.cgi?mode=Info&amp;id=32264&amp;lvl=3&amp;lin=f&amp;keep=1&amp;srchmode=1&amp;unlock","32264")</f>
        <v>32264</v>
      </c>
      <c r="F4376" t="s">
        <v>904</v>
      </c>
      <c r="G4376" t="str">
        <f>HYPERLINK("http://www.ncbi.nlm.nih.gov/Taxonomy/Browser/wwwtax.cgi?mode=Info&amp;id=32264&amp;lvl=3&amp;lin=f&amp;keep=1&amp;srchmode=1&amp;unlock","Tetranychus urticae")</f>
        <v>Tetranychus urticae</v>
      </c>
      <c r="H4376" t="s">
        <v>986</v>
      </c>
      <c r="I4376" t="str">
        <f>HYPERLINK("http://www.ncbi.nlm.nih.gov/protein/NP_001310043.1","ryanodine receptor-like")</f>
        <v>ryanodine receptor-like</v>
      </c>
      <c r="J4376">
        <v>2368.58</v>
      </c>
      <c r="K4376" t="s">
        <v>22</v>
      </c>
      <c r="L4376">
        <v>76</v>
      </c>
      <c r="M4376">
        <v>12.58</v>
      </c>
      <c r="N4376">
        <v>23.31</v>
      </c>
      <c r="O4376" t="s">
        <v>19</v>
      </c>
      <c r="P4376" t="s">
        <v>1320</v>
      </c>
      <c r="Q4376" t="s">
        <v>19</v>
      </c>
      <c r="R4376" t="str">
        <f>HYPERLINK("https://cfpub.epa.gov/ecotox/explore.cfm?ncbi=32264","Explore in ECOTOX")</f>
        <v>Explore in ECOTOX</v>
      </c>
    </row>
    <row r="4377" spans="1:18" x14ac:dyDescent="0.45">
      <c r="A4377" t="s">
        <v>1265</v>
      </c>
      <c r="B4377">
        <v>8</v>
      </c>
      <c r="C4377" t="str">
        <f>HYPERLINK("http://www.ncbi.nlm.nih.gov/protein/XP_043197983.1","XP_043197983.1")</f>
        <v>XP_043197983.1</v>
      </c>
      <c r="D4377">
        <v>88033</v>
      </c>
      <c r="E4377" t="str">
        <f>HYPERLINK("http://www.ncbi.nlm.nih.gov/Taxonomy/Browser/wwwtax.cgi?mode=Info&amp;id=1232801&amp;lvl=3&amp;lin=f&amp;keep=1&amp;srchmode=1&amp;unlock","1232801")</f>
        <v>1232801</v>
      </c>
      <c r="F4377" t="s">
        <v>997</v>
      </c>
      <c r="G4377" t="str">
        <f>HYPERLINK("http://www.ncbi.nlm.nih.gov/Taxonomy/Browser/wwwtax.cgi?mode=Info&amp;id=1232801&amp;lvl=3&amp;lin=f&amp;keep=1&amp;srchmode=1&amp;unlock","Amphibalanus amphitrite")</f>
        <v>Amphibalanus amphitrite</v>
      </c>
      <c r="H4377" t="s">
        <v>998</v>
      </c>
      <c r="I4377" t="str">
        <f>HYPERLINK("http://www.ncbi.nlm.nih.gov/protein/XP_043197983.1","ryanodine receptor-like isoform X7")</f>
        <v>ryanodine receptor-like isoform X7</v>
      </c>
      <c r="J4377">
        <v>2363.19</v>
      </c>
      <c r="K4377" t="s">
        <v>22</v>
      </c>
      <c r="L4377">
        <v>76</v>
      </c>
      <c r="M4377">
        <v>12.58</v>
      </c>
      <c r="N4377">
        <v>23.26</v>
      </c>
      <c r="O4377" t="s">
        <v>19</v>
      </c>
      <c r="P4377" t="s">
        <v>1320</v>
      </c>
      <c r="Q4377" t="s">
        <v>19</v>
      </c>
      <c r="R4377" t="str">
        <f>HYPERLINK("https://cfpub.epa.gov/ecotox/explore.cfm?ncbi=1232801","Explore in ECOTOX")</f>
        <v>Explore in ECOTOX</v>
      </c>
    </row>
    <row r="4378" spans="1:18" x14ac:dyDescent="0.45">
      <c r="A4378" t="s">
        <v>1265</v>
      </c>
      <c r="B4378">
        <v>8</v>
      </c>
      <c r="C4378" t="str">
        <f>HYPERLINK("http://www.ncbi.nlm.nih.gov/protein/XP_054156136.1","XP_054156136.1")</f>
        <v>XP_054156136.1</v>
      </c>
      <c r="D4378">
        <v>17051</v>
      </c>
      <c r="E4378" t="str">
        <f>HYPERLINK("http://www.ncbi.nlm.nih.gov/Taxonomy/Browser/wwwtax.cgi?mode=Info&amp;id=1686743&amp;lvl=3&amp;lin=f&amp;keep=1&amp;srchmode=1&amp;unlock","1686743")</f>
        <v>1686743</v>
      </c>
      <c r="F4378" t="s">
        <v>904</v>
      </c>
      <c r="G4378" t="str">
        <f>HYPERLINK("http://www.ncbi.nlm.nih.gov/Taxonomy/Browser/wwwtax.cgi?mode=Info&amp;id=1686743&amp;lvl=3&amp;lin=f&amp;keep=1&amp;srchmode=1&amp;unlock","Oppia nitens")</f>
        <v>Oppia nitens</v>
      </c>
      <c r="H4378" t="s">
        <v>995</v>
      </c>
      <c r="I4378" t="str">
        <f>HYPERLINK("http://www.ncbi.nlm.nih.gov/protein/XP_054156136.1","ryanodine receptor-like isoform X6")</f>
        <v>ryanodine receptor-like isoform X6</v>
      </c>
      <c r="J4378">
        <v>2361.2600000000002</v>
      </c>
      <c r="K4378" t="s">
        <v>22</v>
      </c>
      <c r="L4378">
        <v>76</v>
      </c>
      <c r="M4378">
        <v>12.58</v>
      </c>
      <c r="N4378">
        <v>23.24</v>
      </c>
      <c r="O4378" t="s">
        <v>19</v>
      </c>
      <c r="P4378" t="s">
        <v>1320</v>
      </c>
      <c r="Q4378" t="s">
        <v>19</v>
      </c>
      <c r="R4378" t="str">
        <f>HYPERLINK("https://cfpub.epa.gov/ecotox/explore.cfm?ncbi=1686743","Explore in ECOTOX")</f>
        <v>Explore in ECOTOX</v>
      </c>
    </row>
    <row r="4379" spans="1:18" x14ac:dyDescent="0.45">
      <c r="A4379" t="s">
        <v>1265</v>
      </c>
      <c r="B4379">
        <v>8</v>
      </c>
      <c r="C4379" t="str">
        <f>HYPERLINK("http://www.ncbi.nlm.nih.gov/protein/KAF2367666.1","KAF2367666.1")</f>
        <v>KAF2367666.1</v>
      </c>
      <c r="D4379">
        <v>26121</v>
      </c>
      <c r="E4379" t="str">
        <f>HYPERLINK("http://www.ncbi.nlm.nih.gov/Taxonomy/Browser/wwwtax.cgi?mode=Info&amp;id=1923959&amp;lvl=3&amp;lin=f&amp;keep=1&amp;srchmode=1&amp;unlock","1923959")</f>
        <v>1923959</v>
      </c>
      <c r="F4379" t="s">
        <v>779</v>
      </c>
      <c r="G4379" t="str">
        <f>HYPERLINK("http://www.ncbi.nlm.nih.gov/Taxonomy/Browser/wwwtax.cgi?mode=Info&amp;id=1923959&amp;lvl=3&amp;lin=f&amp;keep=1&amp;srchmode=1&amp;unlock","Trinorchestia longiramus")</f>
        <v>Trinorchestia longiramus</v>
      </c>
      <c r="H4379" t="s">
        <v>1102</v>
      </c>
      <c r="I4379" t="str">
        <f>HYPERLINK("http://www.ncbi.nlm.nih.gov/protein/KAF2367666.1","Ryanodine receptor Ryr")</f>
        <v>Ryanodine receptor Ryr</v>
      </c>
      <c r="J4379">
        <v>2343.54</v>
      </c>
      <c r="K4379" t="s">
        <v>22</v>
      </c>
      <c r="L4379">
        <v>76</v>
      </c>
      <c r="M4379">
        <v>12.58</v>
      </c>
      <c r="N4379">
        <v>23.06</v>
      </c>
      <c r="O4379" t="s">
        <v>19</v>
      </c>
      <c r="P4379" t="s">
        <v>1320</v>
      </c>
      <c r="Q4379" t="s">
        <v>19</v>
      </c>
      <c r="R4379" t="str">
        <f>HYPERLINK("https://cfpub.epa.gov/ecotox/explore.cfm?ncbi=1923959","Explore in ECOTOX")</f>
        <v>Explore in ECOTOX</v>
      </c>
    </row>
    <row r="4380" spans="1:18" x14ac:dyDescent="0.45">
      <c r="A4380" t="s">
        <v>1265</v>
      </c>
      <c r="B4380">
        <v>8</v>
      </c>
      <c r="C4380" t="str">
        <f>HYPERLINK("http://www.ncbi.nlm.nih.gov/protein/XP_027204614.1","XP_027204614.1")</f>
        <v>XP_027204614.1</v>
      </c>
      <c r="D4380">
        <v>27767</v>
      </c>
      <c r="E4380" t="str">
        <f>HYPERLINK("http://www.ncbi.nlm.nih.gov/Taxonomy/Browser/wwwtax.cgi?mode=Info&amp;id=6956&amp;lvl=3&amp;lin=f&amp;keep=1&amp;srchmode=1&amp;unlock","6956")</f>
        <v>6956</v>
      </c>
      <c r="F4380" t="s">
        <v>904</v>
      </c>
      <c r="G4380" t="str">
        <f>HYPERLINK("http://www.ncbi.nlm.nih.gov/Taxonomy/Browser/wwwtax.cgi?mode=Info&amp;id=6956&amp;lvl=3&amp;lin=f&amp;keep=1&amp;srchmode=1&amp;unlock","Dermatophagoides pteronyssinus")</f>
        <v>Dermatophagoides pteronyssinus</v>
      </c>
      <c r="H4380" t="s">
        <v>1103</v>
      </c>
      <c r="I4380" t="str">
        <f>HYPERLINK("http://www.ncbi.nlm.nih.gov/protein/XP_027204614.1","ryanodine receptor-like")</f>
        <v>ryanodine receptor-like</v>
      </c>
      <c r="J4380">
        <v>2343.15</v>
      </c>
      <c r="K4380" t="s">
        <v>22</v>
      </c>
      <c r="L4380">
        <v>76</v>
      </c>
      <c r="M4380">
        <v>12.58</v>
      </c>
      <c r="N4380">
        <v>23.06</v>
      </c>
      <c r="O4380" t="s">
        <v>19</v>
      </c>
      <c r="P4380" t="s">
        <v>1320</v>
      </c>
      <c r="Q4380" t="s">
        <v>19</v>
      </c>
      <c r="R4380" t="str">
        <f>HYPERLINK("https://cfpub.epa.gov/ecotox/explore.cfm?ncbi=6956","Explore in ECOTOX")</f>
        <v>Explore in ECOTOX</v>
      </c>
    </row>
    <row r="4381" spans="1:18" x14ac:dyDescent="0.45">
      <c r="A4381" t="s">
        <v>1265</v>
      </c>
      <c r="B4381">
        <v>8</v>
      </c>
      <c r="C4381" t="str">
        <f>HYPERLINK("http://www.ncbi.nlm.nih.gov/protein/XP_053626989.1","XP_053626989.1")</f>
        <v>XP_053626989.1</v>
      </c>
      <c r="D4381">
        <v>32058</v>
      </c>
      <c r="E4381" t="str">
        <f>HYPERLINK("http://www.ncbi.nlm.nih.gov/Taxonomy/Browser/wwwtax.cgi?mode=Info&amp;id=27406&amp;lvl=3&amp;lin=f&amp;keep=1&amp;srchmode=1&amp;unlock","27406")</f>
        <v>27406</v>
      </c>
      <c r="F4381" t="s">
        <v>779</v>
      </c>
      <c r="G4381" t="str">
        <f>HYPERLINK("http://www.ncbi.nlm.nih.gov/Taxonomy/Browser/wwwtax.cgi?mode=Info&amp;id=27406&amp;lvl=3&amp;lin=f&amp;keep=1&amp;srchmode=1&amp;unlock","Cherax quadricarinatus")</f>
        <v>Cherax quadricarinatus</v>
      </c>
      <c r="H4381" t="s">
        <v>826</v>
      </c>
      <c r="I4381" t="str">
        <f>HYPERLINK("http://www.ncbi.nlm.nih.gov/protein/XP_053626989.1","LOW QUALITY PROTEIN: ryanodine receptor-like")</f>
        <v>LOW QUALITY PROTEIN: ryanodine receptor-like</v>
      </c>
      <c r="J4381">
        <v>2334.3000000000002</v>
      </c>
      <c r="K4381" t="s">
        <v>22</v>
      </c>
      <c r="L4381">
        <v>76</v>
      </c>
      <c r="M4381">
        <v>12.58</v>
      </c>
      <c r="N4381">
        <v>22.97</v>
      </c>
      <c r="O4381" t="s">
        <v>19</v>
      </c>
      <c r="P4381" t="s">
        <v>1320</v>
      </c>
      <c r="Q4381" t="s">
        <v>19</v>
      </c>
      <c r="R4381" t="str">
        <f>HYPERLINK("https://cfpub.epa.gov/ecotox/explore.cfm?ncbi=27406","Explore in ECOTOX")</f>
        <v>Explore in ECOTOX</v>
      </c>
    </row>
    <row r="4382" spans="1:18" x14ac:dyDescent="0.45">
      <c r="A4382" t="s">
        <v>1265</v>
      </c>
      <c r="B4382">
        <v>8</v>
      </c>
      <c r="C4382" t="str">
        <f>HYPERLINK("http://www.ncbi.nlm.nih.gov/protein/XP_003378799.1","XP_003378799.1")</f>
        <v>XP_003378799.1</v>
      </c>
      <c r="D4382">
        <v>35995</v>
      </c>
      <c r="E4382" t="str">
        <f>HYPERLINK("http://www.ncbi.nlm.nih.gov/Taxonomy/Browser/wwwtax.cgi?mode=Info&amp;id=6334&amp;lvl=3&amp;lin=f&amp;keep=1&amp;srchmode=1&amp;unlock","6334")</f>
        <v>6334</v>
      </c>
      <c r="F4382" t="s">
        <v>1060</v>
      </c>
      <c r="G4382" t="str">
        <f>HYPERLINK("http://www.ncbi.nlm.nih.gov/Taxonomy/Browser/wwwtax.cgi?mode=Info&amp;id=6334&amp;lvl=3&amp;lin=f&amp;keep=1&amp;srchmode=1&amp;unlock","Trichinella spiralis")</f>
        <v>Trichinella spiralis</v>
      </c>
      <c r="H4382" t="s">
        <v>1027</v>
      </c>
      <c r="I4382" t="str">
        <f>HYPERLINK("http://www.ncbi.nlm.nih.gov/protein/XP_003378799.1","putative RIH domain protein")</f>
        <v>putative RIH domain protein</v>
      </c>
      <c r="J4382">
        <v>2322.35</v>
      </c>
      <c r="K4382" t="s">
        <v>22</v>
      </c>
      <c r="L4382">
        <v>76</v>
      </c>
      <c r="M4382">
        <v>12.58</v>
      </c>
      <c r="N4382">
        <v>22.86</v>
      </c>
      <c r="O4382" t="s">
        <v>19</v>
      </c>
      <c r="P4382" t="s">
        <v>1320</v>
      </c>
      <c r="Q4382" t="s">
        <v>19</v>
      </c>
      <c r="R4382" t="str">
        <f>HYPERLINK("https://cfpub.epa.gov/ecotox/explore.cfm?ncbi=6334","Explore in ECOTOX")</f>
        <v>Explore in ECOTOX</v>
      </c>
    </row>
    <row r="4383" spans="1:18" x14ac:dyDescent="0.45">
      <c r="A4383" t="s">
        <v>1265</v>
      </c>
      <c r="B4383">
        <v>8</v>
      </c>
      <c r="C4383" t="str">
        <f>HYPERLINK("http://www.ncbi.nlm.nih.gov/protein/UXI17408.1","UXI17408.1")</f>
        <v>UXI17408.1</v>
      </c>
      <c r="D4383">
        <v>34818</v>
      </c>
      <c r="E4383" t="str">
        <f>HYPERLINK("http://www.ncbi.nlm.nih.gov/Taxonomy/Browser/wwwtax.cgi?mode=Info&amp;id=52283&amp;lvl=3&amp;lin=f&amp;keep=1&amp;srchmode=1&amp;unlock","52283")</f>
        <v>52283</v>
      </c>
      <c r="F4383" t="s">
        <v>904</v>
      </c>
      <c r="G4383" t="str">
        <f>HYPERLINK("http://www.ncbi.nlm.nih.gov/Taxonomy/Browser/wwwtax.cgi?mode=Info&amp;id=52283&amp;lvl=3&amp;lin=f&amp;keep=1&amp;srchmode=1&amp;unlock","Sarcoptes scabiei")</f>
        <v>Sarcoptes scabiei</v>
      </c>
      <c r="H4383" t="s">
        <v>992</v>
      </c>
      <c r="I4383" t="str">
        <f>HYPERLINK("http://www.ncbi.nlm.nih.gov/protein/UXI17408.1","allergen")</f>
        <v>allergen</v>
      </c>
      <c r="J4383">
        <v>2316.58</v>
      </c>
      <c r="K4383" t="s">
        <v>22</v>
      </c>
      <c r="L4383">
        <v>76</v>
      </c>
      <c r="M4383">
        <v>12.58</v>
      </c>
      <c r="N4383">
        <v>22.8</v>
      </c>
      <c r="O4383" t="s">
        <v>19</v>
      </c>
      <c r="P4383" t="s">
        <v>1320</v>
      </c>
      <c r="Q4383" t="s">
        <v>19</v>
      </c>
      <c r="R4383" t="str">
        <f>HYPERLINK("https://cfpub.epa.gov/ecotox/explore.cfm?ncbi=52283","Explore in ECOTOX")</f>
        <v>Explore in ECOTOX</v>
      </c>
    </row>
    <row r="4384" spans="1:18" x14ac:dyDescent="0.45">
      <c r="A4384" t="s">
        <v>1265</v>
      </c>
      <c r="B4384">
        <v>8</v>
      </c>
      <c r="C4384" t="str">
        <f>HYPERLINK("http://www.ncbi.nlm.nih.gov/protein/CAF3909265.1","CAF3909265.1")</f>
        <v>CAF3909265.1</v>
      </c>
      <c r="D4384">
        <v>379546</v>
      </c>
      <c r="E4384" t="str">
        <f>HYPERLINK("http://www.ncbi.nlm.nih.gov/Taxonomy/Browser/wwwtax.cgi?mode=Info&amp;id=2762512&amp;lvl=3&amp;lin=f&amp;keep=1&amp;srchmode=1&amp;unlock","2762512")</f>
        <v>2762512</v>
      </c>
      <c r="F4384" t="s">
        <v>811</v>
      </c>
      <c r="G4384" t="str">
        <f>HYPERLINK("http://www.ncbi.nlm.nih.gov/Taxonomy/Browser/wwwtax.cgi?mode=Info&amp;id=2762512&amp;lvl=3&amp;lin=f&amp;keep=1&amp;srchmode=1&amp;unlock","Rotaria sp. Silwood2")</f>
        <v>Rotaria sp. Silwood2</v>
      </c>
      <c r="H4384" t="s">
        <v>812</v>
      </c>
      <c r="I4384" t="str">
        <f>HYPERLINK("http://www.ncbi.nlm.nih.gov/protein/CAF3909265.1","unnamed protein product")</f>
        <v>unnamed protein product</v>
      </c>
      <c r="J4384">
        <v>2259.5700000000002</v>
      </c>
      <c r="K4384" t="s">
        <v>22</v>
      </c>
      <c r="L4384">
        <v>76</v>
      </c>
      <c r="M4384">
        <v>12.58</v>
      </c>
      <c r="N4384">
        <v>22.24</v>
      </c>
      <c r="O4384" t="s">
        <v>19</v>
      </c>
      <c r="P4384" t="s">
        <v>1320</v>
      </c>
      <c r="Q4384" t="s">
        <v>19</v>
      </c>
      <c r="R4384" t="str">
        <f>HYPERLINK("https://cfpub.epa.gov/ecotox/explore.cfm?ncbi=2762512","Explore in ECOTOX")</f>
        <v>Explore in ECOTOX</v>
      </c>
    </row>
    <row r="4385" spans="1:18" x14ac:dyDescent="0.45">
      <c r="A4385" t="s">
        <v>1265</v>
      </c>
      <c r="B4385">
        <v>8</v>
      </c>
      <c r="C4385" t="str">
        <f>HYPERLINK("http://www.ncbi.nlm.nih.gov/protein/CAD7240925.1","CAD7240925.1")</f>
        <v>CAD7240925.1</v>
      </c>
      <c r="D4385">
        <v>31318</v>
      </c>
      <c r="E4385" t="str">
        <f>HYPERLINK("http://www.ncbi.nlm.nih.gov/Taxonomy/Browser/wwwtax.cgi?mode=Info&amp;id=69355&amp;lvl=3&amp;lin=f&amp;keep=1&amp;srchmode=1&amp;unlock","69355")</f>
        <v>69355</v>
      </c>
      <c r="F4385" t="s">
        <v>1105</v>
      </c>
      <c r="G4385" t="str">
        <f>HYPERLINK("http://www.ncbi.nlm.nih.gov/Taxonomy/Browser/wwwtax.cgi?mode=Info&amp;id=69355&amp;lvl=3&amp;lin=f&amp;keep=1&amp;srchmode=1&amp;unlock","Darwinula stevensoni")</f>
        <v>Darwinula stevensoni</v>
      </c>
      <c r="H4385" t="s">
        <v>1106</v>
      </c>
      <c r="I4385" t="str">
        <f>HYPERLINK("http://www.ncbi.nlm.nih.gov/protein/CAD7240925.1","unnamed protein product")</f>
        <v>unnamed protein product</v>
      </c>
      <c r="J4385">
        <v>2243.77</v>
      </c>
      <c r="K4385" t="s">
        <v>22</v>
      </c>
      <c r="L4385">
        <v>76</v>
      </c>
      <c r="M4385">
        <v>12.58</v>
      </c>
      <c r="N4385">
        <v>22.08</v>
      </c>
      <c r="O4385" t="s">
        <v>19</v>
      </c>
      <c r="P4385" t="s">
        <v>1320</v>
      </c>
      <c r="Q4385" t="s">
        <v>19</v>
      </c>
      <c r="R4385" t="str">
        <f>HYPERLINK("https://cfpub.epa.gov/ecotox/explore.cfm?ncbi=69355","Explore in ECOTOX")</f>
        <v>Explore in ECOTOX</v>
      </c>
    </row>
    <row r="4386" spans="1:18" x14ac:dyDescent="0.45">
      <c r="A4386" t="s">
        <v>1265</v>
      </c>
      <c r="B4386">
        <v>8</v>
      </c>
      <c r="C4386" t="str">
        <f>HYPERLINK("http://www.ncbi.nlm.nih.gov/protein/CAF4566306.1","CAF4566306.1")</f>
        <v>CAF4566306.1</v>
      </c>
      <c r="D4386">
        <v>441127</v>
      </c>
      <c r="E4386" t="str">
        <f>HYPERLINK("http://www.ncbi.nlm.nih.gov/Taxonomy/Browser/wwwtax.cgi?mode=Info&amp;id=2762511&amp;lvl=3&amp;lin=f&amp;keep=1&amp;srchmode=1&amp;unlock","2762511")</f>
        <v>2762511</v>
      </c>
      <c r="F4386" t="s">
        <v>811</v>
      </c>
      <c r="G4386" t="str">
        <f>HYPERLINK("http://www.ncbi.nlm.nih.gov/Taxonomy/Browser/wwwtax.cgi?mode=Info&amp;id=2762511&amp;lvl=3&amp;lin=f&amp;keep=1&amp;srchmode=1&amp;unlock","Rotaria sp. Silwood1")</f>
        <v>Rotaria sp. Silwood1</v>
      </c>
      <c r="H4386" t="s">
        <v>812</v>
      </c>
      <c r="I4386" t="str">
        <f>HYPERLINK("http://www.ncbi.nlm.nih.gov/protein/CAF4566306.1","unnamed protein product, partial")</f>
        <v>unnamed protein product, partial</v>
      </c>
      <c r="J4386">
        <v>2241.08</v>
      </c>
      <c r="K4386" t="s">
        <v>22</v>
      </c>
      <c r="L4386">
        <v>76</v>
      </c>
      <c r="M4386">
        <v>12.58</v>
      </c>
      <c r="N4386">
        <v>22.06</v>
      </c>
      <c r="O4386" t="s">
        <v>19</v>
      </c>
      <c r="P4386" t="s">
        <v>1320</v>
      </c>
      <c r="Q4386" t="s">
        <v>19</v>
      </c>
      <c r="R4386" t="str">
        <f>HYPERLINK("https://cfpub.epa.gov/ecotox/explore.cfm?ncbi=2762511","Explore in ECOTOX")</f>
        <v>Explore in ECOTOX</v>
      </c>
    </row>
    <row r="4387" spans="1:18" x14ac:dyDescent="0.45">
      <c r="A4387" t="s">
        <v>1265</v>
      </c>
      <c r="B4387">
        <v>8</v>
      </c>
      <c r="C4387" t="str">
        <f>HYPERLINK("http://www.ncbi.nlm.nih.gov/protein/CAF0715298.1","CAF0715298.1")</f>
        <v>CAF0715298.1</v>
      </c>
      <c r="D4387">
        <v>25519</v>
      </c>
      <c r="E4387" t="str">
        <f>HYPERLINK("http://www.ncbi.nlm.nih.gov/Taxonomy/Browser/wwwtax.cgi?mode=Info&amp;id=104777&amp;lvl=3&amp;lin=f&amp;keep=1&amp;srchmode=1&amp;unlock","104777")</f>
        <v>104777</v>
      </c>
      <c r="F4387" t="s">
        <v>811</v>
      </c>
      <c r="G4387" t="str">
        <f>HYPERLINK("http://www.ncbi.nlm.nih.gov/Taxonomy/Browser/wwwtax.cgi?mode=Info&amp;id=104777&amp;lvl=3&amp;lin=f&amp;keep=1&amp;srchmode=1&amp;unlock","Brachionus calyciflorus")</f>
        <v>Brachionus calyciflorus</v>
      </c>
      <c r="H4387" t="s">
        <v>812</v>
      </c>
      <c r="I4387" t="str">
        <f>HYPERLINK("http://www.ncbi.nlm.nih.gov/protein/CAF0715298.1","unnamed protein product")</f>
        <v>unnamed protein product</v>
      </c>
      <c r="J4387">
        <v>2238.38</v>
      </c>
      <c r="K4387" t="s">
        <v>22</v>
      </c>
      <c r="L4387">
        <v>76</v>
      </c>
      <c r="M4387">
        <v>12.58</v>
      </c>
      <c r="N4387">
        <v>22.03</v>
      </c>
      <c r="O4387" t="s">
        <v>19</v>
      </c>
      <c r="P4387" t="s">
        <v>1320</v>
      </c>
      <c r="Q4387" t="s">
        <v>19</v>
      </c>
      <c r="R4387" t="str">
        <f>HYPERLINK("https://cfpub.epa.gov/ecotox/explore.cfm?ncbi=104777","Explore in ECOTOX")</f>
        <v>Explore in ECOTOX</v>
      </c>
    </row>
    <row r="4388" spans="1:18" x14ac:dyDescent="0.45">
      <c r="A4388" t="s">
        <v>1265</v>
      </c>
      <c r="B4388">
        <v>8</v>
      </c>
      <c r="C4388" t="str">
        <f>HYPERLINK("http://www.ncbi.nlm.nih.gov/protein/CAF1235207.1","CAF1235207.1")</f>
        <v>CAF1235207.1</v>
      </c>
      <c r="D4388">
        <v>113535</v>
      </c>
      <c r="E4388" t="str">
        <f>HYPERLINK("http://www.ncbi.nlm.nih.gov/Taxonomy/Browser/wwwtax.cgi?mode=Info&amp;id=249248&amp;lvl=3&amp;lin=f&amp;keep=1&amp;srchmode=1&amp;unlock","249248")</f>
        <v>249248</v>
      </c>
      <c r="F4388" t="s">
        <v>811</v>
      </c>
      <c r="G4388" t="str">
        <f>HYPERLINK("http://www.ncbi.nlm.nih.gov/Taxonomy/Browser/wwwtax.cgi?mode=Info&amp;id=249248&amp;lvl=3&amp;lin=f&amp;keep=1&amp;srchmode=1&amp;unlock","Adineta ricciae")</f>
        <v>Adineta ricciae</v>
      </c>
      <c r="H4388" t="s">
        <v>812</v>
      </c>
      <c r="I4388" t="str">
        <f>HYPERLINK("http://www.ncbi.nlm.nih.gov/protein/CAF1235207.1","unnamed protein product")</f>
        <v>unnamed protein product</v>
      </c>
      <c r="J4388">
        <v>2236.84</v>
      </c>
      <c r="K4388" t="s">
        <v>22</v>
      </c>
      <c r="L4388">
        <v>76</v>
      </c>
      <c r="M4388">
        <v>12.58</v>
      </c>
      <c r="N4388">
        <v>22.01</v>
      </c>
      <c r="O4388" t="s">
        <v>19</v>
      </c>
      <c r="P4388" t="s">
        <v>1320</v>
      </c>
      <c r="Q4388" t="s">
        <v>19</v>
      </c>
      <c r="R4388" t="str">
        <f>HYPERLINK("https://cfpub.epa.gov/ecotox/explore.cfm?ncbi=249248","Explore in ECOTOX")</f>
        <v>Explore in ECOTOX</v>
      </c>
    </row>
    <row r="4389" spans="1:18" x14ac:dyDescent="0.45">
      <c r="A4389" t="s">
        <v>1265</v>
      </c>
      <c r="B4389">
        <v>8</v>
      </c>
      <c r="C4389" t="str">
        <f>HYPERLINK("http://www.ncbi.nlm.nih.gov/protein/CAF0738255.1","CAF0738255.1")</f>
        <v>CAF0738255.1</v>
      </c>
      <c r="D4389">
        <v>194812</v>
      </c>
      <c r="E4389" t="str">
        <f>HYPERLINK("http://www.ncbi.nlm.nih.gov/Taxonomy/Browser/wwwtax.cgi?mode=Info&amp;id=1234261&amp;lvl=3&amp;lin=f&amp;keep=1&amp;srchmode=1&amp;unlock","1234261")</f>
        <v>1234261</v>
      </c>
      <c r="F4389" t="s">
        <v>811</v>
      </c>
      <c r="G4389" t="str">
        <f>HYPERLINK("http://www.ncbi.nlm.nih.gov/Taxonomy/Browser/wwwtax.cgi?mode=Info&amp;id=1234261&amp;lvl=3&amp;lin=f&amp;keep=1&amp;srchmode=1&amp;unlock","Didymodactylos carnosus")</f>
        <v>Didymodactylos carnosus</v>
      </c>
      <c r="H4389" t="s">
        <v>812</v>
      </c>
      <c r="I4389" t="str">
        <f>HYPERLINK("http://www.ncbi.nlm.nih.gov/protein/CAF0738255.1","unnamed protein product")</f>
        <v>unnamed protein product</v>
      </c>
      <c r="J4389">
        <v>2230.29</v>
      </c>
      <c r="K4389" t="s">
        <v>22</v>
      </c>
      <c r="L4389">
        <v>76</v>
      </c>
      <c r="M4389">
        <v>12.58</v>
      </c>
      <c r="N4389">
        <v>21.95</v>
      </c>
      <c r="O4389" t="s">
        <v>19</v>
      </c>
      <c r="P4389" t="s">
        <v>1320</v>
      </c>
      <c r="Q4389" t="s">
        <v>19</v>
      </c>
      <c r="R4389" t="str">
        <f>HYPERLINK("https://cfpub.epa.gov/ecotox/explore.cfm?ncbi=1234261","Explore in ECOTOX")</f>
        <v>Explore in ECOTOX</v>
      </c>
    </row>
    <row r="4390" spans="1:18" x14ac:dyDescent="0.45">
      <c r="A4390" t="s">
        <v>1265</v>
      </c>
      <c r="B4390">
        <v>8</v>
      </c>
      <c r="C4390" t="str">
        <f>HYPERLINK("http://www.ncbi.nlm.nih.gov/protein/XP_020307100.1","XP_020307100.1")</f>
        <v>XP_020307100.1</v>
      </c>
      <c r="D4390">
        <v>30905</v>
      </c>
      <c r="E4390" t="str">
        <f>HYPERLINK("http://www.ncbi.nlm.nih.gov/Taxonomy/Browser/wwwtax.cgi?mode=Info&amp;id=7209&amp;lvl=3&amp;lin=f&amp;keep=1&amp;srchmode=1&amp;unlock","7209")</f>
        <v>7209</v>
      </c>
      <c r="F4390" t="s">
        <v>1024</v>
      </c>
      <c r="G4390" t="str">
        <f>HYPERLINK("http://www.ncbi.nlm.nih.gov/Taxonomy/Browser/wwwtax.cgi?mode=Info&amp;id=7209&amp;lvl=3&amp;lin=f&amp;keep=1&amp;srchmode=1&amp;unlock","Loa loa")</f>
        <v>Loa loa</v>
      </c>
      <c r="H4390" t="s">
        <v>1109</v>
      </c>
      <c r="I4390" t="str">
        <f>HYPERLINK("http://www.ncbi.nlm.nih.gov/protein/XP_020307100.1","ryanodine Receptor TM 4-6 family protein")</f>
        <v>ryanodine Receptor TM 4-6 family protein</v>
      </c>
      <c r="J4390">
        <v>2194.85</v>
      </c>
      <c r="K4390" t="s">
        <v>22</v>
      </c>
      <c r="L4390">
        <v>76</v>
      </c>
      <c r="M4390">
        <v>12.58</v>
      </c>
      <c r="N4390">
        <v>21.6</v>
      </c>
      <c r="O4390" t="s">
        <v>19</v>
      </c>
      <c r="P4390" t="s">
        <v>1320</v>
      </c>
      <c r="Q4390" t="s">
        <v>19</v>
      </c>
      <c r="R4390" t="str">
        <f>HYPERLINK("https://cfpub.epa.gov/ecotox/explore.cfm?ncbi=7209","Explore in ECOTOX")</f>
        <v>Explore in ECOTOX</v>
      </c>
    </row>
    <row r="4391" spans="1:18" x14ac:dyDescent="0.45">
      <c r="A4391" t="s">
        <v>1265</v>
      </c>
      <c r="B4391">
        <v>8</v>
      </c>
      <c r="C4391" t="str">
        <f>HYPERLINK("http://www.ncbi.nlm.nih.gov/protein/UJR09568.1","UJR09568.1")</f>
        <v>UJR09568.1</v>
      </c>
      <c r="D4391">
        <v>33135</v>
      </c>
      <c r="E4391" t="str">
        <f>HYPERLINK("http://www.ncbi.nlm.nih.gov/Taxonomy/Browser/wwwtax.cgi?mode=Info&amp;id=104782&amp;lvl=3&amp;lin=f&amp;keep=1&amp;srchmode=1&amp;unlock","104782")</f>
        <v>104782</v>
      </c>
      <c r="F4391" t="s">
        <v>811</v>
      </c>
      <c r="G4391" t="str">
        <f>HYPERLINK("http://www.ncbi.nlm.nih.gov/Taxonomy/Browser/wwwtax.cgi?mode=Info&amp;id=104782&amp;lvl=3&amp;lin=f&amp;keep=1&amp;srchmode=1&amp;unlock","Adineta vaga")</f>
        <v>Adineta vaga</v>
      </c>
      <c r="H4391" t="s">
        <v>812</v>
      </c>
      <c r="I4391" t="str">
        <f>HYPERLINK("http://www.ncbi.nlm.nih.gov/protein/UJR09568.1","hypothetical protein I4U23_013803")</f>
        <v>hypothetical protein I4U23_013803</v>
      </c>
      <c r="J4391">
        <v>2191.77</v>
      </c>
      <c r="K4391" t="s">
        <v>22</v>
      </c>
      <c r="L4391">
        <v>76</v>
      </c>
      <c r="M4391">
        <v>12.58</v>
      </c>
      <c r="N4391">
        <v>21.57</v>
      </c>
      <c r="O4391" t="s">
        <v>19</v>
      </c>
      <c r="P4391" t="s">
        <v>1320</v>
      </c>
      <c r="Q4391" t="s">
        <v>19</v>
      </c>
      <c r="R4391" t="str">
        <f>HYPERLINK("https://cfpub.epa.gov/ecotox/explore.cfm?ncbi=104782","Explore in ECOTOX")</f>
        <v>Explore in ECOTOX</v>
      </c>
    </row>
    <row r="4392" spans="1:18" x14ac:dyDescent="0.45">
      <c r="A4392" t="s">
        <v>1265</v>
      </c>
      <c r="B4392">
        <v>8</v>
      </c>
      <c r="C4392" t="str">
        <f>HYPERLINK("http://www.ncbi.nlm.nih.gov/protein/NP_001343819.1","NP_001343819.1")</f>
        <v>NP_001343819.1</v>
      </c>
      <c r="D4392">
        <v>68094</v>
      </c>
      <c r="E4392" t="str">
        <f>HYPERLINK("http://www.ncbi.nlm.nih.gov/Taxonomy/Browser/wwwtax.cgi?mode=Info&amp;id=6239&amp;lvl=3&amp;lin=f&amp;keep=1&amp;srchmode=1&amp;unlock","6239")</f>
        <v>6239</v>
      </c>
      <c r="F4392" t="s">
        <v>1024</v>
      </c>
      <c r="G4392" t="str">
        <f>HYPERLINK("http://www.ncbi.nlm.nih.gov/Taxonomy/Browser/wwwtax.cgi?mode=Info&amp;id=6239&amp;lvl=3&amp;lin=f&amp;keep=1&amp;srchmode=1&amp;unlock","Caenorhabditis elegans")</f>
        <v>Caenorhabditis elegans</v>
      </c>
      <c r="H4392" t="s">
        <v>1027</v>
      </c>
      <c r="I4392" t="str">
        <f>HYPERLINK("http://www.ncbi.nlm.nih.gov/protein/NP_001343819.1","Ryanodine receptor")</f>
        <v>Ryanodine receptor</v>
      </c>
      <c r="J4392">
        <v>2185.61</v>
      </c>
      <c r="K4392" t="s">
        <v>22</v>
      </c>
      <c r="L4392">
        <v>76</v>
      </c>
      <c r="M4392">
        <v>12.58</v>
      </c>
      <c r="N4392">
        <v>21.51</v>
      </c>
      <c r="O4392" t="s">
        <v>19</v>
      </c>
      <c r="P4392" t="s">
        <v>1320</v>
      </c>
      <c r="Q4392" t="s">
        <v>19</v>
      </c>
      <c r="R4392" t="str">
        <f>HYPERLINK("https://cfpub.epa.gov/ecotox/explore.cfm?ncbi=6239","Explore in ECOTOX")</f>
        <v>Explore in ECOTOX</v>
      </c>
    </row>
    <row r="4393" spans="1:18" x14ac:dyDescent="0.45">
      <c r="A4393" t="s">
        <v>1265</v>
      </c>
      <c r="B4393">
        <v>8</v>
      </c>
      <c r="C4393" t="str">
        <f>HYPERLINK("http://www.ncbi.nlm.nih.gov/protein/GAV02139.1","GAV02139.1")</f>
        <v>GAV02139.1</v>
      </c>
      <c r="D4393">
        <v>23078</v>
      </c>
      <c r="E4393" t="str">
        <f>HYPERLINK("http://www.ncbi.nlm.nih.gov/Taxonomy/Browser/wwwtax.cgi?mode=Info&amp;id=947166&amp;lvl=3&amp;lin=f&amp;keep=1&amp;srchmode=1&amp;unlock","947166")</f>
        <v>947166</v>
      </c>
      <c r="F4393" t="s">
        <v>1092</v>
      </c>
      <c r="G4393" t="str">
        <f>HYPERLINK("http://www.ncbi.nlm.nih.gov/Taxonomy/Browser/wwwtax.cgi?mode=Info&amp;id=947166&amp;lvl=3&amp;lin=f&amp;keep=1&amp;srchmode=1&amp;unlock","Ramazzottius varieornatus")</f>
        <v>Ramazzottius varieornatus</v>
      </c>
      <c r="H4393" t="s">
        <v>1093</v>
      </c>
      <c r="I4393" t="str">
        <f>HYPERLINK("http://www.ncbi.nlm.nih.gov/protein/GAV02139.1","hypothetical protein RvY_12740")</f>
        <v>hypothetical protein RvY_12740</v>
      </c>
      <c r="J4393">
        <v>2184.4499999999998</v>
      </c>
      <c r="K4393" t="s">
        <v>22</v>
      </c>
      <c r="L4393">
        <v>76</v>
      </c>
      <c r="M4393">
        <v>12.58</v>
      </c>
      <c r="N4393">
        <v>21.5</v>
      </c>
      <c r="O4393" t="s">
        <v>19</v>
      </c>
      <c r="P4393" t="s">
        <v>1320</v>
      </c>
      <c r="Q4393" t="s">
        <v>19</v>
      </c>
      <c r="R4393" t="str">
        <f>HYPERLINK("https://cfpub.epa.gov/ecotox/explore.cfm?ncbi=947166","Explore in ECOTOX")</f>
        <v>Explore in ECOTOX</v>
      </c>
    </row>
    <row r="4394" spans="1:18" x14ac:dyDescent="0.45">
      <c r="A4394" t="s">
        <v>1265</v>
      </c>
      <c r="B4394">
        <v>8</v>
      </c>
      <c r="C4394" t="str">
        <f>HYPERLINK("http://www.ncbi.nlm.nih.gov/protein/XP_042933032.1","XP_042933032.1")</f>
        <v>XP_042933032.1</v>
      </c>
      <c r="D4394">
        <v>46363</v>
      </c>
      <c r="E4394" t="str">
        <f>HYPERLINK("http://www.ncbi.nlm.nih.gov/Taxonomy/Browser/wwwtax.cgi?mode=Info&amp;id=6279&amp;lvl=3&amp;lin=f&amp;keep=1&amp;srchmode=1&amp;unlock","6279")</f>
        <v>6279</v>
      </c>
      <c r="F4394" t="s">
        <v>1024</v>
      </c>
      <c r="G4394" t="str">
        <f>HYPERLINK("http://www.ncbi.nlm.nih.gov/Taxonomy/Browser/wwwtax.cgi?mode=Info&amp;id=6279&amp;lvl=3&amp;lin=f&amp;keep=1&amp;srchmode=1&amp;unlock","Brugia malayi")</f>
        <v>Brugia malayi</v>
      </c>
      <c r="H4394" t="s">
        <v>1108</v>
      </c>
      <c r="I4394" t="str">
        <f>HYPERLINK("http://www.ncbi.nlm.nih.gov/protein/XP_042933032.1","Uncharacterized protein BM_BM4999")</f>
        <v>Uncharacterized protein BM_BM4999</v>
      </c>
      <c r="J4394">
        <v>2181.37</v>
      </c>
      <c r="K4394" t="s">
        <v>22</v>
      </c>
      <c r="L4394">
        <v>76</v>
      </c>
      <c r="M4394">
        <v>12.58</v>
      </c>
      <c r="N4394">
        <v>21.47</v>
      </c>
      <c r="O4394" t="s">
        <v>19</v>
      </c>
      <c r="P4394" t="s">
        <v>1320</v>
      </c>
      <c r="Q4394" t="s">
        <v>19</v>
      </c>
      <c r="R4394" t="str">
        <f>HYPERLINK("https://cfpub.epa.gov/ecotox/explore.cfm?ncbi=6279","Explore in ECOTOX")</f>
        <v>Explore in ECOTOX</v>
      </c>
    </row>
    <row r="4395" spans="1:18" x14ac:dyDescent="0.45">
      <c r="A4395" t="s">
        <v>1265</v>
      </c>
      <c r="B4395">
        <v>8</v>
      </c>
      <c r="C4395" t="str">
        <f>HYPERLINK("http://www.ncbi.nlm.nih.gov/protein/CAJ0581878.1","CAJ0581878.1")</f>
        <v>CAJ0581878.1</v>
      </c>
      <c r="D4395">
        <v>26771</v>
      </c>
      <c r="E4395" t="str">
        <f>HYPERLINK("http://www.ncbi.nlm.nih.gov/Taxonomy/Browser/wwwtax.cgi?mode=Info&amp;id=96644&amp;lvl=3&amp;lin=f&amp;keep=1&amp;srchmode=1&amp;unlock","96644")</f>
        <v>96644</v>
      </c>
      <c r="F4395" t="s">
        <v>1024</v>
      </c>
      <c r="G4395" t="str">
        <f>HYPERLINK("http://www.ncbi.nlm.nih.gov/Taxonomy/Browser/wwwtax.cgi?mode=Info&amp;id=96644&amp;lvl=3&amp;lin=f&amp;keep=1&amp;srchmode=1&amp;unlock","Mesorhabditis spiculigera")</f>
        <v>Mesorhabditis spiculigera</v>
      </c>
      <c r="H4395" t="s">
        <v>1027</v>
      </c>
      <c r="I4395" t="str">
        <f>HYPERLINK("http://www.ncbi.nlm.nih.gov/protein/CAJ0581878.1","unnamed protein product, partial")</f>
        <v>unnamed protein product, partial</v>
      </c>
      <c r="J4395">
        <v>2177.13</v>
      </c>
      <c r="K4395" t="s">
        <v>22</v>
      </c>
      <c r="L4395">
        <v>76</v>
      </c>
      <c r="M4395">
        <v>12.58</v>
      </c>
      <c r="N4395">
        <v>21.43</v>
      </c>
      <c r="O4395" t="s">
        <v>19</v>
      </c>
      <c r="P4395" t="s">
        <v>1320</v>
      </c>
      <c r="Q4395" t="s">
        <v>19</v>
      </c>
      <c r="R4395" t="str">
        <f>HYPERLINK("https://cfpub.epa.gov/ecotox/explore.cfm?ncbi=96644","Explore in ECOTOX")</f>
        <v>Explore in ECOTOX</v>
      </c>
    </row>
    <row r="4396" spans="1:18" x14ac:dyDescent="0.45">
      <c r="A4396" t="s">
        <v>1265</v>
      </c>
      <c r="B4396">
        <v>8</v>
      </c>
      <c r="C4396" t="str">
        <f>HYPERLINK("http://www.ncbi.nlm.nih.gov/protein/CAD7279292.1","CAD7279292.1")</f>
        <v>CAD7279292.1</v>
      </c>
      <c r="D4396">
        <v>28124</v>
      </c>
      <c r="E4396" t="str">
        <f>HYPERLINK("http://www.ncbi.nlm.nih.gov/Taxonomy/Browser/wwwtax.cgi?mode=Info&amp;id=399045&amp;lvl=3&amp;lin=f&amp;keep=1&amp;srchmode=1&amp;unlock","399045")</f>
        <v>399045</v>
      </c>
      <c r="F4396" t="s">
        <v>1105</v>
      </c>
      <c r="G4396" t="str">
        <f>HYPERLINK("http://www.ncbi.nlm.nih.gov/Taxonomy/Browser/wwwtax.cgi?mode=Info&amp;id=399045&amp;lvl=3&amp;lin=f&amp;keep=1&amp;srchmode=1&amp;unlock","Notodromas monacha")</f>
        <v>Notodromas monacha</v>
      </c>
      <c r="H4396" t="s">
        <v>1106</v>
      </c>
      <c r="I4396" t="str">
        <f>HYPERLINK("http://www.ncbi.nlm.nih.gov/protein/CAD7279292.1","unnamed protein product")</f>
        <v>unnamed protein product</v>
      </c>
      <c r="J4396">
        <v>2172.13</v>
      </c>
      <c r="K4396" t="s">
        <v>22</v>
      </c>
      <c r="L4396">
        <v>76</v>
      </c>
      <c r="M4396">
        <v>12.58</v>
      </c>
      <c r="N4396">
        <v>21.38</v>
      </c>
      <c r="O4396" t="s">
        <v>19</v>
      </c>
      <c r="P4396" t="s">
        <v>1320</v>
      </c>
      <c r="Q4396" t="s">
        <v>19</v>
      </c>
      <c r="R4396" t="str">
        <f>HYPERLINK("https://cfpub.epa.gov/ecotox/explore.cfm?ncbi=399045","Explore in ECOTOX")</f>
        <v>Explore in ECOTOX</v>
      </c>
    </row>
    <row r="4397" spans="1:18" x14ac:dyDescent="0.45">
      <c r="A4397" t="s">
        <v>1265</v>
      </c>
      <c r="B4397">
        <v>8</v>
      </c>
      <c r="C4397" t="str">
        <f>HYPERLINK("http://www.ncbi.nlm.nih.gov/protein/XP_010124680.1","XP_010124680.1")</f>
        <v>XP_010124680.1</v>
      </c>
      <c r="D4397">
        <v>26947</v>
      </c>
      <c r="E4397" t="str">
        <f>HYPERLINK("http://www.ncbi.nlm.nih.gov/Taxonomy/Browser/wwwtax.cgi?mode=Info&amp;id=187382&amp;lvl=3&amp;lin=f&amp;keep=1&amp;srchmode=1&amp;unlock","187382")</f>
        <v>187382</v>
      </c>
      <c r="F4397" t="s">
        <v>241</v>
      </c>
      <c r="G4397" t="str">
        <f>HYPERLINK("http://www.ncbi.nlm.nih.gov/Taxonomy/Browser/wwwtax.cgi?mode=Info&amp;id=187382&amp;lvl=3&amp;lin=f&amp;keep=1&amp;srchmode=1&amp;unlock","Chlamydotis macqueenii")</f>
        <v>Chlamydotis macqueenii</v>
      </c>
      <c r="H4397" t="s">
        <v>1104</v>
      </c>
      <c r="I4397" t="str">
        <f>HYPERLINK("http://www.ncbi.nlm.nih.gov/protein/XP_010124680.1","PREDICTED: ryanodine receptor 2, partial")</f>
        <v>PREDICTED: ryanodine receptor 2, partial</v>
      </c>
      <c r="J4397">
        <v>2171.7399999999998</v>
      </c>
      <c r="K4397" t="s">
        <v>22</v>
      </c>
      <c r="L4397">
        <v>76</v>
      </c>
      <c r="M4397">
        <v>12.58</v>
      </c>
      <c r="N4397">
        <v>21.37</v>
      </c>
      <c r="O4397" t="s">
        <v>19</v>
      </c>
      <c r="P4397" t="s">
        <v>1320</v>
      </c>
      <c r="Q4397" t="s">
        <v>19</v>
      </c>
      <c r="R4397" t="str">
        <f>HYPERLINK("https://cfpub.epa.gov/ecotox/explore.cfm?ncbi=187382","Explore in ECOTOX")</f>
        <v>Explore in ECOTOX</v>
      </c>
    </row>
    <row r="4398" spans="1:18" x14ac:dyDescent="0.45">
      <c r="A4398" t="s">
        <v>1265</v>
      </c>
      <c r="B4398">
        <v>8</v>
      </c>
      <c r="C4398" t="str">
        <f>HYPERLINK("http://www.ncbi.nlm.nih.gov/protein/VDM37968.1","VDM37968.1")</f>
        <v>VDM37968.1</v>
      </c>
      <c r="D4398">
        <v>39069</v>
      </c>
      <c r="E4398" t="str">
        <f>HYPERLINK("http://www.ncbi.nlm.nih.gov/Taxonomy/Browser/wwwtax.cgi?mode=Info&amp;id=6265&amp;lvl=3&amp;lin=f&amp;keep=1&amp;srchmode=1&amp;unlock","6265")</f>
        <v>6265</v>
      </c>
      <c r="F4398" t="s">
        <v>1024</v>
      </c>
      <c r="G4398" t="str">
        <f>HYPERLINK("http://www.ncbi.nlm.nih.gov/Taxonomy/Browser/wwwtax.cgi?mode=Info&amp;id=6265&amp;lvl=3&amp;lin=f&amp;keep=1&amp;srchmode=1&amp;unlock","Toxocara canis")</f>
        <v>Toxocara canis</v>
      </c>
      <c r="H4398" t="s">
        <v>1114</v>
      </c>
      <c r="I4398" t="str">
        <f>HYPERLINK("http://www.ncbi.nlm.nih.gov/protein/VDM37968.1","unnamed protein product")</f>
        <v>unnamed protein product</v>
      </c>
      <c r="J4398">
        <v>2165.58</v>
      </c>
      <c r="K4398" t="s">
        <v>22</v>
      </c>
      <c r="L4398">
        <v>76</v>
      </c>
      <c r="M4398">
        <v>12.58</v>
      </c>
      <c r="N4398">
        <v>21.31</v>
      </c>
      <c r="O4398" t="s">
        <v>19</v>
      </c>
      <c r="P4398" t="s">
        <v>1320</v>
      </c>
      <c r="Q4398" t="s">
        <v>19</v>
      </c>
      <c r="R4398" t="str">
        <f>HYPERLINK("https://cfpub.epa.gov/ecotox/explore.cfm?ncbi=6265","Explore in ECOTOX")</f>
        <v>Explore in ECOTOX</v>
      </c>
    </row>
    <row r="4399" spans="1:18" x14ac:dyDescent="0.45">
      <c r="A4399" t="s">
        <v>1265</v>
      </c>
      <c r="B4399">
        <v>8</v>
      </c>
      <c r="C4399" t="str">
        <f>HYPERLINK("http://www.ncbi.nlm.nih.gov/protein/CAG9530379.1","CAG9530379.1")</f>
        <v>CAG9530379.1</v>
      </c>
      <c r="D4399">
        <v>11549</v>
      </c>
      <c r="E4399" t="str">
        <f>HYPERLINK("http://www.ncbi.nlm.nih.gov/Taxonomy/Browser/wwwtax.cgi?mode=Info&amp;id=2874296&amp;lvl=3&amp;lin=f&amp;keep=1&amp;srchmode=1&amp;unlock","2874296")</f>
        <v>2874296</v>
      </c>
      <c r="F4399" t="s">
        <v>1024</v>
      </c>
      <c r="G4399" t="str">
        <f>HYPERLINK("http://www.ncbi.nlm.nih.gov/Taxonomy/Browser/wwwtax.cgi?mode=Info&amp;id=2874296&amp;lvl=3&amp;lin=f&amp;keep=1&amp;srchmode=1&amp;unlock","Cercopithifilaria johnstoni")</f>
        <v>Cercopithifilaria johnstoni</v>
      </c>
      <c r="H4399" t="s">
        <v>1027</v>
      </c>
      <c r="I4399" t="str">
        <f>HYPERLINK("http://www.ncbi.nlm.nih.gov/protein/CAG9530379.1","unnamed protein product")</f>
        <v>unnamed protein product</v>
      </c>
      <c r="J4399">
        <v>2165.19</v>
      </c>
      <c r="K4399" t="s">
        <v>22</v>
      </c>
      <c r="L4399">
        <v>76</v>
      </c>
      <c r="M4399">
        <v>12.58</v>
      </c>
      <c r="N4399">
        <v>21.31</v>
      </c>
      <c r="O4399" t="s">
        <v>19</v>
      </c>
      <c r="P4399" t="s">
        <v>1320</v>
      </c>
      <c r="Q4399" t="s">
        <v>19</v>
      </c>
      <c r="R4399" t="str">
        <f>HYPERLINK("https://cfpub.epa.gov/ecotox/explore.cfm?ncbi=2874296","Explore in ECOTOX")</f>
        <v>Explore in ECOTOX</v>
      </c>
    </row>
    <row r="4400" spans="1:18" x14ac:dyDescent="0.45">
      <c r="A4400" t="s">
        <v>1265</v>
      </c>
      <c r="B4400">
        <v>8</v>
      </c>
      <c r="C4400" t="str">
        <f>HYPERLINK("http://www.ncbi.nlm.nih.gov/protein/WKY11482.1","WKY11482.1")</f>
        <v>WKY11482.1</v>
      </c>
      <c r="D4400">
        <v>52283</v>
      </c>
      <c r="E4400" t="str">
        <f>HYPERLINK("http://www.ncbi.nlm.nih.gov/Taxonomy/Browser/wwwtax.cgi?mode=Info&amp;id=27835&amp;lvl=3&amp;lin=f&amp;keep=1&amp;srchmode=1&amp;unlock","27835")</f>
        <v>27835</v>
      </c>
      <c r="F4400" t="s">
        <v>1024</v>
      </c>
      <c r="G4400" t="str">
        <f>HYPERLINK("http://www.ncbi.nlm.nih.gov/Taxonomy/Browser/wwwtax.cgi?mode=Info&amp;id=27835&amp;lvl=3&amp;lin=f&amp;keep=1&amp;srchmode=1&amp;unlock","Nippostrongylus brasiliensis")</f>
        <v>Nippostrongylus brasiliensis</v>
      </c>
      <c r="H4400" t="s">
        <v>1025</v>
      </c>
      <c r="I4400" t="str">
        <f>HYPERLINK("http://www.ncbi.nlm.nih.gov/protein/WKY11482.1","hypothetical protein Q1695_003218")</f>
        <v>hypothetical protein Q1695_003218</v>
      </c>
      <c r="J4400">
        <v>2164.04</v>
      </c>
      <c r="K4400" t="s">
        <v>22</v>
      </c>
      <c r="L4400">
        <v>76</v>
      </c>
      <c r="M4400">
        <v>12.58</v>
      </c>
      <c r="N4400">
        <v>21.3</v>
      </c>
      <c r="O4400" t="s">
        <v>19</v>
      </c>
      <c r="P4400" t="s">
        <v>1320</v>
      </c>
      <c r="Q4400" t="s">
        <v>19</v>
      </c>
      <c r="R4400" t="str">
        <f>HYPERLINK("https://cfpub.epa.gov/ecotox/explore.cfm?ncbi=27835","Explore in ECOTOX")</f>
        <v>Explore in ECOTOX</v>
      </c>
    </row>
    <row r="4401" spans="1:18" x14ac:dyDescent="0.45">
      <c r="A4401" t="s">
        <v>1265</v>
      </c>
      <c r="B4401">
        <v>8</v>
      </c>
      <c r="C4401" t="str">
        <f>HYPERLINK("http://www.ncbi.nlm.nih.gov/protein/OBS60282.1","OBS60282.1")</f>
        <v>OBS60282.1</v>
      </c>
      <c r="D4401">
        <v>24524</v>
      </c>
      <c r="E4401" t="str">
        <f>HYPERLINK("http://www.ncbi.nlm.nih.gov/Taxonomy/Browser/wwwtax.cgi?mode=Info&amp;id=56216&amp;lvl=3&amp;lin=f&amp;keep=1&amp;srchmode=1&amp;unlock","56216")</f>
        <v>56216</v>
      </c>
      <c r="F4401" t="s">
        <v>96</v>
      </c>
      <c r="G4401" t="str">
        <f>HYPERLINK("http://www.ncbi.nlm.nih.gov/Taxonomy/Browser/wwwtax.cgi?mode=Info&amp;id=56216&amp;lvl=3&amp;lin=f&amp;keep=1&amp;srchmode=1&amp;unlock","Neotoma lepida")</f>
        <v>Neotoma lepida</v>
      </c>
      <c r="H4401" t="s">
        <v>1033</v>
      </c>
      <c r="I4401" t="str">
        <f>HYPERLINK("http://www.ncbi.nlm.nih.gov/protein/OBS60282.1","hypothetical protein A6R68_08602")</f>
        <v>hypothetical protein A6R68_08602</v>
      </c>
      <c r="J4401">
        <v>2154.02</v>
      </c>
      <c r="K4401" t="s">
        <v>22</v>
      </c>
      <c r="L4401">
        <v>76</v>
      </c>
      <c r="M4401">
        <v>12.58</v>
      </c>
      <c r="N4401">
        <v>21.2</v>
      </c>
      <c r="O4401" t="s">
        <v>19</v>
      </c>
      <c r="P4401" t="s">
        <v>1320</v>
      </c>
      <c r="Q4401" t="s">
        <v>19</v>
      </c>
      <c r="R4401" t="str">
        <f>HYPERLINK("https://cfpub.epa.gov/ecotox/explore.cfm?ncbi=56216","Explore in ECOTOX")</f>
        <v>Explore in ECOTOX</v>
      </c>
    </row>
    <row r="4402" spans="1:18" x14ac:dyDescent="0.45">
      <c r="A4402" t="s">
        <v>1265</v>
      </c>
      <c r="B4402">
        <v>8</v>
      </c>
      <c r="C4402" t="str">
        <f>HYPERLINK("http://www.ncbi.nlm.nih.gov/protein/VDN89344.1","VDN89344.1")</f>
        <v>VDN89344.1</v>
      </c>
      <c r="D4402">
        <v>14709</v>
      </c>
      <c r="E4402" t="str">
        <f>HYPERLINK("http://www.ncbi.nlm.nih.gov/Taxonomy/Browser/wwwtax.cgi?mode=Info&amp;id=6280&amp;lvl=3&amp;lin=f&amp;keep=1&amp;srchmode=1&amp;unlock","6280")</f>
        <v>6280</v>
      </c>
      <c r="F4402" t="s">
        <v>1024</v>
      </c>
      <c r="G4402" t="str">
        <f>HYPERLINK("http://www.ncbi.nlm.nih.gov/Taxonomy/Browser/wwwtax.cgi?mode=Info&amp;id=6280&amp;lvl=3&amp;lin=f&amp;keep=1&amp;srchmode=1&amp;unlock","Brugia pahangi")</f>
        <v>Brugia pahangi</v>
      </c>
      <c r="H4402" t="s">
        <v>1027</v>
      </c>
      <c r="I4402" t="str">
        <f>HYPERLINK("http://www.ncbi.nlm.nih.gov/protein/VDN89344.1","unnamed protein product")</f>
        <v>unnamed protein product</v>
      </c>
      <c r="J4402">
        <v>2153.25</v>
      </c>
      <c r="K4402" t="s">
        <v>22</v>
      </c>
      <c r="L4402">
        <v>76</v>
      </c>
      <c r="M4402">
        <v>12.58</v>
      </c>
      <c r="N4402">
        <v>21.19</v>
      </c>
      <c r="O4402" t="s">
        <v>19</v>
      </c>
      <c r="P4402" t="s">
        <v>1320</v>
      </c>
      <c r="Q4402" t="s">
        <v>19</v>
      </c>
      <c r="R4402" t="str">
        <f>HYPERLINK("https://cfpub.epa.gov/ecotox/explore.cfm?ncbi=6280","Explore in ECOTOX")</f>
        <v>Explore in ECOTOX</v>
      </c>
    </row>
    <row r="4403" spans="1:18" x14ac:dyDescent="0.45">
      <c r="A4403" t="s">
        <v>1265</v>
      </c>
      <c r="B4403">
        <v>8</v>
      </c>
      <c r="C4403" t="str">
        <f>HYPERLINK("http://www.ncbi.nlm.nih.gov/protein/UMM36210.1","UMM36210.1")</f>
        <v>UMM36210.1</v>
      </c>
      <c r="D4403">
        <v>104019</v>
      </c>
      <c r="E4403" t="str">
        <f>HYPERLINK("http://www.ncbi.nlm.nih.gov/Taxonomy/Browser/wwwtax.cgi?mode=Info&amp;id=6238&amp;lvl=3&amp;lin=f&amp;keep=1&amp;srchmode=1&amp;unlock","6238")</f>
        <v>6238</v>
      </c>
      <c r="F4403" t="s">
        <v>1024</v>
      </c>
      <c r="G4403" t="str">
        <f>HYPERLINK("http://www.ncbi.nlm.nih.gov/Taxonomy/Browser/wwwtax.cgi?mode=Info&amp;id=6238&amp;lvl=3&amp;lin=f&amp;keep=1&amp;srchmode=1&amp;unlock","Caenorhabditis briggsae")</f>
        <v>Caenorhabditis briggsae</v>
      </c>
      <c r="H4403" t="s">
        <v>1027</v>
      </c>
      <c r="I4403" t="str">
        <f>HYPERLINK("http://www.ncbi.nlm.nih.gov/protein/UMM36210.1","hypothetical protein L5515_008471")</f>
        <v>hypothetical protein L5515_008471</v>
      </c>
      <c r="J4403">
        <v>2139.77</v>
      </c>
      <c r="K4403" t="s">
        <v>22</v>
      </c>
      <c r="L4403">
        <v>76</v>
      </c>
      <c r="M4403">
        <v>12.58</v>
      </c>
      <c r="N4403">
        <v>21.06</v>
      </c>
      <c r="O4403" t="s">
        <v>19</v>
      </c>
      <c r="P4403" t="s">
        <v>1320</v>
      </c>
      <c r="Q4403" t="s">
        <v>19</v>
      </c>
      <c r="R4403" t="str">
        <f>HYPERLINK("https://cfpub.epa.gov/ecotox/explore.cfm?ncbi=6238","Explore in ECOTOX")</f>
        <v>Explore in ECOTOX</v>
      </c>
    </row>
    <row r="4404" spans="1:18" x14ac:dyDescent="0.45">
      <c r="A4404" t="s">
        <v>1265</v>
      </c>
      <c r="B4404">
        <v>8</v>
      </c>
      <c r="C4404" t="str">
        <f>HYPERLINK("http://www.ncbi.nlm.nih.gov/protein/GMT12570.1","GMT12570.1")</f>
        <v>GMT12570.1</v>
      </c>
      <c r="D4404">
        <v>29171</v>
      </c>
      <c r="E4404" t="str">
        <f>HYPERLINK("http://www.ncbi.nlm.nih.gov/Taxonomy/Browser/wwwtax.cgi?mode=Info&amp;id=1538716&amp;lvl=3&amp;lin=f&amp;keep=1&amp;srchmode=1&amp;unlock","1538716")</f>
        <v>1538716</v>
      </c>
      <c r="F4404" t="s">
        <v>1024</v>
      </c>
      <c r="G4404" t="str">
        <f>HYPERLINK("http://www.ncbi.nlm.nih.gov/Taxonomy/Browser/wwwtax.cgi?mode=Info&amp;id=1538716&amp;lvl=3&amp;lin=f&amp;keep=1&amp;srchmode=1&amp;unlock","Pristionchus fissidentatus")</f>
        <v>Pristionchus fissidentatus</v>
      </c>
      <c r="H4404" t="s">
        <v>1027</v>
      </c>
      <c r="I4404" t="str">
        <f>HYPERLINK("http://www.ncbi.nlm.nih.gov/protein/GMT12570.1","hypothetical protein PFISCL1PPCAC_3867, partial")</f>
        <v>hypothetical protein PFISCL1PPCAC_3867, partial</v>
      </c>
      <c r="J4404">
        <v>2125.52</v>
      </c>
      <c r="K4404" t="s">
        <v>22</v>
      </c>
      <c r="L4404">
        <v>76</v>
      </c>
      <c r="M4404">
        <v>12.58</v>
      </c>
      <c r="N4404">
        <v>20.92</v>
      </c>
      <c r="O4404" t="s">
        <v>19</v>
      </c>
      <c r="P4404" t="s">
        <v>1320</v>
      </c>
      <c r="Q4404" t="s">
        <v>19</v>
      </c>
      <c r="R4404" t="str">
        <f>HYPERLINK("https://cfpub.epa.gov/ecotox/explore.cfm?ncbi=1538716","Explore in ECOTOX")</f>
        <v>Explore in ECOTOX</v>
      </c>
    </row>
    <row r="4405" spans="1:18" x14ac:dyDescent="0.45">
      <c r="A4405" t="s">
        <v>1265</v>
      </c>
      <c r="B4405">
        <v>8</v>
      </c>
      <c r="C4405" t="str">
        <f>HYPERLINK("http://www.ncbi.nlm.nih.gov/protein/PAA86181.1","PAA86181.1")</f>
        <v>PAA86181.1</v>
      </c>
      <c r="D4405">
        <v>49035</v>
      </c>
      <c r="E4405" t="str">
        <f>HYPERLINK("http://www.ncbi.nlm.nih.gov/Taxonomy/Browser/wwwtax.cgi?mode=Info&amp;id=282301&amp;lvl=3&amp;lin=f&amp;keep=1&amp;srchmode=1&amp;unlock","282301")</f>
        <v>282301</v>
      </c>
      <c r="F4405" t="s">
        <v>835</v>
      </c>
      <c r="G4405" t="str">
        <f>HYPERLINK("http://www.ncbi.nlm.nih.gov/Taxonomy/Browser/wwwtax.cgi?mode=Info&amp;id=282301&amp;lvl=3&amp;lin=f&amp;keep=1&amp;srchmode=1&amp;unlock","Macrostomum lignano")</f>
        <v>Macrostomum lignano</v>
      </c>
      <c r="H4405" t="s">
        <v>836</v>
      </c>
      <c r="I4405" t="str">
        <f>HYPERLINK("http://www.ncbi.nlm.nih.gov/protein/PAA86181.1","hypothetical protein BOX15_Mlig033273g1")</f>
        <v>hypothetical protein BOX15_Mlig033273g1</v>
      </c>
      <c r="J4405">
        <v>2112.81</v>
      </c>
      <c r="K4405" t="s">
        <v>22</v>
      </c>
      <c r="L4405">
        <v>76</v>
      </c>
      <c r="M4405">
        <v>12.58</v>
      </c>
      <c r="N4405">
        <v>20.79</v>
      </c>
      <c r="O4405" t="s">
        <v>19</v>
      </c>
      <c r="P4405" t="s">
        <v>1320</v>
      </c>
      <c r="Q4405" t="s">
        <v>19</v>
      </c>
      <c r="R4405" t="str">
        <f>HYPERLINK("https://cfpub.epa.gov/ecotox/explore.cfm?ncbi=282301","Explore in ECOTOX")</f>
        <v>Explore in ECOTOX</v>
      </c>
    </row>
    <row r="4406" spans="1:18" x14ac:dyDescent="0.45">
      <c r="A4406" t="s">
        <v>1265</v>
      </c>
      <c r="B4406">
        <v>8</v>
      </c>
      <c r="C4406" t="str">
        <f>HYPERLINK("http://www.ncbi.nlm.nih.gov/protein/XP_002109077.1","XP_002109077.1")</f>
        <v>XP_002109077.1</v>
      </c>
      <c r="D4406">
        <v>23212</v>
      </c>
      <c r="E4406" t="str">
        <f>HYPERLINK("http://www.ncbi.nlm.nih.gov/Taxonomy/Browser/wwwtax.cgi?mode=Info&amp;id=10228&amp;lvl=3&amp;lin=f&amp;keep=1&amp;srchmode=1&amp;unlock","10228")</f>
        <v>10228</v>
      </c>
      <c r="F4406" t="s">
        <v>1151</v>
      </c>
      <c r="G4406" t="str">
        <f>HYPERLINK("http://www.ncbi.nlm.nih.gov/Taxonomy/Browser/wwwtax.cgi?mode=Info&amp;id=10228&amp;lvl=3&amp;lin=f&amp;keep=1&amp;srchmode=1&amp;unlock","Trichoplax adhaerens")</f>
        <v>Trichoplax adhaerens</v>
      </c>
      <c r="H4406" t="s">
        <v>1152</v>
      </c>
      <c r="I4406" t="str">
        <f>HYPERLINK("http://www.ncbi.nlm.nih.gov/protein/XP_002109077.1","hypothetical protein TRIADDRAFT_52741")</f>
        <v>hypothetical protein TRIADDRAFT_52741</v>
      </c>
      <c r="J4406">
        <v>2098.94</v>
      </c>
      <c r="K4406" t="s">
        <v>22</v>
      </c>
      <c r="L4406">
        <v>76</v>
      </c>
      <c r="M4406">
        <v>12.58</v>
      </c>
      <c r="N4406">
        <v>20.66</v>
      </c>
      <c r="O4406" t="s">
        <v>19</v>
      </c>
      <c r="P4406" t="s">
        <v>1320</v>
      </c>
      <c r="Q4406" t="s">
        <v>19</v>
      </c>
      <c r="R4406" t="str">
        <f>HYPERLINK("https://cfpub.epa.gov/ecotox/explore.cfm?ncbi=10228","Explore in ECOTOX")</f>
        <v>Explore in ECOTOX</v>
      </c>
    </row>
    <row r="4407" spans="1:18" x14ac:dyDescent="0.45">
      <c r="A4407" t="s">
        <v>1265</v>
      </c>
      <c r="B4407">
        <v>8</v>
      </c>
      <c r="C4407" t="str">
        <f>HYPERLINK("http://www.ncbi.nlm.nih.gov/protein/RDD40882.1","RDD40882.1")</f>
        <v>RDD40882.1</v>
      </c>
      <c r="D4407">
        <v>12207</v>
      </c>
      <c r="E4407" t="str">
        <f>HYPERLINK("http://www.ncbi.nlm.nih.gov/Taxonomy/Browser/wwwtax.cgi?mode=Info&amp;id=287889&amp;lvl=3&amp;lin=f&amp;keep=1&amp;srchmode=1&amp;unlock","287889")</f>
        <v>287889</v>
      </c>
      <c r="F4407" t="s">
        <v>1151</v>
      </c>
      <c r="G4407" t="str">
        <f>HYPERLINK("http://www.ncbi.nlm.nih.gov/Taxonomy/Browser/wwwtax.cgi?mode=Info&amp;id=287889&amp;lvl=3&amp;lin=f&amp;keep=1&amp;srchmode=1&amp;unlock","Trichoplax sp. H2")</f>
        <v>Trichoplax sp. H2</v>
      </c>
      <c r="H4407" t="s">
        <v>1152</v>
      </c>
      <c r="I4407" t="str">
        <f>HYPERLINK("http://www.ncbi.nlm.nih.gov/protein/RDD40882.1","Ryanodine receptor 3")</f>
        <v>Ryanodine receptor 3</v>
      </c>
      <c r="J4407">
        <v>2098.94</v>
      </c>
      <c r="K4407" t="s">
        <v>22</v>
      </c>
      <c r="L4407">
        <v>76</v>
      </c>
      <c r="M4407">
        <v>12.58</v>
      </c>
      <c r="N4407">
        <v>20.66</v>
      </c>
      <c r="O4407" t="s">
        <v>19</v>
      </c>
      <c r="P4407" t="s">
        <v>1320</v>
      </c>
      <c r="Q4407" t="s">
        <v>19</v>
      </c>
      <c r="R4407" t="str">
        <f>HYPERLINK("https://cfpub.epa.gov/ecotox/explore.cfm?ncbi=287889","Explore in ECOTOX")</f>
        <v>Explore in ECOTOX</v>
      </c>
    </row>
    <row r="4408" spans="1:18" x14ac:dyDescent="0.45">
      <c r="A4408" t="s">
        <v>1265</v>
      </c>
      <c r="B4408">
        <v>8</v>
      </c>
      <c r="C4408" t="str">
        <f>HYPERLINK("http://www.ncbi.nlm.nih.gov/protein/KRX83684.1","KRX83684.1")</f>
        <v>KRX83684.1</v>
      </c>
      <c r="D4408">
        <v>19492</v>
      </c>
      <c r="E4408" t="str">
        <f>HYPERLINK("http://www.ncbi.nlm.nih.gov/Taxonomy/Browser/wwwtax.cgi?mode=Info&amp;id=92179&amp;lvl=3&amp;lin=f&amp;keep=1&amp;srchmode=1&amp;unlock","92179")</f>
        <v>92179</v>
      </c>
      <c r="F4408" t="s">
        <v>1060</v>
      </c>
      <c r="G4408" t="str">
        <f>HYPERLINK("http://www.ncbi.nlm.nih.gov/Taxonomy/Browser/wwwtax.cgi?mode=Info&amp;id=92179&amp;lvl=3&amp;lin=f&amp;keep=1&amp;srchmode=1&amp;unlock","Trichinella sp. T6")</f>
        <v>Trichinella sp. T6</v>
      </c>
      <c r="H4408" t="s">
        <v>1027</v>
      </c>
      <c r="I4408" t="str">
        <f>HYPERLINK("http://www.ncbi.nlm.nih.gov/protein/KRX83684.1","Ryanodine receptor 2")</f>
        <v>Ryanodine receptor 2</v>
      </c>
      <c r="J4408">
        <v>2083.5300000000002</v>
      </c>
      <c r="K4408" t="s">
        <v>22</v>
      </c>
      <c r="L4408">
        <v>76</v>
      </c>
      <c r="M4408">
        <v>12.58</v>
      </c>
      <c r="N4408">
        <v>20.51</v>
      </c>
      <c r="O4408" t="s">
        <v>19</v>
      </c>
      <c r="P4408" t="s">
        <v>1320</v>
      </c>
      <c r="Q4408" t="s">
        <v>19</v>
      </c>
      <c r="R4408" t="str">
        <f>HYPERLINK("https://cfpub.epa.gov/ecotox/explore.cfm?ncbi=92179","Explore in ECOTOX")</f>
        <v>Explore in ECOTOX</v>
      </c>
    </row>
    <row r="4409" spans="1:18" x14ac:dyDescent="0.45">
      <c r="A4409" t="s">
        <v>1265</v>
      </c>
      <c r="B4409">
        <v>8</v>
      </c>
      <c r="C4409" t="str">
        <f>HYPERLINK("http://www.ncbi.nlm.nih.gov/protein/CAD7622040.1","CAD7622040.1")</f>
        <v>CAD7622040.1</v>
      </c>
      <c r="D4409">
        <v>46733</v>
      </c>
      <c r="E4409" t="str">
        <f>HYPERLINK("http://www.ncbi.nlm.nih.gov/Taxonomy/Browser/wwwtax.cgi?mode=Info&amp;id=1979941&amp;lvl=3&amp;lin=f&amp;keep=1&amp;srchmode=1&amp;unlock","1979941")</f>
        <v>1979941</v>
      </c>
      <c r="F4409" t="s">
        <v>904</v>
      </c>
      <c r="G4409" t="str">
        <f>HYPERLINK("http://www.ncbi.nlm.nih.gov/Taxonomy/Browser/wwwtax.cgi?mode=Info&amp;id=1979941&amp;lvl=3&amp;lin=f&amp;keep=1&amp;srchmode=1&amp;unlock","Medioppia subpectinata")</f>
        <v>Medioppia subpectinata</v>
      </c>
      <c r="H4409" t="s">
        <v>995</v>
      </c>
      <c r="I4409" t="str">
        <f>HYPERLINK("http://www.ncbi.nlm.nih.gov/protein/CAD7622040.1","unnamed protein product")</f>
        <v>unnamed protein product</v>
      </c>
      <c r="J4409">
        <v>2078.91</v>
      </c>
      <c r="K4409" t="s">
        <v>22</v>
      </c>
      <c r="L4409">
        <v>76</v>
      </c>
      <c r="M4409">
        <v>12.58</v>
      </c>
      <c r="N4409">
        <v>20.46</v>
      </c>
      <c r="O4409" t="s">
        <v>19</v>
      </c>
      <c r="P4409" t="s">
        <v>1320</v>
      </c>
      <c r="Q4409" t="s">
        <v>19</v>
      </c>
      <c r="R4409" t="str">
        <f>HYPERLINK("https://cfpub.epa.gov/ecotox/explore.cfm?ncbi=1979941","Explore in ECOTOX")</f>
        <v>Explore in ECOTOX</v>
      </c>
    </row>
    <row r="4410" spans="1:18" x14ac:dyDescent="0.45">
      <c r="A4410" t="s">
        <v>1265</v>
      </c>
      <c r="B4410">
        <v>8</v>
      </c>
      <c r="C4410" t="str">
        <f>HYPERLINK("http://www.ncbi.nlm.nih.gov/protein/KRZ62741.1","KRZ62741.1")</f>
        <v>KRZ62741.1</v>
      </c>
      <c r="D4410">
        <v>27104</v>
      </c>
      <c r="E4410" t="str">
        <f>HYPERLINK("http://www.ncbi.nlm.nih.gov/Taxonomy/Browser/wwwtax.cgi?mode=Info&amp;id=6335&amp;lvl=3&amp;lin=f&amp;keep=1&amp;srchmode=1&amp;unlock","6335")</f>
        <v>6335</v>
      </c>
      <c r="F4410" t="s">
        <v>1060</v>
      </c>
      <c r="G4410" t="str">
        <f>HYPERLINK("http://www.ncbi.nlm.nih.gov/Taxonomy/Browser/wwwtax.cgi?mode=Info&amp;id=6335&amp;lvl=3&amp;lin=f&amp;keep=1&amp;srchmode=1&amp;unlock","Trichinella nativa")</f>
        <v>Trichinella nativa</v>
      </c>
      <c r="H4410" t="s">
        <v>1027</v>
      </c>
      <c r="I4410" t="str">
        <f>HYPERLINK("http://www.ncbi.nlm.nih.gov/protein/KRZ62741.1","Ryanodine receptor 2")</f>
        <v>Ryanodine receptor 2</v>
      </c>
      <c r="J4410">
        <v>2078.52</v>
      </c>
      <c r="K4410" t="s">
        <v>22</v>
      </c>
      <c r="L4410">
        <v>76</v>
      </c>
      <c r="M4410">
        <v>12.58</v>
      </c>
      <c r="N4410">
        <v>20.46</v>
      </c>
      <c r="O4410" t="s">
        <v>19</v>
      </c>
      <c r="P4410" t="s">
        <v>1320</v>
      </c>
      <c r="Q4410" t="s">
        <v>19</v>
      </c>
      <c r="R4410" t="str">
        <f>HYPERLINK("https://cfpub.epa.gov/ecotox/explore.cfm?ncbi=6335","Explore in ECOTOX")</f>
        <v>Explore in ECOTOX</v>
      </c>
    </row>
    <row r="4411" spans="1:18" x14ac:dyDescent="0.45">
      <c r="A4411" t="s">
        <v>1265</v>
      </c>
      <c r="B4411">
        <v>8</v>
      </c>
      <c r="C4411" t="str">
        <f>HYPERLINK("http://www.ncbi.nlm.nih.gov/protein/KAI1309033.1","KAI1309033.1")</f>
        <v>KAI1309033.1</v>
      </c>
      <c r="D4411">
        <v>14608</v>
      </c>
      <c r="E4411" t="str">
        <f>HYPERLINK("http://www.ncbi.nlm.nih.gov/Taxonomy/Browser/wwwtax.cgi?mode=Info&amp;id=2874060&amp;lvl=3&amp;lin=f&amp;keep=1&amp;srchmode=1&amp;unlock","2874060")</f>
        <v>2874060</v>
      </c>
      <c r="F4411" t="s">
        <v>904</v>
      </c>
      <c r="G4411" t="str">
        <f>HYPERLINK("http://www.ncbi.nlm.nih.gov/Taxonomy/Browser/wwwtax.cgi?mode=Info&amp;id=2874060&amp;lvl=3&amp;lin=f&amp;keep=1&amp;srchmode=1&amp;unlock","Halotydeus destructor")</f>
        <v>Halotydeus destructor</v>
      </c>
      <c r="H4411" t="s">
        <v>992</v>
      </c>
      <c r="I4411" t="str">
        <f>HYPERLINK("http://www.ncbi.nlm.nih.gov/protein/KAI1309033.1","Ryanodine receptor")</f>
        <v>Ryanodine receptor</v>
      </c>
      <c r="J4411">
        <v>2064.66</v>
      </c>
      <c r="K4411" t="s">
        <v>22</v>
      </c>
      <c r="L4411">
        <v>76</v>
      </c>
      <c r="M4411">
        <v>12.58</v>
      </c>
      <c r="N4411">
        <v>20.32</v>
      </c>
      <c r="O4411" t="s">
        <v>19</v>
      </c>
      <c r="P4411" t="s">
        <v>1320</v>
      </c>
      <c r="Q4411" t="s">
        <v>19</v>
      </c>
      <c r="R4411" t="str">
        <f>HYPERLINK("https://cfpub.epa.gov/ecotox/explore.cfm?ncbi=2874060","Explore in ECOTOX")</f>
        <v>Explore in ECOTOX</v>
      </c>
    </row>
    <row r="4412" spans="1:18" x14ac:dyDescent="0.45">
      <c r="A4412" t="s">
        <v>1265</v>
      </c>
      <c r="B4412">
        <v>8</v>
      </c>
      <c r="C4412" t="str">
        <f>HYPERLINK("http://www.ncbi.nlm.nih.gov/protein/VDM52160.1","VDM52160.1")</f>
        <v>VDM52160.1</v>
      </c>
      <c r="D4412">
        <v>13409</v>
      </c>
      <c r="E4412" t="str">
        <f>HYPERLINK("http://www.ncbi.nlm.nih.gov/Taxonomy/Browser/wwwtax.cgi?mode=Info&amp;id=334426&amp;lvl=3&amp;lin=f&amp;keep=1&amp;srchmode=1&amp;unlock","334426")</f>
        <v>334426</v>
      </c>
      <c r="F4412" t="s">
        <v>1024</v>
      </c>
      <c r="G4412" t="str">
        <f>HYPERLINK("http://www.ncbi.nlm.nih.gov/Taxonomy/Browser/wwwtax.cgi?mode=Info&amp;id=334426&amp;lvl=3&amp;lin=f&amp;keep=1&amp;srchmode=1&amp;unlock","Angiostrongylus costaricensis")</f>
        <v>Angiostrongylus costaricensis</v>
      </c>
      <c r="H4412" t="s">
        <v>1142</v>
      </c>
      <c r="I4412" t="str">
        <f>HYPERLINK("http://www.ncbi.nlm.nih.gov/protein/VDM52160.1","unnamed protein product")</f>
        <v>unnamed protein product</v>
      </c>
      <c r="J4412">
        <v>2045.01</v>
      </c>
      <c r="K4412" t="s">
        <v>22</v>
      </c>
      <c r="L4412">
        <v>76</v>
      </c>
      <c r="M4412">
        <v>12.58</v>
      </c>
      <c r="N4412">
        <v>20.13</v>
      </c>
      <c r="O4412" t="s">
        <v>19</v>
      </c>
      <c r="P4412" t="s">
        <v>1320</v>
      </c>
      <c r="Q4412" t="s">
        <v>19</v>
      </c>
      <c r="R4412" t="str">
        <f>HYPERLINK("https://cfpub.epa.gov/ecotox/explore.cfm?ncbi=334426","Explore in ECOTOX")</f>
        <v>Explore in ECOTOX</v>
      </c>
    </row>
    <row r="4413" spans="1:18" x14ac:dyDescent="0.45">
      <c r="A4413" t="s">
        <v>1265</v>
      </c>
      <c r="B4413">
        <v>8</v>
      </c>
      <c r="C4413" t="str">
        <f>HYPERLINK("http://www.ncbi.nlm.nih.gov/protein/VEN56411.1","VEN56411.1")</f>
        <v>VEN56411.1</v>
      </c>
      <c r="D4413">
        <v>31489</v>
      </c>
      <c r="E4413" t="str">
        <f>HYPERLINK("http://www.ncbi.nlm.nih.gov/Taxonomy/Browser/wwwtax.cgi?mode=Info&amp;id=64391&amp;lvl=3&amp;lin=f&amp;keep=1&amp;srchmode=1&amp;unlock","64391")</f>
        <v>64391</v>
      </c>
      <c r="F4413" t="s">
        <v>760</v>
      </c>
      <c r="G4413" t="str">
        <f>HYPERLINK("http://www.ncbi.nlm.nih.gov/Taxonomy/Browser/wwwtax.cgi?mode=Info&amp;id=64391&amp;lvl=3&amp;lin=f&amp;keep=1&amp;srchmode=1&amp;unlock","Callosobruchus maculatus")</f>
        <v>Callosobruchus maculatus</v>
      </c>
      <c r="H4413" t="s">
        <v>1118</v>
      </c>
      <c r="I4413" t="str">
        <f>HYPERLINK("http://www.ncbi.nlm.nih.gov/protein/VEN56411.1","unnamed protein product, partial")</f>
        <v>unnamed protein product, partial</v>
      </c>
      <c r="J4413">
        <v>2040.77</v>
      </c>
      <c r="K4413" t="s">
        <v>22</v>
      </c>
      <c r="L4413">
        <v>76</v>
      </c>
      <c r="M4413">
        <v>12.58</v>
      </c>
      <c r="N4413">
        <v>20.079999999999998</v>
      </c>
      <c r="O4413" t="s">
        <v>19</v>
      </c>
      <c r="P4413" t="s">
        <v>1320</v>
      </c>
      <c r="Q4413" t="s">
        <v>19</v>
      </c>
      <c r="R4413" t="str">
        <f>HYPERLINK("https://cfpub.epa.gov/ecotox/explore.cfm?ncbi=64391","Explore in ECOTOX")</f>
        <v>Explore in ECOTOX</v>
      </c>
    </row>
    <row r="4414" spans="1:18" x14ac:dyDescent="0.45">
      <c r="A4414" t="s">
        <v>1265</v>
      </c>
      <c r="B4414">
        <v>8</v>
      </c>
      <c r="C4414" t="str">
        <f>HYPERLINK("http://www.ncbi.nlm.nih.gov/protein/XP_045590946.1","XP_045590946.1")</f>
        <v>XP_045590946.1</v>
      </c>
      <c r="D4414">
        <v>46758</v>
      </c>
      <c r="E4414" t="str">
        <f>HYPERLINK("http://www.ncbi.nlm.nih.gov/Taxonomy/Browser/wwwtax.cgi?mode=Info&amp;id=6728&amp;lvl=3&amp;lin=f&amp;keep=1&amp;srchmode=1&amp;unlock","6728")</f>
        <v>6728</v>
      </c>
      <c r="F4414" t="s">
        <v>779</v>
      </c>
      <c r="G4414" t="str">
        <f>HYPERLINK("http://www.ncbi.nlm.nih.gov/Taxonomy/Browser/wwwtax.cgi?mode=Info&amp;id=6728&amp;lvl=3&amp;lin=f&amp;keep=1&amp;srchmode=1&amp;unlock","Procambarus clarkii")</f>
        <v>Procambarus clarkii</v>
      </c>
      <c r="H4414" t="s">
        <v>1120</v>
      </c>
      <c r="I4414" t="str">
        <f>HYPERLINK("http://www.ncbi.nlm.nih.gov/protein/XP_045590946.1","ryanodine receptor-like")</f>
        <v>ryanodine receptor-like</v>
      </c>
      <c r="J4414">
        <v>1991.08</v>
      </c>
      <c r="K4414" t="s">
        <v>22</v>
      </c>
      <c r="L4414">
        <v>76</v>
      </c>
      <c r="M4414">
        <v>12.58</v>
      </c>
      <c r="N4414">
        <v>19.600000000000001</v>
      </c>
      <c r="O4414" t="s">
        <v>19</v>
      </c>
      <c r="P4414" t="s">
        <v>1320</v>
      </c>
      <c r="Q4414" t="s">
        <v>19</v>
      </c>
      <c r="R4414" t="str">
        <f>HYPERLINK("https://cfpub.epa.gov/ecotox/explore.cfm?ncbi=6728","Explore in ECOTOX")</f>
        <v>Explore in ECOTOX</v>
      </c>
    </row>
    <row r="4415" spans="1:18" x14ac:dyDescent="0.45">
      <c r="A4415" t="s">
        <v>1265</v>
      </c>
      <c r="B4415">
        <v>8</v>
      </c>
      <c r="C4415" t="str">
        <f>HYPERLINK("http://www.ncbi.nlm.nih.gov/protein/TNN87248.1","TNN87248.1")</f>
        <v>TNN87248.1</v>
      </c>
      <c r="D4415">
        <v>68319</v>
      </c>
      <c r="E4415" t="str">
        <f>HYPERLINK("http://www.ncbi.nlm.nih.gov/Taxonomy/Browser/wwwtax.cgi?mode=Info&amp;id=230148&amp;lvl=3&amp;lin=f&amp;keep=1&amp;srchmode=1&amp;unlock","230148")</f>
        <v>230148</v>
      </c>
      <c r="F4415" t="s">
        <v>17</v>
      </c>
      <c r="G4415" t="str">
        <f>HYPERLINK("http://www.ncbi.nlm.nih.gov/Taxonomy/Browser/wwwtax.cgi?mode=Info&amp;id=230148&amp;lvl=3&amp;lin=f&amp;keep=1&amp;srchmode=1&amp;unlock","Liparis tanakae")</f>
        <v>Liparis tanakae</v>
      </c>
      <c r="H4415" t="s">
        <v>1138</v>
      </c>
      <c r="I4415" t="str">
        <f>HYPERLINK("http://www.ncbi.nlm.nih.gov/protein/TNN87248.1","Ryanodine receptor 3")</f>
        <v>Ryanodine receptor 3</v>
      </c>
      <c r="J4415">
        <v>1984.53</v>
      </c>
      <c r="K4415" t="s">
        <v>22</v>
      </c>
      <c r="L4415">
        <v>76</v>
      </c>
      <c r="M4415">
        <v>12.58</v>
      </c>
      <c r="N4415">
        <v>19.53</v>
      </c>
      <c r="O4415" t="s">
        <v>19</v>
      </c>
      <c r="P4415" t="s">
        <v>1320</v>
      </c>
      <c r="Q4415" t="s">
        <v>19</v>
      </c>
      <c r="R4415" t="str">
        <f>HYPERLINK("https://cfpub.epa.gov/ecotox/explore.cfm?ncbi=230148","Explore in ECOTOX")</f>
        <v>Explore in ECOTOX</v>
      </c>
    </row>
    <row r="4416" spans="1:18" x14ac:dyDescent="0.45">
      <c r="A4416" t="s">
        <v>1265</v>
      </c>
      <c r="B4416">
        <v>8</v>
      </c>
      <c r="C4416" t="str">
        <f>HYPERLINK("http://www.ncbi.nlm.nih.gov/protein/KAK1328041.1","KAK1328041.1")</f>
        <v>KAK1328041.1</v>
      </c>
      <c r="D4416">
        <v>19863</v>
      </c>
      <c r="E4416" t="str">
        <f>HYPERLINK("http://www.ncbi.nlm.nih.gov/Taxonomy/Browser/wwwtax.cgi?mode=Info&amp;id=59451&amp;lvl=3&amp;lin=f&amp;keep=1&amp;srchmode=1&amp;unlock","59451")</f>
        <v>59451</v>
      </c>
      <c r="F4416" t="s">
        <v>96</v>
      </c>
      <c r="G4416" t="str">
        <f>HYPERLINK("http://www.ncbi.nlm.nih.gov/Taxonomy/Browser/wwwtax.cgi?mode=Info&amp;id=59451&amp;lvl=3&amp;lin=f&amp;keep=1&amp;srchmode=1&amp;unlock","Eptesicus nilssonii")</f>
        <v>Eptesicus nilssonii</v>
      </c>
      <c r="H4416" t="s">
        <v>1116</v>
      </c>
      <c r="I4416" t="str">
        <f>HYPERLINK("http://www.ncbi.nlm.nih.gov/protein/KAK1328041.1","hypothetical protein QTO34_012463")</f>
        <v>hypothetical protein QTO34_012463</v>
      </c>
      <c r="J4416">
        <v>1963.73</v>
      </c>
      <c r="K4416" t="s">
        <v>22</v>
      </c>
      <c r="L4416">
        <v>76</v>
      </c>
      <c r="M4416">
        <v>12.58</v>
      </c>
      <c r="N4416">
        <v>19.329999999999998</v>
      </c>
      <c r="O4416" t="s">
        <v>19</v>
      </c>
      <c r="P4416" t="s">
        <v>1320</v>
      </c>
      <c r="Q4416" t="s">
        <v>19</v>
      </c>
      <c r="R4416" t="str">
        <f>HYPERLINK("https://cfpub.epa.gov/ecotox/explore.cfm?ncbi=59451","Explore in ECOTOX")</f>
        <v>Explore in ECOTOX</v>
      </c>
    </row>
    <row r="4417" spans="1:18" x14ac:dyDescent="0.45">
      <c r="A4417" t="s">
        <v>1265</v>
      </c>
      <c r="B4417">
        <v>8</v>
      </c>
      <c r="C4417" t="str">
        <f>HYPERLINK("http://www.ncbi.nlm.nih.gov/protein/XP_033352160.1","XP_033352160.1")</f>
        <v>XP_033352160.1</v>
      </c>
      <c r="D4417">
        <v>24094</v>
      </c>
      <c r="E4417" t="str">
        <f>HYPERLINK("http://www.ncbi.nlm.nih.gov/Taxonomy/Browser/wwwtax.cgi?mode=Info&amp;id=207650&amp;lvl=3&amp;lin=f&amp;keep=1&amp;srchmode=1&amp;unlock","207650")</f>
        <v>207650</v>
      </c>
      <c r="F4417" t="s">
        <v>760</v>
      </c>
      <c r="G4417" t="str">
        <f>HYPERLINK("http://www.ncbi.nlm.nih.gov/Taxonomy/Browser/wwwtax.cgi?mode=Info&amp;id=207650&amp;lvl=3&amp;lin=f&amp;keep=1&amp;srchmode=1&amp;unlock","Bombus vosnesenskii")</f>
        <v>Bombus vosnesenskii</v>
      </c>
      <c r="H4417" t="s">
        <v>928</v>
      </c>
      <c r="I4417" t="str">
        <f>HYPERLINK("http://www.ncbi.nlm.nih.gov/protein/XP_033352160.1","ryanodine receptor isoform X9")</f>
        <v>ryanodine receptor isoform X9</v>
      </c>
      <c r="J4417">
        <v>1939.85</v>
      </c>
      <c r="K4417" t="s">
        <v>22</v>
      </c>
      <c r="L4417">
        <v>76</v>
      </c>
      <c r="M4417">
        <v>12.58</v>
      </c>
      <c r="N4417">
        <v>19.09</v>
      </c>
      <c r="O4417" t="s">
        <v>19</v>
      </c>
      <c r="P4417" t="s">
        <v>1320</v>
      </c>
      <c r="Q4417" t="s">
        <v>19</v>
      </c>
      <c r="R4417" t="str">
        <f>HYPERLINK("https://cfpub.epa.gov/ecotox/explore.cfm?ncbi=207650","Explore in ECOTOX")</f>
        <v>Explore in ECOTOX</v>
      </c>
    </row>
    <row r="4418" spans="1:18" x14ac:dyDescent="0.45">
      <c r="A4418" t="s">
        <v>1265</v>
      </c>
      <c r="B4418">
        <v>8</v>
      </c>
      <c r="C4418" t="str">
        <f>HYPERLINK("http://www.ncbi.nlm.nih.gov/protein/KAJ8044966.1","KAJ8044966.1")</f>
        <v>KAJ8044966.1</v>
      </c>
      <c r="D4418">
        <v>33969</v>
      </c>
      <c r="E4418" t="str">
        <f>HYPERLINK("http://www.ncbi.nlm.nih.gov/Taxonomy/Browser/wwwtax.cgi?mode=Info&amp;id=206669&amp;lvl=3&amp;lin=f&amp;keep=1&amp;srchmode=1&amp;unlock","206669")</f>
        <v>206669</v>
      </c>
      <c r="F4418" t="s">
        <v>1122</v>
      </c>
      <c r="G4418" t="str">
        <f>HYPERLINK("http://www.ncbi.nlm.nih.gov/Taxonomy/Browser/wwwtax.cgi?mode=Info&amp;id=206669&amp;lvl=3&amp;lin=f&amp;keep=1&amp;srchmode=1&amp;unlock","Holothuria leucospilota")</f>
        <v>Holothuria leucospilota</v>
      </c>
      <c r="H4418" t="s">
        <v>1123</v>
      </c>
      <c r="I4418" t="str">
        <f>HYPERLINK("http://www.ncbi.nlm.nih.gov/protein/KAJ8044966.1","Ryanodine receptor 2")</f>
        <v>Ryanodine receptor 2</v>
      </c>
      <c r="J4418">
        <v>1927.52</v>
      </c>
      <c r="K4418" t="s">
        <v>22</v>
      </c>
      <c r="L4418">
        <v>76</v>
      </c>
      <c r="M4418">
        <v>12.58</v>
      </c>
      <c r="N4418">
        <v>18.97</v>
      </c>
      <c r="O4418" t="s">
        <v>19</v>
      </c>
      <c r="P4418" t="s">
        <v>1320</v>
      </c>
      <c r="Q4418" t="s">
        <v>19</v>
      </c>
      <c r="R4418" t="str">
        <f>HYPERLINK("https://cfpub.epa.gov/ecotox/explore.cfm?ncbi=206669","Explore in ECOTOX")</f>
        <v>Explore in ECOTOX</v>
      </c>
    </row>
    <row r="4419" spans="1:18" x14ac:dyDescent="0.45">
      <c r="A4419" t="s">
        <v>1265</v>
      </c>
      <c r="B4419">
        <v>8</v>
      </c>
      <c r="C4419" t="str">
        <f>HYPERLINK("http://www.ncbi.nlm.nih.gov/protein/XP_034326370.1","XP_034326370.1")</f>
        <v>XP_034326370.1</v>
      </c>
      <c r="D4419">
        <v>64679</v>
      </c>
      <c r="E4419" t="str">
        <f>HYPERLINK("http://www.ncbi.nlm.nih.gov/Taxonomy/Browser/wwwtax.cgi?mode=Info&amp;id=29159&amp;lvl=3&amp;lin=f&amp;keep=1&amp;srchmode=1&amp;unlock","29159")</f>
        <v>29159</v>
      </c>
      <c r="F4419" t="s">
        <v>833</v>
      </c>
      <c r="G4419" t="str">
        <f>HYPERLINK("http://www.ncbi.nlm.nih.gov/Taxonomy/Browser/wwwtax.cgi?mode=Info&amp;id=29159&amp;lvl=3&amp;lin=f&amp;keep=1&amp;srchmode=1&amp;unlock","Crassostrea gigas")</f>
        <v>Crassostrea gigas</v>
      </c>
      <c r="H4419" t="s">
        <v>1125</v>
      </c>
      <c r="I4419" t="str">
        <f>HYPERLINK("http://www.ncbi.nlm.nih.gov/protein/XP_034326370.1","ryanodine receptor isoform X8")</f>
        <v>ryanodine receptor isoform X8</v>
      </c>
      <c r="J4419">
        <v>1841.24</v>
      </c>
      <c r="K4419" t="s">
        <v>22</v>
      </c>
      <c r="L4419">
        <v>76</v>
      </c>
      <c r="M4419">
        <v>12.58</v>
      </c>
      <c r="N4419">
        <v>18.12</v>
      </c>
      <c r="O4419" t="s">
        <v>19</v>
      </c>
      <c r="P4419" t="s">
        <v>1320</v>
      </c>
      <c r="Q4419" t="s">
        <v>19</v>
      </c>
      <c r="R4419" t="str">
        <f>HYPERLINK("https://cfpub.epa.gov/ecotox/explore.cfm?ncbi=29159","Explore in ECOTOX")</f>
        <v>Explore in ECOTOX</v>
      </c>
    </row>
    <row r="4420" spans="1:18" x14ac:dyDescent="0.45">
      <c r="A4420" t="s">
        <v>1265</v>
      </c>
      <c r="B4420">
        <v>8</v>
      </c>
      <c r="C4420" t="str">
        <f>HYPERLINK("http://www.ncbi.nlm.nih.gov/protein/XP_022104826.1","XP_022104826.1")</f>
        <v>XP_022104826.1</v>
      </c>
      <c r="D4420">
        <v>33561</v>
      </c>
      <c r="E4420" t="str">
        <f>HYPERLINK("http://www.ncbi.nlm.nih.gov/Taxonomy/Browser/wwwtax.cgi?mode=Info&amp;id=133434&amp;lvl=3&amp;lin=f&amp;keep=1&amp;srchmode=1&amp;unlock","133434")</f>
        <v>133434</v>
      </c>
      <c r="F4420" t="s">
        <v>1022</v>
      </c>
      <c r="G4420" t="str">
        <f>HYPERLINK("http://www.ncbi.nlm.nih.gov/Taxonomy/Browser/wwwtax.cgi?mode=Info&amp;id=133434&amp;lvl=3&amp;lin=f&amp;keep=1&amp;srchmode=1&amp;unlock","Acanthaster planci")</f>
        <v>Acanthaster planci</v>
      </c>
      <c r="H4420" t="s">
        <v>1023</v>
      </c>
      <c r="I4420" t="str">
        <f>HYPERLINK("http://www.ncbi.nlm.nih.gov/protein/XP_022104826.1","ryanodine receptor 2-like")</f>
        <v>ryanodine receptor 2-like</v>
      </c>
      <c r="J4420">
        <v>1837.39</v>
      </c>
      <c r="K4420" t="s">
        <v>22</v>
      </c>
      <c r="L4420">
        <v>76</v>
      </c>
      <c r="M4420">
        <v>12.58</v>
      </c>
      <c r="N4420">
        <v>18.079999999999998</v>
      </c>
      <c r="O4420" t="s">
        <v>19</v>
      </c>
      <c r="P4420" t="s">
        <v>1320</v>
      </c>
      <c r="Q4420" t="s">
        <v>19</v>
      </c>
      <c r="R4420" t="str">
        <f>HYPERLINK("https://cfpub.epa.gov/ecotox/explore.cfm?ncbi=133434","Explore in ECOTOX")</f>
        <v>Explore in ECOTOX</v>
      </c>
    </row>
    <row r="4421" spans="1:18" x14ac:dyDescent="0.45">
      <c r="A4421" t="s">
        <v>1265</v>
      </c>
      <c r="B4421">
        <v>8</v>
      </c>
      <c r="C4421" t="str">
        <f>HYPERLINK("http://www.ncbi.nlm.nih.gov/protein/BAB84714.1","BAB84714.1")</f>
        <v>BAB84714.1</v>
      </c>
      <c r="D4421">
        <v>224</v>
      </c>
      <c r="E4421" t="str">
        <f>HYPERLINK("http://www.ncbi.nlm.nih.gov/Taxonomy/Browser/wwwtax.cgi?mode=Info&amp;id=7650&amp;lvl=3&amp;lin=f&amp;keep=1&amp;srchmode=1&amp;unlock","7650")</f>
        <v>7650</v>
      </c>
      <c r="F4421" t="s">
        <v>1020</v>
      </c>
      <c r="G4421" t="str">
        <f>HYPERLINK("http://www.ncbi.nlm.nih.gov/Taxonomy/Browser/wwwtax.cgi?mode=Info&amp;id=7650&amp;lvl=3&amp;lin=f&amp;keep=1&amp;srchmode=1&amp;unlock","Hemicentrotus pulcherrimus")</f>
        <v>Hemicentrotus pulcherrimus</v>
      </c>
      <c r="H4421" t="s">
        <v>1130</v>
      </c>
      <c r="I4421" t="str">
        <f>HYPERLINK("http://www.ncbi.nlm.nih.gov/protein/BAB84714.1","ryanodine receptor")</f>
        <v>ryanodine receptor</v>
      </c>
      <c r="J4421">
        <v>1832.77</v>
      </c>
      <c r="K4421" t="s">
        <v>22</v>
      </c>
      <c r="L4421">
        <v>76</v>
      </c>
      <c r="M4421">
        <v>12.58</v>
      </c>
      <c r="N4421">
        <v>18.04</v>
      </c>
      <c r="O4421" t="s">
        <v>19</v>
      </c>
      <c r="P4421" t="s">
        <v>1320</v>
      </c>
      <c r="Q4421" t="s">
        <v>19</v>
      </c>
      <c r="R4421" t="str">
        <f>HYPERLINK("https://cfpub.epa.gov/ecotox/explore.cfm?ncbi=7650","Explore in ECOTOX")</f>
        <v>Explore in ECOTOX</v>
      </c>
    </row>
    <row r="4422" spans="1:18" x14ac:dyDescent="0.45">
      <c r="A4422" t="s">
        <v>1265</v>
      </c>
      <c r="B4422">
        <v>8</v>
      </c>
      <c r="C4422" t="str">
        <f>HYPERLINK("http://www.ncbi.nlm.nih.gov/protein/GFU98107.1","GFU98107.1")</f>
        <v>GFU98107.1</v>
      </c>
      <c r="D4422">
        <v>515731</v>
      </c>
      <c r="E4422" t="str">
        <f>HYPERLINK("http://www.ncbi.nlm.nih.gov/Taxonomy/Browser/wwwtax.cgi?mode=Info&amp;id=2585209&amp;lvl=3&amp;lin=f&amp;keep=1&amp;srchmode=1&amp;unlock","2585209")</f>
        <v>2585209</v>
      </c>
      <c r="F4422" t="s">
        <v>904</v>
      </c>
      <c r="G4422" t="str">
        <f>HYPERLINK("http://www.ncbi.nlm.nih.gov/Taxonomy/Browser/wwwtax.cgi?mode=Info&amp;id=2585209&amp;lvl=3&amp;lin=f&amp;keep=1&amp;srchmode=1&amp;unlock","Trichonephila clavipes")</f>
        <v>Trichonephila clavipes</v>
      </c>
      <c r="H4422" t="s">
        <v>905</v>
      </c>
      <c r="I4422" t="str">
        <f>HYPERLINK("http://www.ncbi.nlm.nih.gov/protein/GFU98107.1","ryanodine receptor")</f>
        <v>ryanodine receptor</v>
      </c>
      <c r="J4422">
        <v>1826.6</v>
      </c>
      <c r="K4422" t="s">
        <v>22</v>
      </c>
      <c r="L4422">
        <v>76</v>
      </c>
      <c r="M4422">
        <v>12.58</v>
      </c>
      <c r="N4422">
        <v>17.98</v>
      </c>
      <c r="O4422" t="s">
        <v>19</v>
      </c>
      <c r="P4422" t="s">
        <v>1320</v>
      </c>
      <c r="Q4422" t="s">
        <v>19</v>
      </c>
      <c r="R4422" t="str">
        <f>HYPERLINK("https://cfpub.epa.gov/ecotox/explore.cfm?ncbi=2585209","Explore in ECOTOX")</f>
        <v>Explore in ECOTOX</v>
      </c>
    </row>
    <row r="4423" spans="1:18" x14ac:dyDescent="0.45">
      <c r="A4423" t="s">
        <v>1265</v>
      </c>
      <c r="B4423">
        <v>8</v>
      </c>
      <c r="C4423" t="str">
        <f>HYPERLINK("http://www.ncbi.nlm.nih.gov/protein/XP_033625850.1","XP_033625850.1")</f>
        <v>XP_033625850.1</v>
      </c>
      <c r="D4423">
        <v>24240</v>
      </c>
      <c r="E4423" t="str">
        <f>HYPERLINK("http://www.ncbi.nlm.nih.gov/Taxonomy/Browser/wwwtax.cgi?mode=Info&amp;id=7604&amp;lvl=3&amp;lin=f&amp;keep=1&amp;srchmode=1&amp;unlock","7604")</f>
        <v>7604</v>
      </c>
      <c r="F4423" t="s">
        <v>1022</v>
      </c>
      <c r="G4423" t="str">
        <f>HYPERLINK("http://www.ncbi.nlm.nih.gov/Taxonomy/Browser/wwwtax.cgi?mode=Info&amp;id=7604&amp;lvl=3&amp;lin=f&amp;keep=1&amp;srchmode=1&amp;unlock","Asterias rubens")</f>
        <v>Asterias rubens</v>
      </c>
      <c r="H4423" t="s">
        <v>1128</v>
      </c>
      <c r="I4423" t="str">
        <f>HYPERLINK("http://www.ncbi.nlm.nih.gov/protein/XP_033625850.1","ryanodine receptor 2-like")</f>
        <v>ryanodine receptor 2-like</v>
      </c>
      <c r="J4423">
        <v>1824.68</v>
      </c>
      <c r="K4423" t="s">
        <v>22</v>
      </c>
      <c r="L4423">
        <v>76</v>
      </c>
      <c r="M4423">
        <v>12.58</v>
      </c>
      <c r="N4423">
        <v>17.96</v>
      </c>
      <c r="O4423" t="s">
        <v>19</v>
      </c>
      <c r="P4423" t="s">
        <v>1320</v>
      </c>
      <c r="Q4423" t="s">
        <v>19</v>
      </c>
      <c r="R4423" t="str">
        <f>HYPERLINK("https://cfpub.epa.gov/ecotox/explore.cfm?ncbi=7604","Explore in ECOTOX")</f>
        <v>Explore in ECOTOX</v>
      </c>
    </row>
    <row r="4424" spans="1:18" x14ac:dyDescent="0.45">
      <c r="A4424" t="s">
        <v>1265</v>
      </c>
      <c r="B4424">
        <v>8</v>
      </c>
      <c r="C4424" t="str">
        <f>HYPERLINK("http://www.ncbi.nlm.nih.gov/protein/XP_030855111.1","XP_030855111.1")</f>
        <v>XP_030855111.1</v>
      </c>
      <c r="D4424">
        <v>40843</v>
      </c>
      <c r="E4424" t="str">
        <f>HYPERLINK("http://www.ncbi.nlm.nih.gov/Taxonomy/Browser/wwwtax.cgi?mode=Info&amp;id=7668&amp;lvl=3&amp;lin=f&amp;keep=1&amp;srchmode=1&amp;unlock","7668")</f>
        <v>7668</v>
      </c>
      <c r="F4424" t="s">
        <v>1020</v>
      </c>
      <c r="G4424" t="str">
        <f>HYPERLINK("http://www.ncbi.nlm.nih.gov/Taxonomy/Browser/wwwtax.cgi?mode=Info&amp;id=7668&amp;lvl=3&amp;lin=f&amp;keep=1&amp;srchmode=1&amp;unlock","Strongylocentrotus purpuratus")</f>
        <v>Strongylocentrotus purpuratus</v>
      </c>
      <c r="H4424" t="s">
        <v>1133</v>
      </c>
      <c r="I4424" t="str">
        <f>HYPERLINK("http://www.ncbi.nlm.nih.gov/protein/XP_030855111.1","ryanodine receptor 2")</f>
        <v>ryanodine receptor 2</v>
      </c>
      <c r="J4424">
        <v>1820.44</v>
      </c>
      <c r="K4424" t="s">
        <v>22</v>
      </c>
      <c r="L4424">
        <v>76</v>
      </c>
      <c r="M4424">
        <v>12.58</v>
      </c>
      <c r="N4424">
        <v>17.920000000000002</v>
      </c>
      <c r="O4424" t="s">
        <v>19</v>
      </c>
      <c r="P4424" t="s">
        <v>1320</v>
      </c>
      <c r="Q4424" t="s">
        <v>19</v>
      </c>
      <c r="R4424" t="str">
        <f>HYPERLINK("https://cfpub.epa.gov/ecotox/explore.cfm?ncbi=7668","Explore in ECOTOX")</f>
        <v>Explore in ECOTOX</v>
      </c>
    </row>
    <row r="4425" spans="1:18" x14ac:dyDescent="0.45">
      <c r="A4425" t="s">
        <v>1265</v>
      </c>
      <c r="B4425">
        <v>8</v>
      </c>
      <c r="C4425" t="str">
        <f>HYPERLINK("http://www.ncbi.nlm.nih.gov/protein/VDK67515.1","VDK67515.1")</f>
        <v>VDK67515.1</v>
      </c>
      <c r="D4425">
        <v>13787</v>
      </c>
      <c r="E4425" t="str">
        <f>HYPERLINK("http://www.ncbi.nlm.nih.gov/Taxonomy/Browser/wwwtax.cgi?mode=Info&amp;id=42157&amp;lvl=3&amp;lin=f&amp;keep=1&amp;srchmode=1&amp;unlock","42157")</f>
        <v>42157</v>
      </c>
      <c r="F4425" t="s">
        <v>1024</v>
      </c>
      <c r="G4425" t="str">
        <f>HYPERLINK("http://www.ncbi.nlm.nih.gov/Taxonomy/Browser/wwwtax.cgi?mode=Info&amp;id=42157&amp;lvl=3&amp;lin=f&amp;keep=1&amp;srchmode=1&amp;unlock","Onchocerca ochengi")</f>
        <v>Onchocerca ochengi</v>
      </c>
      <c r="H4425" t="s">
        <v>1027</v>
      </c>
      <c r="I4425" t="str">
        <f>HYPERLINK("http://www.ncbi.nlm.nih.gov/protein/VDK67515.1","unnamed protein product, partial")</f>
        <v>unnamed protein product, partial</v>
      </c>
      <c r="J4425">
        <v>1811.58</v>
      </c>
      <c r="K4425" t="s">
        <v>22</v>
      </c>
      <c r="L4425">
        <v>76</v>
      </c>
      <c r="M4425">
        <v>12.58</v>
      </c>
      <c r="N4425">
        <v>17.829999999999998</v>
      </c>
      <c r="O4425" t="s">
        <v>19</v>
      </c>
      <c r="P4425" t="s">
        <v>1320</v>
      </c>
      <c r="Q4425" t="s">
        <v>19</v>
      </c>
      <c r="R4425" t="str">
        <f>HYPERLINK("https://cfpub.epa.gov/ecotox/explore.cfm?ncbi=42157","Explore in ECOTOX")</f>
        <v>Explore in ECOTOX</v>
      </c>
    </row>
    <row r="4426" spans="1:18" x14ac:dyDescent="0.45">
      <c r="A4426" t="s">
        <v>1265</v>
      </c>
      <c r="B4426">
        <v>8</v>
      </c>
      <c r="C4426" t="str">
        <f>HYPERLINK("http://www.ncbi.nlm.nih.gov/protein/VDN59926.1","VDN59926.1")</f>
        <v>VDN59926.1</v>
      </c>
      <c r="D4426">
        <v>11827</v>
      </c>
      <c r="E4426" t="str">
        <f>HYPERLINK("http://www.ncbi.nlm.nih.gov/Taxonomy/Browser/wwwtax.cgi?mode=Info&amp;id=318479&amp;lvl=3&amp;lin=f&amp;keep=1&amp;srchmode=1&amp;unlock","318479")</f>
        <v>318479</v>
      </c>
      <c r="F4426" t="s">
        <v>1024</v>
      </c>
      <c r="G4426" t="str">
        <f>HYPERLINK("http://www.ncbi.nlm.nih.gov/Taxonomy/Browser/wwwtax.cgi?mode=Info&amp;id=318479&amp;lvl=3&amp;lin=f&amp;keep=1&amp;srchmode=1&amp;unlock","Dracunculus medinensis")</f>
        <v>Dracunculus medinensis</v>
      </c>
      <c r="H4426" t="s">
        <v>1166</v>
      </c>
      <c r="I4426" t="str">
        <f>HYPERLINK("http://www.ncbi.nlm.nih.gov/protein/VDN59926.1","unnamed protein product")</f>
        <v>unnamed protein product</v>
      </c>
      <c r="J4426">
        <v>1808.11</v>
      </c>
      <c r="K4426" t="s">
        <v>22</v>
      </c>
      <c r="L4426">
        <v>76</v>
      </c>
      <c r="M4426">
        <v>12.58</v>
      </c>
      <c r="N4426">
        <v>17.79</v>
      </c>
      <c r="O4426" t="s">
        <v>19</v>
      </c>
      <c r="P4426" t="s">
        <v>1320</v>
      </c>
      <c r="Q4426" t="s">
        <v>19</v>
      </c>
      <c r="R4426" t="str">
        <f>HYPERLINK("https://cfpub.epa.gov/ecotox/explore.cfm?ncbi=318479","Explore in ECOTOX")</f>
        <v>Explore in ECOTOX</v>
      </c>
    </row>
    <row r="4427" spans="1:18" x14ac:dyDescent="0.45">
      <c r="A4427" t="s">
        <v>1265</v>
      </c>
      <c r="B4427">
        <v>8</v>
      </c>
      <c r="C4427" t="str">
        <f>HYPERLINK("http://www.ncbi.nlm.nih.gov/protein/KAJ3662240.1","KAJ3662240.1")</f>
        <v>KAJ3662240.1</v>
      </c>
      <c r="D4427">
        <v>30307</v>
      </c>
      <c r="E4427" t="str">
        <f>HYPERLINK("http://www.ncbi.nlm.nih.gov/Taxonomy/Browser/wwwtax.cgi?mode=Info&amp;id=2755281&amp;lvl=3&amp;lin=f&amp;keep=1&amp;srchmode=1&amp;unlock","2755281")</f>
        <v>2755281</v>
      </c>
      <c r="F4427" t="s">
        <v>760</v>
      </c>
      <c r="G4427" t="str">
        <f>HYPERLINK("http://www.ncbi.nlm.nih.gov/Taxonomy/Browser/wwwtax.cgi?mode=Info&amp;id=2755281&amp;lvl=3&amp;lin=f&amp;keep=1&amp;srchmode=1&amp;unlock","Zophobas morio")</f>
        <v>Zophobas morio</v>
      </c>
      <c r="H4427" t="s">
        <v>1134</v>
      </c>
      <c r="I4427" t="str">
        <f>HYPERLINK("http://www.ncbi.nlm.nih.gov/protein/KAJ3662240.1","hypothetical protein Zmor_006596")</f>
        <v>hypothetical protein Zmor_006596</v>
      </c>
      <c r="J4427">
        <v>1806.96</v>
      </c>
      <c r="K4427" t="s">
        <v>22</v>
      </c>
      <c r="L4427">
        <v>76</v>
      </c>
      <c r="M4427">
        <v>12.58</v>
      </c>
      <c r="N4427">
        <v>17.78</v>
      </c>
      <c r="O4427" t="s">
        <v>19</v>
      </c>
      <c r="P4427" t="s">
        <v>1320</v>
      </c>
      <c r="Q4427" t="s">
        <v>19</v>
      </c>
      <c r="R4427" t="str">
        <f>HYPERLINK("https://cfpub.epa.gov/ecotox/explore.cfm?ncbi=2755281","Explore in ECOTOX")</f>
        <v>Explore in ECOTOX</v>
      </c>
    </row>
    <row r="4428" spans="1:18" x14ac:dyDescent="0.45">
      <c r="A4428" t="s">
        <v>1265</v>
      </c>
      <c r="B4428">
        <v>8</v>
      </c>
      <c r="C4428" t="str">
        <f>HYPERLINK("http://www.ncbi.nlm.nih.gov/protein/XP_036363620.1","XP_036363620.1")</f>
        <v>XP_036363620.1</v>
      </c>
      <c r="D4428">
        <v>36138</v>
      </c>
      <c r="E4428" t="str">
        <f>HYPERLINK("http://www.ncbi.nlm.nih.gov/Taxonomy/Browser/wwwtax.cgi?mode=Info&amp;id=2607531&amp;lvl=3&amp;lin=f&amp;keep=1&amp;srchmode=1&amp;unlock","2607531")</f>
        <v>2607531</v>
      </c>
      <c r="F4428" t="s">
        <v>1010</v>
      </c>
      <c r="G4428" t="str">
        <f>HYPERLINK("http://www.ncbi.nlm.nih.gov/Taxonomy/Browser/wwwtax.cgi?mode=Info&amp;id=2607531&amp;lvl=3&amp;lin=f&amp;keep=1&amp;srchmode=1&amp;unlock","Octopus sinensis")</f>
        <v>Octopus sinensis</v>
      </c>
      <c r="H4428" t="s">
        <v>1160</v>
      </c>
      <c r="I4428" t="str">
        <f>HYPERLINK("http://www.ncbi.nlm.nih.gov/protein/XP_036363620.1","ryanodine receptor isoform X2")</f>
        <v>ryanodine receptor isoform X2</v>
      </c>
      <c r="J4428">
        <v>1803.88</v>
      </c>
      <c r="K4428" t="s">
        <v>22</v>
      </c>
      <c r="L4428">
        <v>76</v>
      </c>
      <c r="M4428">
        <v>12.58</v>
      </c>
      <c r="N4428">
        <v>17.75</v>
      </c>
      <c r="O4428" t="s">
        <v>19</v>
      </c>
      <c r="P4428" t="s">
        <v>1320</v>
      </c>
      <c r="Q4428" t="s">
        <v>19</v>
      </c>
      <c r="R4428" t="str">
        <f>HYPERLINK("https://cfpub.epa.gov/ecotox/explore.cfm?ncbi=2607531","Explore in ECOTOX")</f>
        <v>Explore in ECOTOX</v>
      </c>
    </row>
    <row r="4429" spans="1:18" x14ac:dyDescent="0.45">
      <c r="A4429" t="s">
        <v>1265</v>
      </c>
      <c r="B4429">
        <v>8</v>
      </c>
      <c r="C4429" t="str">
        <f>HYPERLINK("http://www.ncbi.nlm.nih.gov/protein/KAI0981288.1","KAI0981288.1")</f>
        <v>KAI0981288.1</v>
      </c>
      <c r="D4429">
        <v>13361</v>
      </c>
      <c r="E4429" t="str">
        <f>HYPERLINK("http://www.ncbi.nlm.nih.gov/Taxonomy/Browser/wwwtax.cgi?mode=Info&amp;id=141832&amp;lvl=3&amp;lin=f&amp;keep=1&amp;srchmode=1&amp;unlock","141832")</f>
        <v>141832</v>
      </c>
      <c r="F4429" t="s">
        <v>1016</v>
      </c>
      <c r="G4429" t="str">
        <f>HYPERLINK("http://www.ncbi.nlm.nih.gov/Taxonomy/Browser/wwwtax.cgi?mode=Info&amp;id=141832&amp;lvl=3&amp;lin=f&amp;keep=1&amp;srchmode=1&amp;unlock","Pomphorhynchus laevis")</f>
        <v>Pomphorhynchus laevis</v>
      </c>
      <c r="H4429" t="s">
        <v>1017</v>
      </c>
      <c r="I4429" t="str">
        <f>HYPERLINK("http://www.ncbi.nlm.nih.gov/protein/KAI0981288.1","hypothetical protein GJ496_001976")</f>
        <v>hypothetical protein GJ496_001976</v>
      </c>
      <c r="J4429">
        <v>1795.79</v>
      </c>
      <c r="K4429" t="s">
        <v>22</v>
      </c>
      <c r="L4429">
        <v>76</v>
      </c>
      <c r="M4429">
        <v>12.58</v>
      </c>
      <c r="N4429">
        <v>17.670000000000002</v>
      </c>
      <c r="O4429" t="s">
        <v>19</v>
      </c>
      <c r="P4429" t="s">
        <v>1320</v>
      </c>
      <c r="Q4429" t="s">
        <v>19</v>
      </c>
      <c r="R4429" t="str">
        <f>HYPERLINK("https://cfpub.epa.gov/ecotox/explore.cfm?ncbi=141832","Explore in ECOTOX")</f>
        <v>Explore in ECOTOX</v>
      </c>
    </row>
    <row r="4430" spans="1:18" x14ac:dyDescent="0.45">
      <c r="A4430" t="s">
        <v>1265</v>
      </c>
      <c r="B4430">
        <v>8</v>
      </c>
      <c r="C4430" t="str">
        <f>HYPERLINK("http://www.ncbi.nlm.nih.gov/protein/XP_013300378.1","XP_013300378.1")</f>
        <v>XP_013300378.1</v>
      </c>
      <c r="D4430">
        <v>38507</v>
      </c>
      <c r="E4430" t="str">
        <f>HYPERLINK("http://www.ncbi.nlm.nih.gov/Taxonomy/Browser/wwwtax.cgi?mode=Info&amp;id=51031&amp;lvl=3&amp;lin=f&amp;keep=1&amp;srchmode=1&amp;unlock","51031")</f>
        <v>51031</v>
      </c>
      <c r="F4430" t="s">
        <v>1024</v>
      </c>
      <c r="G4430" t="str">
        <f>HYPERLINK("http://www.ncbi.nlm.nih.gov/Taxonomy/Browser/wwwtax.cgi?mode=Info&amp;id=51031&amp;lvl=3&amp;lin=f&amp;keep=1&amp;srchmode=1&amp;unlock","Necator americanus")</f>
        <v>Necator americanus</v>
      </c>
      <c r="H4430" t="s">
        <v>1127</v>
      </c>
      <c r="I4430" t="str">
        <f>HYPERLINK("http://www.ncbi.nlm.nih.gov/protein/XP_013300378.1","hypothetical protein NECAME_10550")</f>
        <v>hypothetical protein NECAME_10550</v>
      </c>
      <c r="J4430">
        <v>1786.16</v>
      </c>
      <c r="K4430" t="s">
        <v>22</v>
      </c>
      <c r="L4430">
        <v>76</v>
      </c>
      <c r="M4430">
        <v>12.58</v>
      </c>
      <c r="N4430">
        <v>17.579999999999998</v>
      </c>
      <c r="O4430" t="s">
        <v>19</v>
      </c>
      <c r="P4430" t="s">
        <v>1320</v>
      </c>
      <c r="Q4430" t="s">
        <v>19</v>
      </c>
      <c r="R4430" t="str">
        <f>HYPERLINK("https://cfpub.epa.gov/ecotox/explore.cfm?ncbi=51031","Explore in ECOTOX")</f>
        <v>Explore in ECOTOX</v>
      </c>
    </row>
    <row r="4431" spans="1:18" x14ac:dyDescent="0.45">
      <c r="A4431" t="s">
        <v>1265</v>
      </c>
      <c r="B4431">
        <v>8</v>
      </c>
      <c r="C4431" t="str">
        <f>HYPERLINK("http://www.ncbi.nlm.nih.gov/protein/XP_018645937.1","XP_018645937.1")</f>
        <v>XP_018645937.1</v>
      </c>
      <c r="D4431">
        <v>14775</v>
      </c>
      <c r="E4431" t="str">
        <f>HYPERLINK("http://www.ncbi.nlm.nih.gov/Taxonomy/Browser/wwwtax.cgi?mode=Info&amp;id=6183&amp;lvl=3&amp;lin=f&amp;keep=1&amp;srchmode=1&amp;unlock","6183")</f>
        <v>6183</v>
      </c>
      <c r="F4431" t="s">
        <v>1140</v>
      </c>
      <c r="G4431" t="str">
        <f>HYPERLINK("http://www.ncbi.nlm.nih.gov/Taxonomy/Browser/wwwtax.cgi?mode=Info&amp;id=6183&amp;lvl=3&amp;lin=f&amp;keep=1&amp;srchmode=1&amp;unlock","Schistosoma mansoni")</f>
        <v>Schistosoma mansoni</v>
      </c>
      <c r="H4431" t="s">
        <v>1141</v>
      </c>
      <c r="I4431" t="str">
        <f>HYPERLINK("http://www.ncbi.nlm.nih.gov/protein/XP_018645937.1","ryanodine receptor related")</f>
        <v>ryanodine receptor related</v>
      </c>
      <c r="J4431">
        <v>1759.96</v>
      </c>
      <c r="K4431" t="s">
        <v>22</v>
      </c>
      <c r="L4431">
        <v>76</v>
      </c>
      <c r="M4431">
        <v>12.58</v>
      </c>
      <c r="N4431">
        <v>17.32</v>
      </c>
      <c r="O4431" t="s">
        <v>19</v>
      </c>
      <c r="P4431" t="s">
        <v>1320</v>
      </c>
      <c r="Q4431" t="s">
        <v>19</v>
      </c>
      <c r="R4431" t="str">
        <f>HYPERLINK("https://cfpub.epa.gov/ecotox/explore.cfm?ncbi=6183","Explore in ECOTOX")</f>
        <v>Explore in ECOTOX</v>
      </c>
    </row>
    <row r="4432" spans="1:18" x14ac:dyDescent="0.45">
      <c r="A4432" t="s">
        <v>1265</v>
      </c>
      <c r="B4432">
        <v>8</v>
      </c>
      <c r="C4432" t="str">
        <f>HYPERLINK("http://www.ncbi.nlm.nih.gov/protein/KAG8317291.1","KAG8317291.1")</f>
        <v>KAG8317291.1</v>
      </c>
      <c r="D4432">
        <v>129479</v>
      </c>
      <c r="E4432" t="str">
        <f>HYPERLINK("http://www.ncbi.nlm.nih.gov/Taxonomy/Browser/wwwtax.cgi?mode=Info&amp;id=197043&amp;lvl=3&amp;lin=f&amp;keep=1&amp;srchmode=1&amp;unlock","197043")</f>
        <v>197043</v>
      </c>
      <c r="F4432" t="s">
        <v>760</v>
      </c>
      <c r="G4432" t="str">
        <f>HYPERLINK("http://www.ncbi.nlm.nih.gov/Taxonomy/Browser/wwwtax.cgi?mode=Info&amp;id=197043&amp;lvl=3&amp;lin=f&amp;keep=1&amp;srchmode=1&amp;unlock","Homalodisca vitripennis")</f>
        <v>Homalodisca vitripennis</v>
      </c>
      <c r="H4432" t="s">
        <v>1136</v>
      </c>
      <c r="I4432" t="str">
        <f>HYPERLINK("http://www.ncbi.nlm.nih.gov/protein/KAG8317291.1","Ryanodine receptor 2")</f>
        <v>Ryanodine receptor 2</v>
      </c>
      <c r="J4432">
        <v>1759.58</v>
      </c>
      <c r="K4432" t="s">
        <v>22</v>
      </c>
      <c r="L4432">
        <v>76</v>
      </c>
      <c r="M4432">
        <v>12.58</v>
      </c>
      <c r="N4432">
        <v>17.32</v>
      </c>
      <c r="O4432" t="s">
        <v>19</v>
      </c>
      <c r="P4432" t="s">
        <v>1320</v>
      </c>
      <c r="Q4432" t="s">
        <v>19</v>
      </c>
      <c r="R4432" t="str">
        <f>HYPERLINK("https://cfpub.epa.gov/ecotox/explore.cfm?ncbi=197043","Explore in ECOTOX")</f>
        <v>Explore in ECOTOX</v>
      </c>
    </row>
    <row r="4433" spans="1:18" x14ac:dyDescent="0.45">
      <c r="A4433" t="s">
        <v>1265</v>
      </c>
      <c r="B4433">
        <v>8</v>
      </c>
      <c r="C4433" t="str">
        <f>HYPERLINK("http://www.ncbi.nlm.nih.gov/protein/XP_026324427.1","XP_026324427.1")</f>
        <v>XP_026324427.1</v>
      </c>
      <c r="D4433">
        <v>20440</v>
      </c>
      <c r="E4433" t="str">
        <f>HYPERLINK("http://www.ncbi.nlm.nih.gov/Taxonomy/Browser/wwwtax.cgi?mode=Info&amp;id=1477025&amp;lvl=3&amp;lin=f&amp;keep=1&amp;srchmode=1&amp;unlock","1477025")</f>
        <v>1477025</v>
      </c>
      <c r="F4433" t="s">
        <v>760</v>
      </c>
      <c r="G4433" t="str">
        <f>HYPERLINK("http://www.ncbi.nlm.nih.gov/Taxonomy/Browser/wwwtax.cgi?mode=Info&amp;id=1477025&amp;lvl=3&amp;lin=f&amp;keep=1&amp;srchmode=1&amp;unlock","Hyposmocoma kahamanoa")</f>
        <v>Hyposmocoma kahamanoa</v>
      </c>
      <c r="H4433" t="s">
        <v>1135</v>
      </c>
      <c r="I4433" t="str">
        <f>HYPERLINK("http://www.ncbi.nlm.nih.gov/protein/XP_026324427.1","ryanodine receptor")</f>
        <v>ryanodine receptor</v>
      </c>
      <c r="J4433">
        <v>1756.5</v>
      </c>
      <c r="K4433" t="s">
        <v>22</v>
      </c>
      <c r="L4433">
        <v>76</v>
      </c>
      <c r="M4433">
        <v>12.58</v>
      </c>
      <c r="N4433">
        <v>17.29</v>
      </c>
      <c r="O4433" t="s">
        <v>19</v>
      </c>
      <c r="P4433" t="s">
        <v>1320</v>
      </c>
      <c r="Q4433" t="s">
        <v>19</v>
      </c>
      <c r="R4433" t="str">
        <f>HYPERLINK("https://cfpub.epa.gov/ecotox/explore.cfm?ncbi=1477025","Explore in ECOTOX")</f>
        <v>Explore in ECOTOX</v>
      </c>
    </row>
    <row r="4434" spans="1:18" x14ac:dyDescent="0.45">
      <c r="A4434" t="s">
        <v>1265</v>
      </c>
      <c r="B4434">
        <v>8</v>
      </c>
      <c r="C4434" t="str">
        <f>HYPERLINK("http://www.ncbi.nlm.nih.gov/protein/OWK16374.1","OWK16374.1")</f>
        <v>OWK16374.1</v>
      </c>
      <c r="D4434">
        <v>19276</v>
      </c>
      <c r="E4434" t="str">
        <f>HYPERLINK("http://www.ncbi.nlm.nih.gov/Taxonomy/Browser/wwwtax.cgi?mode=Info&amp;id=46360&amp;lvl=3&amp;lin=f&amp;keep=1&amp;srchmode=1&amp;unlock","46360")</f>
        <v>46360</v>
      </c>
      <c r="F4434" t="s">
        <v>96</v>
      </c>
      <c r="G4434" t="str">
        <f>HYPERLINK("http://www.ncbi.nlm.nih.gov/Taxonomy/Browser/wwwtax.cgi?mode=Info&amp;id=46360&amp;lvl=3&amp;lin=f&amp;keep=1&amp;srchmode=1&amp;unlock","Cervus elaphus hippelaphus")</f>
        <v>Cervus elaphus hippelaphus</v>
      </c>
      <c r="H4434" t="s">
        <v>576</v>
      </c>
      <c r="I4434" t="str">
        <f>HYPERLINK("http://www.ncbi.nlm.nih.gov/protein/OWK16374.1","RYR1")</f>
        <v>RYR1</v>
      </c>
      <c r="J4434">
        <v>1747.25</v>
      </c>
      <c r="K4434" t="s">
        <v>22</v>
      </c>
      <c r="L4434">
        <v>76</v>
      </c>
      <c r="M4434">
        <v>12.58</v>
      </c>
      <c r="N4434">
        <v>17.2</v>
      </c>
      <c r="O4434" t="s">
        <v>19</v>
      </c>
      <c r="P4434" t="s">
        <v>1320</v>
      </c>
      <c r="Q4434" t="s">
        <v>19</v>
      </c>
      <c r="R4434" t="str">
        <f>HYPERLINK("https://cfpub.epa.gov/ecotox/explore.cfm?ncbi=46360","Explore in ECOTOX")</f>
        <v>Explore in ECOTOX</v>
      </c>
    </row>
    <row r="4435" spans="1:18" x14ac:dyDescent="0.45">
      <c r="A4435" t="s">
        <v>1265</v>
      </c>
      <c r="B4435">
        <v>8</v>
      </c>
      <c r="C4435" t="str">
        <f>HYPERLINK("http://www.ncbi.nlm.nih.gov/protein/KAG4070342.1","KAG4070342.1")</f>
        <v>KAG4070342.1</v>
      </c>
      <c r="D4435">
        <v>16503</v>
      </c>
      <c r="E4435" t="str">
        <f>HYPERLINK("http://www.ncbi.nlm.nih.gov/Taxonomy/Browser/wwwtax.cgi?mode=Info&amp;id=1564500&amp;lvl=3&amp;lin=f&amp;keep=1&amp;srchmode=1&amp;unlock","1564500")</f>
        <v>1564500</v>
      </c>
      <c r="F4435" t="s">
        <v>760</v>
      </c>
      <c r="G4435" t="str">
        <f>HYPERLINK("http://www.ncbi.nlm.nih.gov/Taxonomy/Browser/wwwtax.cgi?mode=Info&amp;id=1564500&amp;lvl=3&amp;lin=f&amp;keep=1&amp;srchmode=1&amp;unlock","Bradysia odoriphaga")</f>
        <v>Bradysia odoriphaga</v>
      </c>
      <c r="H4435" t="s">
        <v>1096</v>
      </c>
      <c r="I4435" t="str">
        <f>HYPERLINK("http://www.ncbi.nlm.nih.gov/protein/KAG4070342.1","hypothetical protein HA402_006484, partial")</f>
        <v>hypothetical protein HA402_006484, partial</v>
      </c>
      <c r="J4435">
        <v>1731.46</v>
      </c>
      <c r="K4435" t="s">
        <v>22</v>
      </c>
      <c r="L4435">
        <v>76</v>
      </c>
      <c r="M4435">
        <v>12.58</v>
      </c>
      <c r="N4435">
        <v>17.04</v>
      </c>
      <c r="O4435" t="s">
        <v>19</v>
      </c>
      <c r="P4435" t="s">
        <v>1320</v>
      </c>
      <c r="Q4435" t="s">
        <v>19</v>
      </c>
      <c r="R4435" t="str">
        <f>HYPERLINK("https://cfpub.epa.gov/ecotox/explore.cfm?ncbi=1564500","Explore in ECOTOX")</f>
        <v>Explore in ECOTOX</v>
      </c>
    </row>
    <row r="4436" spans="1:18" x14ac:dyDescent="0.45">
      <c r="A4436" t="s">
        <v>1265</v>
      </c>
      <c r="B4436">
        <v>8</v>
      </c>
      <c r="C4436" t="str">
        <f>HYPERLINK("http://www.ncbi.nlm.nih.gov/protein/ODN01392.1","ODN01392.1")</f>
        <v>ODN01392.1</v>
      </c>
      <c r="D4436">
        <v>20402</v>
      </c>
      <c r="E4436" t="str">
        <f>HYPERLINK("http://www.ncbi.nlm.nih.gov/Taxonomy/Browser/wwwtax.cgi?mode=Info&amp;id=48709&amp;lvl=3&amp;lin=f&amp;keep=1&amp;srchmode=1&amp;unlock","48709")</f>
        <v>48709</v>
      </c>
      <c r="F4436" t="s">
        <v>999</v>
      </c>
      <c r="G4436" t="str">
        <f>HYPERLINK("http://www.ncbi.nlm.nih.gov/Taxonomy/Browser/wwwtax.cgi?mode=Info&amp;id=48709&amp;lvl=3&amp;lin=f&amp;keep=1&amp;srchmode=1&amp;unlock","Orchesella cincta")</f>
        <v>Orchesella cincta</v>
      </c>
      <c r="H4436" t="s">
        <v>1147</v>
      </c>
      <c r="I4436" t="str">
        <f>HYPERLINK("http://www.ncbi.nlm.nih.gov/protein/ODN01392.1","Ryanodine receptor 44F")</f>
        <v>Ryanodine receptor 44F</v>
      </c>
      <c r="J4436">
        <v>1714.89</v>
      </c>
      <c r="K4436" t="s">
        <v>22</v>
      </c>
      <c r="L4436">
        <v>76</v>
      </c>
      <c r="M4436">
        <v>12.58</v>
      </c>
      <c r="N4436">
        <v>16.88</v>
      </c>
      <c r="O4436" t="s">
        <v>19</v>
      </c>
      <c r="P4436" t="s">
        <v>1320</v>
      </c>
      <c r="Q4436" t="s">
        <v>19</v>
      </c>
      <c r="R4436" t="str">
        <f>HYPERLINK("https://cfpub.epa.gov/ecotox/explore.cfm?ncbi=48709","Explore in ECOTOX")</f>
        <v>Explore in ECOTOX</v>
      </c>
    </row>
    <row r="4437" spans="1:18" x14ac:dyDescent="0.45">
      <c r="A4437" t="s">
        <v>1265</v>
      </c>
      <c r="B4437">
        <v>8</v>
      </c>
      <c r="C4437" t="str">
        <f>HYPERLINK("http://www.ncbi.nlm.nih.gov/protein/KAK2153791.1","KAK2153791.1")</f>
        <v>KAK2153791.1</v>
      </c>
      <c r="D4437">
        <v>24702</v>
      </c>
      <c r="E4437" t="str">
        <f>HYPERLINK("http://www.ncbi.nlm.nih.gov/Taxonomy/Browser/wwwtax.cgi?mode=Info&amp;id=53620&amp;lvl=3&amp;lin=f&amp;keep=1&amp;srchmode=1&amp;unlock","53620")</f>
        <v>53620</v>
      </c>
      <c r="F4437" t="s">
        <v>862</v>
      </c>
      <c r="G4437" t="str">
        <f>HYPERLINK("http://www.ncbi.nlm.nih.gov/Taxonomy/Browser/wwwtax.cgi?mode=Info&amp;id=53620&amp;lvl=3&amp;lin=f&amp;keep=1&amp;srchmode=1&amp;unlock","Paralvinella palmiformis")</f>
        <v>Paralvinella palmiformis</v>
      </c>
      <c r="H4437" t="s">
        <v>1139</v>
      </c>
      <c r="I4437" t="str">
        <f>HYPERLINK("http://www.ncbi.nlm.nih.gov/protein/KAK2153791.1","hypothetical protein LSH36_286g03070")</f>
        <v>hypothetical protein LSH36_286g03070</v>
      </c>
      <c r="J4437">
        <v>1702.95</v>
      </c>
      <c r="K4437" t="s">
        <v>22</v>
      </c>
      <c r="L4437">
        <v>76</v>
      </c>
      <c r="M4437">
        <v>12.58</v>
      </c>
      <c r="N4437">
        <v>16.760000000000002</v>
      </c>
      <c r="O4437" t="s">
        <v>19</v>
      </c>
      <c r="P4437" t="s">
        <v>1320</v>
      </c>
      <c r="Q4437" t="s">
        <v>19</v>
      </c>
      <c r="R4437" t="str">
        <f>HYPERLINK("https://cfpub.epa.gov/ecotox/explore.cfm?ncbi=53620","Explore in ECOTOX")</f>
        <v>Explore in ECOTOX</v>
      </c>
    </row>
    <row r="4438" spans="1:18" x14ac:dyDescent="0.45">
      <c r="A4438" t="s">
        <v>1265</v>
      </c>
      <c r="B4438">
        <v>8</v>
      </c>
      <c r="C4438" t="str">
        <f>HYPERLINK("http://www.ncbi.nlm.nih.gov/protein/KAI8433758.1","KAI8433758.1")</f>
        <v>KAI8433758.1</v>
      </c>
      <c r="D4438">
        <v>23130</v>
      </c>
      <c r="E4438" t="str">
        <f>HYPERLINK("http://www.ncbi.nlm.nih.gov/Taxonomy/Browser/wwwtax.cgi?mode=Info&amp;id=7141&amp;lvl=3&amp;lin=f&amp;keep=1&amp;srchmode=1&amp;unlock","7141")</f>
        <v>7141</v>
      </c>
      <c r="F4438" t="s">
        <v>760</v>
      </c>
      <c r="G4438" t="str">
        <f>HYPERLINK("http://www.ncbi.nlm.nih.gov/Taxonomy/Browser/wwwtax.cgi?mode=Info&amp;id=7141&amp;lvl=3&amp;lin=f&amp;keep=1&amp;srchmode=1&amp;unlock","Choristoneura fumiferana")</f>
        <v>Choristoneura fumiferana</v>
      </c>
      <c r="H4438" t="s">
        <v>1146</v>
      </c>
      <c r="I4438" t="str">
        <f>HYPERLINK("http://www.ncbi.nlm.nih.gov/protein/KAI8433758.1","hypothetical protein MSG28_015736")</f>
        <v>hypothetical protein MSG28_015736</v>
      </c>
      <c r="J4438">
        <v>1692.94</v>
      </c>
      <c r="K4438" t="s">
        <v>22</v>
      </c>
      <c r="L4438">
        <v>76</v>
      </c>
      <c r="M4438">
        <v>12.58</v>
      </c>
      <c r="N4438">
        <v>16.66</v>
      </c>
      <c r="O4438" t="s">
        <v>19</v>
      </c>
      <c r="P4438" t="s">
        <v>1320</v>
      </c>
      <c r="Q4438" t="s">
        <v>19</v>
      </c>
      <c r="R4438" t="str">
        <f>HYPERLINK("https://cfpub.epa.gov/ecotox/explore.cfm?ncbi=7141","Explore in ECOTOX")</f>
        <v>Explore in ECOTOX</v>
      </c>
    </row>
    <row r="4439" spans="1:18" x14ac:dyDescent="0.45">
      <c r="A4439" t="s">
        <v>1265</v>
      </c>
      <c r="B4439">
        <v>8</v>
      </c>
      <c r="C4439" t="str">
        <f>HYPERLINK("http://www.ncbi.nlm.nih.gov/protein/XP_042905951.1","XP_042905951.1")</f>
        <v>XP_042905951.1</v>
      </c>
      <c r="D4439">
        <v>33376</v>
      </c>
      <c r="E4439" t="str">
        <f>HYPERLINK("http://www.ncbi.nlm.nih.gov/Taxonomy/Browser/wwwtax.cgi?mode=Info&amp;id=114398&amp;lvl=3&amp;lin=f&amp;keep=1&amp;srchmode=1&amp;unlock","114398")</f>
        <v>114398</v>
      </c>
      <c r="F4439" t="s">
        <v>904</v>
      </c>
      <c r="G4439" t="str">
        <f>HYPERLINK("http://www.ncbi.nlm.nih.gov/Taxonomy/Browser/wwwtax.cgi?mode=Info&amp;id=114398&amp;lvl=3&amp;lin=f&amp;keep=1&amp;srchmode=1&amp;unlock","Parasteatoda tepidariorum")</f>
        <v>Parasteatoda tepidariorum</v>
      </c>
      <c r="H4439" t="s">
        <v>988</v>
      </c>
      <c r="I4439" t="str">
        <f>HYPERLINK("http://www.ncbi.nlm.nih.gov/protein/XP_042905951.1","ryanodine receptor")</f>
        <v>ryanodine receptor</v>
      </c>
      <c r="J4439">
        <v>1672.91</v>
      </c>
      <c r="K4439" t="s">
        <v>22</v>
      </c>
      <c r="L4439">
        <v>76</v>
      </c>
      <c r="M4439">
        <v>12.58</v>
      </c>
      <c r="N4439">
        <v>16.46</v>
      </c>
      <c r="O4439" t="s">
        <v>19</v>
      </c>
      <c r="P4439" t="s">
        <v>1320</v>
      </c>
      <c r="Q4439" t="s">
        <v>19</v>
      </c>
      <c r="R4439" t="str">
        <f>HYPERLINK("https://cfpub.epa.gov/ecotox/explore.cfm?ncbi=114398","Explore in ECOTOX")</f>
        <v>Explore in ECOTOX</v>
      </c>
    </row>
    <row r="4440" spans="1:18" x14ac:dyDescent="0.45">
      <c r="A4440" t="s">
        <v>1265</v>
      </c>
      <c r="B4440">
        <v>8</v>
      </c>
      <c r="C4440" t="str">
        <f>HYPERLINK("http://www.ncbi.nlm.nih.gov/protein/KAK2706501.1","KAK2706501.1")</f>
        <v>KAK2706501.1</v>
      </c>
      <c r="D4440">
        <v>28048</v>
      </c>
      <c r="E4440" t="str">
        <f>HYPERLINK("http://www.ncbi.nlm.nih.gov/Taxonomy/Browser/wwwtax.cgi?mode=Info&amp;id=6661&amp;lvl=3&amp;lin=f&amp;keep=1&amp;srchmode=1&amp;unlock","6661")</f>
        <v>6661</v>
      </c>
      <c r="F4440" t="s">
        <v>1073</v>
      </c>
      <c r="G4440" t="str">
        <f>HYPERLINK("http://www.ncbi.nlm.nih.gov/Taxonomy/Browser/wwwtax.cgi?mode=Info&amp;id=6661&amp;lvl=3&amp;lin=f&amp;keep=1&amp;srchmode=1&amp;unlock","Artemia franciscana")</f>
        <v>Artemia franciscana</v>
      </c>
      <c r="H4440" t="s">
        <v>1145</v>
      </c>
      <c r="I4440" t="str">
        <f>HYPERLINK("http://www.ncbi.nlm.nih.gov/protein/KAK2706501.1","hypothetical protein QYM36_016513")</f>
        <v>hypothetical protein QYM36_016513</v>
      </c>
      <c r="J4440">
        <v>1659.81</v>
      </c>
      <c r="K4440" t="s">
        <v>22</v>
      </c>
      <c r="L4440">
        <v>76</v>
      </c>
      <c r="M4440">
        <v>12.58</v>
      </c>
      <c r="N4440">
        <v>16.34</v>
      </c>
      <c r="O4440" t="s">
        <v>19</v>
      </c>
      <c r="P4440" t="s">
        <v>1320</v>
      </c>
      <c r="Q4440" t="s">
        <v>19</v>
      </c>
      <c r="R4440" t="str">
        <f>HYPERLINK("https://cfpub.epa.gov/ecotox/explore.cfm?ncbi=6661","Explore in ECOTOX")</f>
        <v>Explore in ECOTOX</v>
      </c>
    </row>
    <row r="4441" spans="1:18" x14ac:dyDescent="0.45">
      <c r="A4441" t="s">
        <v>1265</v>
      </c>
      <c r="B4441">
        <v>8</v>
      </c>
      <c r="C4441" t="str">
        <f>HYPERLINK("http://www.ncbi.nlm.nih.gov/protein/KRT85744.1","KRT85744.1")</f>
        <v>KRT85744.1</v>
      </c>
      <c r="D4441">
        <v>8838</v>
      </c>
      <c r="E4441" t="str">
        <f>HYPERLINK("http://www.ncbi.nlm.nih.gov/Taxonomy/Browser/wwwtax.cgi?mode=Info&amp;id=1629725&amp;lvl=3&amp;lin=f&amp;keep=1&amp;srchmode=1&amp;unlock","1629725")</f>
        <v>1629725</v>
      </c>
      <c r="F4441" t="s">
        <v>760</v>
      </c>
      <c r="G4441" t="str">
        <f>HYPERLINK("http://www.ncbi.nlm.nih.gov/Taxonomy/Browser/wwwtax.cgi?mode=Info&amp;id=1629725&amp;lvl=3&amp;lin=f&amp;keep=1&amp;srchmode=1&amp;unlock","Oryctes borbonicus")</f>
        <v>Oryctes borbonicus</v>
      </c>
      <c r="H4441" t="s">
        <v>1149</v>
      </c>
      <c r="I4441" t="str">
        <f>HYPERLINK("http://www.ncbi.nlm.nih.gov/protein/KRT85744.1","hypothetical protein AMK59_1464")</f>
        <v>hypothetical protein AMK59_1464</v>
      </c>
      <c r="J4441">
        <v>1654.8</v>
      </c>
      <c r="K4441" t="s">
        <v>22</v>
      </c>
      <c r="L4441">
        <v>76</v>
      </c>
      <c r="M4441">
        <v>12.58</v>
      </c>
      <c r="N4441">
        <v>16.29</v>
      </c>
      <c r="O4441" t="s">
        <v>19</v>
      </c>
      <c r="P4441" t="s">
        <v>1320</v>
      </c>
      <c r="Q4441" t="s">
        <v>19</v>
      </c>
      <c r="R4441" t="str">
        <f>HYPERLINK("https://cfpub.epa.gov/ecotox/explore.cfm?ncbi=1629725","Explore in ECOTOX")</f>
        <v>Explore in ECOTOX</v>
      </c>
    </row>
    <row r="4442" spans="1:18" x14ac:dyDescent="0.45">
      <c r="A4442" t="s">
        <v>1265</v>
      </c>
      <c r="B4442">
        <v>8</v>
      </c>
      <c r="C4442" t="str">
        <f>HYPERLINK("http://www.ncbi.nlm.nih.gov/protein/KAF2882575.1","KAF2882575.1")</f>
        <v>KAF2882575.1</v>
      </c>
      <c r="D4442">
        <v>27570</v>
      </c>
      <c r="E4442" t="str">
        <f>HYPERLINK("http://www.ncbi.nlm.nih.gov/Taxonomy/Browser/wwwtax.cgi?mode=Info&amp;id=2038154&amp;lvl=3&amp;lin=f&amp;keep=1&amp;srchmode=1&amp;unlock","2038154")</f>
        <v>2038154</v>
      </c>
      <c r="F4442" t="s">
        <v>760</v>
      </c>
      <c r="G4442" t="str">
        <f>HYPERLINK("http://www.ncbi.nlm.nih.gov/Taxonomy/Browser/wwwtax.cgi?mode=Info&amp;id=2038154&amp;lvl=3&amp;lin=f&amp;keep=1&amp;srchmode=1&amp;unlock","Ignelater luminosus")</f>
        <v>Ignelater luminosus</v>
      </c>
      <c r="H4442" t="s">
        <v>1150</v>
      </c>
      <c r="I4442" t="str">
        <f>HYPERLINK("http://www.ncbi.nlm.nih.gov/protein/KAF2882575.1","hypothetical protein ILUMI_23592")</f>
        <v>hypothetical protein ILUMI_23592</v>
      </c>
      <c r="J4442">
        <v>1652.88</v>
      </c>
      <c r="K4442" t="s">
        <v>22</v>
      </c>
      <c r="L4442">
        <v>76</v>
      </c>
      <c r="M4442">
        <v>12.58</v>
      </c>
      <c r="N4442">
        <v>16.27</v>
      </c>
      <c r="O4442" t="s">
        <v>19</v>
      </c>
      <c r="P4442" t="s">
        <v>1320</v>
      </c>
      <c r="Q4442" t="s">
        <v>19</v>
      </c>
      <c r="R4442" t="str">
        <f>HYPERLINK("https://cfpub.epa.gov/ecotox/explore.cfm?ncbi=2038154","Explore in ECOTOX")</f>
        <v>Explore in ECOTOX</v>
      </c>
    </row>
    <row r="4443" spans="1:18" x14ac:dyDescent="0.45">
      <c r="A4443" t="s">
        <v>1265</v>
      </c>
      <c r="B4443">
        <v>8</v>
      </c>
      <c r="C4443" t="str">
        <f>HYPERLINK("http://www.ncbi.nlm.nih.gov/protein/CAF4905992.1","CAF4905992.1")</f>
        <v>CAF4905992.1</v>
      </c>
      <c r="D4443">
        <v>18656</v>
      </c>
      <c r="E4443" t="str">
        <f>HYPERLINK("http://www.ncbi.nlm.nih.gov/Taxonomy/Browser/wwwtax.cgi?mode=Info&amp;id=345717&amp;lvl=3&amp;lin=f&amp;keep=1&amp;srchmode=1&amp;unlock","345717")</f>
        <v>345717</v>
      </c>
      <c r="F4443" t="s">
        <v>760</v>
      </c>
      <c r="G4443" t="str">
        <f>HYPERLINK("http://www.ncbi.nlm.nih.gov/Taxonomy/Browser/wwwtax.cgi?mode=Info&amp;id=345717&amp;lvl=3&amp;lin=f&amp;keep=1&amp;srchmode=1&amp;unlock","Pieris macdunnoughi")</f>
        <v>Pieris macdunnoughi</v>
      </c>
      <c r="H4443" t="s">
        <v>891</v>
      </c>
      <c r="I4443" t="str">
        <f>HYPERLINK("http://www.ncbi.nlm.nih.gov/protein/CAF4905992.1","unnamed protein product")</f>
        <v>unnamed protein product</v>
      </c>
      <c r="J4443">
        <v>1645.56</v>
      </c>
      <c r="K4443" t="s">
        <v>22</v>
      </c>
      <c r="L4443">
        <v>76</v>
      </c>
      <c r="M4443">
        <v>12.58</v>
      </c>
      <c r="N4443">
        <v>16.2</v>
      </c>
      <c r="O4443" t="s">
        <v>19</v>
      </c>
      <c r="P4443" t="s">
        <v>1320</v>
      </c>
      <c r="Q4443" t="s">
        <v>19</v>
      </c>
      <c r="R4443" t="str">
        <f>HYPERLINK("https://cfpub.epa.gov/ecotox/explore.cfm?ncbi=345717","Explore in ECOTOX")</f>
        <v>Explore in ECOTOX</v>
      </c>
    </row>
    <row r="4444" spans="1:18" x14ac:dyDescent="0.45">
      <c r="A4444" t="s">
        <v>1265</v>
      </c>
      <c r="B4444">
        <v>8</v>
      </c>
      <c r="C4444" t="str">
        <f>HYPERLINK("http://www.ncbi.nlm.nih.gov/protein/VDP02284.1","VDP02284.1")</f>
        <v>VDP02284.1</v>
      </c>
      <c r="D4444">
        <v>13207</v>
      </c>
      <c r="E4444" t="str">
        <f>HYPERLINK("http://www.ncbi.nlm.nih.gov/Taxonomy/Browser/wwwtax.cgi?mode=Info&amp;id=241478&amp;lvl=3&amp;lin=f&amp;keep=1&amp;srchmode=1&amp;unlock","241478")</f>
        <v>241478</v>
      </c>
      <c r="F4444" t="s">
        <v>1060</v>
      </c>
      <c r="G4444" t="str">
        <f>HYPERLINK("http://www.ncbi.nlm.nih.gov/Taxonomy/Browser/wwwtax.cgi?mode=Info&amp;id=241478&amp;lvl=3&amp;lin=f&amp;keep=1&amp;srchmode=1&amp;unlock","Soboliphyme baturini")</f>
        <v>Soboliphyme baturini</v>
      </c>
      <c r="H4444" t="s">
        <v>1027</v>
      </c>
      <c r="I4444" t="str">
        <f>HYPERLINK("http://www.ncbi.nlm.nih.gov/protein/VDP02284.1","unnamed protein product")</f>
        <v>unnamed protein product</v>
      </c>
      <c r="J4444">
        <v>1632.46</v>
      </c>
      <c r="K4444" t="s">
        <v>22</v>
      </c>
      <c r="L4444">
        <v>76</v>
      </c>
      <c r="M4444">
        <v>12.58</v>
      </c>
      <c r="N4444">
        <v>16.07</v>
      </c>
      <c r="O4444" t="s">
        <v>19</v>
      </c>
      <c r="P4444" t="s">
        <v>1320</v>
      </c>
      <c r="Q4444" t="s">
        <v>19</v>
      </c>
      <c r="R4444" t="str">
        <f>HYPERLINK("https://cfpub.epa.gov/ecotox/explore.cfm?ncbi=241478","Explore in ECOTOX")</f>
        <v>Explore in ECOTOX</v>
      </c>
    </row>
    <row r="4445" spans="1:18" x14ac:dyDescent="0.45">
      <c r="A4445" t="s">
        <v>1265</v>
      </c>
      <c r="B4445">
        <v>8</v>
      </c>
      <c r="C4445" t="str">
        <f>HYPERLINK("http://www.ncbi.nlm.nih.gov/protein/OTF76149.1","OTF76149.1")</f>
        <v>OTF76149.1</v>
      </c>
      <c r="D4445">
        <v>15267</v>
      </c>
      <c r="E4445" t="str">
        <f>HYPERLINK("http://www.ncbi.nlm.nih.gov/Taxonomy/Browser/wwwtax.cgi?mode=Info&amp;id=6958&amp;lvl=3&amp;lin=f&amp;keep=1&amp;srchmode=1&amp;unlock","6958")</f>
        <v>6958</v>
      </c>
      <c r="F4445" t="s">
        <v>904</v>
      </c>
      <c r="G4445" t="str">
        <f>HYPERLINK("http://www.ncbi.nlm.nih.gov/Taxonomy/Browser/wwwtax.cgi?mode=Info&amp;id=6958&amp;lvl=3&amp;lin=f&amp;keep=1&amp;srchmode=1&amp;unlock","Euroglyphus maynei")</f>
        <v>Euroglyphus maynei</v>
      </c>
      <c r="H4445" t="s">
        <v>1148</v>
      </c>
      <c r="I4445" t="str">
        <f>HYPERLINK("http://www.ncbi.nlm.nih.gov/protein/OTF76149.1","hypothetical protein BLA29_000325")</f>
        <v>hypothetical protein BLA29_000325</v>
      </c>
      <c r="J4445">
        <v>1632.08</v>
      </c>
      <c r="K4445" t="s">
        <v>22</v>
      </c>
      <c r="L4445">
        <v>76</v>
      </c>
      <c r="M4445">
        <v>12.58</v>
      </c>
      <c r="N4445">
        <v>16.059999999999999</v>
      </c>
      <c r="O4445" t="s">
        <v>19</v>
      </c>
      <c r="P4445" t="s">
        <v>1320</v>
      </c>
      <c r="Q4445" t="s">
        <v>19</v>
      </c>
      <c r="R4445" t="str">
        <f>HYPERLINK("https://cfpub.epa.gov/ecotox/explore.cfm?ncbi=6958","Explore in ECOTOX")</f>
        <v>Explore in ECOTOX</v>
      </c>
    </row>
    <row r="4446" spans="1:18" x14ac:dyDescent="0.45">
      <c r="A4446" t="s">
        <v>1265</v>
      </c>
      <c r="B4446">
        <v>8</v>
      </c>
      <c r="C4446" t="str">
        <f>HYPERLINK("http://www.ncbi.nlm.nih.gov/protein/CAG9572904.1","CAG9572904.1")</f>
        <v>CAG9572904.1</v>
      </c>
      <c r="D4446">
        <v>19579</v>
      </c>
      <c r="E4446" t="str">
        <f>HYPERLINK("http://www.ncbi.nlm.nih.gov/Taxonomy/Browser/wwwtax.cgi?mode=Info&amp;id=151541&amp;lvl=3&amp;lin=f&amp;keep=1&amp;srchmode=1&amp;unlock","151541")</f>
        <v>151541</v>
      </c>
      <c r="F4446" t="s">
        <v>760</v>
      </c>
      <c r="G4446" t="str">
        <f>HYPERLINK("http://www.ncbi.nlm.nih.gov/Taxonomy/Browser/wwwtax.cgi?mode=Info&amp;id=151541&amp;lvl=3&amp;lin=f&amp;keep=1&amp;srchmode=1&amp;unlock","Danaus chrysippus")</f>
        <v>Danaus chrysippus</v>
      </c>
      <c r="H4446" t="s">
        <v>1154</v>
      </c>
      <c r="I4446" t="str">
        <f>HYPERLINK("http://www.ncbi.nlm.nih.gov/protein/CAG9572904.1","unnamed protein product")</f>
        <v>unnamed protein product</v>
      </c>
      <c r="J4446">
        <v>1602.8</v>
      </c>
      <c r="K4446" t="s">
        <v>19</v>
      </c>
      <c r="L4446">
        <v>76</v>
      </c>
      <c r="M4446">
        <v>12.58</v>
      </c>
      <c r="N4446">
        <v>15.77</v>
      </c>
      <c r="O4446" t="s">
        <v>19</v>
      </c>
      <c r="P4446" t="s">
        <v>1320</v>
      </c>
      <c r="Q4446" t="s">
        <v>19</v>
      </c>
      <c r="R4446" t="str">
        <f>HYPERLINK("https://cfpub.epa.gov/ecotox/explore.cfm?ncbi=151541","Explore in ECOTOX")</f>
        <v>Explore in ECOTOX</v>
      </c>
    </row>
    <row r="4447" spans="1:18" x14ac:dyDescent="0.45">
      <c r="A4447" t="s">
        <v>1265</v>
      </c>
      <c r="B4447">
        <v>8</v>
      </c>
      <c r="C4447" t="str">
        <f>HYPERLINK("http://www.ncbi.nlm.nih.gov/protein/CAB3245101.1","CAB3245101.1")</f>
        <v>CAB3245101.1</v>
      </c>
      <c r="D4447">
        <v>38591</v>
      </c>
      <c r="E4447" t="str">
        <f>HYPERLINK("http://www.ncbi.nlm.nih.gov/Taxonomy/Browser/wwwtax.cgi?mode=Info&amp;id=874455&amp;lvl=3&amp;lin=f&amp;keep=1&amp;srchmode=1&amp;unlock","874455")</f>
        <v>874455</v>
      </c>
      <c r="F4447" t="s">
        <v>760</v>
      </c>
      <c r="G4447" t="str">
        <f>HYPERLINK("http://www.ncbi.nlm.nih.gov/Taxonomy/Browser/wwwtax.cgi?mode=Info&amp;id=874455&amp;lvl=3&amp;lin=f&amp;keep=1&amp;srchmode=1&amp;unlock","Arctia plantaginis")</f>
        <v>Arctia plantaginis</v>
      </c>
      <c r="H4447" t="s">
        <v>1153</v>
      </c>
      <c r="I4447" t="str">
        <f>HYPERLINK("http://www.ncbi.nlm.nih.gov/protein/CAB3245101.1","unnamed protein product")</f>
        <v>unnamed protein product</v>
      </c>
      <c r="J4447">
        <v>1597.41</v>
      </c>
      <c r="K4447" t="s">
        <v>22</v>
      </c>
      <c r="L4447">
        <v>76</v>
      </c>
      <c r="M4447">
        <v>12.58</v>
      </c>
      <c r="N4447">
        <v>15.72</v>
      </c>
      <c r="O4447" t="s">
        <v>19</v>
      </c>
      <c r="P4447" t="s">
        <v>1320</v>
      </c>
      <c r="Q4447" t="s">
        <v>19</v>
      </c>
      <c r="R4447" t="str">
        <f>HYPERLINK("https://cfpub.epa.gov/ecotox/explore.cfm?ncbi=874455","Explore in ECOTOX")</f>
        <v>Explore in ECOTOX</v>
      </c>
    </row>
    <row r="4448" spans="1:18" x14ac:dyDescent="0.45">
      <c r="A4448" t="s">
        <v>1265</v>
      </c>
      <c r="B4448">
        <v>8</v>
      </c>
      <c r="C4448" t="str">
        <f>HYPERLINK("http://www.ncbi.nlm.nih.gov/protein/XP_038072843.1","XP_038072843.1")</f>
        <v>XP_038072843.1</v>
      </c>
      <c r="D4448">
        <v>35696</v>
      </c>
      <c r="E4448" t="str">
        <f>HYPERLINK("http://www.ncbi.nlm.nih.gov/Taxonomy/Browser/wwwtax.cgi?mode=Info&amp;id=46514&amp;lvl=3&amp;lin=f&amp;keep=1&amp;srchmode=1&amp;unlock","46514")</f>
        <v>46514</v>
      </c>
      <c r="F4448" t="s">
        <v>1022</v>
      </c>
      <c r="G4448" t="str">
        <f>HYPERLINK("http://www.ncbi.nlm.nih.gov/Taxonomy/Browser/wwwtax.cgi?mode=Info&amp;id=46514&amp;lvl=3&amp;lin=f&amp;keep=1&amp;srchmode=1&amp;unlock","Patiria miniata")</f>
        <v>Patiria miniata</v>
      </c>
      <c r="H4448" t="s">
        <v>1268</v>
      </c>
      <c r="I4448" t="str">
        <f>HYPERLINK("http://www.ncbi.nlm.nih.gov/protein/XP_038072843.1","ryanodine receptor 1-like isoform X7")</f>
        <v>ryanodine receptor 1-like isoform X7</v>
      </c>
      <c r="J4448">
        <v>1588.16</v>
      </c>
      <c r="K4448" t="s">
        <v>22</v>
      </c>
      <c r="L4448">
        <v>76</v>
      </c>
      <c r="M4448">
        <v>12.58</v>
      </c>
      <c r="N4448">
        <v>15.63</v>
      </c>
      <c r="O4448" t="s">
        <v>19</v>
      </c>
      <c r="P4448" t="s">
        <v>1320</v>
      </c>
      <c r="Q4448" t="s">
        <v>19</v>
      </c>
      <c r="R4448" t="str">
        <f>HYPERLINK("https://cfpub.epa.gov/ecotox/explore.cfm?ncbi=46514","Explore in ECOTOX")</f>
        <v>Explore in ECOTOX</v>
      </c>
    </row>
    <row r="4449" spans="1:18" x14ac:dyDescent="0.45">
      <c r="A4449" t="s">
        <v>1265</v>
      </c>
      <c r="B4449">
        <v>8</v>
      </c>
      <c r="C4449" t="str">
        <f>HYPERLINK("http://www.ncbi.nlm.nih.gov/protein/KAI3389454.1","KAI3389454.1")</f>
        <v>KAI3389454.1</v>
      </c>
      <c r="D4449">
        <v>12272</v>
      </c>
      <c r="E4449" t="str">
        <f>HYPERLINK("http://www.ncbi.nlm.nih.gov/Taxonomy/Browser/wwwtax.cgi?mode=Info&amp;id=104778&amp;lvl=3&amp;lin=f&amp;keep=1&amp;srchmode=1&amp;unlock","104778")</f>
        <v>104778</v>
      </c>
      <c r="F4449" t="s">
        <v>1189</v>
      </c>
      <c r="G4449" t="str">
        <f>HYPERLINK("http://www.ncbi.nlm.nih.gov/Taxonomy/Browser/wwwtax.cgi?mode=Info&amp;id=104778&amp;lvl=3&amp;lin=f&amp;keep=1&amp;srchmode=1&amp;unlock","Seison nebaliae")</f>
        <v>Seison nebaliae</v>
      </c>
      <c r="H4449" t="s">
        <v>812</v>
      </c>
      <c r="I4449" t="str">
        <f>HYPERLINK("http://www.ncbi.nlm.nih.gov/protein/KAI3389454.1","hypothetical protein SNEBB_011471")</f>
        <v>hypothetical protein SNEBB_011471</v>
      </c>
      <c r="J4449">
        <v>1583.54</v>
      </c>
      <c r="K4449" t="s">
        <v>22</v>
      </c>
      <c r="L4449">
        <v>76</v>
      </c>
      <c r="M4449">
        <v>12.58</v>
      </c>
      <c r="N4449">
        <v>15.58</v>
      </c>
      <c r="O4449" t="s">
        <v>19</v>
      </c>
      <c r="P4449" t="s">
        <v>1320</v>
      </c>
      <c r="Q4449" t="s">
        <v>19</v>
      </c>
      <c r="R4449" t="str">
        <f>HYPERLINK("https://cfpub.epa.gov/ecotox/explore.cfm?ncbi=104778","Explore in ECOTOX")</f>
        <v>Explore in ECOTOX</v>
      </c>
    </row>
    <row r="4450" spans="1:18" x14ac:dyDescent="0.45">
      <c r="A4450" t="s">
        <v>1265</v>
      </c>
      <c r="B4450">
        <v>8</v>
      </c>
      <c r="C4450" t="str">
        <f>HYPERLINK("http://www.ncbi.nlm.nih.gov/protein/XP_023248075.1","XP_023248075.1")</f>
        <v>XP_023248075.1</v>
      </c>
      <c r="D4450">
        <v>17647</v>
      </c>
      <c r="E4450" t="str">
        <f>HYPERLINK("http://www.ncbi.nlm.nih.gov/Taxonomy/Browser/wwwtax.cgi?mode=Info&amp;id=29053&amp;lvl=3&amp;lin=f&amp;keep=1&amp;srchmode=1&amp;unlock","29053")</f>
        <v>29053</v>
      </c>
      <c r="F4450" t="s">
        <v>760</v>
      </c>
      <c r="G4450" t="str">
        <f>HYPERLINK("http://www.ncbi.nlm.nih.gov/Taxonomy/Browser/wwwtax.cgi?mode=Info&amp;id=29053&amp;lvl=3&amp;lin=f&amp;keep=1&amp;srchmode=1&amp;unlock","Copidosoma floridanum")</f>
        <v>Copidosoma floridanum</v>
      </c>
      <c r="H4450" t="s">
        <v>769</v>
      </c>
      <c r="I4450" t="str">
        <f>HYPERLINK("http://www.ncbi.nlm.nih.gov/protein/XP_023248075.1","ryanodine receptor")</f>
        <v>ryanodine receptor</v>
      </c>
      <c r="J4450">
        <v>1579.3</v>
      </c>
      <c r="K4450" t="s">
        <v>22</v>
      </c>
      <c r="L4450">
        <v>76</v>
      </c>
      <c r="M4450">
        <v>12.58</v>
      </c>
      <c r="N4450">
        <v>15.54</v>
      </c>
      <c r="O4450" t="s">
        <v>19</v>
      </c>
      <c r="P4450" t="s">
        <v>1320</v>
      </c>
      <c r="Q4450" t="s">
        <v>19</v>
      </c>
      <c r="R4450" t="str">
        <f>HYPERLINK("https://cfpub.epa.gov/ecotox/explore.cfm?ncbi=29053","Explore in ECOTOX")</f>
        <v>Explore in ECOTOX</v>
      </c>
    </row>
    <row r="4451" spans="1:18" x14ac:dyDescent="0.45">
      <c r="A4451" t="s">
        <v>1265</v>
      </c>
      <c r="B4451">
        <v>8</v>
      </c>
      <c r="C4451" t="str">
        <f>HYPERLINK("http://www.ncbi.nlm.nih.gov/protein/CAI9554169.1","CAI9554169.1")</f>
        <v>CAI9554169.1</v>
      </c>
      <c r="D4451">
        <v>92601</v>
      </c>
      <c r="E4451" t="str">
        <f>HYPERLINK("http://www.ncbi.nlm.nih.gov/Taxonomy/Browser/wwwtax.cgi?mode=Info&amp;id=386267&amp;lvl=3&amp;lin=f&amp;keep=1&amp;srchmode=1&amp;unlock","386267")</f>
        <v>386267</v>
      </c>
      <c r="F4451" t="s">
        <v>177</v>
      </c>
      <c r="G4451" t="str">
        <f>HYPERLINK("http://www.ncbi.nlm.nih.gov/Taxonomy/Browser/wwwtax.cgi?mode=Info&amp;id=386267&amp;lvl=3&amp;lin=f&amp;keep=1&amp;srchmode=1&amp;unlock","Staurois parvus")</f>
        <v>Staurois parvus</v>
      </c>
      <c r="H4451" t="s">
        <v>1124</v>
      </c>
      <c r="I4451" t="str">
        <f>HYPERLINK("http://www.ncbi.nlm.nih.gov/protein/CAI9554169.1","unnamed protein product")</f>
        <v>unnamed protein product</v>
      </c>
      <c r="J4451">
        <v>1578.92</v>
      </c>
      <c r="K4451" t="s">
        <v>22</v>
      </c>
      <c r="L4451">
        <v>76</v>
      </c>
      <c r="M4451">
        <v>12.58</v>
      </c>
      <c r="N4451">
        <v>15.54</v>
      </c>
      <c r="O4451" t="s">
        <v>19</v>
      </c>
      <c r="P4451" t="s">
        <v>1320</v>
      </c>
      <c r="Q4451" t="s">
        <v>19</v>
      </c>
      <c r="R4451" t="str">
        <f>HYPERLINK("https://cfpub.epa.gov/ecotox/explore.cfm?ncbi=386267","Explore in ECOTOX")</f>
        <v>Explore in ECOTOX</v>
      </c>
    </row>
    <row r="4452" spans="1:18" x14ac:dyDescent="0.45">
      <c r="A4452" t="s">
        <v>1265</v>
      </c>
      <c r="B4452">
        <v>8</v>
      </c>
      <c r="C4452" t="str">
        <f>HYPERLINK("http://www.ncbi.nlm.nih.gov/protein/PIC27807.1","PIC27807.1")</f>
        <v>PIC27807.1</v>
      </c>
      <c r="D4452">
        <v>44575</v>
      </c>
      <c r="E4452" t="str">
        <f>HYPERLINK("http://www.ncbi.nlm.nih.gov/Taxonomy/Browser/wwwtax.cgi?mode=Info&amp;id=1611254&amp;lvl=3&amp;lin=f&amp;keep=1&amp;srchmode=1&amp;unlock","1611254")</f>
        <v>1611254</v>
      </c>
      <c r="F4452" t="s">
        <v>1024</v>
      </c>
      <c r="G4452" t="str">
        <f>HYPERLINK("http://www.ncbi.nlm.nih.gov/Taxonomy/Browser/wwwtax.cgi?mode=Info&amp;id=1611254&amp;lvl=3&amp;lin=f&amp;keep=1&amp;srchmode=1&amp;unlock","Caenorhabditis nigoni")</f>
        <v>Caenorhabditis nigoni</v>
      </c>
      <c r="H4452" t="s">
        <v>1027</v>
      </c>
      <c r="I4452" t="str">
        <f>HYPERLINK("http://www.ncbi.nlm.nih.gov/protein/PIC27807.1","hypothetical protein B9Z55_019948")</f>
        <v>hypothetical protein B9Z55_019948</v>
      </c>
      <c r="J4452">
        <v>1555.42</v>
      </c>
      <c r="K4452" t="s">
        <v>22</v>
      </c>
      <c r="L4452">
        <v>76</v>
      </c>
      <c r="M4452">
        <v>12.58</v>
      </c>
      <c r="N4452">
        <v>15.31</v>
      </c>
      <c r="O4452" t="s">
        <v>19</v>
      </c>
      <c r="P4452" t="s">
        <v>1320</v>
      </c>
      <c r="Q4452" t="s">
        <v>19</v>
      </c>
      <c r="R4452" t="str">
        <f>HYPERLINK("https://cfpub.epa.gov/ecotox/explore.cfm?ncbi=1611254","Explore in ECOTOX")</f>
        <v>Explore in ECOTOX</v>
      </c>
    </row>
    <row r="4453" spans="1:18" x14ac:dyDescent="0.45">
      <c r="A4453" t="s">
        <v>1265</v>
      </c>
      <c r="B4453">
        <v>8</v>
      </c>
      <c r="C4453" t="str">
        <f>HYPERLINK("http://www.ncbi.nlm.nih.gov/protein/KAF6201051.1","KAF6201051.1")</f>
        <v>KAF6201051.1</v>
      </c>
      <c r="D4453">
        <v>20547</v>
      </c>
      <c r="E4453" t="str">
        <f>HYPERLINK("http://www.ncbi.nlm.nih.gov/Taxonomy/Browser/wwwtax.cgi?mode=Info&amp;id=248454&amp;lvl=3&amp;lin=f&amp;keep=1&amp;srchmode=1&amp;unlock","248454")</f>
        <v>248454</v>
      </c>
      <c r="F4453" t="s">
        <v>760</v>
      </c>
      <c r="G4453" t="str">
        <f>HYPERLINK("http://www.ncbi.nlm.nih.gov/Taxonomy/Browser/wwwtax.cgi?mode=Info&amp;id=248454&amp;lvl=3&amp;lin=f&amp;keep=1&amp;srchmode=1&amp;unlock","Apolygus lucorum")</f>
        <v>Apolygus lucorum</v>
      </c>
      <c r="H4453" t="s">
        <v>1062</v>
      </c>
      <c r="I4453" t="str">
        <f>HYPERLINK("http://www.ncbi.nlm.nih.gov/protein/KAF6201051.1","hypothetical protein GE061_005498, partial")</f>
        <v>hypothetical protein GE061_005498, partial</v>
      </c>
      <c r="J4453">
        <v>1545.02</v>
      </c>
      <c r="K4453" t="s">
        <v>22</v>
      </c>
      <c r="L4453">
        <v>76</v>
      </c>
      <c r="M4453">
        <v>12.58</v>
      </c>
      <c r="N4453">
        <v>15.21</v>
      </c>
      <c r="O4453" t="s">
        <v>19</v>
      </c>
      <c r="P4453" t="s">
        <v>1320</v>
      </c>
      <c r="Q4453" t="s">
        <v>19</v>
      </c>
      <c r="R4453" t="str">
        <f>HYPERLINK("https://cfpub.epa.gov/ecotox/explore.cfm?ncbi=248454","Explore in ECOTOX")</f>
        <v>Explore in ECOTOX</v>
      </c>
    </row>
    <row r="4454" spans="1:18" x14ac:dyDescent="0.45">
      <c r="A4454" t="s">
        <v>1265</v>
      </c>
      <c r="B4454">
        <v>8</v>
      </c>
      <c r="C4454" t="str">
        <f>HYPERLINK("http://www.ncbi.nlm.nih.gov/protein/VDM18808.1","VDM18808.1")</f>
        <v>VDM18808.1</v>
      </c>
      <c r="D4454">
        <v>32682</v>
      </c>
      <c r="E4454" t="str">
        <f>HYPERLINK("http://www.ncbi.nlm.nih.gov/Taxonomy/Browser/wwwtax.cgi?mode=Info&amp;id=6293&amp;lvl=3&amp;lin=f&amp;keep=1&amp;srchmode=1&amp;unlock","6293")</f>
        <v>6293</v>
      </c>
      <c r="F4454" t="s">
        <v>1024</v>
      </c>
      <c r="G4454" t="str">
        <f>HYPERLINK("http://www.ncbi.nlm.nih.gov/Taxonomy/Browser/wwwtax.cgi?mode=Info&amp;id=6293&amp;lvl=3&amp;lin=f&amp;keep=1&amp;srchmode=1&amp;unlock","Wuchereria bancrofti")</f>
        <v>Wuchereria bancrofti</v>
      </c>
      <c r="H4454" t="s">
        <v>1108</v>
      </c>
      <c r="I4454" t="str">
        <f>HYPERLINK("http://www.ncbi.nlm.nih.gov/protein/VDM18808.1","unnamed protein product")</f>
        <v>unnamed protein product</v>
      </c>
      <c r="J4454">
        <v>1542.32</v>
      </c>
      <c r="K4454" t="s">
        <v>22</v>
      </c>
      <c r="L4454">
        <v>76</v>
      </c>
      <c r="M4454">
        <v>12.58</v>
      </c>
      <c r="N4454">
        <v>15.18</v>
      </c>
      <c r="O4454" t="s">
        <v>19</v>
      </c>
      <c r="P4454" t="s">
        <v>1320</v>
      </c>
      <c r="Q4454" t="s">
        <v>19</v>
      </c>
      <c r="R4454" t="str">
        <f>HYPERLINK("https://cfpub.epa.gov/ecotox/explore.cfm?ncbi=6293","Explore in ECOTOX")</f>
        <v>Explore in ECOTOX</v>
      </c>
    </row>
    <row r="4455" spans="1:18" x14ac:dyDescent="0.45">
      <c r="A4455" t="s">
        <v>1265</v>
      </c>
      <c r="B4455">
        <v>8</v>
      </c>
      <c r="C4455" t="str">
        <f>HYPERLINK("http://www.ncbi.nlm.nih.gov/protein/KAK0411649.1","KAK0411649.1")</f>
        <v>KAK0411649.1</v>
      </c>
      <c r="D4455">
        <v>36282</v>
      </c>
      <c r="E4455" t="str">
        <f>HYPERLINK("http://www.ncbi.nlm.nih.gov/Taxonomy/Browser/wwwtax.cgi?mode=Info&amp;id=289476&amp;lvl=3&amp;lin=f&amp;keep=1&amp;srchmode=1&amp;unlock","289476")</f>
        <v>289476</v>
      </c>
      <c r="F4455" t="s">
        <v>1024</v>
      </c>
      <c r="G4455" t="str">
        <f>HYPERLINK("http://www.ncbi.nlm.nih.gov/Taxonomy/Browser/wwwtax.cgi?mode=Info&amp;id=289476&amp;lvl=3&amp;lin=f&amp;keep=1&amp;srchmode=1&amp;unlock","Steinernema hermaphroditum")</f>
        <v>Steinernema hermaphroditum</v>
      </c>
      <c r="H4455" t="s">
        <v>1027</v>
      </c>
      <c r="I4455" t="str">
        <f>HYPERLINK("http://www.ncbi.nlm.nih.gov/protein/KAK0411649.1","hypothetical protein QR680_005766")</f>
        <v>hypothetical protein QR680_005766</v>
      </c>
      <c r="J4455">
        <v>1538.09</v>
      </c>
      <c r="K4455" t="s">
        <v>22</v>
      </c>
      <c r="L4455">
        <v>76</v>
      </c>
      <c r="M4455">
        <v>12.58</v>
      </c>
      <c r="N4455">
        <v>15.14</v>
      </c>
      <c r="O4455" t="s">
        <v>19</v>
      </c>
      <c r="P4455" t="s">
        <v>1320</v>
      </c>
      <c r="Q4455" t="s">
        <v>19</v>
      </c>
      <c r="R4455" t="str">
        <f>HYPERLINK("https://cfpub.epa.gov/ecotox/explore.cfm?ncbi=289476","Explore in ECOTOX")</f>
        <v>Explore in ECOTOX</v>
      </c>
    </row>
    <row r="4456" spans="1:18" x14ac:dyDescent="0.45">
      <c r="A4456" t="s">
        <v>1265</v>
      </c>
      <c r="B4456">
        <v>8</v>
      </c>
      <c r="C4456" t="str">
        <f>HYPERLINK("http://www.ncbi.nlm.nih.gov/protein/KAJ8920013.1","KAJ8920013.1")</f>
        <v>KAJ8920013.1</v>
      </c>
      <c r="D4456">
        <v>16919</v>
      </c>
      <c r="E4456" t="str">
        <f>HYPERLINK("http://www.ncbi.nlm.nih.gov/Taxonomy/Browser/wwwtax.cgi?mode=Info&amp;id=1586481&amp;lvl=3&amp;lin=f&amp;keep=1&amp;srchmode=1&amp;unlock","1586481")</f>
        <v>1586481</v>
      </c>
      <c r="F4456" t="s">
        <v>760</v>
      </c>
      <c r="G4456" t="str">
        <f>HYPERLINK("http://www.ncbi.nlm.nih.gov/Taxonomy/Browser/wwwtax.cgi?mode=Info&amp;id=1586481&amp;lvl=3&amp;lin=f&amp;keep=1&amp;srchmode=1&amp;unlock","Exocentrus adspersus")</f>
        <v>Exocentrus adspersus</v>
      </c>
      <c r="H4456" t="s">
        <v>1115</v>
      </c>
      <c r="I4456" t="str">
        <f>HYPERLINK("http://www.ncbi.nlm.nih.gov/protein/KAJ8920013.1","hypothetical protein NQ315_006544")</f>
        <v>hypothetical protein NQ315_006544</v>
      </c>
      <c r="J4456">
        <v>1536.16</v>
      </c>
      <c r="K4456" t="s">
        <v>22</v>
      </c>
      <c r="L4456">
        <v>76</v>
      </c>
      <c r="M4456">
        <v>12.58</v>
      </c>
      <c r="N4456">
        <v>15.12</v>
      </c>
      <c r="O4456" t="s">
        <v>19</v>
      </c>
      <c r="P4456" t="s">
        <v>1320</v>
      </c>
      <c r="Q4456" t="s">
        <v>19</v>
      </c>
      <c r="R4456" t="str">
        <f>HYPERLINK("https://cfpub.epa.gov/ecotox/explore.cfm?ncbi=1586481","Explore in ECOTOX")</f>
        <v>Explore in ECOTOX</v>
      </c>
    </row>
    <row r="4457" spans="1:18" x14ac:dyDescent="0.45">
      <c r="A4457" t="s">
        <v>1265</v>
      </c>
      <c r="B4457">
        <v>8</v>
      </c>
      <c r="C4457" t="str">
        <f>HYPERLINK("http://www.ncbi.nlm.nih.gov/protein/KAK2088355.1","KAK2088355.1")</f>
        <v>KAK2088355.1</v>
      </c>
      <c r="D4457">
        <v>41200</v>
      </c>
      <c r="E4457" t="str">
        <f>HYPERLINK("http://www.ncbi.nlm.nih.gov/Taxonomy/Browser/wwwtax.cgi?mode=Info&amp;id=9490&amp;lvl=3&amp;lin=f&amp;keep=1&amp;srchmode=1&amp;unlock","9490")</f>
        <v>9490</v>
      </c>
      <c r="F4457" t="s">
        <v>96</v>
      </c>
      <c r="G4457" t="str">
        <f>HYPERLINK("http://www.ncbi.nlm.nih.gov/Taxonomy/Browser/wwwtax.cgi?mode=Info&amp;id=9490&amp;lvl=3&amp;lin=f&amp;keep=1&amp;srchmode=1&amp;unlock","Saguinus oedipus")</f>
        <v>Saguinus oedipus</v>
      </c>
      <c r="H4457" t="s">
        <v>1131</v>
      </c>
      <c r="I4457" t="str">
        <f>HYPERLINK("http://www.ncbi.nlm.nih.gov/protein/KAK2088355.1","Ryanodine receptor 1")</f>
        <v>Ryanodine receptor 1</v>
      </c>
      <c r="J4457">
        <v>1535.01</v>
      </c>
      <c r="K4457" t="s">
        <v>22</v>
      </c>
      <c r="L4457">
        <v>76</v>
      </c>
      <c r="M4457">
        <v>12.58</v>
      </c>
      <c r="N4457">
        <v>15.11</v>
      </c>
      <c r="O4457" t="s">
        <v>19</v>
      </c>
      <c r="P4457" t="s">
        <v>1320</v>
      </c>
      <c r="Q4457" t="s">
        <v>19</v>
      </c>
      <c r="R4457" t="str">
        <f>HYPERLINK("https://cfpub.epa.gov/ecotox/explore.cfm?ncbi=9490","Explore in ECOTOX")</f>
        <v>Explore in ECOTOX</v>
      </c>
    </row>
    <row r="4458" spans="1:18" x14ac:dyDescent="0.45">
      <c r="A4458" t="s">
        <v>1265</v>
      </c>
      <c r="B4458">
        <v>8</v>
      </c>
      <c r="C4458" t="str">
        <f>HYPERLINK("http://www.ncbi.nlm.nih.gov/protein/XP_037072504.1","XP_037072504.1")</f>
        <v>XP_037072504.1</v>
      </c>
      <c r="D4458">
        <v>27129</v>
      </c>
      <c r="E4458" t="str">
        <f>HYPERLINK("http://www.ncbi.nlm.nih.gov/Taxonomy/Browser/wwwtax.cgi?mode=Info&amp;id=41117&amp;lvl=3&amp;lin=f&amp;keep=1&amp;srchmode=1&amp;unlock","41117")</f>
        <v>41117</v>
      </c>
      <c r="F4458" t="s">
        <v>997</v>
      </c>
      <c r="G4458" t="str">
        <f>HYPERLINK("http://www.ncbi.nlm.nih.gov/Taxonomy/Browser/wwwtax.cgi?mode=Info&amp;id=41117&amp;lvl=3&amp;lin=f&amp;keep=1&amp;srchmode=1&amp;unlock","Pollicipes pollicipes")</f>
        <v>Pollicipes pollicipes</v>
      </c>
      <c r="H4458" t="s">
        <v>1156</v>
      </c>
      <c r="I4458" t="str">
        <f>HYPERLINK("http://www.ncbi.nlm.nih.gov/protein/XP_037072504.1","ryanodine receptor-like isoform X3")</f>
        <v>ryanodine receptor-like isoform X3</v>
      </c>
      <c r="J4458">
        <v>1534.24</v>
      </c>
      <c r="K4458" t="s">
        <v>22</v>
      </c>
      <c r="L4458">
        <v>76</v>
      </c>
      <c r="M4458">
        <v>12.58</v>
      </c>
      <c r="N4458">
        <v>15.1</v>
      </c>
      <c r="O4458" t="s">
        <v>19</v>
      </c>
      <c r="P4458" t="s">
        <v>1320</v>
      </c>
      <c r="Q4458" t="s">
        <v>19</v>
      </c>
      <c r="R4458" t="str">
        <f>HYPERLINK("https://cfpub.epa.gov/ecotox/explore.cfm?ncbi=41117","Explore in ECOTOX")</f>
        <v>Explore in ECOTOX</v>
      </c>
    </row>
    <row r="4459" spans="1:18" x14ac:dyDescent="0.45">
      <c r="A4459" t="s">
        <v>1265</v>
      </c>
      <c r="B4459">
        <v>8</v>
      </c>
      <c r="C4459" t="str">
        <f>HYPERLINK("http://www.ncbi.nlm.nih.gov/protein/KAG1707004.1","KAG1707004.1")</f>
        <v>KAG1707004.1</v>
      </c>
      <c r="D4459">
        <v>28507</v>
      </c>
      <c r="E4459" t="str">
        <f>HYPERLINK("http://www.ncbi.nlm.nih.gov/Taxonomy/Browser/wwwtax.cgi?mode=Info&amp;id=424472&amp;lvl=3&amp;lin=f&amp;keep=1&amp;srchmode=1&amp;unlock","424472")</f>
        <v>424472</v>
      </c>
      <c r="F4459" t="s">
        <v>1157</v>
      </c>
      <c r="G4459" t="str">
        <f>HYPERLINK("http://www.ncbi.nlm.nih.gov/Taxonomy/Browser/wwwtax.cgi?mode=Info&amp;id=424472&amp;lvl=3&amp;lin=f&amp;keep=1&amp;srchmode=1&amp;unlock","Nymphon striatum")</f>
        <v>Nymphon striatum</v>
      </c>
      <c r="H4459" t="s">
        <v>1158</v>
      </c>
      <c r="I4459" t="str">
        <f>HYPERLINK("http://www.ncbi.nlm.nih.gov/protein/KAG1707004.1","Ryanodine receptor")</f>
        <v>Ryanodine receptor</v>
      </c>
      <c r="J4459">
        <v>1519.98</v>
      </c>
      <c r="K4459" t="s">
        <v>22</v>
      </c>
      <c r="L4459">
        <v>76</v>
      </c>
      <c r="M4459">
        <v>12.58</v>
      </c>
      <c r="N4459">
        <v>14.96</v>
      </c>
      <c r="O4459" t="s">
        <v>19</v>
      </c>
      <c r="P4459" t="s">
        <v>1320</v>
      </c>
      <c r="Q4459" t="s">
        <v>19</v>
      </c>
      <c r="R4459" t="str">
        <f>HYPERLINK("https://cfpub.epa.gov/ecotox/explore.cfm?ncbi=424472","Explore in ECOTOX")</f>
        <v>Explore in ECOTOX</v>
      </c>
    </row>
    <row r="4460" spans="1:18" x14ac:dyDescent="0.45">
      <c r="A4460" t="s">
        <v>1265</v>
      </c>
      <c r="B4460">
        <v>8</v>
      </c>
      <c r="C4460" t="str">
        <f>HYPERLINK("http://www.ncbi.nlm.nih.gov/protein/GFO35387.1","GFO35387.1")</f>
        <v>GFO35387.1</v>
      </c>
      <c r="D4460">
        <v>77250</v>
      </c>
      <c r="E4460" t="str">
        <f>HYPERLINK("http://www.ncbi.nlm.nih.gov/Taxonomy/Browser/wwwtax.cgi?mode=Info&amp;id=259542&amp;lvl=3&amp;lin=f&amp;keep=1&amp;srchmode=1&amp;unlock","259542")</f>
        <v>259542</v>
      </c>
      <c r="F4460" t="s">
        <v>757</v>
      </c>
      <c r="G4460" t="str">
        <f>HYPERLINK("http://www.ncbi.nlm.nih.gov/Taxonomy/Browser/wwwtax.cgi?mode=Info&amp;id=259542&amp;lvl=3&amp;lin=f&amp;keep=1&amp;srchmode=1&amp;unlock","Plakobranchus ocellatus")</f>
        <v>Plakobranchus ocellatus</v>
      </c>
      <c r="H4460" t="s">
        <v>832</v>
      </c>
      <c r="I4460" t="str">
        <f>HYPERLINK("http://www.ncbi.nlm.nih.gov/protein/GFO35387.1","ryanodine receptor")</f>
        <v>ryanodine receptor</v>
      </c>
      <c r="J4460">
        <v>1502.65</v>
      </c>
      <c r="K4460" t="s">
        <v>22</v>
      </c>
      <c r="L4460">
        <v>76</v>
      </c>
      <c r="M4460">
        <v>12.58</v>
      </c>
      <c r="N4460">
        <v>14.79</v>
      </c>
      <c r="O4460" t="s">
        <v>19</v>
      </c>
      <c r="P4460" t="s">
        <v>1320</v>
      </c>
      <c r="Q4460" t="s">
        <v>19</v>
      </c>
      <c r="R4460" t="str">
        <f>HYPERLINK("https://cfpub.epa.gov/ecotox/explore.cfm?ncbi=259542","Explore in ECOTOX")</f>
        <v>Explore in ECOTOX</v>
      </c>
    </row>
    <row r="4461" spans="1:18" x14ac:dyDescent="0.45">
      <c r="A4461" t="s">
        <v>1265</v>
      </c>
      <c r="B4461">
        <v>8</v>
      </c>
      <c r="C4461" t="str">
        <f>HYPERLINK("http://www.ncbi.nlm.nih.gov/protein/VDK79751.1","VDK79751.1")</f>
        <v>VDK79751.1</v>
      </c>
      <c r="D4461">
        <v>10062</v>
      </c>
      <c r="E4461" t="str">
        <f>HYPERLINK("http://www.ncbi.nlm.nih.gov/Taxonomy/Browser/wwwtax.cgi?mode=Info&amp;id=42156&amp;lvl=3&amp;lin=f&amp;keep=1&amp;srchmode=1&amp;unlock","42156")</f>
        <v>42156</v>
      </c>
      <c r="F4461" t="s">
        <v>1024</v>
      </c>
      <c r="G4461" t="str">
        <f>HYPERLINK("http://www.ncbi.nlm.nih.gov/Taxonomy/Browser/wwwtax.cgi?mode=Info&amp;id=42156&amp;lvl=3&amp;lin=f&amp;keep=1&amp;srchmode=1&amp;unlock","Litomosoides sigmodontis")</f>
        <v>Litomosoides sigmodontis</v>
      </c>
      <c r="H4461" t="s">
        <v>1027</v>
      </c>
      <c r="I4461" t="str">
        <f>HYPERLINK("http://www.ncbi.nlm.nih.gov/protein/VDK79751.1","unnamed protein product")</f>
        <v>unnamed protein product</v>
      </c>
      <c r="J4461">
        <v>1498.03</v>
      </c>
      <c r="K4461" t="s">
        <v>22</v>
      </c>
      <c r="L4461">
        <v>76</v>
      </c>
      <c r="M4461">
        <v>12.58</v>
      </c>
      <c r="N4461">
        <v>14.74</v>
      </c>
      <c r="O4461" t="s">
        <v>19</v>
      </c>
      <c r="P4461" t="s">
        <v>1320</v>
      </c>
      <c r="Q4461" t="s">
        <v>19</v>
      </c>
      <c r="R4461" t="str">
        <f>HYPERLINK("https://cfpub.epa.gov/ecotox/explore.cfm?ncbi=42156","Explore in ECOTOX")</f>
        <v>Explore in ECOTOX</v>
      </c>
    </row>
    <row r="4462" spans="1:18" x14ac:dyDescent="0.45">
      <c r="A4462" t="s">
        <v>1265</v>
      </c>
      <c r="B4462">
        <v>8</v>
      </c>
      <c r="C4462" t="str">
        <f>HYPERLINK("http://www.ncbi.nlm.nih.gov/protein/KAF0766242.1","KAF0766242.1")</f>
        <v>KAF0766242.1</v>
      </c>
      <c r="D4462">
        <v>32418</v>
      </c>
      <c r="E4462" t="str">
        <f>HYPERLINK("http://www.ncbi.nlm.nih.gov/Taxonomy/Browser/wwwtax.cgi?mode=Info&amp;id=307492&amp;lvl=3&amp;lin=f&amp;keep=1&amp;srchmode=1&amp;unlock","307492")</f>
        <v>307492</v>
      </c>
      <c r="F4462" t="s">
        <v>760</v>
      </c>
      <c r="G4462" t="str">
        <f>HYPERLINK("http://www.ncbi.nlm.nih.gov/Taxonomy/Browser/wwwtax.cgi?mode=Info&amp;id=307492&amp;lvl=3&amp;lin=f&amp;keep=1&amp;srchmode=1&amp;unlock","Aphis craccivora")</f>
        <v>Aphis craccivora</v>
      </c>
      <c r="H4462" t="s">
        <v>1163</v>
      </c>
      <c r="I4462" t="str">
        <f>HYPERLINK("http://www.ncbi.nlm.nih.gov/protein/KAF0766242.1","Uncharacterized protein FWK35_00003306, partial")</f>
        <v>Uncharacterized protein FWK35_00003306, partial</v>
      </c>
      <c r="J4462">
        <v>1491.09</v>
      </c>
      <c r="K4462" t="s">
        <v>22</v>
      </c>
      <c r="L4462">
        <v>76</v>
      </c>
      <c r="M4462">
        <v>12.58</v>
      </c>
      <c r="N4462">
        <v>14.67</v>
      </c>
      <c r="O4462" t="s">
        <v>19</v>
      </c>
      <c r="P4462" t="s">
        <v>1320</v>
      </c>
      <c r="Q4462" t="s">
        <v>19</v>
      </c>
      <c r="R4462" t="str">
        <f>HYPERLINK("https://cfpub.epa.gov/ecotox/explore.cfm?ncbi=307492","Explore in ECOTOX")</f>
        <v>Explore in ECOTOX</v>
      </c>
    </row>
    <row r="4463" spans="1:18" x14ac:dyDescent="0.45">
      <c r="A4463" t="s">
        <v>1265</v>
      </c>
      <c r="B4463">
        <v>8</v>
      </c>
      <c r="C4463" t="str">
        <f>HYPERLINK("http://www.ncbi.nlm.nih.gov/protein/KAK2180258.1","KAK2180258.1")</f>
        <v>KAK2180258.1</v>
      </c>
      <c r="D4463">
        <v>31499</v>
      </c>
      <c r="E4463" t="str">
        <f>HYPERLINK("http://www.ncbi.nlm.nih.gov/Taxonomy/Browser/wwwtax.cgi?mode=Info&amp;id=27915&amp;lvl=3&amp;lin=f&amp;keep=1&amp;srchmode=1&amp;unlock","27915")</f>
        <v>27915</v>
      </c>
      <c r="F4463" t="s">
        <v>862</v>
      </c>
      <c r="G4463" t="str">
        <f>HYPERLINK("http://www.ncbi.nlm.nih.gov/Taxonomy/Browser/wwwtax.cgi?mode=Info&amp;id=27915&amp;lvl=3&amp;lin=f&amp;keep=1&amp;srchmode=1&amp;unlock","Ridgeia piscesae")</f>
        <v>Ridgeia piscesae</v>
      </c>
      <c r="H4463" t="s">
        <v>1159</v>
      </c>
      <c r="I4463" t="str">
        <f>HYPERLINK("http://www.ncbi.nlm.nih.gov/protein/KAK2180258.1","hypothetical protein NP493_449g01004")</f>
        <v>hypothetical protein NP493_449g01004</v>
      </c>
      <c r="J4463">
        <v>1490.71</v>
      </c>
      <c r="K4463" t="s">
        <v>22</v>
      </c>
      <c r="L4463">
        <v>76</v>
      </c>
      <c r="M4463">
        <v>12.58</v>
      </c>
      <c r="N4463">
        <v>14.67</v>
      </c>
      <c r="O4463" t="s">
        <v>19</v>
      </c>
      <c r="P4463" t="s">
        <v>1320</v>
      </c>
      <c r="Q4463" t="s">
        <v>19</v>
      </c>
      <c r="R4463" t="str">
        <f>HYPERLINK("https://cfpub.epa.gov/ecotox/explore.cfm?ncbi=27915","Explore in ECOTOX")</f>
        <v>Explore in ECOTOX</v>
      </c>
    </row>
    <row r="4464" spans="1:18" x14ac:dyDescent="0.45">
      <c r="A4464" t="s">
        <v>1265</v>
      </c>
      <c r="B4464">
        <v>8</v>
      </c>
      <c r="C4464" t="str">
        <f>HYPERLINK("http://www.ncbi.nlm.nih.gov/protein/KAH9519509.1","KAH9519509.1")</f>
        <v>KAH9519509.1</v>
      </c>
      <c r="D4464">
        <v>26550</v>
      </c>
      <c r="E4464" t="str">
        <f>HYPERLINK("http://www.ncbi.nlm.nih.gov/Taxonomy/Browser/wwwtax.cgi?mode=Info&amp;id=55810&amp;lvl=3&amp;lin=f&amp;keep=1&amp;srchmode=1&amp;unlock","55810")</f>
        <v>55810</v>
      </c>
      <c r="F4464" t="s">
        <v>757</v>
      </c>
      <c r="G4464" t="str">
        <f>HYPERLINK("http://www.ncbi.nlm.nih.gov/Taxonomy/Browser/wwwtax.cgi?mode=Info&amp;id=55810&amp;lvl=3&amp;lin=f&amp;keep=1&amp;srchmode=1&amp;unlock","Bulinus truncatus")</f>
        <v>Bulinus truncatus</v>
      </c>
      <c r="H4464" t="s">
        <v>832</v>
      </c>
      <c r="I4464" t="str">
        <f>HYPERLINK("http://www.ncbi.nlm.nih.gov/protein/KAH9519509.1","hypothetical protein Btru_002897, partial")</f>
        <v>hypothetical protein Btru_002897, partial</v>
      </c>
      <c r="J4464">
        <v>1481.08</v>
      </c>
      <c r="K4464" t="s">
        <v>22</v>
      </c>
      <c r="L4464">
        <v>76</v>
      </c>
      <c r="M4464">
        <v>12.58</v>
      </c>
      <c r="N4464">
        <v>14.58</v>
      </c>
      <c r="O4464" t="s">
        <v>19</v>
      </c>
      <c r="P4464" t="s">
        <v>1320</v>
      </c>
      <c r="Q4464" t="s">
        <v>19</v>
      </c>
      <c r="R4464" t="str">
        <f>HYPERLINK("https://cfpub.epa.gov/ecotox/explore.cfm?ncbi=55810","Explore in ECOTOX")</f>
        <v>Explore in ECOTOX</v>
      </c>
    </row>
    <row r="4465" spans="1:18" x14ac:dyDescent="0.45">
      <c r="A4465" t="s">
        <v>1265</v>
      </c>
      <c r="B4465">
        <v>8</v>
      </c>
      <c r="C4465" t="str">
        <f>HYPERLINK("http://www.ncbi.nlm.nih.gov/protein/CAD7645150.1","CAD7645150.1")</f>
        <v>CAD7645150.1</v>
      </c>
      <c r="D4465">
        <v>47472</v>
      </c>
      <c r="E4465" t="str">
        <f>HYPERLINK("http://www.ncbi.nlm.nih.gov/Taxonomy/Browser/wwwtax.cgi?mode=Info&amp;id=334625&amp;lvl=3&amp;lin=f&amp;keep=1&amp;srchmode=1&amp;unlock","334625")</f>
        <v>334625</v>
      </c>
      <c r="F4465" t="s">
        <v>904</v>
      </c>
      <c r="G4465" t="str">
        <f>HYPERLINK("http://www.ncbi.nlm.nih.gov/Taxonomy/Browser/wwwtax.cgi?mode=Info&amp;id=334625&amp;lvl=3&amp;lin=f&amp;keep=1&amp;srchmode=1&amp;unlock","Oppiella nova")</f>
        <v>Oppiella nova</v>
      </c>
      <c r="H4465" t="s">
        <v>995</v>
      </c>
      <c r="I4465" t="str">
        <f>HYPERLINK("http://www.ncbi.nlm.nih.gov/protein/CAD7645150.1","unnamed protein product")</f>
        <v>unnamed protein product</v>
      </c>
      <c r="J4465">
        <v>1461.82</v>
      </c>
      <c r="K4465" t="s">
        <v>22</v>
      </c>
      <c r="L4465">
        <v>76</v>
      </c>
      <c r="M4465">
        <v>12.58</v>
      </c>
      <c r="N4465">
        <v>14.39</v>
      </c>
      <c r="O4465" t="s">
        <v>19</v>
      </c>
      <c r="P4465" t="s">
        <v>1320</v>
      </c>
      <c r="Q4465" t="s">
        <v>19</v>
      </c>
      <c r="R4465" t="str">
        <f>HYPERLINK("https://cfpub.epa.gov/ecotox/explore.cfm?ncbi=334625","Explore in ECOTOX")</f>
        <v>Explore in ECOTOX</v>
      </c>
    </row>
    <row r="4466" spans="1:18" x14ac:dyDescent="0.45">
      <c r="A4466" t="s">
        <v>1265</v>
      </c>
      <c r="B4466">
        <v>8</v>
      </c>
      <c r="C4466" t="str">
        <f>HYPERLINK("http://www.ncbi.nlm.nih.gov/protein/CAH2061841.1","CAH2061841.1")</f>
        <v>CAH2061841.1</v>
      </c>
      <c r="D4466">
        <v>20252</v>
      </c>
      <c r="E4466" t="str">
        <f>HYPERLINK("http://www.ncbi.nlm.nih.gov/Taxonomy/Browser/wwwtax.cgi?mode=Info&amp;id=110791&amp;lvl=3&amp;lin=f&amp;keep=1&amp;srchmode=1&amp;unlock","110791")</f>
        <v>110791</v>
      </c>
      <c r="F4466" t="s">
        <v>760</v>
      </c>
      <c r="G4466" t="str">
        <f>HYPERLINK("http://www.ncbi.nlm.nih.gov/Taxonomy/Browser/wwwtax.cgi?mode=Info&amp;id=110791&amp;lvl=3&amp;lin=f&amp;keep=1&amp;srchmode=1&amp;unlock","Iphiclides podalirius")</f>
        <v>Iphiclides podalirius</v>
      </c>
      <c r="H4466" t="s">
        <v>1164</v>
      </c>
      <c r="I4466" t="str">
        <f>HYPERLINK("http://www.ncbi.nlm.nih.gov/protein/CAH2061841.1","unnamed protein product, partial")</f>
        <v>unnamed protein product, partial</v>
      </c>
      <c r="J4466">
        <v>1457.97</v>
      </c>
      <c r="K4466" t="s">
        <v>22</v>
      </c>
      <c r="L4466">
        <v>76</v>
      </c>
      <c r="M4466">
        <v>12.58</v>
      </c>
      <c r="N4466">
        <v>14.35</v>
      </c>
      <c r="O4466" t="s">
        <v>19</v>
      </c>
      <c r="P4466" t="s">
        <v>1320</v>
      </c>
      <c r="Q4466" t="s">
        <v>19</v>
      </c>
      <c r="R4466" t="str">
        <f>HYPERLINK("https://cfpub.epa.gov/ecotox/explore.cfm?ncbi=110791","Explore in ECOTOX")</f>
        <v>Explore in ECOTOX</v>
      </c>
    </row>
    <row r="4467" spans="1:18" x14ac:dyDescent="0.45">
      <c r="A4467" t="s">
        <v>1265</v>
      </c>
      <c r="B4467">
        <v>8</v>
      </c>
      <c r="C4467" t="str">
        <f>HYPERLINK("http://www.ncbi.nlm.nih.gov/protein/KAI0239121.1","KAI0239121.1")</f>
        <v>KAI0239121.1</v>
      </c>
      <c r="D4467">
        <v>32517</v>
      </c>
      <c r="E4467" t="str">
        <f>HYPERLINK("http://www.ncbi.nlm.nih.gov/Taxonomy/Browser/wwwtax.cgi?mode=Info&amp;id=104711&amp;lvl=3&amp;lin=f&amp;keep=1&amp;srchmode=1&amp;unlock","104711")</f>
        <v>104711</v>
      </c>
      <c r="F4467" t="s">
        <v>862</v>
      </c>
      <c r="G4467" t="str">
        <f>HYPERLINK("http://www.ncbi.nlm.nih.gov/Taxonomy/Browser/wwwtax.cgi?mode=Info&amp;id=104711&amp;lvl=3&amp;lin=f&amp;keep=1&amp;srchmode=1&amp;unlock","Lamellibrachia satsuma")</f>
        <v>Lamellibrachia satsuma</v>
      </c>
      <c r="H4467" t="s">
        <v>1159</v>
      </c>
      <c r="I4467" t="str">
        <f>HYPERLINK("http://www.ncbi.nlm.nih.gov/protein/KAI0239121.1","Ryanodine receptor")</f>
        <v>Ryanodine receptor</v>
      </c>
      <c r="J4467">
        <v>1448.72</v>
      </c>
      <c r="K4467" t="s">
        <v>22</v>
      </c>
      <c r="L4467">
        <v>76</v>
      </c>
      <c r="M4467">
        <v>12.58</v>
      </c>
      <c r="N4467">
        <v>14.26</v>
      </c>
      <c r="O4467" t="s">
        <v>19</v>
      </c>
      <c r="P4467" t="s">
        <v>1320</v>
      </c>
      <c r="Q4467" t="s">
        <v>19</v>
      </c>
      <c r="R4467" t="str">
        <f>HYPERLINK("https://cfpub.epa.gov/ecotox/explore.cfm?ncbi=104711","Explore in ECOTOX")</f>
        <v>Explore in ECOTOX</v>
      </c>
    </row>
    <row r="4468" spans="1:18" x14ac:dyDescent="0.45">
      <c r="A4468" t="s">
        <v>1265</v>
      </c>
      <c r="B4468">
        <v>8</v>
      </c>
      <c r="C4468" t="str">
        <f>HYPERLINK("http://www.ncbi.nlm.nih.gov/protein/CAH2098709.1","CAH2098709.1")</f>
        <v>CAH2098709.1</v>
      </c>
      <c r="D4468">
        <v>26296</v>
      </c>
      <c r="E4468" t="str">
        <f>HYPERLINK("http://www.ncbi.nlm.nih.gov/Taxonomy/Browser/wwwtax.cgi?mode=Info&amp;id=104508&amp;lvl=3&amp;lin=f&amp;keep=1&amp;srchmode=1&amp;unlock","104508")</f>
        <v>104508</v>
      </c>
      <c r="F4468" t="s">
        <v>760</v>
      </c>
      <c r="G4468" t="str">
        <f>HYPERLINK("http://www.ncbi.nlm.nih.gov/Taxonomy/Browser/wwwtax.cgi?mode=Info&amp;id=104508&amp;lvl=3&amp;lin=f&amp;keep=1&amp;srchmode=1&amp;unlock","Euphydryas editha")</f>
        <v>Euphydryas editha</v>
      </c>
      <c r="H4468" t="s">
        <v>1165</v>
      </c>
      <c r="I4468" t="str">
        <f>HYPERLINK("http://www.ncbi.nlm.nih.gov/protein/CAH2098709.1","unnamed protein product")</f>
        <v>unnamed protein product</v>
      </c>
      <c r="J4468">
        <v>1443.71</v>
      </c>
      <c r="K4468" t="s">
        <v>22</v>
      </c>
      <c r="L4468">
        <v>76</v>
      </c>
      <c r="M4468">
        <v>12.58</v>
      </c>
      <c r="N4468">
        <v>14.21</v>
      </c>
      <c r="O4468" t="s">
        <v>19</v>
      </c>
      <c r="P4468" t="s">
        <v>1320</v>
      </c>
      <c r="Q4468" t="s">
        <v>19</v>
      </c>
      <c r="R4468" t="str">
        <f>HYPERLINK("https://cfpub.epa.gov/ecotox/explore.cfm?ncbi=104508","Explore in ECOTOX")</f>
        <v>Explore in ECOTOX</v>
      </c>
    </row>
    <row r="4469" spans="1:18" x14ac:dyDescent="0.45">
      <c r="A4469" t="s">
        <v>1265</v>
      </c>
      <c r="B4469">
        <v>8</v>
      </c>
      <c r="C4469" t="str">
        <f>HYPERLINK("http://www.ncbi.nlm.nih.gov/protein/PIK56122.1","PIK56122.1")</f>
        <v>PIK56122.1</v>
      </c>
      <c r="D4469">
        <v>30963</v>
      </c>
      <c r="E4469" t="str">
        <f>HYPERLINK("http://www.ncbi.nlm.nih.gov/Taxonomy/Browser/wwwtax.cgi?mode=Info&amp;id=307972&amp;lvl=3&amp;lin=f&amp;keep=1&amp;srchmode=1&amp;unlock","307972")</f>
        <v>307972</v>
      </c>
      <c r="F4469" t="s">
        <v>1122</v>
      </c>
      <c r="G4469" t="str">
        <f>HYPERLINK("http://www.ncbi.nlm.nih.gov/Taxonomy/Browser/wwwtax.cgi?mode=Info&amp;id=307972&amp;lvl=3&amp;lin=f&amp;keep=1&amp;srchmode=1&amp;unlock","Apostichopus japonicus")</f>
        <v>Apostichopus japonicus</v>
      </c>
      <c r="H4469" t="s">
        <v>1162</v>
      </c>
      <c r="I4469" t="str">
        <f>HYPERLINK("http://www.ncbi.nlm.nih.gov/protein/PIK56122.1","putative ryanodine receptor 2")</f>
        <v>putative ryanodine receptor 2</v>
      </c>
      <c r="J4469">
        <v>1427.92</v>
      </c>
      <c r="K4469" t="s">
        <v>22</v>
      </c>
      <c r="L4469">
        <v>76</v>
      </c>
      <c r="M4469">
        <v>12.58</v>
      </c>
      <c r="N4469">
        <v>14.05</v>
      </c>
      <c r="O4469" t="s">
        <v>19</v>
      </c>
      <c r="P4469" t="s">
        <v>1320</v>
      </c>
      <c r="Q4469" t="s">
        <v>19</v>
      </c>
      <c r="R4469" t="str">
        <f>HYPERLINK("https://cfpub.epa.gov/ecotox/explore.cfm?ncbi=307972","Explore in ECOTOX")</f>
        <v>Explore in ECOTOX</v>
      </c>
    </row>
    <row r="4470" spans="1:18" x14ac:dyDescent="0.45">
      <c r="A4470" t="s">
        <v>1265</v>
      </c>
      <c r="B4470">
        <v>8</v>
      </c>
      <c r="C4470" t="str">
        <f>HYPERLINK("http://www.ncbi.nlm.nih.gov/protein/CAH2243740.1","CAH2243740.1")</f>
        <v>CAH2243740.1</v>
      </c>
      <c r="D4470">
        <v>28895</v>
      </c>
      <c r="E4470" t="str">
        <f>HYPERLINK("http://www.ncbi.nlm.nih.gov/Taxonomy/Browser/wwwtax.cgi?mode=Info&amp;id=348720&amp;lvl=3&amp;lin=f&amp;keep=1&amp;srchmode=1&amp;unlock","348720")</f>
        <v>348720</v>
      </c>
      <c r="F4470" t="s">
        <v>760</v>
      </c>
      <c r="G4470" t="str">
        <f>HYPERLINK("http://www.ncbi.nlm.nih.gov/Taxonomy/Browser/wwwtax.cgi?mode=Info&amp;id=348720&amp;lvl=3&amp;lin=f&amp;keep=1&amp;srchmode=1&amp;unlock","Pararge aegeria aegeria")</f>
        <v>Pararge aegeria aegeria</v>
      </c>
      <c r="H4470" t="s">
        <v>894</v>
      </c>
      <c r="I4470" t="str">
        <f>HYPERLINK("http://www.ncbi.nlm.nih.gov/protein/CAH2243740.1","jg7116")</f>
        <v>jg7116</v>
      </c>
      <c r="J4470">
        <v>1401.34</v>
      </c>
      <c r="K4470" t="s">
        <v>22</v>
      </c>
      <c r="L4470">
        <v>76</v>
      </c>
      <c r="M4470">
        <v>12.58</v>
      </c>
      <c r="N4470">
        <v>13.79</v>
      </c>
      <c r="O4470" t="s">
        <v>19</v>
      </c>
      <c r="P4470" t="s">
        <v>1320</v>
      </c>
      <c r="Q4470" t="s">
        <v>19</v>
      </c>
      <c r="R4470" t="str">
        <f>HYPERLINK("https://cfpub.epa.gov/ecotox/explore.cfm?ncbi=348720","Explore in ECOTOX")</f>
        <v>Explore in ECOTOX</v>
      </c>
    </row>
    <row r="4471" spans="1:18" x14ac:dyDescent="0.45">
      <c r="A4471" t="s">
        <v>1265</v>
      </c>
      <c r="B4471">
        <v>8</v>
      </c>
      <c r="C4471" t="str">
        <f>HYPERLINK("http://www.ncbi.nlm.nih.gov/protein/CAD5230370.1","CAD5230370.1")</f>
        <v>CAD5230370.1</v>
      </c>
      <c r="D4471">
        <v>32147</v>
      </c>
      <c r="E4471" t="str">
        <f>HYPERLINK("http://www.ncbi.nlm.nih.gov/Taxonomy/Browser/wwwtax.cgi?mode=Info&amp;id=6326&amp;lvl=3&amp;lin=f&amp;keep=1&amp;srchmode=1&amp;unlock","6326")</f>
        <v>6326</v>
      </c>
      <c r="F4471" t="s">
        <v>1024</v>
      </c>
      <c r="G4471" t="str">
        <f>HYPERLINK("http://www.ncbi.nlm.nih.gov/Taxonomy/Browser/wwwtax.cgi?mode=Info&amp;id=6326&amp;lvl=3&amp;lin=f&amp;keep=1&amp;srchmode=1&amp;unlock","Bursaphelenchus xylophilus")</f>
        <v>Bursaphelenchus xylophilus</v>
      </c>
      <c r="H4471" t="s">
        <v>1129</v>
      </c>
      <c r="I4471" t="str">
        <f>HYPERLINK("http://www.ncbi.nlm.nih.gov/protein/CAD5230370.1","unnamed protein product")</f>
        <v>unnamed protein product</v>
      </c>
      <c r="J4471">
        <v>1399.8</v>
      </c>
      <c r="K4471" t="s">
        <v>22</v>
      </c>
      <c r="L4471">
        <v>76</v>
      </c>
      <c r="M4471">
        <v>12.58</v>
      </c>
      <c r="N4471">
        <v>13.78</v>
      </c>
      <c r="O4471" t="s">
        <v>19</v>
      </c>
      <c r="P4471" t="s">
        <v>1320</v>
      </c>
      <c r="Q4471" t="s">
        <v>19</v>
      </c>
      <c r="R4471" t="str">
        <f>HYPERLINK("https://cfpub.epa.gov/ecotox/explore.cfm?ncbi=6326","Explore in ECOTOX")</f>
        <v>Explore in ECOTOX</v>
      </c>
    </row>
    <row r="4472" spans="1:18" x14ac:dyDescent="0.45">
      <c r="A4472" t="s">
        <v>1265</v>
      </c>
      <c r="B4472">
        <v>8</v>
      </c>
      <c r="C4472" t="str">
        <f>HYPERLINK("http://www.ncbi.nlm.nih.gov/protein/KAI6237110.1","KAI6237110.1")</f>
        <v>KAI6237110.1</v>
      </c>
      <c r="D4472">
        <v>46386</v>
      </c>
      <c r="E4472" t="str">
        <f>HYPERLINK("http://www.ncbi.nlm.nih.gov/Taxonomy/Browser/wwwtax.cgi?mode=Info&amp;id=269767&amp;lvl=3&amp;lin=f&amp;keep=1&amp;srchmode=1&amp;unlock","269767")</f>
        <v>269767</v>
      </c>
      <c r="F4472" t="s">
        <v>1024</v>
      </c>
      <c r="G4472" t="str">
        <f>HYPERLINK("http://www.ncbi.nlm.nih.gov/Taxonomy/Browser/wwwtax.cgi?mode=Info&amp;id=269767&amp;lvl=3&amp;lin=f&amp;keep=1&amp;srchmode=1&amp;unlock","Aphelenchoides besseyi")</f>
        <v>Aphelenchoides besseyi</v>
      </c>
      <c r="H4472" t="s">
        <v>1027</v>
      </c>
      <c r="I4472" t="str">
        <f>HYPERLINK("http://www.ncbi.nlm.nih.gov/protein/KAI6237110.1","hypothetical protein M3Y95_00230500")</f>
        <v>hypothetical protein M3Y95_00230500</v>
      </c>
      <c r="J4472">
        <v>1399.42</v>
      </c>
      <c r="K4472" t="s">
        <v>22</v>
      </c>
      <c r="L4472">
        <v>76</v>
      </c>
      <c r="M4472">
        <v>12.58</v>
      </c>
      <c r="N4472">
        <v>13.77</v>
      </c>
      <c r="O4472" t="s">
        <v>19</v>
      </c>
      <c r="P4472" t="s">
        <v>1320</v>
      </c>
      <c r="Q4472" t="s">
        <v>19</v>
      </c>
      <c r="R4472" t="str">
        <f>HYPERLINK("https://cfpub.epa.gov/ecotox/explore.cfm?ncbi=269767","Explore in ECOTOX")</f>
        <v>Explore in ECOTOX</v>
      </c>
    </row>
    <row r="4473" spans="1:18" x14ac:dyDescent="0.45">
      <c r="A4473" t="s">
        <v>1265</v>
      </c>
      <c r="B4473">
        <v>8</v>
      </c>
      <c r="C4473" t="str">
        <f>HYPERLINK("http://www.ncbi.nlm.nih.gov/protein/CAH1792831.1","CAH1792831.1")</f>
        <v>CAH1792831.1</v>
      </c>
      <c r="D4473">
        <v>30867</v>
      </c>
      <c r="E4473" t="str">
        <f>HYPERLINK("http://www.ncbi.nlm.nih.gov/Taxonomy/Browser/wwwtax.cgi?mode=Info&amp;id=6347&amp;lvl=3&amp;lin=f&amp;keep=1&amp;srchmode=1&amp;unlock","6347")</f>
        <v>6347</v>
      </c>
      <c r="F4473" t="s">
        <v>862</v>
      </c>
      <c r="G4473" t="str">
        <f>HYPERLINK("http://www.ncbi.nlm.nih.gov/Taxonomy/Browser/wwwtax.cgi?mode=Info&amp;id=6347&amp;lvl=3&amp;lin=f&amp;keep=1&amp;srchmode=1&amp;unlock","Owenia fusiformis")</f>
        <v>Owenia fusiformis</v>
      </c>
      <c r="H4473" t="s">
        <v>863</v>
      </c>
      <c r="I4473" t="str">
        <f>HYPERLINK("http://www.ncbi.nlm.nih.gov/protein/CAH1792831.1","unnamed protein product")</f>
        <v>unnamed protein product</v>
      </c>
      <c r="J4473">
        <v>1397.1</v>
      </c>
      <c r="K4473" t="s">
        <v>22</v>
      </c>
      <c r="L4473">
        <v>76</v>
      </c>
      <c r="M4473">
        <v>12.58</v>
      </c>
      <c r="N4473">
        <v>13.75</v>
      </c>
      <c r="O4473" t="s">
        <v>19</v>
      </c>
      <c r="P4473" t="s">
        <v>1320</v>
      </c>
      <c r="Q4473" t="s">
        <v>19</v>
      </c>
      <c r="R4473" t="str">
        <f>HYPERLINK("https://cfpub.epa.gov/ecotox/explore.cfm?ncbi=6347","Explore in ECOTOX")</f>
        <v>Explore in ECOTOX</v>
      </c>
    </row>
    <row r="4474" spans="1:18" x14ac:dyDescent="0.45">
      <c r="A4474" t="s">
        <v>1265</v>
      </c>
      <c r="B4474">
        <v>8</v>
      </c>
      <c r="C4474" t="str">
        <f>HYPERLINK("http://www.ncbi.nlm.nih.gov/protein/CAD5225935.1","CAD5225935.1")</f>
        <v>CAD5225935.1</v>
      </c>
      <c r="D4474">
        <v>29034</v>
      </c>
      <c r="E4474" t="str">
        <f>HYPERLINK("http://www.ncbi.nlm.nih.gov/Taxonomy/Browser/wwwtax.cgi?mode=Info&amp;id=465554&amp;lvl=3&amp;lin=f&amp;keep=1&amp;srchmode=1&amp;unlock","465554")</f>
        <v>465554</v>
      </c>
      <c r="F4474" t="s">
        <v>1024</v>
      </c>
      <c r="G4474" t="str">
        <f>HYPERLINK("http://www.ncbi.nlm.nih.gov/Taxonomy/Browser/wwwtax.cgi?mode=Info&amp;id=465554&amp;lvl=3&amp;lin=f&amp;keep=1&amp;srchmode=1&amp;unlock","Bursaphelenchus okinawaensis")</f>
        <v>Bursaphelenchus okinawaensis</v>
      </c>
      <c r="H4474" t="s">
        <v>1132</v>
      </c>
      <c r="I4474" t="str">
        <f>HYPERLINK("http://www.ncbi.nlm.nih.gov/protein/CAD5225935.1","unnamed protein product")</f>
        <v>unnamed protein product</v>
      </c>
      <c r="J4474">
        <v>1394.79</v>
      </c>
      <c r="K4474" t="s">
        <v>22</v>
      </c>
      <c r="L4474">
        <v>76</v>
      </c>
      <c r="M4474">
        <v>12.58</v>
      </c>
      <c r="N4474">
        <v>13.73</v>
      </c>
      <c r="O4474" t="s">
        <v>19</v>
      </c>
      <c r="P4474" t="s">
        <v>1320</v>
      </c>
      <c r="Q4474" t="s">
        <v>19</v>
      </c>
      <c r="R4474" t="str">
        <f>HYPERLINK("https://cfpub.epa.gov/ecotox/explore.cfm?ncbi=465554","Explore in ECOTOX")</f>
        <v>Explore in ECOTOX</v>
      </c>
    </row>
    <row r="4475" spans="1:18" x14ac:dyDescent="0.45">
      <c r="A4475" t="s">
        <v>1265</v>
      </c>
      <c r="B4475">
        <v>8</v>
      </c>
      <c r="C4475" t="str">
        <f>HYPERLINK("http://www.ncbi.nlm.nih.gov/protein/KAE9549703.1","KAE9549703.1")</f>
        <v>KAE9549703.1</v>
      </c>
      <c r="D4475">
        <v>10997</v>
      </c>
      <c r="E4475" t="str">
        <f>HYPERLINK("http://www.ncbi.nlm.nih.gov/Taxonomy/Browser/wwwtax.cgi?mode=Info&amp;id=2598192&amp;lvl=3&amp;lin=f&amp;keep=1&amp;srchmode=1&amp;unlock","2598192")</f>
        <v>2598192</v>
      </c>
      <c r="F4475" t="s">
        <v>1024</v>
      </c>
      <c r="G4475" t="str">
        <f>HYPERLINK("http://www.ncbi.nlm.nih.gov/Taxonomy/Browser/wwwtax.cgi?mode=Info&amp;id=2598192&amp;lvl=3&amp;lin=f&amp;keep=1&amp;srchmode=1&amp;unlock","Halicephalobus sp. NKZ332")</f>
        <v>Halicephalobus sp. NKZ332</v>
      </c>
      <c r="H4475" t="s">
        <v>1027</v>
      </c>
      <c r="I4475" t="str">
        <f>HYPERLINK("http://www.ncbi.nlm.nih.gov/protein/KAE9549703.1","hypothetical protein FO519_007091")</f>
        <v>hypothetical protein FO519_007091</v>
      </c>
      <c r="J4475">
        <v>1393.64</v>
      </c>
      <c r="K4475" t="s">
        <v>22</v>
      </c>
      <c r="L4475">
        <v>76</v>
      </c>
      <c r="M4475">
        <v>12.58</v>
      </c>
      <c r="N4475">
        <v>13.72</v>
      </c>
      <c r="O4475" t="s">
        <v>19</v>
      </c>
      <c r="P4475" t="s">
        <v>1320</v>
      </c>
      <c r="Q4475" t="s">
        <v>19</v>
      </c>
      <c r="R4475" t="str">
        <f>HYPERLINK("https://cfpub.epa.gov/ecotox/explore.cfm?ncbi=2598192","Explore in ECOTOX")</f>
        <v>Explore in ECOTOX</v>
      </c>
    </row>
    <row r="4476" spans="1:18" x14ac:dyDescent="0.45">
      <c r="A4476" t="s">
        <v>1265</v>
      </c>
      <c r="B4476">
        <v>8</v>
      </c>
      <c r="C4476" t="str">
        <f>HYPERLINK("http://www.ncbi.nlm.nih.gov/protein/KAI6242082.1","KAI6242082.1")</f>
        <v>KAI6242082.1</v>
      </c>
      <c r="D4476">
        <v>17490</v>
      </c>
      <c r="E4476" t="str">
        <f>HYPERLINK("http://www.ncbi.nlm.nih.gov/Taxonomy/Browser/wwwtax.cgi?mode=Info&amp;id=1052528&amp;lvl=3&amp;lin=f&amp;keep=1&amp;srchmode=1&amp;unlock","1052528")</f>
        <v>1052528</v>
      </c>
      <c r="F4476" t="s">
        <v>1024</v>
      </c>
      <c r="G4476" t="str">
        <f>HYPERLINK("http://www.ncbi.nlm.nih.gov/Taxonomy/Browser/wwwtax.cgi?mode=Info&amp;id=1052528&amp;lvl=3&amp;lin=f&amp;keep=1&amp;srchmode=1&amp;unlock","Aphelenchoides fujianensis")</f>
        <v>Aphelenchoides fujianensis</v>
      </c>
      <c r="H4476" t="s">
        <v>1027</v>
      </c>
      <c r="I4476" t="str">
        <f>HYPERLINK("http://www.ncbi.nlm.nih.gov/protein/KAI6242082.1","Ryanodine receptor 1")</f>
        <v>Ryanodine receptor 1</v>
      </c>
      <c r="J4476">
        <v>1391.71</v>
      </c>
      <c r="K4476" t="s">
        <v>22</v>
      </c>
      <c r="L4476">
        <v>76</v>
      </c>
      <c r="M4476">
        <v>12.58</v>
      </c>
      <c r="N4476">
        <v>13.7</v>
      </c>
      <c r="O4476" t="s">
        <v>19</v>
      </c>
      <c r="P4476" t="s">
        <v>1320</v>
      </c>
      <c r="Q4476" t="s">
        <v>19</v>
      </c>
      <c r="R4476" t="str">
        <f>HYPERLINK("https://cfpub.epa.gov/ecotox/explore.cfm?ncbi=1052528","Explore in ECOTOX")</f>
        <v>Explore in ECOTOX</v>
      </c>
    </row>
    <row r="4477" spans="1:18" x14ac:dyDescent="0.45">
      <c r="A4477" t="s">
        <v>1265</v>
      </c>
      <c r="B4477">
        <v>8</v>
      </c>
      <c r="C4477" t="str">
        <f>HYPERLINK("http://www.ncbi.nlm.nih.gov/protein/KAH7730344.1","KAH7730344.1")</f>
        <v>KAH7730344.1</v>
      </c>
      <c r="D4477">
        <v>43195</v>
      </c>
      <c r="E4477" t="str">
        <f>HYPERLINK("http://www.ncbi.nlm.nih.gov/Taxonomy/Browser/wwwtax.cgi?mode=Info&amp;id=70226&amp;lvl=3&amp;lin=f&amp;keep=1&amp;srchmode=1&amp;unlock","70226")</f>
        <v>70226</v>
      </c>
      <c r="F4477" t="s">
        <v>1024</v>
      </c>
      <c r="G4477" t="str">
        <f>HYPERLINK("http://www.ncbi.nlm.nih.gov/Taxonomy/Browser/wwwtax.cgi?mode=Info&amp;id=70226&amp;lvl=3&amp;lin=f&amp;keep=1&amp;srchmode=1&amp;unlock","Aphelenchus avenae")</f>
        <v>Aphelenchus avenae</v>
      </c>
      <c r="H4477" t="s">
        <v>1027</v>
      </c>
      <c r="I4477" t="str">
        <f>HYPERLINK("http://www.ncbi.nlm.nih.gov/protein/KAH7730344.1","skeletal muscle ryanodine receptor isoform alpha")</f>
        <v>skeletal muscle ryanodine receptor isoform alpha</v>
      </c>
      <c r="J4477">
        <v>1388.63</v>
      </c>
      <c r="K4477" t="s">
        <v>22</v>
      </c>
      <c r="L4477">
        <v>76</v>
      </c>
      <c r="M4477">
        <v>12.58</v>
      </c>
      <c r="N4477">
        <v>13.67</v>
      </c>
      <c r="O4477" t="s">
        <v>19</v>
      </c>
      <c r="P4477" t="s">
        <v>1320</v>
      </c>
      <c r="Q4477" t="s">
        <v>19</v>
      </c>
      <c r="R4477" t="str">
        <f>HYPERLINK("https://cfpub.epa.gov/ecotox/explore.cfm?ncbi=70226","Explore in ECOTOX")</f>
        <v>Explore in ECOTOX</v>
      </c>
    </row>
    <row r="4478" spans="1:18" x14ac:dyDescent="0.45">
      <c r="A4478" t="s">
        <v>1265</v>
      </c>
      <c r="B4478">
        <v>8</v>
      </c>
      <c r="C4478" t="str">
        <f>HYPERLINK("http://www.ncbi.nlm.nih.gov/protein/CAJ0592099.1","CAJ0592099.1")</f>
        <v>CAJ0592099.1</v>
      </c>
      <c r="D4478">
        <v>22772</v>
      </c>
      <c r="E4478" t="str">
        <f>HYPERLINK("http://www.ncbi.nlm.nih.gov/Taxonomy/Browser/wwwtax.cgi?mode=Info&amp;id=53992&amp;lvl=3&amp;lin=f&amp;keep=1&amp;srchmode=1&amp;unlock","53992")</f>
        <v>53992</v>
      </c>
      <c r="F4478" t="s">
        <v>1024</v>
      </c>
      <c r="G4478" t="str">
        <f>HYPERLINK("http://www.ncbi.nlm.nih.gov/Taxonomy/Browser/wwwtax.cgi?mode=Info&amp;id=53992&amp;lvl=3&amp;lin=f&amp;keep=1&amp;srchmode=1&amp;unlock","Cylicocyclus nassatus")</f>
        <v>Cylicocyclus nassatus</v>
      </c>
      <c r="H4478" t="s">
        <v>1025</v>
      </c>
      <c r="I4478" t="str">
        <f>HYPERLINK("http://www.ncbi.nlm.nih.gov/protein/CAJ0592099.1","unnamed protein product")</f>
        <v>unnamed protein product</v>
      </c>
      <c r="J4478">
        <v>1387.86</v>
      </c>
      <c r="K4478" t="s">
        <v>22</v>
      </c>
      <c r="L4478">
        <v>76</v>
      </c>
      <c r="M4478">
        <v>12.58</v>
      </c>
      <c r="N4478">
        <v>13.66</v>
      </c>
      <c r="O4478" t="s">
        <v>19</v>
      </c>
      <c r="P4478" t="s">
        <v>1320</v>
      </c>
      <c r="Q4478" t="s">
        <v>19</v>
      </c>
      <c r="R4478" t="str">
        <f>HYPERLINK("https://cfpub.epa.gov/ecotox/explore.cfm?ncbi=53992","Explore in ECOTOX")</f>
        <v>Explore in ECOTOX</v>
      </c>
    </row>
    <row r="4479" spans="1:18" x14ac:dyDescent="0.45">
      <c r="A4479" t="s">
        <v>1265</v>
      </c>
      <c r="B4479">
        <v>8</v>
      </c>
      <c r="C4479" t="str">
        <f>HYPERLINK("http://www.ncbi.nlm.nih.gov/protein/XP_014664675.1","XP_014664675.1")</f>
        <v>XP_014664675.1</v>
      </c>
      <c r="D4479">
        <v>20882</v>
      </c>
      <c r="E4479" t="str">
        <f>HYPERLINK("http://www.ncbi.nlm.nih.gov/Taxonomy/Browser/wwwtax.cgi?mode=Info&amp;id=37621&amp;lvl=3&amp;lin=f&amp;keep=1&amp;srchmode=1&amp;unlock","37621")</f>
        <v>37621</v>
      </c>
      <c r="F4479" t="s">
        <v>1168</v>
      </c>
      <c r="G4479" t="str">
        <f>HYPERLINK("http://www.ncbi.nlm.nih.gov/Taxonomy/Browser/wwwtax.cgi?mode=Info&amp;id=37621&amp;lvl=3&amp;lin=f&amp;keep=1&amp;srchmode=1&amp;unlock","Priapulus caudatus")</f>
        <v>Priapulus caudatus</v>
      </c>
      <c r="H4479" t="s">
        <v>1169</v>
      </c>
      <c r="I4479" t="str">
        <f>HYPERLINK("http://www.ncbi.nlm.nih.gov/protein/XP_014664675.1","PREDICTED: ryanodine receptor-like")</f>
        <v>PREDICTED: ryanodine receptor-like</v>
      </c>
      <c r="J4479">
        <v>1386.7</v>
      </c>
      <c r="K4479" t="s">
        <v>22</v>
      </c>
      <c r="L4479">
        <v>76</v>
      </c>
      <c r="M4479">
        <v>12.58</v>
      </c>
      <c r="N4479">
        <v>13.65</v>
      </c>
      <c r="O4479" t="s">
        <v>19</v>
      </c>
      <c r="P4479" t="s">
        <v>1320</v>
      </c>
      <c r="Q4479" t="s">
        <v>19</v>
      </c>
      <c r="R4479" t="str">
        <f>HYPERLINK("https://cfpub.epa.gov/ecotox/explore.cfm?ncbi=37621","Explore in ECOTOX")</f>
        <v>Explore in ECOTOX</v>
      </c>
    </row>
    <row r="4480" spans="1:18" x14ac:dyDescent="0.45">
      <c r="A4480" t="s">
        <v>1265</v>
      </c>
      <c r="B4480">
        <v>8</v>
      </c>
      <c r="C4480" t="str">
        <f>HYPERLINK("http://www.ncbi.nlm.nih.gov/protein/CAB3399075.1","CAB3399075.1")</f>
        <v>CAB3399075.1</v>
      </c>
      <c r="D4480">
        <v>15165</v>
      </c>
      <c r="E4480" t="str">
        <f>HYPERLINK("http://www.ncbi.nlm.nih.gov/Taxonomy/Browser/wwwtax.cgi?mode=Info&amp;id=2654633&amp;lvl=3&amp;lin=f&amp;keep=1&amp;srchmode=1&amp;unlock","2654633")</f>
        <v>2654633</v>
      </c>
      <c r="F4480" t="s">
        <v>1024</v>
      </c>
      <c r="G4480" t="str">
        <f>HYPERLINK("http://www.ncbi.nlm.nih.gov/Taxonomy/Browser/wwwtax.cgi?mode=Info&amp;id=2654633&amp;lvl=3&amp;lin=f&amp;keep=1&amp;srchmode=1&amp;unlock","Caenorhabditis bovis")</f>
        <v>Caenorhabditis bovis</v>
      </c>
      <c r="H4480" t="s">
        <v>1027</v>
      </c>
      <c r="I4480" t="str">
        <f>HYPERLINK("http://www.ncbi.nlm.nih.gov/protein/CAB3399075.1","unnamed protein product")</f>
        <v>unnamed protein product</v>
      </c>
      <c r="J4480">
        <v>1386.7</v>
      </c>
      <c r="K4480" t="s">
        <v>22</v>
      </c>
      <c r="L4480">
        <v>76</v>
      </c>
      <c r="M4480">
        <v>12.58</v>
      </c>
      <c r="N4480">
        <v>13.65</v>
      </c>
      <c r="O4480" t="s">
        <v>19</v>
      </c>
      <c r="P4480" t="s">
        <v>1320</v>
      </c>
      <c r="Q4480" t="s">
        <v>19</v>
      </c>
      <c r="R4480" t="str">
        <f>HYPERLINK("https://cfpub.epa.gov/ecotox/explore.cfm?ncbi=2654633","Explore in ECOTOX")</f>
        <v>Explore in ECOTOX</v>
      </c>
    </row>
    <row r="4481" spans="1:18" x14ac:dyDescent="0.45">
      <c r="A4481" t="s">
        <v>1265</v>
      </c>
      <c r="B4481">
        <v>8</v>
      </c>
      <c r="C4481" t="str">
        <f>HYPERLINK("http://www.ncbi.nlm.nih.gov/protein/EFP05547.1","EFP05547.1")</f>
        <v>EFP05547.1</v>
      </c>
      <c r="D4481">
        <v>85594</v>
      </c>
      <c r="E4481" t="str">
        <f>HYPERLINK("http://www.ncbi.nlm.nih.gov/Taxonomy/Browser/wwwtax.cgi?mode=Info&amp;id=31234&amp;lvl=3&amp;lin=f&amp;keep=1&amp;srchmode=1&amp;unlock","31234")</f>
        <v>31234</v>
      </c>
      <c r="F4481" t="s">
        <v>1024</v>
      </c>
      <c r="G4481" t="str">
        <f>HYPERLINK("http://www.ncbi.nlm.nih.gov/Taxonomy/Browser/wwwtax.cgi?mode=Info&amp;id=31234&amp;lvl=3&amp;lin=f&amp;keep=1&amp;srchmode=1&amp;unlock","Caenorhabditis remanei")</f>
        <v>Caenorhabditis remanei</v>
      </c>
      <c r="H4481" t="s">
        <v>1027</v>
      </c>
      <c r="I4481" t="str">
        <f>HYPERLINK("http://www.ncbi.nlm.nih.gov/protein/EFP05547.1","CRE-UNC-68 protein")</f>
        <v>CRE-UNC-68 protein</v>
      </c>
      <c r="J4481">
        <v>1382.08</v>
      </c>
      <c r="K4481" t="s">
        <v>22</v>
      </c>
      <c r="L4481">
        <v>76</v>
      </c>
      <c r="M4481">
        <v>12.58</v>
      </c>
      <c r="N4481">
        <v>13.6</v>
      </c>
      <c r="O4481" t="s">
        <v>19</v>
      </c>
      <c r="P4481" t="s">
        <v>1320</v>
      </c>
      <c r="Q4481" t="s">
        <v>19</v>
      </c>
      <c r="R4481" t="str">
        <f>HYPERLINK("https://cfpub.epa.gov/ecotox/explore.cfm?ncbi=31234","Explore in ECOTOX")</f>
        <v>Explore in ECOTOX</v>
      </c>
    </row>
    <row r="4482" spans="1:18" x14ac:dyDescent="0.45">
      <c r="A4482" t="s">
        <v>1265</v>
      </c>
      <c r="B4482">
        <v>8</v>
      </c>
      <c r="C4482" t="str">
        <f>HYPERLINK("http://www.ncbi.nlm.nih.gov/protein/XP_024501315.1","XP_024501315.1")</f>
        <v>XP_024501315.1</v>
      </c>
      <c r="D4482">
        <v>24981</v>
      </c>
      <c r="E4482" t="str">
        <f>HYPERLINK("http://www.ncbi.nlm.nih.gov/Taxonomy/Browser/wwwtax.cgi?mode=Info&amp;id=34506&amp;lvl=3&amp;lin=f&amp;keep=1&amp;srchmode=1&amp;unlock","34506")</f>
        <v>34506</v>
      </c>
      <c r="F4482" t="s">
        <v>1024</v>
      </c>
      <c r="G4482" t="str">
        <f>HYPERLINK("http://www.ncbi.nlm.nih.gov/Taxonomy/Browser/wwwtax.cgi?mode=Info&amp;id=34506&amp;lvl=3&amp;lin=f&amp;keep=1&amp;srchmode=1&amp;unlock","Strongyloides ratti")</f>
        <v>Strongyloides ratti</v>
      </c>
      <c r="H4482" t="s">
        <v>1027</v>
      </c>
      <c r="I4482" t="str">
        <f>HYPERLINK("http://www.ncbi.nlm.nih.gov/protein/XP_024501315.1","Ryanodine receptor 1")</f>
        <v>Ryanodine receptor 1</v>
      </c>
      <c r="J4482">
        <v>1381.7</v>
      </c>
      <c r="K4482" t="s">
        <v>22</v>
      </c>
      <c r="L4482">
        <v>76</v>
      </c>
      <c r="M4482">
        <v>12.58</v>
      </c>
      <c r="N4482">
        <v>13.6</v>
      </c>
      <c r="O4482" t="s">
        <v>19</v>
      </c>
      <c r="P4482" t="s">
        <v>1320</v>
      </c>
      <c r="Q4482" t="s">
        <v>19</v>
      </c>
      <c r="R4482" t="str">
        <f>HYPERLINK("https://cfpub.epa.gov/ecotox/explore.cfm?ncbi=34506","Explore in ECOTOX")</f>
        <v>Explore in ECOTOX</v>
      </c>
    </row>
    <row r="4483" spans="1:18" x14ac:dyDescent="0.45">
      <c r="A4483" t="s">
        <v>1265</v>
      </c>
      <c r="B4483">
        <v>8</v>
      </c>
      <c r="C4483" t="str">
        <f>HYPERLINK("http://www.ncbi.nlm.nih.gov/protein/KMQ97692.1","KMQ97692.1")</f>
        <v>KMQ97692.1</v>
      </c>
      <c r="D4483">
        <v>18399</v>
      </c>
      <c r="E4483" t="str">
        <f>HYPERLINK("http://www.ncbi.nlm.nih.gov/Taxonomy/Browser/wwwtax.cgi?mode=Info&amp;id=67767&amp;lvl=3&amp;lin=f&amp;keep=1&amp;srchmode=1&amp;unlock","67767")</f>
        <v>67767</v>
      </c>
      <c r="F4483" t="s">
        <v>760</v>
      </c>
      <c r="G4483" t="str">
        <f>HYPERLINK("http://www.ncbi.nlm.nih.gov/Taxonomy/Browser/wwwtax.cgi?mode=Info&amp;id=67767&amp;lvl=3&amp;lin=f&amp;keep=1&amp;srchmode=1&amp;unlock","Lasius niger")</f>
        <v>Lasius niger</v>
      </c>
      <c r="H4483" t="s">
        <v>769</v>
      </c>
      <c r="I4483" t="str">
        <f>HYPERLINK("http://www.ncbi.nlm.nih.gov/protein/KMQ97692.1","ryanodine receptor 44f")</f>
        <v>ryanodine receptor 44f</v>
      </c>
      <c r="J4483">
        <v>1379.39</v>
      </c>
      <c r="K4483" t="s">
        <v>22</v>
      </c>
      <c r="L4483">
        <v>76</v>
      </c>
      <c r="M4483">
        <v>12.58</v>
      </c>
      <c r="N4483">
        <v>13.58</v>
      </c>
      <c r="O4483" t="s">
        <v>19</v>
      </c>
      <c r="P4483" t="s">
        <v>1320</v>
      </c>
      <c r="Q4483" t="s">
        <v>19</v>
      </c>
      <c r="R4483" t="str">
        <f>HYPERLINK("https://cfpub.epa.gov/ecotox/explore.cfm?ncbi=67767","Explore in ECOTOX")</f>
        <v>Explore in ECOTOX</v>
      </c>
    </row>
    <row r="4484" spans="1:18" x14ac:dyDescent="0.45">
      <c r="A4484" t="s">
        <v>1265</v>
      </c>
      <c r="B4484">
        <v>8</v>
      </c>
      <c r="C4484" t="str">
        <f>HYPERLINK("http://www.ncbi.nlm.nih.gov/protein/VDO20009.1","VDO20009.1")</f>
        <v>VDO20009.1</v>
      </c>
      <c r="D4484">
        <v>15879</v>
      </c>
      <c r="E4484" t="str">
        <f>HYPERLINK("http://www.ncbi.nlm.nih.gov/Taxonomy/Browser/wwwtax.cgi?mode=Info&amp;id=42155&amp;lvl=3&amp;lin=f&amp;keep=1&amp;srchmode=1&amp;unlock","42155")</f>
        <v>42155</v>
      </c>
      <c r="F4484" t="s">
        <v>1024</v>
      </c>
      <c r="G4484" t="str">
        <f>HYPERLINK("http://www.ncbi.nlm.nih.gov/Taxonomy/Browser/wwwtax.cgi?mode=Info&amp;id=42155&amp;lvl=3&amp;lin=f&amp;keep=1&amp;srchmode=1&amp;unlock","Brugia timori")</f>
        <v>Brugia timori</v>
      </c>
      <c r="H4484" t="s">
        <v>1027</v>
      </c>
      <c r="I4484" t="str">
        <f>HYPERLINK("http://www.ncbi.nlm.nih.gov/protein/VDO20009.1","unnamed protein product")</f>
        <v>unnamed protein product</v>
      </c>
      <c r="J4484">
        <v>1377.84</v>
      </c>
      <c r="K4484" t="s">
        <v>22</v>
      </c>
      <c r="L4484">
        <v>76</v>
      </c>
      <c r="M4484">
        <v>12.58</v>
      </c>
      <c r="N4484">
        <v>13.56</v>
      </c>
      <c r="O4484" t="s">
        <v>19</v>
      </c>
      <c r="P4484" t="s">
        <v>1320</v>
      </c>
      <c r="Q4484" t="s">
        <v>19</v>
      </c>
      <c r="R4484" t="str">
        <f>HYPERLINK("https://cfpub.epa.gov/ecotox/explore.cfm?ncbi=42155","Explore in ECOTOX")</f>
        <v>Explore in ECOTOX</v>
      </c>
    </row>
    <row r="4485" spans="1:18" x14ac:dyDescent="0.45">
      <c r="A4485" t="s">
        <v>1265</v>
      </c>
      <c r="B4485">
        <v>8</v>
      </c>
      <c r="C4485" t="str">
        <f>HYPERLINK("http://www.ncbi.nlm.nih.gov/protein/CAJ0957143.1","CAJ0957143.1")</f>
        <v>CAJ0957143.1</v>
      </c>
      <c r="D4485">
        <v>23205</v>
      </c>
      <c r="E4485" t="str">
        <f>HYPERLINK("http://www.ncbi.nlm.nih.gov/Taxonomy/Browser/wwwtax.cgi?mode=Info&amp;id=2138241&amp;lvl=3&amp;lin=f&amp;keep=1&amp;srchmode=1&amp;unlock","2138241")</f>
        <v>2138241</v>
      </c>
      <c r="F4485" t="s">
        <v>1024</v>
      </c>
      <c r="G4485" t="str">
        <f>HYPERLINK("http://www.ncbi.nlm.nih.gov/Taxonomy/Browser/wwwtax.cgi?mode=Info&amp;id=2138241&amp;lvl=3&amp;lin=f&amp;keep=1&amp;srchmode=1&amp;unlock","Mesorhabditis belari")</f>
        <v>Mesorhabditis belari</v>
      </c>
      <c r="H4485" t="s">
        <v>1027</v>
      </c>
      <c r="I4485" t="str">
        <f>HYPERLINK("http://www.ncbi.nlm.nih.gov/protein/CAJ0957143.1","unnamed protein product, partial")</f>
        <v>unnamed protein product, partial</v>
      </c>
      <c r="J4485">
        <v>1375.92</v>
      </c>
      <c r="K4485" t="s">
        <v>22</v>
      </c>
      <c r="L4485">
        <v>76</v>
      </c>
      <c r="M4485">
        <v>12.58</v>
      </c>
      <c r="N4485">
        <v>13.54</v>
      </c>
      <c r="O4485" t="s">
        <v>19</v>
      </c>
      <c r="P4485" t="s">
        <v>1320</v>
      </c>
      <c r="Q4485" t="s">
        <v>19</v>
      </c>
      <c r="R4485" t="str">
        <f>HYPERLINK("https://cfpub.epa.gov/ecotox/explore.cfm?ncbi=2138241","Explore in ECOTOX")</f>
        <v>Explore in ECOTOX</v>
      </c>
    </row>
    <row r="4486" spans="1:18" x14ac:dyDescent="0.45">
      <c r="A4486" t="s">
        <v>1265</v>
      </c>
      <c r="B4486">
        <v>8</v>
      </c>
      <c r="C4486" t="str">
        <f>HYPERLINK("http://www.ncbi.nlm.nih.gov/protein/XP_021938337.1","XP_021938337.1")</f>
        <v>XP_021938337.1</v>
      </c>
      <c r="D4486">
        <v>44851</v>
      </c>
      <c r="E4486" t="str">
        <f>HYPERLINK("http://www.ncbi.nlm.nih.gov/Taxonomy/Browser/wwwtax.cgi?mode=Info&amp;id=136037&amp;lvl=3&amp;lin=f&amp;keep=1&amp;srchmode=1&amp;unlock","136037")</f>
        <v>136037</v>
      </c>
      <c r="F4486" t="s">
        <v>760</v>
      </c>
      <c r="G4486" t="str">
        <f>HYPERLINK("http://www.ncbi.nlm.nih.gov/Taxonomy/Browser/wwwtax.cgi?mode=Info&amp;id=136037&amp;lvl=3&amp;lin=f&amp;keep=1&amp;srchmode=1&amp;unlock","Zootermopsis nevadensis")</f>
        <v>Zootermopsis nevadensis</v>
      </c>
      <c r="H4486" t="s">
        <v>1121</v>
      </c>
      <c r="I4486" t="str">
        <f>HYPERLINK("http://www.ncbi.nlm.nih.gov/protein/XP_021938337.1","ryanodine receptor-like")</f>
        <v>ryanodine receptor-like</v>
      </c>
      <c r="J4486">
        <v>1375.53</v>
      </c>
      <c r="K4486" t="s">
        <v>22</v>
      </c>
      <c r="L4486">
        <v>76</v>
      </c>
      <c r="M4486">
        <v>12.58</v>
      </c>
      <c r="N4486">
        <v>13.54</v>
      </c>
      <c r="O4486" t="s">
        <v>19</v>
      </c>
      <c r="P4486" t="s">
        <v>1320</v>
      </c>
      <c r="Q4486" t="s">
        <v>19</v>
      </c>
      <c r="R4486" t="str">
        <f>HYPERLINK("https://cfpub.epa.gov/ecotox/explore.cfm?ncbi=136037","Explore in ECOTOX")</f>
        <v>Explore in ECOTOX</v>
      </c>
    </row>
    <row r="4487" spans="1:18" x14ac:dyDescent="0.45">
      <c r="A4487" t="s">
        <v>1265</v>
      </c>
      <c r="B4487">
        <v>8</v>
      </c>
      <c r="C4487" t="str">
        <f>HYPERLINK("http://www.ncbi.nlm.nih.gov/protein/CAD7256110.1","CAD7256110.1")</f>
        <v>CAD7256110.1</v>
      </c>
      <c r="D4487">
        <v>14260</v>
      </c>
      <c r="E4487" t="str">
        <f>HYPERLINK("http://www.ncbi.nlm.nih.gov/Taxonomy/Browser/wwwtax.cgi?mode=Info&amp;id=629360&amp;lvl=3&amp;lin=f&amp;keep=1&amp;srchmode=1&amp;unlock","629360")</f>
        <v>629360</v>
      </c>
      <c r="F4487" t="s">
        <v>760</v>
      </c>
      <c r="G4487" t="str">
        <f>HYPERLINK("http://www.ncbi.nlm.nih.gov/Taxonomy/Browser/wwwtax.cgi?mode=Info&amp;id=629360&amp;lvl=3&amp;lin=f&amp;keep=1&amp;srchmode=1&amp;unlock","Timema shepardi")</f>
        <v>Timema shepardi</v>
      </c>
      <c r="H4487" t="s">
        <v>1039</v>
      </c>
      <c r="I4487" t="str">
        <f>HYPERLINK("http://www.ncbi.nlm.nih.gov/protein/CAD7256110.1","unnamed protein product")</f>
        <v>unnamed protein product</v>
      </c>
      <c r="J4487">
        <v>1372.84</v>
      </c>
      <c r="K4487" t="s">
        <v>22</v>
      </c>
      <c r="L4487">
        <v>76</v>
      </c>
      <c r="M4487">
        <v>12.58</v>
      </c>
      <c r="N4487">
        <v>13.51</v>
      </c>
      <c r="O4487" t="s">
        <v>19</v>
      </c>
      <c r="P4487" t="s">
        <v>1320</v>
      </c>
      <c r="Q4487" t="s">
        <v>19</v>
      </c>
      <c r="R4487" t="str">
        <f>HYPERLINK("https://cfpub.epa.gov/ecotox/explore.cfm?ncbi=629360","Explore in ECOTOX")</f>
        <v>Explore in ECOTOX</v>
      </c>
    </row>
    <row r="4488" spans="1:18" x14ac:dyDescent="0.45">
      <c r="A4488" t="s">
        <v>1265</v>
      </c>
      <c r="B4488">
        <v>8</v>
      </c>
      <c r="C4488" t="str">
        <f>HYPERLINK("http://www.ncbi.nlm.nih.gov/protein/OZC09631.1","OZC09631.1")</f>
        <v>OZC09631.1</v>
      </c>
      <c r="D4488">
        <v>24246</v>
      </c>
      <c r="E4488" t="str">
        <f>HYPERLINK("http://www.ncbi.nlm.nih.gov/Taxonomy/Browser/wwwtax.cgi?mode=Info&amp;id=387005&amp;lvl=3&amp;lin=f&amp;keep=1&amp;srchmode=1&amp;unlock","387005")</f>
        <v>387005</v>
      </c>
      <c r="F4488" t="s">
        <v>1024</v>
      </c>
      <c r="G4488" t="str">
        <f>HYPERLINK("http://www.ncbi.nlm.nih.gov/Taxonomy/Browser/wwwtax.cgi?mode=Info&amp;id=387005&amp;lvl=3&amp;lin=f&amp;keep=1&amp;srchmode=1&amp;unlock","Onchocerca flexuosa")</f>
        <v>Onchocerca flexuosa</v>
      </c>
      <c r="H4488" t="s">
        <v>1027</v>
      </c>
      <c r="I4488" t="str">
        <f>HYPERLINK("http://www.ncbi.nlm.nih.gov/protein/OZC09631.1","RIH domain protein")</f>
        <v>RIH domain protein</v>
      </c>
      <c r="J4488">
        <v>1372.07</v>
      </c>
      <c r="K4488" t="s">
        <v>22</v>
      </c>
      <c r="L4488">
        <v>76</v>
      </c>
      <c r="M4488">
        <v>12.58</v>
      </c>
      <c r="N4488">
        <v>13.5</v>
      </c>
      <c r="O4488" t="s">
        <v>19</v>
      </c>
      <c r="P4488" t="s">
        <v>1320</v>
      </c>
      <c r="Q4488" t="s">
        <v>19</v>
      </c>
      <c r="R4488" t="str">
        <f>HYPERLINK("https://cfpub.epa.gov/ecotox/explore.cfm?ncbi=387005","Explore in ECOTOX")</f>
        <v>Explore in ECOTOX</v>
      </c>
    </row>
    <row r="4489" spans="1:18" x14ac:dyDescent="0.45">
      <c r="A4489" t="s">
        <v>1265</v>
      </c>
      <c r="B4489">
        <v>8</v>
      </c>
      <c r="C4489" t="str">
        <f>HYPERLINK("http://www.ncbi.nlm.nih.gov/protein/KAI1723322.1","KAI1723322.1")</f>
        <v>KAI1723322.1</v>
      </c>
      <c r="D4489">
        <v>42965</v>
      </c>
      <c r="E4489" t="str">
        <f>HYPERLINK("http://www.ncbi.nlm.nih.gov/Taxonomy/Browser/wwwtax.cgi?mode=Info&amp;id=166010&amp;lvl=3&amp;lin=f&amp;keep=1&amp;srchmode=1&amp;unlock","166010")</f>
        <v>166010</v>
      </c>
      <c r="F4489" t="s">
        <v>1024</v>
      </c>
      <c r="G4489" t="str">
        <f>HYPERLINK("http://www.ncbi.nlm.nih.gov/Taxonomy/Browser/wwwtax.cgi?mode=Info&amp;id=166010&amp;lvl=3&amp;lin=f&amp;keep=1&amp;srchmode=1&amp;unlock","Ditylenchus destructor")</f>
        <v>Ditylenchus destructor</v>
      </c>
      <c r="H4489" t="s">
        <v>1027</v>
      </c>
      <c r="I4489" t="str">
        <f>HYPERLINK("http://www.ncbi.nlm.nih.gov/protein/KAI1723322.1","RIH domain-containing protein")</f>
        <v>RIH domain-containing protein</v>
      </c>
      <c r="J4489">
        <v>1371.68</v>
      </c>
      <c r="K4489" t="s">
        <v>22</v>
      </c>
      <c r="L4489">
        <v>76</v>
      </c>
      <c r="M4489">
        <v>12.58</v>
      </c>
      <c r="N4489">
        <v>13.5</v>
      </c>
      <c r="O4489" t="s">
        <v>19</v>
      </c>
      <c r="P4489" t="s">
        <v>1320</v>
      </c>
      <c r="Q4489" t="s">
        <v>19</v>
      </c>
      <c r="R4489" t="str">
        <f>HYPERLINK("https://cfpub.epa.gov/ecotox/explore.cfm?ncbi=166010","Explore in ECOTOX")</f>
        <v>Explore in ECOTOX</v>
      </c>
    </row>
    <row r="4490" spans="1:18" x14ac:dyDescent="0.45">
      <c r="A4490" t="s">
        <v>1265</v>
      </c>
      <c r="B4490">
        <v>8</v>
      </c>
      <c r="C4490" t="str">
        <f>HYPERLINK("http://www.ncbi.nlm.nih.gov/protein/KAI6190070.1","KAI6190070.1")</f>
        <v>KAI6190070.1</v>
      </c>
      <c r="D4490">
        <v>10670</v>
      </c>
      <c r="E4490" t="str">
        <f>HYPERLINK("http://www.ncbi.nlm.nih.gov/Taxonomy/Browser/wwwtax.cgi?mode=Info&amp;id=293665&amp;lvl=3&amp;lin=f&amp;keep=1&amp;srchmode=1&amp;unlock","293665")</f>
        <v>293665</v>
      </c>
      <c r="F4490" t="s">
        <v>1024</v>
      </c>
      <c r="G4490" t="str">
        <f>HYPERLINK("http://www.ncbi.nlm.nih.gov/Taxonomy/Browser/wwwtax.cgi?mode=Info&amp;id=293665&amp;lvl=3&amp;lin=f&amp;keep=1&amp;srchmode=1&amp;unlock","Aphelenchoides bicaudatus")</f>
        <v>Aphelenchoides bicaudatus</v>
      </c>
      <c r="H4490" t="s">
        <v>1027</v>
      </c>
      <c r="I4490" t="str">
        <f>HYPERLINK("http://www.ncbi.nlm.nih.gov/protein/KAI6190070.1","hypothetical protein M3Y97_00077000")</f>
        <v>hypothetical protein M3Y97_00077000</v>
      </c>
      <c r="J4490">
        <v>1370.53</v>
      </c>
      <c r="K4490" t="s">
        <v>22</v>
      </c>
      <c r="L4490">
        <v>76</v>
      </c>
      <c r="M4490">
        <v>12.58</v>
      </c>
      <c r="N4490">
        <v>13.49</v>
      </c>
      <c r="O4490" t="s">
        <v>19</v>
      </c>
      <c r="P4490" t="s">
        <v>1320</v>
      </c>
      <c r="Q4490" t="s">
        <v>19</v>
      </c>
      <c r="R4490" t="str">
        <f>HYPERLINK("https://cfpub.epa.gov/ecotox/explore.cfm?ncbi=293665","Explore in ECOTOX")</f>
        <v>Explore in ECOTOX</v>
      </c>
    </row>
    <row r="4491" spans="1:18" x14ac:dyDescent="0.45">
      <c r="A4491" t="s">
        <v>1265</v>
      </c>
      <c r="B4491">
        <v>8</v>
      </c>
      <c r="C4491" t="str">
        <f>HYPERLINK("http://www.ncbi.nlm.nih.gov/protein/GMR59737.1","GMR59737.1")</f>
        <v>GMR59737.1</v>
      </c>
      <c r="D4491">
        <v>33456</v>
      </c>
      <c r="E4491" t="str">
        <f>HYPERLINK("http://www.ncbi.nlm.nih.gov/Taxonomy/Browser/wwwtax.cgi?mode=Info&amp;id=1317129&amp;lvl=3&amp;lin=f&amp;keep=1&amp;srchmode=1&amp;unlock","1317129")</f>
        <v>1317129</v>
      </c>
      <c r="F4491" t="s">
        <v>1024</v>
      </c>
      <c r="G4491" t="str">
        <f>HYPERLINK("http://www.ncbi.nlm.nih.gov/Taxonomy/Browser/wwwtax.cgi?mode=Info&amp;id=1317129&amp;lvl=3&amp;lin=f&amp;keep=1&amp;srchmode=1&amp;unlock","Pristionchus mayeri")</f>
        <v>Pristionchus mayeri</v>
      </c>
      <c r="H4491" t="s">
        <v>1027</v>
      </c>
      <c r="I4491" t="str">
        <f>HYPERLINK("http://www.ncbi.nlm.nih.gov/protein/GMR59737.1","hypothetical protein PMAYCL1PPCAC_29932, partial")</f>
        <v>hypothetical protein PMAYCL1PPCAC_29932, partial</v>
      </c>
      <c r="J4491">
        <v>1357.43</v>
      </c>
      <c r="K4491" t="s">
        <v>22</v>
      </c>
      <c r="L4491">
        <v>76</v>
      </c>
      <c r="M4491">
        <v>12.58</v>
      </c>
      <c r="N4491">
        <v>13.36</v>
      </c>
      <c r="O4491" t="s">
        <v>19</v>
      </c>
      <c r="P4491" t="s">
        <v>1320</v>
      </c>
      <c r="Q4491" t="s">
        <v>19</v>
      </c>
      <c r="R4491" t="str">
        <f>HYPERLINK("https://cfpub.epa.gov/ecotox/explore.cfm?ncbi=1317129","Explore in ECOTOX")</f>
        <v>Explore in ECOTOX</v>
      </c>
    </row>
    <row r="4492" spans="1:18" x14ac:dyDescent="0.45">
      <c r="A4492" t="s">
        <v>1265</v>
      </c>
      <c r="B4492">
        <v>8</v>
      </c>
      <c r="C4492" t="str">
        <f>HYPERLINK("http://www.ncbi.nlm.nih.gov/protein/CAI4225083.1","CAI4225083.1")</f>
        <v>CAI4225083.1</v>
      </c>
      <c r="D4492">
        <v>13146</v>
      </c>
      <c r="E4492" t="str">
        <f>HYPERLINK("http://www.ncbi.nlm.nih.gov/Taxonomy/Browser/wwwtax.cgi?mode=Info&amp;id=2878363&amp;lvl=3&amp;lin=f&amp;keep=1&amp;srchmode=1&amp;unlock","2878363")</f>
        <v>2878363</v>
      </c>
      <c r="F4492" t="s">
        <v>1024</v>
      </c>
      <c r="G4492" t="str">
        <f>HYPERLINK("http://www.ncbi.nlm.nih.gov/Taxonomy/Browser/wwwtax.cgi?mode=Info&amp;id=2878363&amp;lvl=3&amp;lin=f&amp;keep=1&amp;srchmode=1&amp;unlock","Auanema sp. JU1783")</f>
        <v>Auanema sp. JU1783</v>
      </c>
      <c r="H4492" t="s">
        <v>1027</v>
      </c>
      <c r="I4492" t="str">
        <f>HYPERLINK("http://www.ncbi.nlm.nih.gov/protein/CAI4225083.1","unnamed protein product")</f>
        <v>unnamed protein product</v>
      </c>
      <c r="J4492">
        <v>1345.49</v>
      </c>
      <c r="K4492" t="s">
        <v>22</v>
      </c>
      <c r="L4492">
        <v>76</v>
      </c>
      <c r="M4492">
        <v>12.58</v>
      </c>
      <c r="N4492">
        <v>13.24</v>
      </c>
      <c r="O4492" t="s">
        <v>19</v>
      </c>
      <c r="P4492" t="s">
        <v>1320</v>
      </c>
      <c r="Q4492" t="s">
        <v>19</v>
      </c>
      <c r="R4492" t="str">
        <f>HYPERLINK("https://cfpub.epa.gov/ecotox/explore.cfm?ncbi=2878363","Explore in ECOTOX")</f>
        <v>Explore in ECOTOX</v>
      </c>
    </row>
    <row r="4493" spans="1:18" x14ac:dyDescent="0.45">
      <c r="A4493" t="s">
        <v>1265</v>
      </c>
      <c r="B4493">
        <v>8</v>
      </c>
      <c r="C4493" t="str">
        <f>HYPERLINK("http://www.ncbi.nlm.nih.gov/protein/CAD7437731.1","CAD7437731.1")</f>
        <v>CAD7437731.1</v>
      </c>
      <c r="D4493">
        <v>14365</v>
      </c>
      <c r="E4493" t="str">
        <f>HYPERLINK("http://www.ncbi.nlm.nih.gov/Taxonomy/Browser/wwwtax.cgi?mode=Info&amp;id=61472&amp;lvl=3&amp;lin=f&amp;keep=1&amp;srchmode=1&amp;unlock","61472")</f>
        <v>61472</v>
      </c>
      <c r="F4493" t="s">
        <v>760</v>
      </c>
      <c r="G4493" t="str">
        <f>HYPERLINK("http://www.ncbi.nlm.nih.gov/Taxonomy/Browser/wwwtax.cgi?mode=Info&amp;id=61472&amp;lvl=3&amp;lin=f&amp;keep=1&amp;srchmode=1&amp;unlock","Timema bartmani")</f>
        <v>Timema bartmani</v>
      </c>
      <c r="H4493" t="s">
        <v>1039</v>
      </c>
      <c r="I4493" t="str">
        <f>HYPERLINK("http://www.ncbi.nlm.nih.gov/protein/CAD7437731.1","unnamed protein product")</f>
        <v>unnamed protein product</v>
      </c>
      <c r="J4493">
        <v>1340.87</v>
      </c>
      <c r="K4493" t="s">
        <v>22</v>
      </c>
      <c r="L4493">
        <v>76</v>
      </c>
      <c r="M4493">
        <v>12.58</v>
      </c>
      <c r="N4493">
        <v>13.2</v>
      </c>
      <c r="O4493" t="s">
        <v>19</v>
      </c>
      <c r="P4493" t="s">
        <v>1320</v>
      </c>
      <c r="Q4493" t="s">
        <v>19</v>
      </c>
      <c r="R4493" t="str">
        <f>HYPERLINK("https://cfpub.epa.gov/ecotox/explore.cfm?ncbi=61472","Explore in ECOTOX")</f>
        <v>Explore in ECOTOX</v>
      </c>
    </row>
    <row r="4494" spans="1:18" x14ac:dyDescent="0.45">
      <c r="A4494" t="s">
        <v>1265</v>
      </c>
      <c r="B4494">
        <v>8</v>
      </c>
      <c r="C4494" t="str">
        <f>HYPERLINK("http://www.ncbi.nlm.nih.gov/protein/XP_050406916.2","XP_050406916.2")</f>
        <v>XP_050406916.2</v>
      </c>
      <c r="D4494">
        <v>27850</v>
      </c>
      <c r="E4494" t="str">
        <f>HYPERLINK("http://www.ncbi.nlm.nih.gov/Taxonomy/Browser/wwwtax.cgi?mode=Info&amp;id=6465&amp;lvl=3&amp;lin=f&amp;keep=1&amp;srchmode=1&amp;unlock","6465")</f>
        <v>6465</v>
      </c>
      <c r="F4494" t="s">
        <v>757</v>
      </c>
      <c r="G4494" t="str">
        <f>HYPERLINK("http://www.ncbi.nlm.nih.gov/Taxonomy/Browser/wwwtax.cgi?mode=Info&amp;id=6465&amp;lvl=3&amp;lin=f&amp;keep=1&amp;srchmode=1&amp;unlock","Patella vulgata")</f>
        <v>Patella vulgata</v>
      </c>
      <c r="H4494" t="s">
        <v>1167</v>
      </c>
      <c r="I4494" t="str">
        <f>HYPERLINK("http://www.ncbi.nlm.nih.gov/protein/XP_050406916.2","ryanodine receptor")</f>
        <v>ryanodine receptor</v>
      </c>
      <c r="J4494">
        <v>1321.99</v>
      </c>
      <c r="K4494" t="s">
        <v>22</v>
      </c>
      <c r="L4494">
        <v>76</v>
      </c>
      <c r="M4494">
        <v>12.58</v>
      </c>
      <c r="N4494">
        <v>13.01</v>
      </c>
      <c r="O4494" t="s">
        <v>19</v>
      </c>
      <c r="P4494" t="s">
        <v>1320</v>
      </c>
      <c r="Q4494" t="s">
        <v>19</v>
      </c>
      <c r="R4494" t="str">
        <f>HYPERLINK("https://cfpub.epa.gov/ecotox/explore.cfm?ncbi=6465","Explore in ECOTOX")</f>
        <v>Explore in ECOTOX</v>
      </c>
    </row>
    <row r="4495" spans="1:18" x14ac:dyDescent="0.45">
      <c r="A4495" t="s">
        <v>1265</v>
      </c>
      <c r="B4495">
        <v>8</v>
      </c>
      <c r="C4495" t="str">
        <f>HYPERLINK("http://www.ncbi.nlm.nih.gov/protein/EGT47004.1","EGT47004.1")</f>
        <v>EGT47004.1</v>
      </c>
      <c r="D4495">
        <v>31593</v>
      </c>
      <c r="E4495" t="str">
        <f>HYPERLINK("http://www.ncbi.nlm.nih.gov/Taxonomy/Browser/wwwtax.cgi?mode=Info&amp;id=135651&amp;lvl=3&amp;lin=f&amp;keep=1&amp;srchmode=1&amp;unlock","135651")</f>
        <v>135651</v>
      </c>
      <c r="F4495" t="s">
        <v>1024</v>
      </c>
      <c r="G4495" t="str">
        <f>HYPERLINK("http://www.ncbi.nlm.nih.gov/Taxonomy/Browser/wwwtax.cgi?mode=Info&amp;id=135651&amp;lvl=3&amp;lin=f&amp;keep=1&amp;srchmode=1&amp;unlock","Caenorhabditis brenneri")</f>
        <v>Caenorhabditis brenneri</v>
      </c>
      <c r="H4495" t="s">
        <v>1027</v>
      </c>
      <c r="I4495" t="str">
        <f>HYPERLINK("http://www.ncbi.nlm.nih.gov/protein/EGT47004.1","CBN-UNC-68 protein")</f>
        <v>CBN-UNC-68 protein</v>
      </c>
      <c r="J4495">
        <v>1320.06</v>
      </c>
      <c r="K4495" t="s">
        <v>22</v>
      </c>
      <c r="L4495">
        <v>76</v>
      </c>
      <c r="M4495">
        <v>12.58</v>
      </c>
      <c r="N4495">
        <v>12.99</v>
      </c>
      <c r="O4495" t="s">
        <v>19</v>
      </c>
      <c r="P4495" t="s">
        <v>1320</v>
      </c>
      <c r="Q4495" t="s">
        <v>19</v>
      </c>
      <c r="R4495" t="str">
        <f>HYPERLINK("https://cfpub.epa.gov/ecotox/explore.cfm?ncbi=135651","Explore in ECOTOX")</f>
        <v>Explore in ECOTOX</v>
      </c>
    </row>
    <row r="4496" spans="1:18" x14ac:dyDescent="0.45">
      <c r="A4496" t="s">
        <v>1265</v>
      </c>
      <c r="B4496">
        <v>8</v>
      </c>
      <c r="C4496" t="str">
        <f>HYPERLINK("http://www.ncbi.nlm.nih.gov/protein/VDN03294.1","VDN03294.1")</f>
        <v>VDN03294.1</v>
      </c>
      <c r="D4496">
        <v>11062</v>
      </c>
      <c r="E4496" t="str">
        <f>HYPERLINK("http://www.ncbi.nlm.nih.gov/Taxonomy/Browser/wwwtax.cgi?mode=Info&amp;id=103827&amp;lvl=3&amp;lin=f&amp;keep=1&amp;srchmode=1&amp;unlock","103827")</f>
        <v>103827</v>
      </c>
      <c r="F4496" t="s">
        <v>1024</v>
      </c>
      <c r="G4496" t="str">
        <f>HYPERLINK("http://www.ncbi.nlm.nih.gov/Taxonomy/Browser/wwwtax.cgi?mode=Info&amp;id=103827&amp;lvl=3&amp;lin=f&amp;keep=1&amp;srchmode=1&amp;unlock","Thelazia callipaeda")</f>
        <v>Thelazia callipaeda</v>
      </c>
      <c r="H4496" t="s">
        <v>1174</v>
      </c>
      <c r="I4496" t="str">
        <f>HYPERLINK("http://www.ncbi.nlm.nih.gov/protein/VDN03294.1","unnamed protein product")</f>
        <v>unnamed protein product</v>
      </c>
      <c r="J4496">
        <v>1311.59</v>
      </c>
      <c r="K4496" t="s">
        <v>22</v>
      </c>
      <c r="L4496">
        <v>76</v>
      </c>
      <c r="M4496">
        <v>12.58</v>
      </c>
      <c r="N4496">
        <v>12.91</v>
      </c>
      <c r="O4496" t="s">
        <v>19</v>
      </c>
      <c r="P4496" t="s">
        <v>1320</v>
      </c>
      <c r="Q4496" t="s">
        <v>19</v>
      </c>
      <c r="R4496" t="str">
        <f>HYPERLINK("https://cfpub.epa.gov/ecotox/explore.cfm?ncbi=103827","Explore in ECOTOX")</f>
        <v>Explore in ECOTOX</v>
      </c>
    </row>
    <row r="4497" spans="1:18" x14ac:dyDescent="0.45">
      <c r="A4497" t="s">
        <v>1265</v>
      </c>
      <c r="B4497">
        <v>8</v>
      </c>
      <c r="C4497" t="str">
        <f>HYPERLINK("http://www.ncbi.nlm.nih.gov/protein/GIZ01914.1","GIZ01914.1")</f>
        <v>GIZ01914.1</v>
      </c>
      <c r="D4497">
        <v>82826</v>
      </c>
      <c r="E4497" t="str">
        <f>HYPERLINK("http://www.ncbi.nlm.nih.gov/Taxonomy/Browser/wwwtax.cgi?mode=Info&amp;id=172846&amp;lvl=3&amp;lin=f&amp;keep=1&amp;srchmode=1&amp;unlock","172846")</f>
        <v>172846</v>
      </c>
      <c r="F4497" t="s">
        <v>904</v>
      </c>
      <c r="G4497" t="str">
        <f>HYPERLINK("http://www.ncbi.nlm.nih.gov/Taxonomy/Browser/wwwtax.cgi?mode=Info&amp;id=172846&amp;lvl=3&amp;lin=f&amp;keep=1&amp;srchmode=1&amp;unlock","Caerostris extrusa")</f>
        <v>Caerostris extrusa</v>
      </c>
      <c r="H4497" t="s">
        <v>922</v>
      </c>
      <c r="I4497" t="str">
        <f>HYPERLINK("http://www.ncbi.nlm.nih.gov/protein/GIZ01914.1","hypothetical protein CEXT_680021")</f>
        <v>hypothetical protein CEXT_680021</v>
      </c>
      <c r="J4497">
        <v>1308.1199999999999</v>
      </c>
      <c r="K4497" t="s">
        <v>22</v>
      </c>
      <c r="L4497">
        <v>76</v>
      </c>
      <c r="M4497">
        <v>12.58</v>
      </c>
      <c r="N4497">
        <v>12.87</v>
      </c>
      <c r="O4497" t="s">
        <v>19</v>
      </c>
      <c r="P4497" t="s">
        <v>1320</v>
      </c>
      <c r="Q4497" t="s">
        <v>19</v>
      </c>
      <c r="R4497" t="str">
        <f>HYPERLINK("https://cfpub.epa.gov/ecotox/explore.cfm?ncbi=172846","Explore in ECOTOX")</f>
        <v>Explore in ECOTOX</v>
      </c>
    </row>
    <row r="4498" spans="1:18" x14ac:dyDescent="0.45">
      <c r="A4498" t="s">
        <v>1265</v>
      </c>
      <c r="B4498">
        <v>8</v>
      </c>
      <c r="C4498" t="str">
        <f>HYPERLINK("http://www.ncbi.nlm.nih.gov/protein/CAI5451931.1","CAI5451931.1")</f>
        <v>CAI5451931.1</v>
      </c>
      <c r="D4498">
        <v>19530</v>
      </c>
      <c r="E4498" t="str">
        <f>HYPERLINK("http://www.ncbi.nlm.nih.gov/Taxonomy/Browser/wwwtax.cgi?mode=Info&amp;id=860376&amp;lvl=3&amp;lin=f&amp;keep=1&amp;srchmode=1&amp;unlock","860376")</f>
        <v>860376</v>
      </c>
      <c r="F4498" t="s">
        <v>1024</v>
      </c>
      <c r="G4498" t="str">
        <f>HYPERLINK("http://www.ncbi.nlm.nih.gov/Taxonomy/Browser/wwwtax.cgi?mode=Info&amp;id=860376&amp;lvl=3&amp;lin=f&amp;keep=1&amp;srchmode=1&amp;unlock","Caenorhabditis angaria")</f>
        <v>Caenorhabditis angaria</v>
      </c>
      <c r="H4498" t="s">
        <v>1027</v>
      </c>
      <c r="I4498" t="str">
        <f>HYPERLINK("http://www.ncbi.nlm.nih.gov/protein/CAI5451931.1","unnamed protein product")</f>
        <v>unnamed protein product</v>
      </c>
      <c r="J4498">
        <v>1305.04</v>
      </c>
      <c r="K4498" t="s">
        <v>22</v>
      </c>
      <c r="L4498">
        <v>76</v>
      </c>
      <c r="M4498">
        <v>12.58</v>
      </c>
      <c r="N4498">
        <v>12.84</v>
      </c>
      <c r="O4498" t="s">
        <v>19</v>
      </c>
      <c r="P4498" t="s">
        <v>1320</v>
      </c>
      <c r="Q4498" t="s">
        <v>19</v>
      </c>
      <c r="R4498" t="str">
        <f>HYPERLINK("https://cfpub.epa.gov/ecotox/explore.cfm?ncbi=860376","Explore in ECOTOX")</f>
        <v>Explore in ECOTOX</v>
      </c>
    </row>
    <row r="4499" spans="1:18" x14ac:dyDescent="0.45">
      <c r="A4499" t="s">
        <v>1265</v>
      </c>
      <c r="B4499">
        <v>8</v>
      </c>
      <c r="C4499" t="str">
        <f>HYPERLINK("http://www.ncbi.nlm.nih.gov/protein/KAF8381623.1","KAF8381623.1")</f>
        <v>KAF8381623.1</v>
      </c>
      <c r="D4499">
        <v>28590</v>
      </c>
      <c r="E4499" t="str">
        <f>HYPERLINK("http://www.ncbi.nlm.nih.gov/Taxonomy/Browser/wwwtax.cgi?mode=Info&amp;id=54126&amp;lvl=3&amp;lin=f&amp;keep=1&amp;srchmode=1&amp;unlock","54126")</f>
        <v>54126</v>
      </c>
      <c r="F4499" t="s">
        <v>1024</v>
      </c>
      <c r="G4499" t="str">
        <f>HYPERLINK("http://www.ncbi.nlm.nih.gov/Taxonomy/Browser/wwwtax.cgi?mode=Info&amp;id=54126&amp;lvl=3&amp;lin=f&amp;keep=1&amp;srchmode=1&amp;unlock","Pristionchus pacificus")</f>
        <v>Pristionchus pacificus</v>
      </c>
      <c r="H4499" t="s">
        <v>1027</v>
      </c>
      <c r="I4499" t="str">
        <f>HYPERLINK("http://www.ncbi.nlm.nih.gov/protein/KAF8381623.1","unc-68")</f>
        <v>unc-68</v>
      </c>
      <c r="J4499">
        <v>1300.03</v>
      </c>
      <c r="K4499" t="s">
        <v>22</v>
      </c>
      <c r="L4499">
        <v>76</v>
      </c>
      <c r="M4499">
        <v>12.58</v>
      </c>
      <c r="N4499">
        <v>12.79</v>
      </c>
      <c r="O4499" t="s">
        <v>19</v>
      </c>
      <c r="P4499" t="s">
        <v>1320</v>
      </c>
      <c r="Q4499" t="s">
        <v>19</v>
      </c>
      <c r="R4499" t="str">
        <f>HYPERLINK("https://cfpub.epa.gov/ecotox/explore.cfm?ncbi=54126","Explore in ECOTOX")</f>
        <v>Explore in ECOTOX</v>
      </c>
    </row>
    <row r="4500" spans="1:18" x14ac:dyDescent="0.45">
      <c r="A4500" t="s">
        <v>1265</v>
      </c>
      <c r="B4500">
        <v>8</v>
      </c>
      <c r="C4500" t="str">
        <f>HYPERLINK("http://www.ncbi.nlm.nih.gov/protein/CAD5123938.1","CAD5123938.1")</f>
        <v>CAD5123938.1</v>
      </c>
      <c r="D4500">
        <v>16184</v>
      </c>
      <c r="E4500" t="str">
        <f>HYPERLINK("http://www.ncbi.nlm.nih.gov/Taxonomy/Browser/wwwtax.cgi?mode=Info&amp;id=2664684&amp;lvl=3&amp;lin=f&amp;keep=1&amp;srchmode=1&amp;unlock","2664684")</f>
        <v>2664684</v>
      </c>
      <c r="F4500" t="s">
        <v>862</v>
      </c>
      <c r="G4500" t="str">
        <f>HYPERLINK("http://www.ncbi.nlm.nih.gov/Taxonomy/Browser/wwwtax.cgi?mode=Info&amp;id=2664684&amp;lvl=3&amp;lin=f&amp;keep=1&amp;srchmode=1&amp;unlock","Dimorphilus gyrociliatus")</f>
        <v>Dimorphilus gyrociliatus</v>
      </c>
      <c r="H4500" t="s">
        <v>863</v>
      </c>
      <c r="I4500" t="str">
        <f>HYPERLINK("http://www.ncbi.nlm.nih.gov/protein/CAD5123938.1","DgyrCDS12246")</f>
        <v>DgyrCDS12246</v>
      </c>
      <c r="J4500">
        <v>1299.6500000000001</v>
      </c>
      <c r="K4500" t="s">
        <v>22</v>
      </c>
      <c r="L4500">
        <v>76</v>
      </c>
      <c r="M4500">
        <v>12.58</v>
      </c>
      <c r="N4500">
        <v>12.79</v>
      </c>
      <c r="O4500" t="s">
        <v>19</v>
      </c>
      <c r="P4500" t="s">
        <v>1320</v>
      </c>
      <c r="Q4500" t="s">
        <v>19</v>
      </c>
      <c r="R4500" t="str">
        <f>HYPERLINK("https://cfpub.epa.gov/ecotox/explore.cfm?ncbi=2664684","Explore in ECOTOX")</f>
        <v>Explore in ECOTOX</v>
      </c>
    </row>
    <row r="4501" spans="1:18" x14ac:dyDescent="0.45">
      <c r="A4501" t="s">
        <v>1265</v>
      </c>
      <c r="B4501">
        <v>8</v>
      </c>
      <c r="C4501" t="str">
        <f>HYPERLINK("http://www.ncbi.nlm.nih.gov/protein/XP_034937917.1","XP_034937917.1")</f>
        <v>XP_034937917.1</v>
      </c>
      <c r="D4501">
        <v>19356</v>
      </c>
      <c r="E4501" t="str">
        <f>HYPERLINK("http://www.ncbi.nlm.nih.gov/Taxonomy/Browser/wwwtax.cgi?mode=Info&amp;id=460826&amp;lvl=3&amp;lin=f&amp;keep=1&amp;srchmode=1&amp;unlock","460826")</f>
        <v>460826</v>
      </c>
      <c r="F4501" t="s">
        <v>760</v>
      </c>
      <c r="G4501" t="str">
        <f>HYPERLINK("http://www.ncbi.nlm.nih.gov/Taxonomy/Browser/wwwtax.cgi?mode=Info&amp;id=460826&amp;lvl=3&amp;lin=f&amp;keep=1&amp;srchmode=1&amp;unlock","Chelonus insularis")</f>
        <v>Chelonus insularis</v>
      </c>
      <c r="H4501" t="s">
        <v>769</v>
      </c>
      <c r="I4501" t="str">
        <f>HYPERLINK("http://www.ncbi.nlm.nih.gov/protein/XP_034937917.1","ryanodine receptor isoform X9")</f>
        <v>ryanodine receptor isoform X9</v>
      </c>
      <c r="J4501">
        <v>1295.4100000000001</v>
      </c>
      <c r="K4501" t="s">
        <v>22</v>
      </c>
      <c r="L4501">
        <v>76</v>
      </c>
      <c r="M4501">
        <v>12.58</v>
      </c>
      <c r="N4501">
        <v>12.75</v>
      </c>
      <c r="O4501" t="s">
        <v>19</v>
      </c>
      <c r="P4501" t="s">
        <v>1320</v>
      </c>
      <c r="Q4501" t="s">
        <v>19</v>
      </c>
      <c r="R4501" t="str">
        <f>HYPERLINK("https://cfpub.epa.gov/ecotox/explore.cfm?ncbi=460826","Explore in ECOTOX")</f>
        <v>Explore in ECOTOX</v>
      </c>
    </row>
    <row r="4502" spans="1:18" x14ac:dyDescent="0.45">
      <c r="A4502" t="s">
        <v>1265</v>
      </c>
      <c r="B4502">
        <v>8</v>
      </c>
      <c r="C4502" t="str">
        <f>HYPERLINK("http://www.ncbi.nlm.nih.gov/protein/VDO61855.1","VDO61855.1")</f>
        <v>VDO61855.1</v>
      </c>
      <c r="D4502">
        <v>27550</v>
      </c>
      <c r="E4502" t="str">
        <f>HYPERLINK("http://www.ncbi.nlm.nih.gov/Taxonomy/Browser/wwwtax.cgi?mode=Info&amp;id=6339&amp;lvl=3&amp;lin=f&amp;keep=1&amp;srchmode=1&amp;unlock","6339")</f>
        <v>6339</v>
      </c>
      <c r="F4502" t="s">
        <v>1024</v>
      </c>
      <c r="G4502" t="str">
        <f>HYPERLINK("http://www.ncbi.nlm.nih.gov/Taxonomy/Browser/wwwtax.cgi?mode=Info&amp;id=6339&amp;lvl=3&amp;lin=f&amp;keep=1&amp;srchmode=1&amp;unlock","Heligmosomoides polygyrus")</f>
        <v>Heligmosomoides polygyrus</v>
      </c>
      <c r="H4502" t="s">
        <v>1025</v>
      </c>
      <c r="I4502" t="str">
        <f>HYPERLINK("http://www.ncbi.nlm.nih.gov/protein/VDO61855.1","unnamed protein product")</f>
        <v>unnamed protein product</v>
      </c>
      <c r="J4502">
        <v>1293.8699999999999</v>
      </c>
      <c r="K4502" t="s">
        <v>22</v>
      </c>
      <c r="L4502">
        <v>76</v>
      </c>
      <c r="M4502">
        <v>12.58</v>
      </c>
      <c r="N4502">
        <v>12.73</v>
      </c>
      <c r="O4502" t="s">
        <v>19</v>
      </c>
      <c r="P4502" t="s">
        <v>1320</v>
      </c>
      <c r="Q4502" t="s">
        <v>19</v>
      </c>
      <c r="R4502" t="str">
        <f>HYPERLINK("https://cfpub.epa.gov/ecotox/explore.cfm?ncbi=6339","Explore in ECOTOX")</f>
        <v>Explore in ECOTOX</v>
      </c>
    </row>
    <row r="4503" spans="1:18" x14ac:dyDescent="0.45">
      <c r="A4503" t="s">
        <v>1265</v>
      </c>
      <c r="B4503">
        <v>8</v>
      </c>
      <c r="C4503" t="str">
        <f>HYPERLINK("http://www.ncbi.nlm.nih.gov/protein/GFS48413.1","GFS48413.1")</f>
        <v>GFS48413.1</v>
      </c>
      <c r="D4503">
        <v>72770</v>
      </c>
      <c r="E4503" t="str">
        <f>HYPERLINK("http://www.ncbi.nlm.nih.gov/Taxonomy/Browser/wwwtax.cgi?mode=Info&amp;id=299642&amp;lvl=3&amp;lin=f&amp;keep=1&amp;srchmode=1&amp;unlock","299642")</f>
        <v>299642</v>
      </c>
      <c r="F4503" t="s">
        <v>904</v>
      </c>
      <c r="G4503" t="str">
        <f>HYPERLINK("http://www.ncbi.nlm.nih.gov/Taxonomy/Browser/wwwtax.cgi?mode=Info&amp;id=299642&amp;lvl=3&amp;lin=f&amp;keep=1&amp;srchmode=1&amp;unlock","Nephila pilipes")</f>
        <v>Nephila pilipes</v>
      </c>
      <c r="H4503" t="s">
        <v>1177</v>
      </c>
      <c r="I4503" t="str">
        <f>HYPERLINK("http://www.ncbi.nlm.nih.gov/protein/GFS48413.1","ryanodine receptor, partial")</f>
        <v>ryanodine receptor, partial</v>
      </c>
      <c r="J4503">
        <v>1291.17</v>
      </c>
      <c r="K4503" t="s">
        <v>22</v>
      </c>
      <c r="L4503">
        <v>76</v>
      </c>
      <c r="M4503">
        <v>12.58</v>
      </c>
      <c r="N4503">
        <v>12.71</v>
      </c>
      <c r="O4503" t="s">
        <v>19</v>
      </c>
      <c r="P4503" t="s">
        <v>1320</v>
      </c>
      <c r="Q4503" t="s">
        <v>19</v>
      </c>
      <c r="R4503" t="str">
        <f>HYPERLINK("https://cfpub.epa.gov/ecotox/explore.cfm?ncbi=299642","Explore in ECOTOX")</f>
        <v>Explore in ECOTOX</v>
      </c>
    </row>
    <row r="4504" spans="1:18" x14ac:dyDescent="0.45">
      <c r="A4504" t="s">
        <v>1265</v>
      </c>
      <c r="B4504">
        <v>8</v>
      </c>
      <c r="C4504" t="str">
        <f>HYPERLINK("http://www.ncbi.nlm.nih.gov/protein/XP_043663449.1","XP_043663449.1")</f>
        <v>XP_043663449.1</v>
      </c>
      <c r="D4504">
        <v>42409</v>
      </c>
      <c r="E4504" t="str">
        <f>HYPERLINK("http://www.ncbi.nlm.nih.gov/Taxonomy/Browser/wwwtax.cgi?mode=Info&amp;id=30213&amp;lvl=3&amp;lin=f&amp;keep=1&amp;srchmode=1&amp;unlock","30213")</f>
        <v>30213</v>
      </c>
      <c r="F4504" t="s">
        <v>760</v>
      </c>
      <c r="G4504" t="str">
        <f>HYPERLINK("http://www.ncbi.nlm.nih.gov/Taxonomy/Browser/wwwtax.cgi?mode=Info&amp;id=30213&amp;lvl=3&amp;lin=f&amp;keep=1&amp;srchmode=1&amp;unlock","Vespula pensylvanica")</f>
        <v>Vespula pensylvanica</v>
      </c>
      <c r="H4504" t="s">
        <v>807</v>
      </c>
      <c r="I4504" t="str">
        <f>HYPERLINK("http://www.ncbi.nlm.nih.gov/protein/XP_043663449.1","ryanodine receptor isoform X3")</f>
        <v>ryanodine receptor isoform X3</v>
      </c>
      <c r="J4504">
        <v>1290.02</v>
      </c>
      <c r="K4504" t="s">
        <v>22</v>
      </c>
      <c r="L4504">
        <v>76</v>
      </c>
      <c r="M4504">
        <v>12.58</v>
      </c>
      <c r="N4504">
        <v>12.7</v>
      </c>
      <c r="O4504" t="s">
        <v>19</v>
      </c>
      <c r="P4504" t="s">
        <v>1320</v>
      </c>
      <c r="Q4504" t="s">
        <v>19</v>
      </c>
      <c r="R4504" t="str">
        <f>HYPERLINK("https://cfpub.epa.gov/ecotox/explore.cfm?ncbi=30213","Explore in ECOTOX")</f>
        <v>Explore in ECOTOX</v>
      </c>
    </row>
    <row r="4505" spans="1:18" x14ac:dyDescent="0.45">
      <c r="A4505" t="s">
        <v>1265</v>
      </c>
      <c r="B4505">
        <v>8</v>
      </c>
      <c r="C4505" t="str">
        <f>HYPERLINK("http://www.ncbi.nlm.nih.gov/protein/XP_050304093.1","XP_050304093.1")</f>
        <v>XP_050304093.1</v>
      </c>
      <c r="D4505">
        <v>23731</v>
      </c>
      <c r="E4505" t="str">
        <f>HYPERLINK("http://www.ncbi.nlm.nih.gov/Taxonomy/Browser/wwwtax.cgi?mode=Info&amp;id=2921223&amp;lvl=3&amp;lin=f&amp;keep=1&amp;srchmode=1&amp;unlock","2921223")</f>
        <v>2921223</v>
      </c>
      <c r="F4505" t="s">
        <v>760</v>
      </c>
      <c r="G4505" t="str">
        <f>HYPERLINK("http://www.ncbi.nlm.nih.gov/Taxonomy/Browser/wwwtax.cgi?mode=Info&amp;id=2921223&amp;lvl=3&amp;lin=f&amp;keep=1&amp;srchmode=1&amp;unlock","Anthonomus grandis grandis")</f>
        <v>Anthonomus grandis grandis</v>
      </c>
      <c r="H4505" t="s">
        <v>1090</v>
      </c>
      <c r="I4505" t="str">
        <f>HYPERLINK("http://www.ncbi.nlm.nih.gov/protein/XP_050304093.1","ryanodine receptor")</f>
        <v>ryanodine receptor</v>
      </c>
      <c r="J4505">
        <v>1287.71</v>
      </c>
      <c r="K4505" t="s">
        <v>22</v>
      </c>
      <c r="L4505">
        <v>76</v>
      </c>
      <c r="M4505">
        <v>12.58</v>
      </c>
      <c r="N4505">
        <v>12.67</v>
      </c>
      <c r="O4505" t="s">
        <v>19</v>
      </c>
      <c r="P4505" t="s">
        <v>1320</v>
      </c>
      <c r="Q4505" t="s">
        <v>19</v>
      </c>
      <c r="R4505" t="str">
        <f>HYPERLINK("https://cfpub.epa.gov/ecotox/explore.cfm?ncbi=2921223","Explore in ECOTOX")</f>
        <v>Explore in ECOTOX</v>
      </c>
    </row>
    <row r="4506" spans="1:18" x14ac:dyDescent="0.45">
      <c r="A4506" t="s">
        <v>1265</v>
      </c>
      <c r="B4506">
        <v>8</v>
      </c>
      <c r="C4506" t="str">
        <f>HYPERLINK("http://www.ncbi.nlm.nih.gov/protein/XP_047344485.1","XP_047344485.1")</f>
        <v>XP_047344485.1</v>
      </c>
      <c r="D4506">
        <v>28891</v>
      </c>
      <c r="E4506" t="str">
        <f>HYPERLINK("http://www.ncbi.nlm.nih.gov/Taxonomy/Browser/wwwtax.cgi?mode=Info&amp;id=202808&amp;lvl=3&amp;lin=f&amp;keep=1&amp;srchmode=1&amp;unlock","202808")</f>
        <v>202808</v>
      </c>
      <c r="F4506" t="s">
        <v>760</v>
      </c>
      <c r="G4506" t="str">
        <f>HYPERLINK("http://www.ncbi.nlm.nih.gov/Taxonomy/Browser/wwwtax.cgi?mode=Info&amp;id=202808&amp;lvl=3&amp;lin=f&amp;keep=1&amp;srchmode=1&amp;unlock","Vespa velutina")</f>
        <v>Vespa velutina</v>
      </c>
      <c r="H4506" t="s">
        <v>805</v>
      </c>
      <c r="I4506" t="str">
        <f>HYPERLINK("http://www.ncbi.nlm.nih.gov/protein/XP_047344485.1","ryanodine receptor isoform X1")</f>
        <v>ryanodine receptor isoform X1</v>
      </c>
      <c r="J4506">
        <v>1287.32</v>
      </c>
      <c r="K4506" t="s">
        <v>22</v>
      </c>
      <c r="L4506">
        <v>76</v>
      </c>
      <c r="M4506">
        <v>12.58</v>
      </c>
      <c r="N4506">
        <v>12.67</v>
      </c>
      <c r="O4506" t="s">
        <v>19</v>
      </c>
      <c r="P4506" t="s">
        <v>1320</v>
      </c>
      <c r="Q4506" t="s">
        <v>19</v>
      </c>
      <c r="R4506" t="str">
        <f>HYPERLINK("https://cfpub.epa.gov/ecotox/explore.cfm?ncbi=202808","Explore in ECOTOX")</f>
        <v>Explore in ECOTOX</v>
      </c>
    </row>
    <row r="4507" spans="1:18" x14ac:dyDescent="0.45">
      <c r="A4507" t="s">
        <v>1265</v>
      </c>
      <c r="B4507">
        <v>8</v>
      </c>
      <c r="C4507" t="str">
        <f>HYPERLINK("http://www.ncbi.nlm.nih.gov/protein/XP_011644603.1","XP_011644603.1")</f>
        <v>XP_011644603.1</v>
      </c>
      <c r="D4507">
        <v>19273</v>
      </c>
      <c r="E4507" t="str">
        <f>HYPERLINK("http://www.ncbi.nlm.nih.gov/Taxonomy/Browser/wwwtax.cgi?mode=Info&amp;id=144034&amp;lvl=3&amp;lin=f&amp;keep=1&amp;srchmode=1&amp;unlock","144034")</f>
        <v>144034</v>
      </c>
      <c r="F4507" t="s">
        <v>760</v>
      </c>
      <c r="G4507" t="str">
        <f>HYPERLINK("http://www.ncbi.nlm.nih.gov/Taxonomy/Browser/wwwtax.cgi?mode=Info&amp;id=144034&amp;lvl=3&amp;lin=f&amp;keep=1&amp;srchmode=1&amp;unlock","Pogonomyrmex barbatus")</f>
        <v>Pogonomyrmex barbatus</v>
      </c>
      <c r="H4507" t="s">
        <v>772</v>
      </c>
      <c r="I4507" t="str">
        <f>HYPERLINK("http://www.ncbi.nlm.nih.gov/protein/XP_011644603.1","ryanodine receptor isoform X3")</f>
        <v>ryanodine receptor isoform X3</v>
      </c>
      <c r="J4507">
        <v>1287.32</v>
      </c>
      <c r="K4507" t="s">
        <v>22</v>
      </c>
      <c r="L4507">
        <v>76</v>
      </c>
      <c r="M4507">
        <v>12.58</v>
      </c>
      <c r="N4507">
        <v>12.67</v>
      </c>
      <c r="O4507" t="s">
        <v>19</v>
      </c>
      <c r="P4507" t="s">
        <v>1320</v>
      </c>
      <c r="Q4507" t="s">
        <v>19</v>
      </c>
      <c r="R4507" t="str">
        <f>HYPERLINK("https://cfpub.epa.gov/ecotox/explore.cfm?ncbi=144034","Explore in ECOTOX")</f>
        <v>Explore in ECOTOX</v>
      </c>
    </row>
    <row r="4508" spans="1:18" x14ac:dyDescent="0.45">
      <c r="A4508" t="s">
        <v>1265</v>
      </c>
      <c r="B4508">
        <v>8</v>
      </c>
      <c r="C4508" t="str">
        <f>HYPERLINK("http://www.ncbi.nlm.nih.gov/protein/XP_035717757.1","XP_035717757.1")</f>
        <v>XP_035717757.1</v>
      </c>
      <c r="D4508">
        <v>27336</v>
      </c>
      <c r="E4508" t="str">
        <f>HYPERLINK("http://www.ncbi.nlm.nih.gov/Taxonomy/Browser/wwwtax.cgi?mode=Info&amp;id=7446&amp;lvl=3&amp;lin=f&amp;keep=1&amp;srchmode=1&amp;unlock","7446")</f>
        <v>7446</v>
      </c>
      <c r="F4508" t="s">
        <v>760</v>
      </c>
      <c r="G4508" t="str">
        <f>HYPERLINK("http://www.ncbi.nlm.nih.gov/Taxonomy/Browser/wwwtax.cgi?mode=Info&amp;id=7446&amp;lvl=3&amp;lin=f&amp;keep=1&amp;srchmode=1&amp;unlock","Vespa mandarinia")</f>
        <v>Vespa mandarinia</v>
      </c>
      <c r="H4508" t="s">
        <v>1052</v>
      </c>
      <c r="I4508" t="str">
        <f>HYPERLINK("http://www.ncbi.nlm.nih.gov/protein/XP_035717757.1","ryanodine receptor-like isoform X4")</f>
        <v>ryanodine receptor-like isoform X4</v>
      </c>
      <c r="J4508">
        <v>1286.94</v>
      </c>
      <c r="K4508" t="s">
        <v>22</v>
      </c>
      <c r="L4508">
        <v>76</v>
      </c>
      <c r="M4508">
        <v>12.58</v>
      </c>
      <c r="N4508">
        <v>12.67</v>
      </c>
      <c r="O4508" t="s">
        <v>19</v>
      </c>
      <c r="P4508" t="s">
        <v>1320</v>
      </c>
      <c r="Q4508" t="s">
        <v>19</v>
      </c>
      <c r="R4508" t="str">
        <f>HYPERLINK("https://cfpub.epa.gov/ecotox/explore.cfm?ncbi=7446","Explore in ECOTOX")</f>
        <v>Explore in ECOTOX</v>
      </c>
    </row>
    <row r="4509" spans="1:18" x14ac:dyDescent="0.45">
      <c r="A4509" t="s">
        <v>1265</v>
      </c>
      <c r="B4509">
        <v>8</v>
      </c>
      <c r="C4509" t="str">
        <f>HYPERLINK("http://www.ncbi.nlm.nih.gov/protein/KAF7414747.1","KAF7414747.1")</f>
        <v>KAF7414747.1</v>
      </c>
      <c r="D4509">
        <v>17414</v>
      </c>
      <c r="E4509" t="str">
        <f>HYPERLINK("http://www.ncbi.nlm.nih.gov/Taxonomy/Browser/wwwtax.cgi?mode=Info&amp;id=30212&amp;lvl=3&amp;lin=f&amp;keep=1&amp;srchmode=1&amp;unlock","30212")</f>
        <v>30212</v>
      </c>
      <c r="F4509" t="s">
        <v>760</v>
      </c>
      <c r="G4509" t="str">
        <f>HYPERLINK("http://www.ncbi.nlm.nih.gov/Taxonomy/Browser/wwwtax.cgi?mode=Info&amp;id=30212&amp;lvl=3&amp;lin=f&amp;keep=1&amp;srchmode=1&amp;unlock","Vespula germanica")</f>
        <v>Vespula germanica</v>
      </c>
      <c r="H4509" t="s">
        <v>805</v>
      </c>
      <c r="I4509" t="str">
        <f>HYPERLINK("http://www.ncbi.nlm.nih.gov/protein/KAF7414747.1","hypothetical protein HZH68_003236")</f>
        <v>hypothetical protein HZH68_003236</v>
      </c>
      <c r="J4509">
        <v>1286.55</v>
      </c>
      <c r="K4509" t="s">
        <v>22</v>
      </c>
      <c r="L4509">
        <v>76</v>
      </c>
      <c r="M4509">
        <v>12.58</v>
      </c>
      <c r="N4509">
        <v>12.66</v>
      </c>
      <c r="O4509" t="s">
        <v>19</v>
      </c>
      <c r="P4509" t="s">
        <v>1320</v>
      </c>
      <c r="Q4509" t="s">
        <v>19</v>
      </c>
      <c r="R4509" t="str">
        <f>HYPERLINK("https://cfpub.epa.gov/ecotox/explore.cfm?ncbi=30212","Explore in ECOTOX")</f>
        <v>Explore in ECOTOX</v>
      </c>
    </row>
    <row r="4510" spans="1:18" x14ac:dyDescent="0.45">
      <c r="A4510" t="s">
        <v>1265</v>
      </c>
      <c r="B4510">
        <v>8</v>
      </c>
      <c r="C4510" t="str">
        <f>HYPERLINK("http://www.ncbi.nlm.nih.gov/protein/XP_046833572.1","XP_046833572.1")</f>
        <v>XP_046833572.1</v>
      </c>
      <c r="D4510">
        <v>26302</v>
      </c>
      <c r="E4510" t="str">
        <f>HYPERLINK("http://www.ncbi.nlm.nih.gov/Taxonomy/Browser/wwwtax.cgi?mode=Info&amp;id=7445&amp;lvl=3&amp;lin=f&amp;keep=1&amp;srchmode=1&amp;unlock","7445")</f>
        <v>7445</v>
      </c>
      <c r="F4510" t="s">
        <v>760</v>
      </c>
      <c r="G4510" t="str">
        <f>HYPERLINK("http://www.ncbi.nlm.nih.gov/Taxonomy/Browser/wwwtax.cgi?mode=Info&amp;id=7445&amp;lvl=3&amp;lin=f&amp;keep=1&amp;srchmode=1&amp;unlock","Vespa crabro")</f>
        <v>Vespa crabro</v>
      </c>
      <c r="H4510" t="s">
        <v>1051</v>
      </c>
      <c r="I4510" t="str">
        <f>HYPERLINK("http://www.ncbi.nlm.nih.gov/protein/XP_046833572.1","ryanodine receptor isoform X8")</f>
        <v>ryanodine receptor isoform X8</v>
      </c>
      <c r="J4510">
        <v>1286.55</v>
      </c>
      <c r="K4510" t="s">
        <v>22</v>
      </c>
      <c r="L4510">
        <v>76</v>
      </c>
      <c r="M4510">
        <v>12.58</v>
      </c>
      <c r="N4510">
        <v>12.66</v>
      </c>
      <c r="O4510" t="s">
        <v>19</v>
      </c>
      <c r="P4510" t="s">
        <v>1320</v>
      </c>
      <c r="Q4510" t="s">
        <v>19</v>
      </c>
      <c r="R4510" t="str">
        <f>HYPERLINK("https://cfpub.epa.gov/ecotox/explore.cfm?ncbi=7445","Explore in ECOTOX")</f>
        <v>Explore in ECOTOX</v>
      </c>
    </row>
    <row r="4511" spans="1:18" x14ac:dyDescent="0.45">
      <c r="A4511" t="s">
        <v>1265</v>
      </c>
      <c r="B4511">
        <v>8</v>
      </c>
      <c r="C4511" t="str">
        <f>HYPERLINK("http://www.ncbi.nlm.nih.gov/protein/XP_012260825.2","XP_012260825.2")</f>
        <v>XP_012260825.2</v>
      </c>
      <c r="D4511">
        <v>26387</v>
      </c>
      <c r="E4511" t="str">
        <f>HYPERLINK("http://www.ncbi.nlm.nih.gov/Taxonomy/Browser/wwwtax.cgi?mode=Info&amp;id=37344&amp;lvl=3&amp;lin=f&amp;keep=1&amp;srchmode=1&amp;unlock","37344")</f>
        <v>37344</v>
      </c>
      <c r="F4511" t="s">
        <v>760</v>
      </c>
      <c r="G4511" t="str">
        <f>HYPERLINK("http://www.ncbi.nlm.nih.gov/Taxonomy/Browser/wwwtax.cgi?mode=Info&amp;id=37344&amp;lvl=3&amp;lin=f&amp;keep=1&amp;srchmode=1&amp;unlock","Athalia rosae")</f>
        <v>Athalia rosae</v>
      </c>
      <c r="H4511" t="s">
        <v>1053</v>
      </c>
      <c r="I4511" t="str">
        <f>HYPERLINK("http://www.ncbi.nlm.nih.gov/protein/XP_012260825.2","ryanodine receptor isoform X17")</f>
        <v>ryanodine receptor isoform X17</v>
      </c>
      <c r="J4511">
        <v>1286.55</v>
      </c>
      <c r="K4511" t="s">
        <v>22</v>
      </c>
      <c r="L4511">
        <v>76</v>
      </c>
      <c r="M4511">
        <v>12.58</v>
      </c>
      <c r="N4511">
        <v>12.66</v>
      </c>
      <c r="O4511" t="s">
        <v>19</v>
      </c>
      <c r="P4511" t="s">
        <v>1320</v>
      </c>
      <c r="Q4511" t="s">
        <v>19</v>
      </c>
      <c r="R4511" t="str">
        <f>HYPERLINK("https://cfpub.epa.gov/ecotox/explore.cfm?ncbi=37344","Explore in ECOTOX")</f>
        <v>Explore in ECOTOX</v>
      </c>
    </row>
    <row r="4512" spans="1:18" x14ac:dyDescent="0.45">
      <c r="A4512" t="s">
        <v>1265</v>
      </c>
      <c r="B4512">
        <v>8</v>
      </c>
      <c r="C4512" t="str">
        <f>HYPERLINK("http://www.ncbi.nlm.nih.gov/protein/XP_026830169.1","XP_026830169.1")</f>
        <v>XP_026830169.1</v>
      </c>
      <c r="D4512">
        <v>53815</v>
      </c>
      <c r="E4512" t="str">
        <f>HYPERLINK("http://www.ncbi.nlm.nih.gov/Taxonomy/Browser/wwwtax.cgi?mode=Info&amp;id=2015173&amp;lvl=3&amp;lin=f&amp;keep=1&amp;srchmode=1&amp;unlock","2015173")</f>
        <v>2015173</v>
      </c>
      <c r="F4512" t="s">
        <v>760</v>
      </c>
      <c r="G4512" t="str">
        <f>HYPERLINK("http://www.ncbi.nlm.nih.gov/Taxonomy/Browser/wwwtax.cgi?mode=Info&amp;id=2015173&amp;lvl=3&amp;lin=f&amp;keep=1&amp;srchmode=1&amp;unlock","Ooceraea biroi")</f>
        <v>Ooceraea biroi</v>
      </c>
      <c r="H4512" t="s">
        <v>814</v>
      </c>
      <c r="I4512" t="str">
        <f>HYPERLINK("http://www.ncbi.nlm.nih.gov/protein/XP_026830169.1","ryanodine receptor isoform X5")</f>
        <v>ryanodine receptor isoform X5</v>
      </c>
      <c r="J4512">
        <v>1285.78</v>
      </c>
      <c r="K4512" t="s">
        <v>22</v>
      </c>
      <c r="L4512">
        <v>76</v>
      </c>
      <c r="M4512">
        <v>12.58</v>
      </c>
      <c r="N4512">
        <v>12.65</v>
      </c>
      <c r="O4512" t="s">
        <v>19</v>
      </c>
      <c r="P4512" t="s">
        <v>1320</v>
      </c>
      <c r="Q4512" t="s">
        <v>19</v>
      </c>
      <c r="R4512" t="str">
        <f>HYPERLINK("https://cfpub.epa.gov/ecotox/explore.cfm?ncbi=2015173","Explore in ECOTOX")</f>
        <v>Explore in ECOTOX</v>
      </c>
    </row>
    <row r="4513" spans="1:18" x14ac:dyDescent="0.45">
      <c r="A4513" t="s">
        <v>1265</v>
      </c>
      <c r="B4513">
        <v>8</v>
      </c>
      <c r="C4513" t="str">
        <f>HYPERLINK("http://www.ncbi.nlm.nih.gov/protein/CRL01689.1","CRL01689.1")</f>
        <v>CRL01689.1</v>
      </c>
      <c r="D4513">
        <v>22646</v>
      </c>
      <c r="E4513" t="str">
        <f>HYPERLINK("http://www.ncbi.nlm.nih.gov/Taxonomy/Browser/wwwtax.cgi?mode=Info&amp;id=568069&amp;lvl=3&amp;lin=f&amp;keep=1&amp;srchmode=1&amp;unlock","568069")</f>
        <v>568069</v>
      </c>
      <c r="F4513" t="s">
        <v>760</v>
      </c>
      <c r="G4513" t="str">
        <f>HYPERLINK("http://www.ncbi.nlm.nih.gov/Taxonomy/Browser/wwwtax.cgi?mode=Info&amp;id=568069&amp;lvl=3&amp;lin=f&amp;keep=1&amp;srchmode=1&amp;unlock","Clunio marinus")</f>
        <v>Clunio marinus</v>
      </c>
      <c r="H4513" t="s">
        <v>974</v>
      </c>
      <c r="I4513" t="str">
        <f>HYPERLINK("http://www.ncbi.nlm.nih.gov/protein/CRL01689.1","CLUMA_CG014907, isoform B")</f>
        <v>CLUMA_CG014907, isoform B</v>
      </c>
      <c r="J4513">
        <v>1285.78</v>
      </c>
      <c r="K4513" t="s">
        <v>22</v>
      </c>
      <c r="L4513">
        <v>76</v>
      </c>
      <c r="M4513">
        <v>12.58</v>
      </c>
      <c r="N4513">
        <v>12.65</v>
      </c>
      <c r="O4513" t="s">
        <v>19</v>
      </c>
      <c r="P4513" t="s">
        <v>1320</v>
      </c>
      <c r="Q4513" t="s">
        <v>19</v>
      </c>
      <c r="R4513" t="str">
        <f>HYPERLINK("https://cfpub.epa.gov/ecotox/explore.cfm?ncbi=568069","Explore in ECOTOX")</f>
        <v>Explore in ECOTOX</v>
      </c>
    </row>
    <row r="4514" spans="1:18" x14ac:dyDescent="0.45">
      <c r="A4514" t="s">
        <v>1265</v>
      </c>
      <c r="B4514">
        <v>8</v>
      </c>
      <c r="C4514" t="str">
        <f>HYPERLINK("http://www.ncbi.nlm.nih.gov/protein/XP_039305062.1","XP_039305062.1")</f>
        <v>XP_039305062.1</v>
      </c>
      <c r="D4514">
        <v>31394</v>
      </c>
      <c r="E4514" t="str">
        <f>HYPERLINK("http://www.ncbi.nlm.nih.gov/Taxonomy/Browser/wwwtax.cgi?mode=Info&amp;id=13686&amp;lvl=3&amp;lin=f&amp;keep=1&amp;srchmode=1&amp;unlock","13686")</f>
        <v>13686</v>
      </c>
      <c r="F4514" t="s">
        <v>760</v>
      </c>
      <c r="G4514" t="str">
        <f>HYPERLINK("http://www.ncbi.nlm.nih.gov/Taxonomy/Browser/wwwtax.cgi?mode=Info&amp;id=13686&amp;lvl=3&amp;lin=f&amp;keep=1&amp;srchmode=1&amp;unlock","Solenopsis invicta")</f>
        <v>Solenopsis invicta</v>
      </c>
      <c r="H4514" t="s">
        <v>773</v>
      </c>
      <c r="I4514" t="str">
        <f>HYPERLINK("http://www.ncbi.nlm.nih.gov/protein/XP_039305062.1","ryanodine receptor isoform X9")</f>
        <v>ryanodine receptor isoform X9</v>
      </c>
      <c r="J4514">
        <v>1285.4000000000001</v>
      </c>
      <c r="K4514" t="s">
        <v>22</v>
      </c>
      <c r="L4514">
        <v>76</v>
      </c>
      <c r="M4514">
        <v>12.58</v>
      </c>
      <c r="N4514">
        <v>12.65</v>
      </c>
      <c r="O4514" t="s">
        <v>19</v>
      </c>
      <c r="P4514" t="s">
        <v>1320</v>
      </c>
      <c r="Q4514" t="s">
        <v>19</v>
      </c>
      <c r="R4514" t="str">
        <f>HYPERLINK("https://cfpub.epa.gov/ecotox/explore.cfm?ncbi=13686","Explore in ECOTOX")</f>
        <v>Explore in ECOTOX</v>
      </c>
    </row>
    <row r="4515" spans="1:18" x14ac:dyDescent="0.45">
      <c r="A4515" t="s">
        <v>1265</v>
      </c>
      <c r="B4515">
        <v>8</v>
      </c>
      <c r="C4515" t="str">
        <f>HYPERLINK("http://www.ncbi.nlm.nih.gov/protein/XP_018343964.1","XP_018343964.1")</f>
        <v>XP_018343964.1</v>
      </c>
      <c r="D4515">
        <v>35615</v>
      </c>
      <c r="E4515" t="str">
        <f>HYPERLINK("http://www.ncbi.nlm.nih.gov/Taxonomy/Browser/wwwtax.cgi?mode=Info&amp;id=34720&amp;lvl=3&amp;lin=f&amp;keep=1&amp;srchmode=1&amp;unlock","34720")</f>
        <v>34720</v>
      </c>
      <c r="F4515" t="s">
        <v>760</v>
      </c>
      <c r="G4515" t="str">
        <f>HYPERLINK("http://www.ncbi.nlm.nih.gov/Taxonomy/Browser/wwwtax.cgi?mode=Info&amp;id=34720&amp;lvl=3&amp;lin=f&amp;keep=1&amp;srchmode=1&amp;unlock","Trachymyrmex septentrionalis")</f>
        <v>Trachymyrmex septentrionalis</v>
      </c>
      <c r="H4515" t="s">
        <v>769</v>
      </c>
      <c r="I4515" t="str">
        <f>HYPERLINK("http://www.ncbi.nlm.nih.gov/protein/XP_018343964.1","PREDICTED: ryanodine receptor")</f>
        <v>PREDICTED: ryanodine receptor</v>
      </c>
      <c r="J4515">
        <v>1284.6300000000001</v>
      </c>
      <c r="K4515" t="s">
        <v>22</v>
      </c>
      <c r="L4515">
        <v>76</v>
      </c>
      <c r="M4515">
        <v>12.58</v>
      </c>
      <c r="N4515">
        <v>12.64</v>
      </c>
      <c r="O4515" t="s">
        <v>19</v>
      </c>
      <c r="P4515" t="s">
        <v>1320</v>
      </c>
      <c r="Q4515" t="s">
        <v>19</v>
      </c>
      <c r="R4515" t="str">
        <f>HYPERLINK("https://cfpub.epa.gov/ecotox/explore.cfm?ncbi=34720","Explore in ECOTOX")</f>
        <v>Explore in ECOTOX</v>
      </c>
    </row>
    <row r="4516" spans="1:18" x14ac:dyDescent="0.45">
      <c r="A4516" t="s">
        <v>1265</v>
      </c>
      <c r="B4516">
        <v>8</v>
      </c>
      <c r="C4516" t="str">
        <f>HYPERLINK("http://www.ncbi.nlm.nih.gov/protein/KAH9399924.1","KAH9399924.1")</f>
        <v>KAH9399924.1</v>
      </c>
      <c r="D4516">
        <v>23349</v>
      </c>
      <c r="E4516" t="str">
        <f>HYPERLINK("http://www.ncbi.nlm.nih.gov/Taxonomy/Browser/wwwtax.cgi?mode=Info&amp;id=59818&amp;lvl=3&amp;lin=f&amp;keep=1&amp;srchmode=1&amp;unlock","59818")</f>
        <v>59818</v>
      </c>
      <c r="F4516" t="s">
        <v>904</v>
      </c>
      <c r="G4516" t="str">
        <f>HYPERLINK("http://www.ncbi.nlm.nih.gov/Taxonomy/Browser/wwwtax.cgi?mode=Info&amp;id=59818&amp;lvl=3&amp;lin=f&amp;keep=1&amp;srchmode=1&amp;unlock","Tyrophagus putrescentiae")</f>
        <v>Tyrophagus putrescentiae</v>
      </c>
      <c r="H4516" t="s">
        <v>1126</v>
      </c>
      <c r="I4516" t="str">
        <f>HYPERLINK("http://www.ncbi.nlm.nih.gov/protein/KAH9399924.1","Ryanodine receptor 2")</f>
        <v>Ryanodine receptor 2</v>
      </c>
      <c r="J4516">
        <v>1284.24</v>
      </c>
      <c r="K4516" t="s">
        <v>22</v>
      </c>
      <c r="L4516">
        <v>76</v>
      </c>
      <c r="M4516">
        <v>12.58</v>
      </c>
      <c r="N4516">
        <v>12.64</v>
      </c>
      <c r="O4516" t="s">
        <v>19</v>
      </c>
      <c r="P4516" t="s">
        <v>1320</v>
      </c>
      <c r="Q4516" t="s">
        <v>19</v>
      </c>
      <c r="R4516" t="str">
        <f>HYPERLINK("https://cfpub.epa.gov/ecotox/explore.cfm?ncbi=59818","Explore in ECOTOX")</f>
        <v>Explore in ECOTOX</v>
      </c>
    </row>
    <row r="4517" spans="1:18" x14ac:dyDescent="0.45">
      <c r="A4517" t="s">
        <v>1265</v>
      </c>
      <c r="B4517">
        <v>8</v>
      </c>
      <c r="C4517" t="str">
        <f>HYPERLINK("http://www.ncbi.nlm.nih.gov/protein/XP_043499296.1","XP_043499296.1")</f>
        <v>XP_043499296.1</v>
      </c>
      <c r="D4517">
        <v>20977</v>
      </c>
      <c r="E4517" t="str">
        <f>HYPERLINK("http://www.ncbi.nlm.nih.gov/Taxonomy/Browser/wwwtax.cgi?mode=Info&amp;id=30207&amp;lvl=3&amp;lin=f&amp;keep=1&amp;srchmode=1&amp;unlock","30207")</f>
        <v>30207</v>
      </c>
      <c r="F4517" t="s">
        <v>760</v>
      </c>
      <c r="G4517" t="str">
        <f>HYPERLINK("http://www.ncbi.nlm.nih.gov/Taxonomy/Browser/wwwtax.cgi?mode=Info&amp;id=30207&amp;lvl=3&amp;lin=f&amp;keep=1&amp;srchmode=1&amp;unlock","Polistes fuscatus")</f>
        <v>Polistes fuscatus</v>
      </c>
      <c r="H4517" t="s">
        <v>813</v>
      </c>
      <c r="I4517" t="str">
        <f>HYPERLINK("http://www.ncbi.nlm.nih.gov/protein/XP_043499296.1","ryanodine receptor isoform X2")</f>
        <v>ryanodine receptor isoform X2</v>
      </c>
      <c r="J4517">
        <v>1283.8599999999999</v>
      </c>
      <c r="K4517" t="s">
        <v>22</v>
      </c>
      <c r="L4517">
        <v>76</v>
      </c>
      <c r="M4517">
        <v>12.58</v>
      </c>
      <c r="N4517">
        <v>12.64</v>
      </c>
      <c r="O4517" t="s">
        <v>19</v>
      </c>
      <c r="P4517" t="s">
        <v>1320</v>
      </c>
      <c r="Q4517" t="s">
        <v>19</v>
      </c>
      <c r="R4517" t="str">
        <f>HYPERLINK("https://cfpub.epa.gov/ecotox/explore.cfm?ncbi=30207","Explore in ECOTOX")</f>
        <v>Explore in ECOTOX</v>
      </c>
    </row>
    <row r="4518" spans="1:18" x14ac:dyDescent="0.45">
      <c r="A4518" t="s">
        <v>1265</v>
      </c>
      <c r="B4518">
        <v>8</v>
      </c>
      <c r="C4518" t="str">
        <f>HYPERLINK("http://www.ncbi.nlm.nih.gov/protein/XP_027222950.1","XP_027222950.1")</f>
        <v>XP_027222950.1</v>
      </c>
      <c r="D4518">
        <v>60260</v>
      </c>
      <c r="E4518" t="str">
        <f>HYPERLINK("http://www.ncbi.nlm.nih.gov/Taxonomy/Browser/wwwtax.cgi?mode=Info&amp;id=6689&amp;lvl=3&amp;lin=f&amp;keep=1&amp;srchmode=1&amp;unlock","6689")</f>
        <v>6689</v>
      </c>
      <c r="F4518" t="s">
        <v>779</v>
      </c>
      <c r="G4518" t="str">
        <f>HYPERLINK("http://www.ncbi.nlm.nih.gov/Taxonomy/Browser/wwwtax.cgi?mode=Info&amp;id=6689&amp;lvl=3&amp;lin=f&amp;keep=1&amp;srchmode=1&amp;unlock","Penaeus vannamei")</f>
        <v>Penaeus vannamei</v>
      </c>
      <c r="H4518" t="s">
        <v>1069</v>
      </c>
      <c r="I4518" t="str">
        <f>HYPERLINK("http://www.ncbi.nlm.nih.gov/protein/XP_027222950.1","LOW QUALITY PROTEIN: ryanodine receptor-like")</f>
        <v>LOW QUALITY PROTEIN: ryanodine receptor-like</v>
      </c>
      <c r="J4518">
        <v>1281.54</v>
      </c>
      <c r="K4518" t="s">
        <v>22</v>
      </c>
      <c r="L4518">
        <v>76</v>
      </c>
      <c r="M4518">
        <v>12.58</v>
      </c>
      <c r="N4518">
        <v>12.61</v>
      </c>
      <c r="O4518" t="s">
        <v>19</v>
      </c>
      <c r="P4518" t="s">
        <v>1320</v>
      </c>
      <c r="Q4518" t="s">
        <v>19</v>
      </c>
      <c r="R4518" t="str">
        <f>HYPERLINK("https://cfpub.epa.gov/ecotox/explore.cfm?ncbi=6689","Explore in ECOTOX")</f>
        <v>Explore in ECOTOX</v>
      </c>
    </row>
    <row r="4519" spans="1:18" x14ac:dyDescent="0.45">
      <c r="A4519" t="s">
        <v>1265</v>
      </c>
      <c r="B4519">
        <v>8</v>
      </c>
      <c r="C4519" t="str">
        <f>HYPERLINK("http://www.ncbi.nlm.nih.gov/protein/NIG60120.1","NIG60120.1")</f>
        <v>NIG60120.1</v>
      </c>
      <c r="D4519">
        <v>4401</v>
      </c>
      <c r="E4519" t="str">
        <f>HYPERLINK("http://www.ncbi.nlm.nih.gov/Taxonomy/Browser/wwwtax.cgi?mode=Info&amp;id=48723&amp;lvl=3&amp;lin=f&amp;keep=1&amp;srchmode=1&amp;unlock","48723")</f>
        <v>48723</v>
      </c>
      <c r="F4519" t="s">
        <v>96</v>
      </c>
      <c r="G4519" t="str">
        <f>HYPERLINK("http://www.ncbi.nlm.nih.gov/Taxonomy/Browser/wwwtax.cgi?mode=Info&amp;id=48723&amp;lvl=3&amp;lin=f&amp;keep=1&amp;srchmode=1&amp;unlock","Pontoporia blainvillei")</f>
        <v>Pontoporia blainvillei</v>
      </c>
      <c r="H4519" t="s">
        <v>1173</v>
      </c>
      <c r="I4519" t="str">
        <f>HYPERLINK("http://www.ncbi.nlm.nih.gov/protein/NIG60120.1","ryanodine receptor 1")</f>
        <v>ryanodine receptor 1</v>
      </c>
      <c r="J4519">
        <v>1281.1600000000001</v>
      </c>
      <c r="K4519" t="s">
        <v>22</v>
      </c>
      <c r="L4519">
        <v>76</v>
      </c>
      <c r="M4519">
        <v>12.58</v>
      </c>
      <c r="N4519">
        <v>12.61</v>
      </c>
      <c r="O4519" t="s">
        <v>19</v>
      </c>
      <c r="P4519" t="s">
        <v>1320</v>
      </c>
      <c r="Q4519" t="s">
        <v>19</v>
      </c>
      <c r="R4519" t="str">
        <f>HYPERLINK("https://cfpub.epa.gov/ecotox/explore.cfm?ncbi=48723","Explore in ECOTOX")</f>
        <v>Explore in ECOTOX</v>
      </c>
    </row>
    <row r="4520" spans="1:18" x14ac:dyDescent="0.45">
      <c r="A4520" t="s">
        <v>1265</v>
      </c>
      <c r="B4520">
        <v>8</v>
      </c>
      <c r="C4520" t="str">
        <f>HYPERLINK("http://www.ncbi.nlm.nih.gov/protein/XP_046751971.1","XP_046751971.1")</f>
        <v>XP_046751971.1</v>
      </c>
      <c r="D4520">
        <v>20474</v>
      </c>
      <c r="E4520" t="str">
        <f>HYPERLINK("http://www.ncbi.nlm.nih.gov/Taxonomy/Browser/wwwtax.cgi?mode=Info&amp;id=362088&amp;lvl=3&amp;lin=f&amp;keep=1&amp;srchmode=1&amp;unlock","362088")</f>
        <v>362088</v>
      </c>
      <c r="F4520" t="s">
        <v>760</v>
      </c>
      <c r="G4520" t="str">
        <f>HYPERLINK("http://www.ncbi.nlm.nih.gov/Taxonomy/Browser/wwwtax.cgi?mode=Info&amp;id=362088&amp;lvl=3&amp;lin=f&amp;keep=1&amp;srchmode=1&amp;unlock","Diprion similis")</f>
        <v>Diprion similis</v>
      </c>
      <c r="H4520" t="s">
        <v>1046</v>
      </c>
      <c r="I4520" t="str">
        <f>HYPERLINK("http://www.ncbi.nlm.nih.gov/protein/XP_046751971.1","ryanodine receptor isoform X14")</f>
        <v>ryanodine receptor isoform X14</v>
      </c>
      <c r="J4520">
        <v>1280.77</v>
      </c>
      <c r="K4520" t="s">
        <v>22</v>
      </c>
      <c r="L4520">
        <v>76</v>
      </c>
      <c r="M4520">
        <v>12.58</v>
      </c>
      <c r="N4520">
        <v>12.61</v>
      </c>
      <c r="O4520" t="s">
        <v>19</v>
      </c>
      <c r="P4520" t="s">
        <v>1320</v>
      </c>
      <c r="Q4520" t="s">
        <v>19</v>
      </c>
      <c r="R4520" t="str">
        <f>HYPERLINK("https://cfpub.epa.gov/ecotox/explore.cfm?ncbi=362088","Explore in ECOTOX")</f>
        <v>Explore in ECOTOX</v>
      </c>
    </row>
    <row r="4521" spans="1:18" x14ac:dyDescent="0.45">
      <c r="A4521" t="s">
        <v>1265</v>
      </c>
      <c r="B4521">
        <v>8</v>
      </c>
      <c r="C4521" t="str">
        <f>HYPERLINK("http://www.ncbi.nlm.nih.gov/protein/KAK2581454.1","KAK2581454.1")</f>
        <v>KAK2581454.1</v>
      </c>
      <c r="D4521">
        <v>14711</v>
      </c>
      <c r="E4521" t="str">
        <f>HYPERLINK("http://www.ncbi.nlm.nih.gov/Taxonomy/Browser/wwwtax.cgi?mode=Info&amp;id=1348599&amp;lvl=3&amp;lin=f&amp;keep=1&amp;srchmode=1&amp;unlock","1348599")</f>
        <v>1348599</v>
      </c>
      <c r="F4521" t="s">
        <v>760</v>
      </c>
      <c r="G4521" t="str">
        <f>HYPERLINK("http://www.ncbi.nlm.nih.gov/Taxonomy/Browser/wwwtax.cgi?mode=Info&amp;id=1348599&amp;lvl=3&amp;lin=f&amp;keep=1&amp;srchmode=1&amp;unlock","Odynerus spinipes")</f>
        <v>Odynerus spinipes</v>
      </c>
      <c r="H4521" t="s">
        <v>1048</v>
      </c>
      <c r="I4521" t="str">
        <f>HYPERLINK("http://www.ncbi.nlm.nih.gov/protein/KAK2581454.1","hypothetical protein KPH14_005126")</f>
        <v>hypothetical protein KPH14_005126</v>
      </c>
      <c r="J4521">
        <v>1280.77</v>
      </c>
      <c r="K4521" t="s">
        <v>22</v>
      </c>
      <c r="L4521">
        <v>76</v>
      </c>
      <c r="M4521">
        <v>12.58</v>
      </c>
      <c r="N4521">
        <v>12.61</v>
      </c>
      <c r="O4521" t="s">
        <v>19</v>
      </c>
      <c r="P4521" t="s">
        <v>1320</v>
      </c>
      <c r="Q4521" t="s">
        <v>19</v>
      </c>
      <c r="R4521" t="str">
        <f>HYPERLINK("https://cfpub.epa.gov/ecotox/explore.cfm?ncbi=1348599","Explore in ECOTOX")</f>
        <v>Explore in ECOTOX</v>
      </c>
    </row>
    <row r="4522" spans="1:18" x14ac:dyDescent="0.45">
      <c r="A4522" t="s">
        <v>1265</v>
      </c>
      <c r="B4522">
        <v>8</v>
      </c>
      <c r="C4522" t="str">
        <f>HYPERLINK("http://www.ncbi.nlm.nih.gov/protein/XP_034245295.1","XP_034245295.1")</f>
        <v>XP_034245295.1</v>
      </c>
      <c r="D4522">
        <v>27733</v>
      </c>
      <c r="E4522" t="str">
        <f>HYPERLINK("http://www.ncbi.nlm.nih.gov/Taxonomy/Browser/wwwtax.cgi?mode=Info&amp;id=161013&amp;lvl=3&amp;lin=f&amp;keep=1&amp;srchmode=1&amp;unlock","161013")</f>
        <v>161013</v>
      </c>
      <c r="F4522" t="s">
        <v>760</v>
      </c>
      <c r="G4522" t="str">
        <f>HYPERLINK("http://www.ncbi.nlm.nih.gov/Taxonomy/Browser/wwwtax.cgi?mode=Info&amp;id=161013&amp;lvl=3&amp;lin=f&amp;keep=1&amp;srchmode=1&amp;unlock","Thrips palmi")</f>
        <v>Thrips palmi</v>
      </c>
      <c r="H4522" t="s">
        <v>1037</v>
      </c>
      <c r="I4522" t="str">
        <f>HYPERLINK("http://www.ncbi.nlm.nih.gov/protein/XP_034245295.1","ryanodine receptor")</f>
        <v>ryanodine receptor</v>
      </c>
      <c r="J4522">
        <v>1280.3900000000001</v>
      </c>
      <c r="K4522" t="s">
        <v>22</v>
      </c>
      <c r="L4522">
        <v>76</v>
      </c>
      <c r="M4522">
        <v>12.58</v>
      </c>
      <c r="N4522">
        <v>12.6</v>
      </c>
      <c r="O4522" t="s">
        <v>19</v>
      </c>
      <c r="P4522" t="s">
        <v>1320</v>
      </c>
      <c r="Q4522" t="s">
        <v>19</v>
      </c>
      <c r="R4522" t="str">
        <f>HYPERLINK("https://cfpub.epa.gov/ecotox/explore.cfm?ncbi=161013","Explore in ECOTOX")</f>
        <v>Explore in ECOTOX</v>
      </c>
    </row>
    <row r="4523" spans="1:18" x14ac:dyDescent="0.45">
      <c r="A4523" t="s">
        <v>1265</v>
      </c>
      <c r="B4523">
        <v>8</v>
      </c>
      <c r="C4523" t="str">
        <f>HYPERLINK("http://www.ncbi.nlm.nih.gov/protein/XP_015609507.1","XP_015609507.1")</f>
        <v>XP_015609507.1</v>
      </c>
      <c r="D4523">
        <v>32159</v>
      </c>
      <c r="E4523" t="str">
        <f>HYPERLINK("http://www.ncbi.nlm.nih.gov/Taxonomy/Browser/wwwtax.cgi?mode=Info&amp;id=211228&amp;lvl=3&amp;lin=f&amp;keep=1&amp;srchmode=1&amp;unlock","211228")</f>
        <v>211228</v>
      </c>
      <c r="F4523" t="s">
        <v>760</v>
      </c>
      <c r="G4523" t="str">
        <f>HYPERLINK("http://www.ncbi.nlm.nih.gov/Taxonomy/Browser/wwwtax.cgi?mode=Info&amp;id=211228&amp;lvl=3&amp;lin=f&amp;keep=1&amp;srchmode=1&amp;unlock","Cephus cinctus")</f>
        <v>Cephus cinctus</v>
      </c>
      <c r="H4523" t="s">
        <v>1043</v>
      </c>
      <c r="I4523" t="str">
        <f>HYPERLINK("http://www.ncbi.nlm.nih.gov/protein/XP_015609507.1","ryanodine receptor isoform X24")</f>
        <v>ryanodine receptor isoform X24</v>
      </c>
      <c r="J4523">
        <v>1280</v>
      </c>
      <c r="K4523" t="s">
        <v>22</v>
      </c>
      <c r="L4523">
        <v>76</v>
      </c>
      <c r="M4523">
        <v>12.58</v>
      </c>
      <c r="N4523">
        <v>12.6</v>
      </c>
      <c r="O4523" t="s">
        <v>19</v>
      </c>
      <c r="P4523" t="s">
        <v>1320</v>
      </c>
      <c r="Q4523" t="s">
        <v>19</v>
      </c>
      <c r="R4523" t="str">
        <f>HYPERLINK("https://cfpub.epa.gov/ecotox/explore.cfm?ncbi=211228","Explore in ECOTOX")</f>
        <v>Explore in ECOTOX</v>
      </c>
    </row>
    <row r="4524" spans="1:18" x14ac:dyDescent="0.45">
      <c r="A4524" t="s">
        <v>1265</v>
      </c>
      <c r="B4524">
        <v>8</v>
      </c>
      <c r="C4524" t="str">
        <f>HYPERLINK("http://www.ncbi.nlm.nih.gov/protein/XP_046629330.1","XP_046629330.1")</f>
        <v>XP_046629330.1</v>
      </c>
      <c r="D4524">
        <v>27757</v>
      </c>
      <c r="E4524" t="str">
        <f>HYPERLINK("http://www.ncbi.nlm.nih.gov/Taxonomy/Browser/wwwtax.cgi?mode=Info&amp;id=2961670&amp;lvl=3&amp;lin=f&amp;keep=1&amp;srchmode=1&amp;unlock","2961670")</f>
        <v>2961670</v>
      </c>
      <c r="F4524" t="s">
        <v>760</v>
      </c>
      <c r="G4524" t="str">
        <f>HYPERLINK("http://www.ncbi.nlm.nih.gov/Taxonomy/Browser/wwwtax.cgi?mode=Info&amp;id=2961670&amp;lvl=3&amp;lin=f&amp;keep=1&amp;srchmode=1&amp;unlock","Neodiprion virginianus")</f>
        <v>Neodiprion virginianus</v>
      </c>
      <c r="H4524" t="s">
        <v>1046</v>
      </c>
      <c r="I4524" t="str">
        <f>HYPERLINK("http://www.ncbi.nlm.nih.gov/protein/XP_046629330.1","ryanodine receptor")</f>
        <v>ryanodine receptor</v>
      </c>
      <c r="J4524">
        <v>1278.46</v>
      </c>
      <c r="K4524" t="s">
        <v>19</v>
      </c>
      <c r="L4524">
        <v>76</v>
      </c>
      <c r="M4524">
        <v>12.58</v>
      </c>
      <c r="N4524">
        <v>12.58</v>
      </c>
      <c r="O4524" t="s">
        <v>19</v>
      </c>
      <c r="P4524" t="s">
        <v>1320</v>
      </c>
      <c r="Q4524" t="s">
        <v>19</v>
      </c>
      <c r="R4524" t="str">
        <f>HYPERLINK("https://cfpub.epa.gov/ecotox/explore.cfm?ncbi=2961670","Explore in ECOTOX")</f>
        <v>Explore in ECOTOX</v>
      </c>
    </row>
    <row r="4525" spans="1:18" x14ac:dyDescent="0.45">
      <c r="A4525" t="s">
        <v>1265</v>
      </c>
      <c r="B4525">
        <v>8</v>
      </c>
      <c r="C4525" t="str">
        <f>HYPERLINK("http://www.ncbi.nlm.nih.gov/protein/XP_028982483.1","XP_028982483.1")</f>
        <v>XP_028982483.1</v>
      </c>
      <c r="D4525">
        <v>19520</v>
      </c>
      <c r="E4525" t="str">
        <f>HYPERLINK("http://www.ncbi.nlm.nih.gov/Taxonomy/Browser/wwwtax.cgi?mode=Info&amp;id=454923&amp;lvl=3&amp;lin=f&amp;keep=1&amp;srchmode=1&amp;unlock","454923")</f>
        <v>454923</v>
      </c>
      <c r="F4525" t="s">
        <v>760</v>
      </c>
      <c r="G4525" t="str">
        <f>HYPERLINK("http://www.ncbi.nlm.nih.gov/Taxonomy/Browser/wwwtax.cgi?mode=Info&amp;id=454923&amp;lvl=3&amp;lin=f&amp;keep=1&amp;srchmode=1&amp;unlock","Diachasma alloeum")</f>
        <v>Diachasma alloeum</v>
      </c>
      <c r="H4525" t="s">
        <v>769</v>
      </c>
      <c r="I4525" t="str">
        <f>HYPERLINK("http://www.ncbi.nlm.nih.gov/protein/XP_028982483.1","LOW QUALITY PROTEIN: ryanodine receptor")</f>
        <v>LOW QUALITY PROTEIN: ryanodine receptor</v>
      </c>
      <c r="J4525">
        <v>1273.8399999999999</v>
      </c>
      <c r="K4525" t="s">
        <v>22</v>
      </c>
      <c r="L4525">
        <v>76</v>
      </c>
      <c r="M4525">
        <v>12.58</v>
      </c>
      <c r="N4525">
        <v>12.54</v>
      </c>
      <c r="O4525" t="s">
        <v>19</v>
      </c>
      <c r="P4525" t="s">
        <v>1320</v>
      </c>
      <c r="Q4525" t="s">
        <v>19</v>
      </c>
      <c r="R4525" t="str">
        <f>HYPERLINK("https://cfpub.epa.gov/ecotox/explore.cfm?ncbi=454923","Explore in ECOTOX")</f>
        <v>Explore in ECOTOX</v>
      </c>
    </row>
    <row r="4526" spans="1:18" x14ac:dyDescent="0.45">
      <c r="A4526" t="s">
        <v>1265</v>
      </c>
      <c r="B4526">
        <v>8</v>
      </c>
      <c r="C4526" t="str">
        <f>HYPERLINK("http://www.ncbi.nlm.nih.gov/protein/KAI4503161.1","KAI4503161.1")</f>
        <v>KAI4503161.1</v>
      </c>
      <c r="D4526">
        <v>17014</v>
      </c>
      <c r="E4526" t="str">
        <f>HYPERLINK("http://www.ncbi.nlm.nih.gov/Taxonomy/Browser/wwwtax.cgi?mode=Info&amp;id=91405&amp;lvl=3&amp;lin=f&amp;keep=1&amp;srchmode=1&amp;unlock","91405")</f>
        <v>91405</v>
      </c>
      <c r="F4526" t="s">
        <v>760</v>
      </c>
      <c r="G4526" t="str">
        <f>HYPERLINK("http://www.ncbi.nlm.nih.gov/Taxonomy/Browser/wwwtax.cgi?mode=Info&amp;id=91405&amp;lvl=3&amp;lin=f&amp;keep=1&amp;srchmode=1&amp;unlock","Mischocyttarus mexicanus")</f>
        <v>Mischocyttarus mexicanus</v>
      </c>
      <c r="H4526" t="s">
        <v>808</v>
      </c>
      <c r="I4526" t="str">
        <f>HYPERLINK("http://www.ncbi.nlm.nih.gov/protein/KAI4503161.1","hypothetical protein M0802_001383")</f>
        <v>hypothetical protein M0802_001383</v>
      </c>
      <c r="J4526">
        <v>1271.9100000000001</v>
      </c>
      <c r="K4526" t="s">
        <v>22</v>
      </c>
      <c r="L4526">
        <v>76</v>
      </c>
      <c r="M4526">
        <v>12.58</v>
      </c>
      <c r="N4526">
        <v>12.52</v>
      </c>
      <c r="O4526" t="s">
        <v>19</v>
      </c>
      <c r="P4526" t="s">
        <v>1320</v>
      </c>
      <c r="Q4526" t="s">
        <v>19</v>
      </c>
      <c r="R4526" t="str">
        <f>HYPERLINK("https://cfpub.epa.gov/ecotox/explore.cfm?ncbi=91405","Explore in ECOTOX")</f>
        <v>Explore in ECOTOX</v>
      </c>
    </row>
    <row r="4527" spans="1:18" x14ac:dyDescent="0.45">
      <c r="A4527" t="s">
        <v>1265</v>
      </c>
      <c r="B4527">
        <v>8</v>
      </c>
      <c r="C4527" t="str">
        <f>HYPERLINK("http://www.ncbi.nlm.nih.gov/protein/XP_011300760.1","XP_011300760.1")</f>
        <v>XP_011300760.1</v>
      </c>
      <c r="D4527">
        <v>19063</v>
      </c>
      <c r="E4527" t="str">
        <f>HYPERLINK("http://www.ncbi.nlm.nih.gov/Taxonomy/Browser/wwwtax.cgi?mode=Info&amp;id=64838&amp;lvl=3&amp;lin=f&amp;keep=1&amp;srchmode=1&amp;unlock","64838")</f>
        <v>64838</v>
      </c>
      <c r="F4527" t="s">
        <v>760</v>
      </c>
      <c r="G4527" t="str">
        <f>HYPERLINK("http://www.ncbi.nlm.nih.gov/Taxonomy/Browser/wwwtax.cgi?mode=Info&amp;id=64838&amp;lvl=3&amp;lin=f&amp;keep=1&amp;srchmode=1&amp;unlock","Fopius arisanus")</f>
        <v>Fopius arisanus</v>
      </c>
      <c r="H4527" t="s">
        <v>769</v>
      </c>
      <c r="I4527" t="str">
        <f>HYPERLINK("http://www.ncbi.nlm.nih.gov/protein/XP_011300760.1","PREDICTED: ryanodine receptor 44F isoform X3")</f>
        <v>PREDICTED: ryanodine receptor 44F isoform X3</v>
      </c>
      <c r="J4527">
        <v>1271.53</v>
      </c>
      <c r="K4527" t="s">
        <v>22</v>
      </c>
      <c r="L4527">
        <v>76</v>
      </c>
      <c r="M4527">
        <v>12.58</v>
      </c>
      <c r="N4527">
        <v>12.51</v>
      </c>
      <c r="O4527" t="s">
        <v>19</v>
      </c>
      <c r="P4527" t="s">
        <v>1320</v>
      </c>
      <c r="Q4527" t="s">
        <v>19</v>
      </c>
      <c r="R4527" t="str">
        <f>HYPERLINK("https://cfpub.epa.gov/ecotox/explore.cfm?ncbi=64838","Explore in ECOTOX")</f>
        <v>Explore in ECOTOX</v>
      </c>
    </row>
    <row r="4528" spans="1:18" x14ac:dyDescent="0.45">
      <c r="A4528" t="s">
        <v>1265</v>
      </c>
      <c r="B4528">
        <v>8</v>
      </c>
      <c r="C4528" t="str">
        <f>HYPERLINK("http://www.ncbi.nlm.nih.gov/protein/CAD7567814.1","CAD7567814.1")</f>
        <v>CAD7567814.1</v>
      </c>
      <c r="D4528">
        <v>14803</v>
      </c>
      <c r="E4528" t="str">
        <f>HYPERLINK("http://www.ncbi.nlm.nih.gov/Taxonomy/Browser/wwwtax.cgi?mode=Info&amp;id=61474&amp;lvl=3&amp;lin=f&amp;keep=1&amp;srchmode=1&amp;unlock","61474")</f>
        <v>61474</v>
      </c>
      <c r="F4528" t="s">
        <v>760</v>
      </c>
      <c r="G4528" t="str">
        <f>HYPERLINK("http://www.ncbi.nlm.nih.gov/Taxonomy/Browser/wwwtax.cgi?mode=Info&amp;id=61474&amp;lvl=3&amp;lin=f&amp;keep=1&amp;srchmode=1&amp;unlock","Timema californicum")</f>
        <v>Timema californicum</v>
      </c>
      <c r="H4528" t="s">
        <v>1175</v>
      </c>
      <c r="I4528" t="str">
        <f>HYPERLINK("http://www.ncbi.nlm.nih.gov/protein/CAD7567814.1","unnamed protein product")</f>
        <v>unnamed protein product</v>
      </c>
      <c r="J4528">
        <v>1271.53</v>
      </c>
      <c r="K4528" t="s">
        <v>22</v>
      </c>
      <c r="L4528">
        <v>76</v>
      </c>
      <c r="M4528">
        <v>12.58</v>
      </c>
      <c r="N4528">
        <v>12.51</v>
      </c>
      <c r="O4528" t="s">
        <v>19</v>
      </c>
      <c r="P4528" t="s">
        <v>1320</v>
      </c>
      <c r="Q4528" t="s">
        <v>19</v>
      </c>
      <c r="R4528" t="str">
        <f>HYPERLINK("https://cfpub.epa.gov/ecotox/explore.cfm?ncbi=61474","Explore in ECOTOX")</f>
        <v>Explore in ECOTOX</v>
      </c>
    </row>
    <row r="4529" spans="1:18" x14ac:dyDescent="0.45">
      <c r="A4529" t="s">
        <v>1265</v>
      </c>
      <c r="B4529">
        <v>8</v>
      </c>
      <c r="C4529" t="str">
        <f>HYPERLINK("http://www.ncbi.nlm.nih.gov/protein/OQR66500.1","OQR66500.1")</f>
        <v>OQR66500.1</v>
      </c>
      <c r="D4529">
        <v>14418</v>
      </c>
      <c r="E4529" t="str">
        <f>HYPERLINK("http://www.ncbi.nlm.nih.gov/Taxonomy/Browser/wwwtax.cgi?mode=Info&amp;id=418985&amp;lvl=3&amp;lin=f&amp;keep=1&amp;srchmode=1&amp;unlock","418985")</f>
        <v>418985</v>
      </c>
      <c r="F4529" t="s">
        <v>904</v>
      </c>
      <c r="G4529" t="str">
        <f>HYPERLINK("http://www.ncbi.nlm.nih.gov/Taxonomy/Browser/wwwtax.cgi?mode=Info&amp;id=418985&amp;lvl=3&amp;lin=f&amp;keep=1&amp;srchmode=1&amp;unlock","Tropilaelaps mercedesae")</f>
        <v>Tropilaelaps mercedesae</v>
      </c>
      <c r="H4529" t="s">
        <v>992</v>
      </c>
      <c r="I4529" t="str">
        <f>HYPERLINK("http://www.ncbi.nlm.nih.gov/protein/OQR66500.1","ryanodine receptor 44F-like, partial")</f>
        <v>ryanodine receptor 44F-like, partial</v>
      </c>
      <c r="J4529">
        <v>1271.1400000000001</v>
      </c>
      <c r="K4529" t="s">
        <v>22</v>
      </c>
      <c r="L4529">
        <v>76</v>
      </c>
      <c r="M4529">
        <v>12.58</v>
      </c>
      <c r="N4529">
        <v>12.51</v>
      </c>
      <c r="O4529" t="s">
        <v>19</v>
      </c>
      <c r="P4529" t="s">
        <v>1320</v>
      </c>
      <c r="Q4529" t="s">
        <v>19</v>
      </c>
      <c r="R4529" t="str">
        <f>HYPERLINK("https://cfpub.epa.gov/ecotox/explore.cfm?ncbi=418985","Explore in ECOTOX")</f>
        <v>Explore in ECOTOX</v>
      </c>
    </row>
    <row r="4530" spans="1:18" x14ac:dyDescent="0.45">
      <c r="A4530" t="s">
        <v>1265</v>
      </c>
      <c r="B4530">
        <v>8</v>
      </c>
      <c r="C4530" t="str">
        <f>HYPERLINK("http://www.ncbi.nlm.nih.gov/protein/XP_011054963.1","XP_011054963.1")</f>
        <v>XP_011054963.1</v>
      </c>
      <c r="D4530">
        <v>34211</v>
      </c>
      <c r="E4530" t="str">
        <f>HYPERLINK("http://www.ncbi.nlm.nih.gov/Taxonomy/Browser/wwwtax.cgi?mode=Info&amp;id=103372&amp;lvl=3&amp;lin=f&amp;keep=1&amp;srchmode=1&amp;unlock","103372")</f>
        <v>103372</v>
      </c>
      <c r="F4530" t="s">
        <v>760</v>
      </c>
      <c r="G4530" t="str">
        <f>HYPERLINK("http://www.ncbi.nlm.nih.gov/Taxonomy/Browser/wwwtax.cgi?mode=Info&amp;id=103372&amp;lvl=3&amp;lin=f&amp;keep=1&amp;srchmode=1&amp;unlock","Acromyrmex echinatior")</f>
        <v>Acromyrmex echinatior</v>
      </c>
      <c r="H4530" t="s">
        <v>818</v>
      </c>
      <c r="I4530" t="str">
        <f>HYPERLINK("http://www.ncbi.nlm.nih.gov/protein/XP_011054963.1","PREDICTED: LOW QUALITY PROTEIN: ryanodine receptor 44F")</f>
        <v>PREDICTED: LOW QUALITY PROTEIN: ryanodine receptor 44F</v>
      </c>
      <c r="J4530">
        <v>1270.3699999999999</v>
      </c>
      <c r="K4530" t="s">
        <v>22</v>
      </c>
      <c r="L4530">
        <v>76</v>
      </c>
      <c r="M4530">
        <v>12.58</v>
      </c>
      <c r="N4530">
        <v>12.5</v>
      </c>
      <c r="O4530" t="s">
        <v>19</v>
      </c>
      <c r="P4530" t="s">
        <v>1320</v>
      </c>
      <c r="Q4530" t="s">
        <v>19</v>
      </c>
      <c r="R4530" t="str">
        <f>HYPERLINK("https://cfpub.epa.gov/ecotox/explore.cfm?ncbi=103372","Explore in ECOTOX")</f>
        <v>Explore in ECOTOX</v>
      </c>
    </row>
    <row r="4531" spans="1:18" x14ac:dyDescent="0.45">
      <c r="A4531" t="s">
        <v>1265</v>
      </c>
      <c r="B4531">
        <v>8</v>
      </c>
      <c r="C4531" t="str">
        <f>HYPERLINK("http://www.ncbi.nlm.nih.gov/protein/KAG5331909.1","KAG5331909.1")</f>
        <v>KAG5331909.1</v>
      </c>
      <c r="D4531">
        <v>8971</v>
      </c>
      <c r="E4531" t="str">
        <f>HYPERLINK("http://www.ncbi.nlm.nih.gov/Taxonomy/Browser/wwwtax.cgi?mode=Info&amp;id=2715315&amp;lvl=3&amp;lin=f&amp;keep=1&amp;srchmode=1&amp;unlock","2715315")</f>
        <v>2715315</v>
      </c>
      <c r="F4531" t="s">
        <v>760</v>
      </c>
      <c r="G4531" t="str">
        <f>HYPERLINK("http://www.ncbi.nlm.nih.gov/Taxonomy/Browser/wwwtax.cgi?mode=Info&amp;id=2715315&amp;lvl=3&amp;lin=f&amp;keep=1&amp;srchmode=1&amp;unlock","Acromyrmex charruanus")</f>
        <v>Acromyrmex charruanus</v>
      </c>
      <c r="H4531" t="s">
        <v>769</v>
      </c>
      <c r="I4531" t="str">
        <f>HYPERLINK("http://www.ncbi.nlm.nih.gov/protein/KAG5331909.1","RYR protein, partial")</f>
        <v>RYR protein, partial</v>
      </c>
      <c r="J4531">
        <v>1263.83</v>
      </c>
      <c r="K4531" t="s">
        <v>22</v>
      </c>
      <c r="L4531">
        <v>76</v>
      </c>
      <c r="M4531">
        <v>12.58</v>
      </c>
      <c r="N4531">
        <v>12.44</v>
      </c>
      <c r="O4531" t="s">
        <v>19</v>
      </c>
      <c r="P4531" t="s">
        <v>1320</v>
      </c>
      <c r="Q4531" t="s">
        <v>19</v>
      </c>
      <c r="R4531" t="str">
        <f>HYPERLINK("https://cfpub.epa.gov/ecotox/explore.cfm?ncbi=2715315","Explore in ECOTOX")</f>
        <v>Explore in ECOTOX</v>
      </c>
    </row>
    <row r="4532" spans="1:18" x14ac:dyDescent="0.45">
      <c r="A4532" t="s">
        <v>1265</v>
      </c>
      <c r="B4532">
        <v>8</v>
      </c>
      <c r="C4532" t="str">
        <f>HYPERLINK("http://www.ncbi.nlm.nih.gov/protein/CAD7587799.1","CAD7587799.1")</f>
        <v>CAD7587799.1</v>
      </c>
      <c r="D4532">
        <v>12278</v>
      </c>
      <c r="E4532" t="str">
        <f>HYPERLINK("http://www.ncbi.nlm.nih.gov/Taxonomy/Browser/wwwtax.cgi?mode=Info&amp;id=629358&amp;lvl=3&amp;lin=f&amp;keep=1&amp;srchmode=1&amp;unlock","629358")</f>
        <v>629358</v>
      </c>
      <c r="F4532" t="s">
        <v>760</v>
      </c>
      <c r="G4532" t="str">
        <f>HYPERLINK("http://www.ncbi.nlm.nih.gov/Taxonomy/Browser/wwwtax.cgi?mode=Info&amp;id=629358&amp;lvl=3&amp;lin=f&amp;keep=1&amp;srchmode=1&amp;unlock","Timema genevievae")</f>
        <v>Timema genevievae</v>
      </c>
      <c r="H4532" t="s">
        <v>1039</v>
      </c>
      <c r="I4532" t="str">
        <f>HYPERLINK("http://www.ncbi.nlm.nih.gov/protein/CAD7587799.1","unnamed protein product")</f>
        <v>unnamed protein product</v>
      </c>
      <c r="J4532">
        <v>1259.97</v>
      </c>
      <c r="K4532" t="s">
        <v>22</v>
      </c>
      <c r="L4532">
        <v>76</v>
      </c>
      <c r="M4532">
        <v>12.58</v>
      </c>
      <c r="N4532">
        <v>12.4</v>
      </c>
      <c r="O4532" t="s">
        <v>19</v>
      </c>
      <c r="P4532" t="s">
        <v>1320</v>
      </c>
      <c r="Q4532" t="s">
        <v>19</v>
      </c>
      <c r="R4532" t="str">
        <f>HYPERLINK("https://cfpub.epa.gov/ecotox/explore.cfm?ncbi=629358","Explore in ECOTOX")</f>
        <v>Explore in ECOTOX</v>
      </c>
    </row>
    <row r="4533" spans="1:18" x14ac:dyDescent="0.45">
      <c r="A4533" t="s">
        <v>1265</v>
      </c>
      <c r="B4533">
        <v>8</v>
      </c>
      <c r="C4533" t="str">
        <f>HYPERLINK("http://www.ncbi.nlm.nih.gov/protein/KAH0951098.1","KAH0951098.1")</f>
        <v>KAH0951098.1</v>
      </c>
      <c r="D4533">
        <v>12585</v>
      </c>
      <c r="E4533" t="str">
        <f>HYPERLINK("http://www.ncbi.nlm.nih.gov/Taxonomy/Browser/wwwtax.cgi?mode=Info&amp;id=213866&amp;lvl=3&amp;lin=f&amp;keep=1&amp;srchmode=1&amp;unlock","213866")</f>
        <v>213866</v>
      </c>
      <c r="F4533" t="s">
        <v>760</v>
      </c>
      <c r="G4533" t="str">
        <f>HYPERLINK("http://www.ncbi.nlm.nih.gov/Taxonomy/Browser/wwwtax.cgi?mode=Info&amp;id=213866&amp;lvl=3&amp;lin=f&amp;keep=1&amp;srchmode=1&amp;unlock","Eciton burchellii")</f>
        <v>Eciton burchellii</v>
      </c>
      <c r="H4533" t="s">
        <v>769</v>
      </c>
      <c r="I4533" t="str">
        <f>HYPERLINK("http://www.ncbi.nlm.nih.gov/protein/KAH0951098.1","hypothetical protein HN011_002469")</f>
        <v>hypothetical protein HN011_002469</v>
      </c>
      <c r="J4533">
        <v>1258.43</v>
      </c>
      <c r="K4533" t="s">
        <v>22</v>
      </c>
      <c r="L4533">
        <v>76</v>
      </c>
      <c r="M4533">
        <v>12.58</v>
      </c>
      <c r="N4533">
        <v>12.39</v>
      </c>
      <c r="O4533" t="s">
        <v>19</v>
      </c>
      <c r="P4533" t="s">
        <v>1320</v>
      </c>
      <c r="Q4533" t="s">
        <v>19</v>
      </c>
      <c r="R4533" t="str">
        <f>HYPERLINK("https://cfpub.epa.gov/ecotox/explore.cfm?ncbi=213866","Explore in ECOTOX")</f>
        <v>Explore in ECOTOX</v>
      </c>
    </row>
    <row r="4534" spans="1:18" x14ac:dyDescent="0.45">
      <c r="A4534" t="s">
        <v>1265</v>
      </c>
      <c r="B4534">
        <v>8</v>
      </c>
      <c r="C4534" t="str">
        <f>HYPERLINK("http://www.ncbi.nlm.nih.gov/protein/XP_037796492.1","XP_037796492.1")</f>
        <v>XP_037796492.1</v>
      </c>
      <c r="D4534">
        <v>33837</v>
      </c>
      <c r="E4534" t="str">
        <f>HYPERLINK("http://www.ncbi.nlm.nih.gov/Taxonomy/Browser/wwwtax.cgi?mode=Info&amp;id=6687&amp;lvl=3&amp;lin=f&amp;keep=1&amp;srchmode=1&amp;unlock","6687")</f>
        <v>6687</v>
      </c>
      <c r="F4534" t="s">
        <v>779</v>
      </c>
      <c r="G4534" t="str">
        <f>HYPERLINK("http://www.ncbi.nlm.nih.gov/Taxonomy/Browser/wwwtax.cgi?mode=Info&amp;id=6687&amp;lvl=3&amp;lin=f&amp;keep=1&amp;srchmode=1&amp;unlock","Penaeus monodon")</f>
        <v>Penaeus monodon</v>
      </c>
      <c r="H4534" t="s">
        <v>1155</v>
      </c>
      <c r="I4534" t="str">
        <f>HYPERLINK("http://www.ncbi.nlm.nih.gov/protein/XP_037796492.1","ryanodine receptor-like")</f>
        <v>ryanodine receptor-like</v>
      </c>
      <c r="J4534">
        <v>1243.4100000000001</v>
      </c>
      <c r="K4534" t="s">
        <v>22</v>
      </c>
      <c r="L4534">
        <v>76</v>
      </c>
      <c r="M4534">
        <v>12.58</v>
      </c>
      <c r="N4534">
        <v>12.24</v>
      </c>
      <c r="O4534" t="s">
        <v>19</v>
      </c>
      <c r="P4534" t="s">
        <v>1320</v>
      </c>
      <c r="Q4534" t="s">
        <v>19</v>
      </c>
      <c r="R4534" t="str">
        <f>HYPERLINK("https://cfpub.epa.gov/ecotox/explore.cfm?ncbi=6687","Explore in ECOTOX")</f>
        <v>Explore in ECOTOX</v>
      </c>
    </row>
    <row r="4535" spans="1:18" x14ac:dyDescent="0.45">
      <c r="A4535" t="s">
        <v>1265</v>
      </c>
      <c r="B4535">
        <v>8</v>
      </c>
      <c r="C4535" t="str">
        <f>HYPERLINK("http://www.ncbi.nlm.nih.gov/protein/CAE1305662.1","CAE1305662.1")</f>
        <v>CAE1305662.1</v>
      </c>
      <c r="D4535">
        <v>53722</v>
      </c>
      <c r="E4535" t="str">
        <f>HYPERLINK("http://www.ncbi.nlm.nih.gov/Taxonomy/Browser/wwwtax.cgi?mode=Info&amp;id=158019&amp;lvl=3&amp;lin=f&amp;keep=1&amp;srchmode=1&amp;unlock","158019")</f>
        <v>158019</v>
      </c>
      <c r="F4535" t="s">
        <v>1010</v>
      </c>
      <c r="G4535" t="str">
        <f>HYPERLINK("http://www.ncbi.nlm.nih.gov/Taxonomy/Browser/wwwtax.cgi?mode=Info&amp;id=158019&amp;lvl=3&amp;lin=f&amp;keep=1&amp;srchmode=1&amp;unlock","Sepia pharaonis")</f>
        <v>Sepia pharaonis</v>
      </c>
      <c r="H4535" t="s">
        <v>1172</v>
      </c>
      <c r="I4535" t="str">
        <f>HYPERLINK("http://www.ncbi.nlm.nih.gov/protein/CAE1305662.1","RYR2")</f>
        <v>RYR2</v>
      </c>
      <c r="J4535">
        <v>1235.71</v>
      </c>
      <c r="K4535" t="s">
        <v>22</v>
      </c>
      <c r="L4535">
        <v>76</v>
      </c>
      <c r="M4535">
        <v>12.58</v>
      </c>
      <c r="N4535">
        <v>12.16</v>
      </c>
      <c r="O4535" t="s">
        <v>19</v>
      </c>
      <c r="P4535" t="s">
        <v>1320</v>
      </c>
      <c r="Q4535" t="s">
        <v>19</v>
      </c>
      <c r="R4535" t="str">
        <f>HYPERLINK("https://cfpub.epa.gov/ecotox/explore.cfm?ncbi=158019","Explore in ECOTOX")</f>
        <v>Explore in ECOTOX</v>
      </c>
    </row>
    <row r="4536" spans="1:18" x14ac:dyDescent="0.45">
      <c r="A4536" t="s">
        <v>1265</v>
      </c>
      <c r="B4536">
        <v>8</v>
      </c>
      <c r="C4536" t="str">
        <f>HYPERLINK("http://www.ncbi.nlm.nih.gov/protein/KAJ8959410.1","KAJ8959410.1")</f>
        <v>KAJ8959410.1</v>
      </c>
      <c r="D4536">
        <v>22157</v>
      </c>
      <c r="E4536" t="str">
        <f>HYPERLINK("http://www.ncbi.nlm.nih.gov/Taxonomy/Browser/wwwtax.cgi?mode=Info&amp;id=1265417&amp;lvl=3&amp;lin=f&amp;keep=1&amp;srchmode=1&amp;unlock","1265417")</f>
        <v>1265417</v>
      </c>
      <c r="F4536" t="s">
        <v>760</v>
      </c>
      <c r="G4536" t="str">
        <f>HYPERLINK("http://www.ncbi.nlm.nih.gov/Taxonomy/Browser/wwwtax.cgi?mode=Info&amp;id=1265417&amp;lvl=3&amp;lin=f&amp;keep=1&amp;srchmode=1&amp;unlock","Aromia moschata")</f>
        <v>Aromia moschata</v>
      </c>
      <c r="H4536" t="s">
        <v>1115</v>
      </c>
      <c r="I4536" t="str">
        <f>HYPERLINK("http://www.ncbi.nlm.nih.gov/protein/KAJ8959410.1","hypothetical protein NQ318_022100")</f>
        <v>hypothetical protein NQ318_022100</v>
      </c>
      <c r="J4536">
        <v>1234.17</v>
      </c>
      <c r="K4536" t="s">
        <v>22</v>
      </c>
      <c r="L4536">
        <v>76</v>
      </c>
      <c r="M4536">
        <v>12.58</v>
      </c>
      <c r="N4536">
        <v>12.15</v>
      </c>
      <c r="O4536" t="s">
        <v>19</v>
      </c>
      <c r="P4536" t="s">
        <v>1320</v>
      </c>
      <c r="Q4536" t="s">
        <v>19</v>
      </c>
      <c r="R4536" t="str">
        <f>HYPERLINK("https://cfpub.epa.gov/ecotox/explore.cfm?ncbi=1265417","Explore in ECOTOX")</f>
        <v>Explore in ECOTOX</v>
      </c>
    </row>
    <row r="4537" spans="1:18" x14ac:dyDescent="0.45">
      <c r="A4537" t="s">
        <v>1265</v>
      </c>
      <c r="B4537">
        <v>8</v>
      </c>
      <c r="C4537" t="str">
        <f>HYPERLINK("http://www.ncbi.nlm.nih.gov/protein/CAD7455260.1","CAD7455260.1")</f>
        <v>CAD7455260.1</v>
      </c>
      <c r="D4537">
        <v>13064</v>
      </c>
      <c r="E4537" t="str">
        <f>HYPERLINK("http://www.ncbi.nlm.nih.gov/Taxonomy/Browser/wwwtax.cgi?mode=Info&amp;id=61484&amp;lvl=3&amp;lin=f&amp;keep=1&amp;srchmode=1&amp;unlock","61484")</f>
        <v>61484</v>
      </c>
      <c r="F4537" t="s">
        <v>760</v>
      </c>
      <c r="G4537" t="str">
        <f>HYPERLINK("http://www.ncbi.nlm.nih.gov/Taxonomy/Browser/wwwtax.cgi?mode=Info&amp;id=61484&amp;lvl=3&amp;lin=f&amp;keep=1&amp;srchmode=1&amp;unlock","Timema tahoe")</f>
        <v>Timema tahoe</v>
      </c>
      <c r="H4537" t="s">
        <v>1039</v>
      </c>
      <c r="I4537" t="str">
        <f>HYPERLINK("http://www.ncbi.nlm.nih.gov/protein/CAD7455260.1","unnamed protein product, partial")</f>
        <v>unnamed protein product, partial</v>
      </c>
      <c r="J4537">
        <v>1231.08</v>
      </c>
      <c r="K4537" t="s">
        <v>22</v>
      </c>
      <c r="L4537">
        <v>76</v>
      </c>
      <c r="M4537">
        <v>12.58</v>
      </c>
      <c r="N4537">
        <v>12.12</v>
      </c>
      <c r="O4537" t="s">
        <v>19</v>
      </c>
      <c r="P4537" t="s">
        <v>1320</v>
      </c>
      <c r="Q4537" t="s">
        <v>19</v>
      </c>
      <c r="R4537" t="str">
        <f>HYPERLINK("https://cfpub.epa.gov/ecotox/explore.cfm?ncbi=61484","Explore in ECOTOX")</f>
        <v>Explore in ECOTOX</v>
      </c>
    </row>
    <row r="4538" spans="1:18" x14ac:dyDescent="0.45">
      <c r="A4538" t="s">
        <v>1265</v>
      </c>
      <c r="B4538">
        <v>8</v>
      </c>
      <c r="C4538" t="str">
        <f>HYPERLINK("http://www.ncbi.nlm.nih.gov/protein/KAH8277848.1","KAH8277848.1")</f>
        <v>KAH8277848.1</v>
      </c>
      <c r="D4538">
        <v>12676</v>
      </c>
      <c r="E4538" t="str">
        <f>HYPERLINK("http://www.ncbi.nlm.nih.gov/Taxonomy/Browser/wwwtax.cgi?mode=Info&amp;id=2848634&amp;lvl=3&amp;lin=f&amp;keep=1&amp;srchmode=1&amp;unlock","2848634")</f>
        <v>2848634</v>
      </c>
      <c r="F4538" t="s">
        <v>760</v>
      </c>
      <c r="G4538" t="str">
        <f>HYPERLINK("http://www.ncbi.nlm.nih.gov/Taxonomy/Browser/wwwtax.cgi?mode=Info&amp;id=2848634&amp;lvl=3&amp;lin=f&amp;keep=1&amp;srchmode=1&amp;unlock","Drosophila ironensis")</f>
        <v>Drosophila ironensis</v>
      </c>
      <c r="H4538" t="s">
        <v>953</v>
      </c>
      <c r="I4538" t="str">
        <f>HYPERLINK("http://www.ncbi.nlm.nih.gov/protein/KAH8277848.1","hypothetical protein KR018_008532, partial")</f>
        <v>hypothetical protein KR018_008532, partial</v>
      </c>
      <c r="J4538">
        <v>1229.93</v>
      </c>
      <c r="K4538" t="s">
        <v>22</v>
      </c>
      <c r="L4538">
        <v>76</v>
      </c>
      <c r="M4538">
        <v>12.58</v>
      </c>
      <c r="N4538">
        <v>12.1</v>
      </c>
      <c r="O4538" t="s">
        <v>19</v>
      </c>
      <c r="P4538" t="s">
        <v>1320</v>
      </c>
      <c r="Q4538" t="s">
        <v>19</v>
      </c>
      <c r="R4538" t="str">
        <f>HYPERLINK("https://cfpub.epa.gov/ecotox/explore.cfm?ncbi=2848634","Explore in ECOTOX")</f>
        <v>Explore in ECOTOX</v>
      </c>
    </row>
    <row r="4539" spans="1:18" x14ac:dyDescent="0.45">
      <c r="A4539" t="s">
        <v>1265</v>
      </c>
      <c r="B4539">
        <v>8</v>
      </c>
      <c r="C4539" t="str">
        <f>HYPERLINK("http://www.ncbi.nlm.nih.gov/protein/OQV16827.1","OQV16827.1")</f>
        <v>OQV16827.1</v>
      </c>
      <c r="D4539">
        <v>20884</v>
      </c>
      <c r="E4539" t="str">
        <f>HYPERLINK("http://www.ncbi.nlm.nih.gov/Taxonomy/Browser/wwwtax.cgi?mode=Info&amp;id=2072580&amp;lvl=3&amp;lin=f&amp;keep=1&amp;srchmode=1&amp;unlock","2072580")</f>
        <v>2072580</v>
      </c>
      <c r="F4539" t="s">
        <v>1092</v>
      </c>
      <c r="G4539" t="str">
        <f>HYPERLINK("http://www.ncbi.nlm.nih.gov/Taxonomy/Browser/wwwtax.cgi?mode=Info&amp;id=2072580&amp;lvl=3&amp;lin=f&amp;keep=1&amp;srchmode=1&amp;unlock","Hypsibius exemplaris")</f>
        <v>Hypsibius exemplaris</v>
      </c>
      <c r="H4539" t="s">
        <v>1093</v>
      </c>
      <c r="I4539" t="str">
        <f>HYPERLINK("http://www.ncbi.nlm.nih.gov/protein/OQV16827.1","Ryanodine receptor")</f>
        <v>Ryanodine receptor</v>
      </c>
      <c r="J4539">
        <v>1210.67</v>
      </c>
      <c r="K4539" t="s">
        <v>22</v>
      </c>
      <c r="L4539">
        <v>76</v>
      </c>
      <c r="M4539">
        <v>12.58</v>
      </c>
      <c r="N4539">
        <v>11.92</v>
      </c>
      <c r="O4539" t="s">
        <v>19</v>
      </c>
      <c r="P4539" t="s">
        <v>1320</v>
      </c>
      <c r="Q4539" t="s">
        <v>19</v>
      </c>
      <c r="R4539" t="str">
        <f>HYPERLINK("https://cfpub.epa.gov/ecotox/explore.cfm?ncbi=2072580","Explore in ECOTOX")</f>
        <v>Explore in ECOTOX</v>
      </c>
    </row>
    <row r="4540" spans="1:18" x14ac:dyDescent="0.45">
      <c r="A4540" t="s">
        <v>1265</v>
      </c>
      <c r="B4540">
        <v>8</v>
      </c>
      <c r="C4540" t="str">
        <f>HYPERLINK("http://www.ncbi.nlm.nih.gov/protein/XP_023220971.1","XP_023220971.1")</f>
        <v>XP_023220971.1</v>
      </c>
      <c r="D4540">
        <v>35594</v>
      </c>
      <c r="E4540" t="str">
        <f>HYPERLINK("http://www.ncbi.nlm.nih.gov/Taxonomy/Browser/wwwtax.cgi?mode=Info&amp;id=218467&amp;lvl=3&amp;lin=f&amp;keep=1&amp;srchmode=1&amp;unlock","218467")</f>
        <v>218467</v>
      </c>
      <c r="F4540" t="s">
        <v>904</v>
      </c>
      <c r="G4540" t="str">
        <f>HYPERLINK("http://www.ncbi.nlm.nih.gov/Taxonomy/Browser/wwwtax.cgi?mode=Info&amp;id=218467&amp;lvl=3&amp;lin=f&amp;keep=1&amp;srchmode=1&amp;unlock","Centruroides sculpturatus")</f>
        <v>Centruroides sculpturatus</v>
      </c>
      <c r="H4540" t="s">
        <v>1178</v>
      </c>
      <c r="I4540" t="str">
        <f>HYPERLINK("http://www.ncbi.nlm.nih.gov/protein/XP_023220971.1","ryanodine receptor-like")</f>
        <v>ryanodine receptor-like</v>
      </c>
      <c r="J4540">
        <v>1209.1300000000001</v>
      </c>
      <c r="K4540" t="s">
        <v>22</v>
      </c>
      <c r="L4540">
        <v>76</v>
      </c>
      <c r="M4540">
        <v>12.58</v>
      </c>
      <c r="N4540">
        <v>11.9</v>
      </c>
      <c r="O4540" t="s">
        <v>19</v>
      </c>
      <c r="P4540" t="s">
        <v>1320</v>
      </c>
      <c r="Q4540" t="s">
        <v>19</v>
      </c>
      <c r="R4540" t="str">
        <f>HYPERLINK("https://cfpub.epa.gov/ecotox/explore.cfm?ncbi=218467","Explore in ECOTOX")</f>
        <v>Explore in ECOTOX</v>
      </c>
    </row>
    <row r="4541" spans="1:18" x14ac:dyDescent="0.45">
      <c r="A4541" t="s">
        <v>1265</v>
      </c>
      <c r="B4541">
        <v>8</v>
      </c>
      <c r="C4541" t="str">
        <f>HYPERLINK("http://www.ncbi.nlm.nih.gov/protein/CAH8437208.1","CAH8437208.1")</f>
        <v>CAH8437208.1</v>
      </c>
      <c r="D4541">
        <v>30837</v>
      </c>
      <c r="E4541" t="str">
        <f>HYPERLINK("http://www.ncbi.nlm.nih.gov/Taxonomy/Browser/wwwtax.cgi?mode=Info&amp;id=39320&amp;lvl=3&amp;lin=f&amp;keep=1&amp;srchmode=1&amp;unlock","39320")</f>
        <v>39320</v>
      </c>
      <c r="F4541" t="s">
        <v>1140</v>
      </c>
      <c r="G4541" t="str">
        <f>HYPERLINK("http://www.ncbi.nlm.nih.gov/Taxonomy/Browser/wwwtax.cgi?mode=Info&amp;id=39320&amp;lvl=3&amp;lin=f&amp;keep=1&amp;srchmode=1&amp;unlock","Heterobilharzia americana")</f>
        <v>Heterobilharzia americana</v>
      </c>
      <c r="H4541" t="s">
        <v>1141</v>
      </c>
      <c r="I4541" t="str">
        <f>HYPERLINK("http://www.ncbi.nlm.nih.gov/protein/CAH8437208.1","unnamed protein product")</f>
        <v>unnamed protein product</v>
      </c>
      <c r="J4541">
        <v>1191.4100000000001</v>
      </c>
      <c r="K4541" t="s">
        <v>22</v>
      </c>
      <c r="L4541">
        <v>76</v>
      </c>
      <c r="M4541">
        <v>12.58</v>
      </c>
      <c r="N4541">
        <v>11.73</v>
      </c>
      <c r="O4541" t="s">
        <v>19</v>
      </c>
      <c r="P4541" t="s">
        <v>1320</v>
      </c>
      <c r="Q4541" t="s">
        <v>19</v>
      </c>
      <c r="R4541" t="str">
        <f>HYPERLINK("https://cfpub.epa.gov/ecotox/explore.cfm?ncbi=39320","Explore in ECOTOX")</f>
        <v>Explore in ECOTOX</v>
      </c>
    </row>
    <row r="4542" spans="1:18" x14ac:dyDescent="0.45">
      <c r="A4542" t="s">
        <v>1265</v>
      </c>
      <c r="B4542">
        <v>8</v>
      </c>
      <c r="C4542" t="str">
        <f>HYPERLINK("http://www.ncbi.nlm.nih.gov/protein/XP_047740434.1","XP_047740434.1")</f>
        <v>XP_047740434.1</v>
      </c>
      <c r="D4542">
        <v>31992</v>
      </c>
      <c r="E4542" t="str">
        <f>HYPERLINK("http://www.ncbi.nlm.nih.gov/Taxonomy/Browser/wwwtax.cgi?mode=Info&amp;id=294128&amp;lvl=3&amp;lin=f&amp;keep=1&amp;srchmode=1&amp;unlock","294128")</f>
        <v>294128</v>
      </c>
      <c r="F4542" t="s">
        <v>779</v>
      </c>
      <c r="G4542" t="str">
        <f>HYPERLINK("http://www.ncbi.nlm.nih.gov/Taxonomy/Browser/wwwtax.cgi?mode=Info&amp;id=294128&amp;lvl=3&amp;lin=f&amp;keep=1&amp;srchmode=1&amp;unlock","Hyalella azteca")</f>
        <v>Hyalella azteca</v>
      </c>
      <c r="H4542" t="s">
        <v>1102</v>
      </c>
      <c r="I4542" t="str">
        <f>HYPERLINK("http://www.ncbi.nlm.nih.gov/protein/XP_047740434.1","LOW QUALITY PROTEIN: ryanodine receptor-like, partial")</f>
        <v>LOW QUALITY PROTEIN: ryanodine receptor-like, partial</v>
      </c>
      <c r="J4542">
        <v>1189.8699999999999</v>
      </c>
      <c r="K4542" t="s">
        <v>22</v>
      </c>
      <c r="L4542">
        <v>76</v>
      </c>
      <c r="M4542">
        <v>12.58</v>
      </c>
      <c r="N4542">
        <v>11.71</v>
      </c>
      <c r="O4542" t="s">
        <v>19</v>
      </c>
      <c r="P4542" t="s">
        <v>1320</v>
      </c>
      <c r="Q4542" t="s">
        <v>19</v>
      </c>
      <c r="R4542" t="str">
        <f>HYPERLINK("https://cfpub.epa.gov/ecotox/explore.cfm?ncbi=294128","Explore in ECOTOX")</f>
        <v>Explore in ECOTOX</v>
      </c>
    </row>
    <row r="4543" spans="1:18" x14ac:dyDescent="0.45">
      <c r="A4543" t="s">
        <v>1265</v>
      </c>
      <c r="B4543">
        <v>8</v>
      </c>
      <c r="C4543" t="str">
        <f>HYPERLINK("http://www.ncbi.nlm.nih.gov/protein/KAF6037198.1","KAF6037198.1")</f>
        <v>KAF6037198.1</v>
      </c>
      <c r="D4543">
        <v>25611</v>
      </c>
      <c r="E4543" t="str">
        <f>HYPERLINK("http://www.ncbi.nlm.nih.gov/Taxonomy/Browser/wwwtax.cgi?mode=Info&amp;id=10212&amp;lvl=3&amp;lin=f&amp;keep=1&amp;srchmode=1&amp;unlock","10212")</f>
        <v>10212</v>
      </c>
      <c r="F4543" t="s">
        <v>1143</v>
      </c>
      <c r="G4543" t="str">
        <f>HYPERLINK("http://www.ncbi.nlm.nih.gov/Taxonomy/Browser/wwwtax.cgi?mode=Info&amp;id=10212&amp;lvl=3&amp;lin=f&amp;keep=1&amp;srchmode=1&amp;unlock","Bugula neritina")</f>
        <v>Bugula neritina</v>
      </c>
      <c r="H4543" t="s">
        <v>1144</v>
      </c>
      <c r="I4543" t="str">
        <f>HYPERLINK("http://www.ncbi.nlm.nih.gov/protein/KAF6037198.1","RyR")</f>
        <v>RyR</v>
      </c>
      <c r="J4543">
        <v>1184.0899999999999</v>
      </c>
      <c r="K4543" t="s">
        <v>22</v>
      </c>
      <c r="L4543">
        <v>76</v>
      </c>
      <c r="M4543">
        <v>12.58</v>
      </c>
      <c r="N4543">
        <v>11.65</v>
      </c>
      <c r="O4543" t="s">
        <v>22</v>
      </c>
      <c r="P4543" t="s">
        <v>1320</v>
      </c>
      <c r="Q4543" t="s">
        <v>19</v>
      </c>
      <c r="R4543" t="str">
        <f>HYPERLINK("https://cfpub.epa.gov/ecotox/explore.cfm?ncbi=10212","Explore in ECOTOX")</f>
        <v>Explore in ECOTOX</v>
      </c>
    </row>
    <row r="4544" spans="1:18" x14ac:dyDescent="0.45">
      <c r="A4544" t="s">
        <v>1265</v>
      </c>
      <c r="B4544">
        <v>8</v>
      </c>
      <c r="C4544" t="str">
        <f>HYPERLINK("http://www.ncbi.nlm.nih.gov/protein/XP_009010146.1","XP_009010146.1")</f>
        <v>XP_009010146.1</v>
      </c>
      <c r="D4544">
        <v>46878</v>
      </c>
      <c r="E4544" t="str">
        <f>HYPERLINK("http://www.ncbi.nlm.nih.gov/Taxonomy/Browser/wwwtax.cgi?mode=Info&amp;id=6412&amp;lvl=3&amp;lin=f&amp;keep=1&amp;srchmode=1&amp;unlock","6412")</f>
        <v>6412</v>
      </c>
      <c r="F4544" t="s">
        <v>1180</v>
      </c>
      <c r="G4544" t="str">
        <f>HYPERLINK("http://www.ncbi.nlm.nih.gov/Taxonomy/Browser/wwwtax.cgi?mode=Info&amp;id=6412&amp;lvl=3&amp;lin=f&amp;keep=1&amp;srchmode=1&amp;unlock","Helobdella robusta")</f>
        <v>Helobdella robusta</v>
      </c>
      <c r="H4544" t="s">
        <v>1181</v>
      </c>
      <c r="I4544" t="str">
        <f>HYPERLINK("http://www.ncbi.nlm.nih.gov/protein/XP_009010146.1","hypothetical protein HELRODRAFT_71772, partial")</f>
        <v>hypothetical protein HELRODRAFT_71772, partial</v>
      </c>
      <c r="J4544">
        <v>1182.93</v>
      </c>
      <c r="K4544" t="s">
        <v>22</v>
      </c>
      <c r="L4544">
        <v>76</v>
      </c>
      <c r="M4544">
        <v>12.58</v>
      </c>
      <c r="N4544">
        <v>11.64</v>
      </c>
      <c r="O4544" t="s">
        <v>22</v>
      </c>
      <c r="P4544" t="s">
        <v>1320</v>
      </c>
      <c r="Q4544" t="s">
        <v>19</v>
      </c>
      <c r="R4544" t="str">
        <f>HYPERLINK("https://cfpub.epa.gov/ecotox/explore.cfm?ncbi=6412","Explore in ECOTOX")</f>
        <v>Explore in ECOTOX</v>
      </c>
    </row>
    <row r="4545" spans="1:18" x14ac:dyDescent="0.45">
      <c r="A4545" t="s">
        <v>1265</v>
      </c>
      <c r="B4545">
        <v>8</v>
      </c>
      <c r="C4545" t="str">
        <f>HYPERLINK("http://www.ncbi.nlm.nih.gov/protein/EYC08904.1","EYC08904.1")</f>
        <v>EYC08904.1</v>
      </c>
      <c r="D4545">
        <v>81607</v>
      </c>
      <c r="E4545" t="str">
        <f>HYPERLINK("http://www.ncbi.nlm.nih.gov/Taxonomy/Browser/wwwtax.cgi?mode=Info&amp;id=53326&amp;lvl=3&amp;lin=f&amp;keep=1&amp;srchmode=1&amp;unlock","53326")</f>
        <v>53326</v>
      </c>
      <c r="F4545" t="s">
        <v>1024</v>
      </c>
      <c r="G4545" t="str">
        <f>HYPERLINK("http://www.ncbi.nlm.nih.gov/Taxonomy/Browser/wwwtax.cgi?mode=Info&amp;id=53326&amp;lvl=3&amp;lin=f&amp;keep=1&amp;srchmode=1&amp;unlock","Ancylostoma ceylanicum")</f>
        <v>Ancylostoma ceylanicum</v>
      </c>
      <c r="H4545" t="s">
        <v>1025</v>
      </c>
      <c r="I4545" t="str">
        <f>HYPERLINK("http://www.ncbi.nlm.nih.gov/protein/EYC08904.1","hypothetical protein Y032_0063g3426")</f>
        <v>hypothetical protein Y032_0063g3426</v>
      </c>
      <c r="J4545">
        <v>1182.1600000000001</v>
      </c>
      <c r="K4545" t="s">
        <v>22</v>
      </c>
      <c r="L4545">
        <v>76</v>
      </c>
      <c r="M4545">
        <v>12.58</v>
      </c>
      <c r="N4545">
        <v>11.63</v>
      </c>
      <c r="O4545" t="s">
        <v>19</v>
      </c>
      <c r="P4545" t="s">
        <v>1320</v>
      </c>
      <c r="Q4545" t="s">
        <v>19</v>
      </c>
      <c r="R4545" t="str">
        <f>HYPERLINK("https://cfpub.epa.gov/ecotox/explore.cfm?ncbi=53326","Explore in ECOTOX")</f>
        <v>Explore in ECOTOX</v>
      </c>
    </row>
    <row r="4546" spans="1:18" x14ac:dyDescent="0.45">
      <c r="A4546" t="s">
        <v>1265</v>
      </c>
      <c r="B4546">
        <v>8</v>
      </c>
      <c r="C4546" t="str">
        <f>HYPERLINK("http://www.ncbi.nlm.nih.gov/protein/CDJ83441.1","CDJ83441.1")</f>
        <v>CDJ83441.1</v>
      </c>
      <c r="D4546">
        <v>19926</v>
      </c>
      <c r="E4546" t="str">
        <f>HYPERLINK("http://www.ncbi.nlm.nih.gov/Taxonomy/Browser/wwwtax.cgi?mode=Info&amp;id=6289&amp;lvl=3&amp;lin=f&amp;keep=1&amp;srchmode=1&amp;unlock","6289")</f>
        <v>6289</v>
      </c>
      <c r="F4546" t="s">
        <v>1024</v>
      </c>
      <c r="G4546" t="str">
        <f>HYPERLINK("http://www.ncbi.nlm.nih.gov/Taxonomy/Browser/wwwtax.cgi?mode=Info&amp;id=6289&amp;lvl=3&amp;lin=f&amp;keep=1&amp;srchmode=1&amp;unlock","Haemonchus contortus")</f>
        <v>Haemonchus contortus</v>
      </c>
      <c r="H4546" t="s">
        <v>1179</v>
      </c>
      <c r="I4546" t="str">
        <f>HYPERLINK("http://www.ncbi.nlm.nih.gov/protein/CDJ83441.1","Inositol 1 and MIR and Intracellular calcium-release channel and SPla RYanodine receptor SPRY and Ryanodine receptor Ryr domain containing protein")</f>
        <v>Inositol 1 and MIR and Intracellular calcium-release channel and SPla RYanodine receptor SPRY and Ryanodine receptor Ryr domain containing protein</v>
      </c>
      <c r="J4546">
        <v>1176.77</v>
      </c>
      <c r="K4546" t="s">
        <v>22</v>
      </c>
      <c r="L4546">
        <v>76</v>
      </c>
      <c r="M4546">
        <v>12.58</v>
      </c>
      <c r="N4546">
        <v>11.58</v>
      </c>
      <c r="O4546" t="s">
        <v>19</v>
      </c>
      <c r="P4546" t="s">
        <v>1320</v>
      </c>
      <c r="Q4546" t="s">
        <v>19</v>
      </c>
      <c r="R4546" t="str">
        <f>HYPERLINK("https://cfpub.epa.gov/ecotox/explore.cfm?ncbi=6289","Explore in ECOTOX")</f>
        <v>Explore in ECOTOX</v>
      </c>
    </row>
    <row r="4547" spans="1:18" x14ac:dyDescent="0.45">
      <c r="A4547" t="s">
        <v>1265</v>
      </c>
      <c r="B4547">
        <v>8</v>
      </c>
      <c r="C4547" t="str">
        <f>HYPERLINK("http://www.ncbi.nlm.nih.gov/protein/CAD6199567.1","CAD6199567.1")</f>
        <v>CAD6199567.1</v>
      </c>
      <c r="D4547">
        <v>16266</v>
      </c>
      <c r="E4547" t="str">
        <f>HYPERLINK("http://www.ncbi.nlm.nih.gov/Taxonomy/Browser/wwwtax.cgi?mode=Info&amp;id=2777116&amp;lvl=3&amp;lin=f&amp;keep=1&amp;srchmode=1&amp;unlock","2777116")</f>
        <v>2777116</v>
      </c>
      <c r="F4547" t="s">
        <v>1024</v>
      </c>
      <c r="G4547" t="str">
        <f>HYPERLINK("http://www.ncbi.nlm.nih.gov/Taxonomy/Browser/wwwtax.cgi?mode=Info&amp;id=2777116&amp;lvl=3&amp;lin=f&amp;keep=1&amp;srchmode=1&amp;unlock","Caenorhabditis auriculariae")</f>
        <v>Caenorhabditis auriculariae</v>
      </c>
      <c r="H4547" t="s">
        <v>1027</v>
      </c>
      <c r="I4547" t="str">
        <f>HYPERLINK("http://www.ncbi.nlm.nih.gov/protein/CAD6199567.1","unnamed protein product")</f>
        <v>unnamed protein product</v>
      </c>
      <c r="J4547">
        <v>1175.23</v>
      </c>
      <c r="K4547" t="s">
        <v>22</v>
      </c>
      <c r="L4547">
        <v>76</v>
      </c>
      <c r="M4547">
        <v>12.58</v>
      </c>
      <c r="N4547">
        <v>11.57</v>
      </c>
      <c r="O4547" t="s">
        <v>19</v>
      </c>
      <c r="P4547" t="s">
        <v>1320</v>
      </c>
      <c r="Q4547" t="s">
        <v>19</v>
      </c>
      <c r="R4547" t="str">
        <f>HYPERLINK("https://cfpub.epa.gov/ecotox/explore.cfm?ncbi=2777116","Explore in ECOTOX")</f>
        <v>Explore in ECOTOX</v>
      </c>
    </row>
    <row r="4548" spans="1:18" x14ac:dyDescent="0.45">
      <c r="A4548" t="s">
        <v>1265</v>
      </c>
      <c r="B4548">
        <v>8</v>
      </c>
      <c r="C4548" t="str">
        <f>HYPERLINK("http://www.ncbi.nlm.nih.gov/protein/RCN50675.1","RCN50675.1")</f>
        <v>RCN50675.1</v>
      </c>
      <c r="D4548">
        <v>30364</v>
      </c>
      <c r="E4548" t="str">
        <f>HYPERLINK("http://www.ncbi.nlm.nih.gov/Taxonomy/Browser/wwwtax.cgi?mode=Info&amp;id=29170&amp;lvl=3&amp;lin=f&amp;keep=1&amp;srchmode=1&amp;unlock","29170")</f>
        <v>29170</v>
      </c>
      <c r="F4548" t="s">
        <v>1024</v>
      </c>
      <c r="G4548" t="str">
        <f>HYPERLINK("http://www.ncbi.nlm.nih.gov/Taxonomy/Browser/wwwtax.cgi?mode=Info&amp;id=29170&amp;lvl=3&amp;lin=f&amp;keep=1&amp;srchmode=1&amp;unlock","Ancylostoma caninum")</f>
        <v>Ancylostoma caninum</v>
      </c>
      <c r="H4548" t="s">
        <v>1182</v>
      </c>
      <c r="I4548" t="str">
        <f>HYPERLINK("http://www.ncbi.nlm.nih.gov/protein/RCN50675.1","hypothetical protein ANCCAN_03288")</f>
        <v>hypothetical protein ANCCAN_03288</v>
      </c>
      <c r="J4548">
        <v>1172.92</v>
      </c>
      <c r="K4548" t="s">
        <v>22</v>
      </c>
      <c r="L4548">
        <v>76</v>
      </c>
      <c r="M4548">
        <v>12.58</v>
      </c>
      <c r="N4548">
        <v>11.54</v>
      </c>
      <c r="O4548" t="s">
        <v>19</v>
      </c>
      <c r="P4548" t="s">
        <v>1320</v>
      </c>
      <c r="Q4548" t="s">
        <v>19</v>
      </c>
      <c r="R4548" t="str">
        <f>HYPERLINK("https://cfpub.epa.gov/ecotox/explore.cfm?ncbi=29170","Explore in ECOTOX")</f>
        <v>Explore in ECOTOX</v>
      </c>
    </row>
    <row r="4549" spans="1:18" x14ac:dyDescent="0.45">
      <c r="A4549" t="s">
        <v>1265</v>
      </c>
      <c r="B4549">
        <v>8</v>
      </c>
      <c r="C4549" t="str">
        <f>HYPERLINK("http://www.ncbi.nlm.nih.gov/protein/CDS34291.2","CDS34291.2")</f>
        <v>CDS34291.2</v>
      </c>
      <c r="D4549">
        <v>12420</v>
      </c>
      <c r="E4549" t="str">
        <f>HYPERLINK("http://www.ncbi.nlm.nih.gov/Taxonomy/Browser/wwwtax.cgi?mode=Info&amp;id=85433&amp;lvl=3&amp;lin=f&amp;keep=1&amp;srchmode=1&amp;unlock","85433")</f>
        <v>85433</v>
      </c>
      <c r="F4549" t="s">
        <v>1185</v>
      </c>
      <c r="G4549" t="str">
        <f>HYPERLINK("http://www.ncbi.nlm.nih.gov/Taxonomy/Browser/wwwtax.cgi?mode=Info&amp;id=85433&amp;lvl=3&amp;lin=f&amp;keep=1&amp;srchmode=1&amp;unlock","Hymenolepis microstoma")</f>
        <v>Hymenolepis microstoma</v>
      </c>
      <c r="H4549" t="s">
        <v>1186</v>
      </c>
      <c r="I4549" t="str">
        <f>HYPERLINK("http://www.ncbi.nlm.nih.gov/protein/CDS34291.2","ryanodine receptor 44f")</f>
        <v>ryanodine receptor 44f</v>
      </c>
      <c r="J4549">
        <v>1170.22</v>
      </c>
      <c r="K4549" t="s">
        <v>22</v>
      </c>
      <c r="L4549">
        <v>76</v>
      </c>
      <c r="M4549">
        <v>12.58</v>
      </c>
      <c r="N4549">
        <v>11.52</v>
      </c>
      <c r="O4549" t="s">
        <v>22</v>
      </c>
      <c r="P4549" t="s">
        <v>1320</v>
      </c>
      <c r="Q4549" t="s">
        <v>19</v>
      </c>
      <c r="R4549" t="str">
        <f>HYPERLINK("https://cfpub.epa.gov/ecotox/explore.cfm?ncbi=85433","Explore in ECOTOX")</f>
        <v>Explore in ECOTOX</v>
      </c>
    </row>
    <row r="4550" spans="1:18" x14ac:dyDescent="0.45">
      <c r="A4550" t="s">
        <v>1265</v>
      </c>
      <c r="B4550">
        <v>8</v>
      </c>
      <c r="C4550" t="str">
        <f>HYPERLINK("http://www.ncbi.nlm.nih.gov/protein/CAI8034631.1","CAI8034631.1")</f>
        <v>CAI8034631.1</v>
      </c>
      <c r="D4550">
        <v>61260</v>
      </c>
      <c r="E4550" t="str">
        <f>HYPERLINK("http://www.ncbi.nlm.nih.gov/Taxonomy/Browser/wwwtax.cgi?mode=Info&amp;id=519541&amp;lvl=3&amp;lin=f&amp;keep=1&amp;srchmode=1&amp;unlock","519541")</f>
        <v>519541</v>
      </c>
      <c r="F4550" t="s">
        <v>1210</v>
      </c>
      <c r="G4550" t="str">
        <f>HYPERLINK("http://www.ncbi.nlm.nih.gov/Taxonomy/Browser/wwwtax.cgi?mode=Info&amp;id=519541&amp;lvl=3&amp;lin=f&amp;keep=1&amp;srchmode=1&amp;unlock","Geodia barretti")</f>
        <v>Geodia barretti</v>
      </c>
      <c r="H4550" t="s">
        <v>1211</v>
      </c>
      <c r="I4550" t="str">
        <f>HYPERLINK("http://www.ncbi.nlm.nih.gov/protein/CAI8034631.1","Ryanodine receptor 3")</f>
        <v>Ryanodine receptor 3</v>
      </c>
      <c r="J4550">
        <v>1164.06</v>
      </c>
      <c r="K4550" t="s">
        <v>22</v>
      </c>
      <c r="L4550">
        <v>76</v>
      </c>
      <c r="M4550">
        <v>12.58</v>
      </c>
      <c r="N4550">
        <v>11.46</v>
      </c>
      <c r="O4550" t="s">
        <v>22</v>
      </c>
      <c r="P4550" t="s">
        <v>1320</v>
      </c>
      <c r="Q4550" t="s">
        <v>19</v>
      </c>
      <c r="R4550" t="str">
        <f>HYPERLINK("https://cfpub.epa.gov/ecotox/explore.cfm?ncbi=519541","Explore in ECOTOX")</f>
        <v>Explore in ECOTOX</v>
      </c>
    </row>
    <row r="4551" spans="1:18" x14ac:dyDescent="0.45">
      <c r="A4551" t="s">
        <v>1265</v>
      </c>
      <c r="B4551">
        <v>8</v>
      </c>
      <c r="C4551" t="str">
        <f>HYPERLINK("http://www.ncbi.nlm.nih.gov/protein/UYV64349.1","UYV64349.1")</f>
        <v>UYV64349.1</v>
      </c>
      <c r="D4551">
        <v>25133</v>
      </c>
      <c r="E4551" t="str">
        <f>HYPERLINK("http://www.ncbi.nlm.nih.gov/Taxonomy/Browser/wwwtax.cgi?mode=Info&amp;id=51811&amp;lvl=3&amp;lin=f&amp;keep=1&amp;srchmode=1&amp;unlock","51811")</f>
        <v>51811</v>
      </c>
      <c r="F4551" t="s">
        <v>904</v>
      </c>
      <c r="G4551" t="str">
        <f>HYPERLINK("http://www.ncbi.nlm.nih.gov/Taxonomy/Browser/wwwtax.cgi?mode=Info&amp;id=51811&amp;lvl=3&amp;lin=f&amp;keep=1&amp;srchmode=1&amp;unlock","Cordylochernes scorpioides")</f>
        <v>Cordylochernes scorpioides</v>
      </c>
      <c r="H4551" t="s">
        <v>1184</v>
      </c>
      <c r="I4551" t="str">
        <f>HYPERLINK("http://www.ncbi.nlm.nih.gov/protein/UYV64349.1","RYR2")</f>
        <v>RYR2</v>
      </c>
      <c r="J4551">
        <v>1157.9000000000001</v>
      </c>
      <c r="K4551" t="s">
        <v>22</v>
      </c>
      <c r="L4551">
        <v>76</v>
      </c>
      <c r="M4551">
        <v>12.58</v>
      </c>
      <c r="N4551">
        <v>11.4</v>
      </c>
      <c r="O4551" t="s">
        <v>19</v>
      </c>
      <c r="P4551" t="s">
        <v>1320</v>
      </c>
      <c r="Q4551" t="s">
        <v>19</v>
      </c>
      <c r="R4551" t="str">
        <f>HYPERLINK("https://cfpub.epa.gov/ecotox/explore.cfm?ncbi=51811","Explore in ECOTOX")</f>
        <v>Explore in ECOTOX</v>
      </c>
    </row>
    <row r="4552" spans="1:18" x14ac:dyDescent="0.45">
      <c r="A4552" t="s">
        <v>1265</v>
      </c>
      <c r="B4552">
        <v>8</v>
      </c>
      <c r="C4552" t="str">
        <f>HYPERLINK("http://www.ncbi.nlm.nih.gov/protein/CDS38120.2","CDS38120.2")</f>
        <v>CDS38120.2</v>
      </c>
      <c r="D4552">
        <v>11701</v>
      </c>
      <c r="E4552" t="str">
        <f>HYPERLINK("http://www.ncbi.nlm.nih.gov/Taxonomy/Browser/wwwtax.cgi?mode=Info&amp;id=6211&amp;lvl=3&amp;lin=f&amp;keep=1&amp;srchmode=1&amp;unlock","6211")</f>
        <v>6211</v>
      </c>
      <c r="F4552" t="s">
        <v>1185</v>
      </c>
      <c r="G4552" t="str">
        <f>HYPERLINK("http://www.ncbi.nlm.nih.gov/Taxonomy/Browser/wwwtax.cgi?mode=Info&amp;id=6211&amp;lvl=3&amp;lin=f&amp;keep=1&amp;srchmode=1&amp;unlock","Echinococcus multilocularis")</f>
        <v>Echinococcus multilocularis</v>
      </c>
      <c r="H4552" t="s">
        <v>1186</v>
      </c>
      <c r="I4552" t="str">
        <f>HYPERLINK("http://www.ncbi.nlm.nih.gov/protein/CDS38120.2","ryanodine receptor 44f")</f>
        <v>ryanodine receptor 44f</v>
      </c>
      <c r="J4552">
        <v>1147.1099999999999</v>
      </c>
      <c r="K4552" t="s">
        <v>22</v>
      </c>
      <c r="L4552">
        <v>76</v>
      </c>
      <c r="M4552">
        <v>12.58</v>
      </c>
      <c r="N4552">
        <v>11.29</v>
      </c>
      <c r="O4552" t="s">
        <v>22</v>
      </c>
      <c r="P4552" t="s">
        <v>1320</v>
      </c>
      <c r="Q4552" t="s">
        <v>19</v>
      </c>
      <c r="R4552" t="str">
        <f>HYPERLINK("https://cfpub.epa.gov/ecotox/explore.cfm?ncbi=6211","Explore in ECOTOX")</f>
        <v>Explore in ECOTOX</v>
      </c>
    </row>
    <row r="4553" spans="1:18" x14ac:dyDescent="0.45">
      <c r="A4553" t="s">
        <v>1265</v>
      </c>
      <c r="B4553">
        <v>8</v>
      </c>
      <c r="C4553" t="str">
        <f>HYPERLINK("http://www.ncbi.nlm.nih.gov/protein/KAJ1347272.1","KAJ1347272.1")</f>
        <v>KAJ1347272.1</v>
      </c>
      <c r="D4553">
        <v>29658</v>
      </c>
      <c r="E4553" t="str">
        <f>HYPERLINK("http://www.ncbi.nlm.nih.gov/Taxonomy/Browser/wwwtax.cgi?mode=Info&amp;id=148309&amp;lvl=3&amp;lin=f&amp;keep=1&amp;srchmode=1&amp;unlock","148309")</f>
        <v>148309</v>
      </c>
      <c r="F4553" t="s">
        <v>1024</v>
      </c>
      <c r="G4553" t="str">
        <f>HYPERLINK("http://www.ncbi.nlm.nih.gov/Taxonomy/Browser/wwwtax.cgi?mode=Info&amp;id=148309&amp;lvl=3&amp;lin=f&amp;keep=1&amp;srchmode=1&amp;unlock","Parelaphostrongylus tenuis")</f>
        <v>Parelaphostrongylus tenuis</v>
      </c>
      <c r="H4553" t="s">
        <v>1025</v>
      </c>
      <c r="I4553" t="str">
        <f>HYPERLINK("http://www.ncbi.nlm.nih.gov/protein/KAJ1347272.1","hypothetical protein KIN20_002293")</f>
        <v>hypothetical protein KIN20_002293</v>
      </c>
      <c r="J4553">
        <v>1145.57</v>
      </c>
      <c r="K4553" t="s">
        <v>22</v>
      </c>
      <c r="L4553">
        <v>76</v>
      </c>
      <c r="M4553">
        <v>12.58</v>
      </c>
      <c r="N4553">
        <v>11.27</v>
      </c>
      <c r="O4553" t="s">
        <v>19</v>
      </c>
      <c r="P4553" t="s">
        <v>1320</v>
      </c>
      <c r="Q4553" t="s">
        <v>19</v>
      </c>
      <c r="R4553" t="str">
        <f>HYPERLINK("https://cfpub.epa.gov/ecotox/explore.cfm?ncbi=148309","Explore in ECOTOX")</f>
        <v>Explore in ECOTOX</v>
      </c>
    </row>
    <row r="4554" spans="1:18" x14ac:dyDescent="0.45">
      <c r="A4554" t="s">
        <v>1265</v>
      </c>
      <c r="B4554">
        <v>8</v>
      </c>
      <c r="C4554" t="str">
        <f>HYPERLINK("http://www.ncbi.nlm.nih.gov/protein/CAI2353581.1","CAI2353581.1")</f>
        <v>CAI2353581.1</v>
      </c>
      <c r="D4554">
        <v>16255</v>
      </c>
      <c r="E4554" t="str">
        <f>HYPERLINK("http://www.ncbi.nlm.nih.gov/Taxonomy/Browser/wwwtax.cgi?mode=Info&amp;id=2970133&amp;lvl=3&amp;lin=f&amp;keep=1&amp;srchmode=1&amp;unlock","2970133")</f>
        <v>2970133</v>
      </c>
      <c r="F4554" t="s">
        <v>1024</v>
      </c>
      <c r="G4554" t="str">
        <f>HYPERLINK("http://www.ncbi.nlm.nih.gov/Taxonomy/Browser/wwwtax.cgi?mode=Info&amp;id=2970133&amp;lvl=3&amp;lin=f&amp;keep=1&amp;srchmode=1&amp;unlock","Caenorhabditis sp. 36 PRJEB53466")</f>
        <v>Caenorhabditis sp. 36 PRJEB53466</v>
      </c>
      <c r="H4554" t="s">
        <v>1027</v>
      </c>
      <c r="I4554" t="str">
        <f>HYPERLINK("http://www.ncbi.nlm.nih.gov/protein/CAI2353581.1","unnamed protein product")</f>
        <v>unnamed protein product</v>
      </c>
      <c r="J4554">
        <v>1142.0999999999999</v>
      </c>
      <c r="K4554" t="s">
        <v>22</v>
      </c>
      <c r="L4554">
        <v>76</v>
      </c>
      <c r="M4554">
        <v>12.58</v>
      </c>
      <c r="N4554">
        <v>11.24</v>
      </c>
      <c r="O4554" t="s">
        <v>19</v>
      </c>
      <c r="P4554" t="s">
        <v>1320</v>
      </c>
      <c r="Q4554" t="s">
        <v>19</v>
      </c>
      <c r="R4554" t="str">
        <f>HYPERLINK("https://cfpub.epa.gov/ecotox/explore.cfm?ncbi=2970133","Explore in ECOTOX")</f>
        <v>Explore in ECOTOX</v>
      </c>
    </row>
    <row r="4555" spans="1:18" x14ac:dyDescent="0.45">
      <c r="A4555" t="s">
        <v>1265</v>
      </c>
      <c r="B4555">
        <v>8</v>
      </c>
      <c r="C4555" t="str">
        <f>HYPERLINK("http://www.ncbi.nlm.nih.gov/protein/CAD2136704.1","CAD2136704.1")</f>
        <v>CAD2136704.1</v>
      </c>
      <c r="D4555">
        <v>59798</v>
      </c>
      <c r="E4555" t="str">
        <f>HYPERLINK("http://www.ncbi.nlm.nih.gov/Taxonomy/Browser/wwwtax.cgi?mode=Info&amp;id=390850&amp;lvl=3&amp;lin=f&amp;keep=1&amp;srchmode=1&amp;unlock","390850")</f>
        <v>390850</v>
      </c>
      <c r="F4555" t="s">
        <v>1024</v>
      </c>
      <c r="G4555" t="str">
        <f>HYPERLINK("http://www.ncbi.nlm.nih.gov/Taxonomy/Browser/wwwtax.cgi?mode=Info&amp;id=390850&amp;lvl=3&amp;lin=f&amp;keep=1&amp;srchmode=1&amp;unlock","Meloidogyne enterolobii")</f>
        <v>Meloidogyne enterolobii</v>
      </c>
      <c r="H4555" t="s">
        <v>1027</v>
      </c>
      <c r="I4555" t="str">
        <f>HYPERLINK("http://www.ncbi.nlm.nih.gov/protein/CAD2136704.1","unnamed protein product")</f>
        <v>unnamed protein product</v>
      </c>
      <c r="J4555">
        <v>1139.02</v>
      </c>
      <c r="K4555" t="s">
        <v>22</v>
      </c>
      <c r="L4555">
        <v>76</v>
      </c>
      <c r="M4555">
        <v>12.58</v>
      </c>
      <c r="N4555">
        <v>11.21</v>
      </c>
      <c r="O4555" t="s">
        <v>19</v>
      </c>
      <c r="P4555" t="s">
        <v>1320</v>
      </c>
      <c r="Q4555" t="s">
        <v>19</v>
      </c>
      <c r="R4555" t="str">
        <f>HYPERLINK("https://cfpub.epa.gov/ecotox/explore.cfm?ncbi=390850","Explore in ECOTOX")</f>
        <v>Explore in ECOTOX</v>
      </c>
    </row>
    <row r="4556" spans="1:18" x14ac:dyDescent="0.45">
      <c r="A4556" t="s">
        <v>1265</v>
      </c>
      <c r="B4556">
        <v>8</v>
      </c>
      <c r="C4556" t="str">
        <f>HYPERLINK("http://www.ncbi.nlm.nih.gov/protein/VDO40897.1","VDO40897.1")</f>
        <v>VDO40897.1</v>
      </c>
      <c r="D4556">
        <v>21561</v>
      </c>
      <c r="E4556" t="str">
        <f>HYPERLINK("http://www.ncbi.nlm.nih.gov/Taxonomy/Browser/wwwtax.cgi?mode=Info&amp;id=6290&amp;lvl=3&amp;lin=f&amp;keep=1&amp;srchmode=1&amp;unlock","6290")</f>
        <v>6290</v>
      </c>
      <c r="F4556" t="s">
        <v>1024</v>
      </c>
      <c r="G4556" t="str">
        <f>HYPERLINK("http://www.ncbi.nlm.nih.gov/Taxonomy/Browser/wwwtax.cgi?mode=Info&amp;id=6290&amp;lvl=3&amp;lin=f&amp;keep=1&amp;srchmode=1&amp;unlock","Haemonchus placei")</f>
        <v>Haemonchus placei</v>
      </c>
      <c r="H4556" t="s">
        <v>1025</v>
      </c>
      <c r="I4556" t="str">
        <f>HYPERLINK("http://www.ncbi.nlm.nih.gov/protein/VDO40897.1","unnamed protein product")</f>
        <v>unnamed protein product</v>
      </c>
      <c r="J4556">
        <v>1137.0899999999999</v>
      </c>
      <c r="K4556" t="s">
        <v>22</v>
      </c>
      <c r="L4556">
        <v>76</v>
      </c>
      <c r="M4556">
        <v>12.58</v>
      </c>
      <c r="N4556">
        <v>11.19</v>
      </c>
      <c r="O4556" t="s">
        <v>19</v>
      </c>
      <c r="P4556" t="s">
        <v>1320</v>
      </c>
      <c r="Q4556" t="s">
        <v>19</v>
      </c>
      <c r="R4556" t="str">
        <f>HYPERLINK("https://cfpub.epa.gov/ecotox/explore.cfm?ncbi=6290","Explore in ECOTOX")</f>
        <v>Explore in ECOTOX</v>
      </c>
    </row>
    <row r="4557" spans="1:18" x14ac:dyDescent="0.45">
      <c r="A4557" t="s">
        <v>1265</v>
      </c>
      <c r="B4557">
        <v>8</v>
      </c>
      <c r="C4557" t="str">
        <f>HYPERLINK("http://www.ncbi.nlm.nih.gov/protein/GMS80970.1","GMS80970.1")</f>
        <v>GMS80970.1</v>
      </c>
      <c r="D4557">
        <v>30770</v>
      </c>
      <c r="E4557" t="str">
        <f>HYPERLINK("http://www.ncbi.nlm.nih.gov/Taxonomy/Browser/wwwtax.cgi?mode=Info&amp;id=358040&amp;lvl=3&amp;lin=f&amp;keep=1&amp;srchmode=1&amp;unlock","358040")</f>
        <v>358040</v>
      </c>
      <c r="F4557" t="s">
        <v>1024</v>
      </c>
      <c r="G4557" t="str">
        <f>HYPERLINK("http://www.ncbi.nlm.nih.gov/Taxonomy/Browser/wwwtax.cgi?mode=Info&amp;id=358040&amp;lvl=3&amp;lin=f&amp;keep=1&amp;srchmode=1&amp;unlock","Pristionchus entomophagus")</f>
        <v>Pristionchus entomophagus</v>
      </c>
      <c r="H4557" t="s">
        <v>1027</v>
      </c>
      <c r="I4557" t="str">
        <f>HYPERLINK("http://www.ncbi.nlm.nih.gov/protein/GMS80970.1","hypothetical protein PENTCL1PPCAC_3145, partial")</f>
        <v>hypothetical protein PENTCL1PPCAC_3145, partial</v>
      </c>
      <c r="J4557">
        <v>1126.31</v>
      </c>
      <c r="K4557" t="s">
        <v>22</v>
      </c>
      <c r="L4557">
        <v>76</v>
      </c>
      <c r="M4557">
        <v>12.58</v>
      </c>
      <c r="N4557">
        <v>11.08</v>
      </c>
      <c r="O4557" t="s">
        <v>19</v>
      </c>
      <c r="P4557" t="s">
        <v>1320</v>
      </c>
      <c r="Q4557" t="s">
        <v>19</v>
      </c>
      <c r="R4557" t="str">
        <f>HYPERLINK("https://cfpub.epa.gov/ecotox/explore.cfm?ncbi=358040","Explore in ECOTOX")</f>
        <v>Explore in ECOTOX</v>
      </c>
    </row>
    <row r="4558" spans="1:18" x14ac:dyDescent="0.45">
      <c r="A4558" t="s">
        <v>1265</v>
      </c>
      <c r="B4558">
        <v>8</v>
      </c>
      <c r="C4558" t="str">
        <f>HYPERLINK("http://www.ncbi.nlm.nih.gov/protein/KAJ6647169.1","KAJ6647169.1")</f>
        <v>KAJ6647169.1</v>
      </c>
      <c r="D4558">
        <v>17906</v>
      </c>
      <c r="E4558" t="str">
        <f>HYPERLINK("http://www.ncbi.nlm.nih.gov/Taxonomy/Browser/wwwtax.cgi?mode=Info&amp;id=35572&amp;lvl=3&amp;lin=f&amp;keep=1&amp;srchmode=1&amp;unlock","35572")</f>
        <v>35572</v>
      </c>
      <c r="F4558" t="s">
        <v>760</v>
      </c>
      <c r="G4558" t="str">
        <f>HYPERLINK("http://www.ncbi.nlm.nih.gov/Taxonomy/Browser/wwwtax.cgi?mode=Info&amp;id=35572&amp;lvl=3&amp;lin=f&amp;keep=1&amp;srchmode=1&amp;unlock","Pseudolycoriella hygida")</f>
        <v>Pseudolycoriella hygida</v>
      </c>
      <c r="H4558" t="s">
        <v>1096</v>
      </c>
      <c r="I4558" t="str">
        <f>HYPERLINK("http://www.ncbi.nlm.nih.gov/protein/KAJ6647169.1","Ryanodine receptor, partial")</f>
        <v>Ryanodine receptor, partial</v>
      </c>
      <c r="J4558">
        <v>1113.21</v>
      </c>
      <c r="K4558" t="s">
        <v>22</v>
      </c>
      <c r="L4558">
        <v>76</v>
      </c>
      <c r="M4558">
        <v>12.58</v>
      </c>
      <c r="N4558">
        <v>10.96</v>
      </c>
      <c r="O4558" t="s">
        <v>19</v>
      </c>
      <c r="P4558" t="s">
        <v>1320</v>
      </c>
      <c r="Q4558" t="s">
        <v>19</v>
      </c>
      <c r="R4558" t="str">
        <f>HYPERLINK("https://cfpub.epa.gov/ecotox/explore.cfm?ncbi=35572","Explore in ECOTOX")</f>
        <v>Explore in ECOTOX</v>
      </c>
    </row>
    <row r="4559" spans="1:18" x14ac:dyDescent="0.45">
      <c r="A4559" t="s">
        <v>1265</v>
      </c>
      <c r="B4559">
        <v>8</v>
      </c>
      <c r="C4559" t="str">
        <f>HYPERLINK("http://www.ncbi.nlm.nih.gov/protein/KAB0390862.1","KAB0390862.1")</f>
        <v>KAB0390862.1</v>
      </c>
      <c r="D4559">
        <v>20276</v>
      </c>
      <c r="E4559" t="str">
        <f>HYPERLINK("http://www.ncbi.nlm.nih.gov/Taxonomy/Browser/wwwtax.cgi?mode=Info&amp;id=9770&amp;lvl=3&amp;lin=f&amp;keep=1&amp;srchmode=1&amp;unlock","9770")</f>
        <v>9770</v>
      </c>
      <c r="F4559" t="s">
        <v>96</v>
      </c>
      <c r="G4559" t="str">
        <f>HYPERLINK("http://www.ncbi.nlm.nih.gov/Taxonomy/Browser/wwwtax.cgi?mode=Info&amp;id=9770&amp;lvl=3&amp;lin=f&amp;keep=1&amp;srchmode=1&amp;unlock","Balaenoptera physalus")</f>
        <v>Balaenoptera physalus</v>
      </c>
      <c r="H4559" t="s">
        <v>1170</v>
      </c>
      <c r="I4559" t="str">
        <f>HYPERLINK("http://www.ncbi.nlm.nih.gov/protein/KAB0390862.1","hypothetical protein E2I00_001100, partial")</f>
        <v>hypothetical protein E2I00_001100, partial</v>
      </c>
      <c r="J4559">
        <v>1108.21</v>
      </c>
      <c r="K4559" t="s">
        <v>22</v>
      </c>
      <c r="L4559">
        <v>76</v>
      </c>
      <c r="M4559">
        <v>12.58</v>
      </c>
      <c r="N4559">
        <v>10.91</v>
      </c>
      <c r="O4559" t="s">
        <v>19</v>
      </c>
      <c r="P4559" t="s">
        <v>1320</v>
      </c>
      <c r="Q4559" t="s">
        <v>19</v>
      </c>
      <c r="R4559" t="str">
        <f>HYPERLINK("https://cfpub.epa.gov/ecotox/explore.cfm?ncbi=9770","Explore in ECOTOX")</f>
        <v>Explore in ECOTOX</v>
      </c>
    </row>
    <row r="4560" spans="1:18" x14ac:dyDescent="0.45">
      <c r="A4560" t="s">
        <v>1265</v>
      </c>
      <c r="B4560">
        <v>8</v>
      </c>
      <c r="C4560" t="str">
        <f>HYPERLINK("http://www.ncbi.nlm.nih.gov/protein/PAV62896.1","PAV62896.1")</f>
        <v>PAV62896.1</v>
      </c>
      <c r="D4560">
        <v>38237</v>
      </c>
      <c r="E4560" t="str">
        <f>HYPERLINK("http://www.ncbi.nlm.nih.gov/Taxonomy/Browser/wwwtax.cgi?mode=Info&amp;id=2018661&amp;lvl=3&amp;lin=f&amp;keep=1&amp;srchmode=1&amp;unlock","2018661")</f>
        <v>2018661</v>
      </c>
      <c r="F4560" t="s">
        <v>1024</v>
      </c>
      <c r="G4560" t="str">
        <f>HYPERLINK("http://www.ncbi.nlm.nih.gov/Taxonomy/Browser/wwwtax.cgi?mode=Info&amp;id=2018661&amp;lvl=3&amp;lin=f&amp;keep=1&amp;srchmode=1&amp;unlock","Diploscapter pachys")</f>
        <v>Diploscapter pachys</v>
      </c>
      <c r="H4560" t="s">
        <v>1027</v>
      </c>
      <c r="I4560" t="str">
        <f>HYPERLINK("http://www.ncbi.nlm.nih.gov/protein/PAV62896.1","hypothetical protein WR25_23787 isoform A")</f>
        <v>hypothetical protein WR25_23787 isoform A</v>
      </c>
      <c r="J4560">
        <v>1101.27</v>
      </c>
      <c r="K4560" t="s">
        <v>22</v>
      </c>
      <c r="L4560">
        <v>76</v>
      </c>
      <c r="M4560">
        <v>12.58</v>
      </c>
      <c r="N4560">
        <v>10.84</v>
      </c>
      <c r="O4560" t="s">
        <v>19</v>
      </c>
      <c r="P4560" t="s">
        <v>1320</v>
      </c>
      <c r="Q4560" t="s">
        <v>19</v>
      </c>
      <c r="R4560" t="str">
        <f>HYPERLINK("https://cfpub.epa.gov/ecotox/explore.cfm?ncbi=2018661","Explore in ECOTOX")</f>
        <v>Explore in ECOTOX</v>
      </c>
    </row>
    <row r="4561" spans="1:18" x14ac:dyDescent="0.45">
      <c r="A4561" t="s">
        <v>1265</v>
      </c>
      <c r="B4561">
        <v>8</v>
      </c>
      <c r="C4561" t="str">
        <f>HYPERLINK("http://www.ncbi.nlm.nih.gov/protein/VDD92494.1","VDD92494.1")</f>
        <v>VDD92494.1</v>
      </c>
      <c r="D4561">
        <v>13019</v>
      </c>
      <c r="E4561" t="str">
        <f>HYPERLINK("http://www.ncbi.nlm.nih.gov/Taxonomy/Browser/wwwtax.cgi?mode=Info&amp;id=51028&amp;lvl=3&amp;lin=f&amp;keep=1&amp;srchmode=1&amp;unlock","51028")</f>
        <v>51028</v>
      </c>
      <c r="F4561" t="s">
        <v>1024</v>
      </c>
      <c r="G4561" t="str">
        <f>HYPERLINK("http://www.ncbi.nlm.nih.gov/Taxonomy/Browser/wwwtax.cgi?mode=Info&amp;id=51028&amp;lvl=3&amp;lin=f&amp;keep=1&amp;srchmode=1&amp;unlock","Enterobius vermicularis")</f>
        <v>Enterobius vermicularis</v>
      </c>
      <c r="H4561" t="s">
        <v>1193</v>
      </c>
      <c r="I4561" t="str">
        <f>HYPERLINK("http://www.ncbi.nlm.nih.gov/protein/VDD92494.1","unnamed protein product")</f>
        <v>unnamed protein product</v>
      </c>
      <c r="J4561">
        <v>1097.8</v>
      </c>
      <c r="K4561" t="s">
        <v>22</v>
      </c>
      <c r="L4561">
        <v>76</v>
      </c>
      <c r="M4561">
        <v>12.58</v>
      </c>
      <c r="N4561">
        <v>10.8</v>
      </c>
      <c r="O4561" t="s">
        <v>19</v>
      </c>
      <c r="P4561" t="s">
        <v>1320</v>
      </c>
      <c r="Q4561" t="s">
        <v>19</v>
      </c>
      <c r="R4561" t="str">
        <f>HYPERLINK("https://cfpub.epa.gov/ecotox/explore.cfm?ncbi=51028","Explore in ECOTOX")</f>
        <v>Explore in ECOTOX</v>
      </c>
    </row>
    <row r="4562" spans="1:18" x14ac:dyDescent="0.45">
      <c r="A4562" t="s">
        <v>1265</v>
      </c>
      <c r="B4562">
        <v>8</v>
      </c>
      <c r="C4562" t="str">
        <f>HYPERLINK("http://www.ncbi.nlm.nih.gov/protein/MCP9259463.1","MCP9259463.1")</f>
        <v>MCP9259463.1</v>
      </c>
      <c r="D4562">
        <v>10129</v>
      </c>
      <c r="E4562" t="str">
        <f>HYPERLINK("http://www.ncbi.nlm.nih.gov/Taxonomy/Browser/wwwtax.cgi?mode=Info&amp;id=6287&amp;lvl=3&amp;lin=f&amp;keep=1&amp;srchmode=1&amp;unlock","6287")</f>
        <v>6287</v>
      </c>
      <c r="F4562" t="s">
        <v>1024</v>
      </c>
      <c r="G4562" t="str">
        <f>HYPERLINK("http://www.ncbi.nlm.nih.gov/Taxonomy/Browser/wwwtax.cgi?mode=Info&amp;id=6287&amp;lvl=3&amp;lin=f&amp;keep=1&amp;srchmode=1&amp;unlock","Dirofilaria immitis")</f>
        <v>Dirofilaria immitis</v>
      </c>
      <c r="H4562" t="s">
        <v>1190</v>
      </c>
      <c r="I4562" t="str">
        <f>HYPERLINK("http://www.ncbi.nlm.nih.gov/protein/MCP9259463.1","Ryanodine receptor 44F")</f>
        <v>Ryanodine receptor 44F</v>
      </c>
      <c r="J4562">
        <v>1095.49</v>
      </c>
      <c r="K4562" t="s">
        <v>22</v>
      </c>
      <c r="L4562">
        <v>76</v>
      </c>
      <c r="M4562">
        <v>12.58</v>
      </c>
      <c r="N4562">
        <v>10.78</v>
      </c>
      <c r="O4562" t="s">
        <v>19</v>
      </c>
      <c r="P4562" t="s">
        <v>1320</v>
      </c>
      <c r="Q4562" t="s">
        <v>19</v>
      </c>
      <c r="R4562" t="str">
        <f>HYPERLINK("https://cfpub.epa.gov/ecotox/explore.cfm?ncbi=6287","Explore in ECOTOX")</f>
        <v>Explore in ECOTOX</v>
      </c>
    </row>
    <row r="4563" spans="1:18" x14ac:dyDescent="0.45">
      <c r="A4563" t="s">
        <v>1265</v>
      </c>
      <c r="B4563">
        <v>8</v>
      </c>
      <c r="C4563" t="str">
        <f>HYPERLINK("http://www.ncbi.nlm.nih.gov/protein/VDM17155.1","VDM17155.1")</f>
        <v>VDM17155.1</v>
      </c>
      <c r="D4563">
        <v>11790</v>
      </c>
      <c r="E4563" t="str">
        <f>HYPERLINK("http://www.ncbi.nlm.nih.gov/Taxonomy/Browser/wwwtax.cgi?mode=Info&amp;id=6205&amp;lvl=3&amp;lin=f&amp;keep=1&amp;srchmode=1&amp;unlock","6205")</f>
        <v>6205</v>
      </c>
      <c r="F4563" t="s">
        <v>1185</v>
      </c>
      <c r="G4563" t="str">
        <f>HYPERLINK("http://www.ncbi.nlm.nih.gov/Taxonomy/Browser/wwwtax.cgi?mode=Info&amp;id=6205&amp;lvl=3&amp;lin=f&amp;keep=1&amp;srchmode=1&amp;unlock","Hydatigera taeniaeformis")</f>
        <v>Hydatigera taeniaeformis</v>
      </c>
      <c r="H4563" t="s">
        <v>1186</v>
      </c>
      <c r="I4563" t="str">
        <f>HYPERLINK("http://www.ncbi.nlm.nih.gov/protein/VDM17155.1","unnamed protein product")</f>
        <v>unnamed protein product</v>
      </c>
      <c r="J4563">
        <v>1093.18</v>
      </c>
      <c r="K4563" t="s">
        <v>22</v>
      </c>
      <c r="L4563">
        <v>76</v>
      </c>
      <c r="M4563">
        <v>12.58</v>
      </c>
      <c r="N4563">
        <v>10.76</v>
      </c>
      <c r="O4563" t="s">
        <v>22</v>
      </c>
      <c r="P4563" t="s">
        <v>1320</v>
      </c>
      <c r="Q4563" t="s">
        <v>19</v>
      </c>
      <c r="R4563" t="str">
        <f>HYPERLINK("https://cfpub.epa.gov/ecotox/explore.cfm?ncbi=6205","Explore in ECOTOX")</f>
        <v>Explore in ECOTOX</v>
      </c>
    </row>
    <row r="4564" spans="1:18" x14ac:dyDescent="0.45">
      <c r="A4564" t="s">
        <v>1265</v>
      </c>
      <c r="B4564">
        <v>8</v>
      </c>
      <c r="C4564" t="str">
        <f>HYPERLINK("http://www.ncbi.nlm.nih.gov/protein/CAH8503543.1","CAH8503543.1")</f>
        <v>CAH8503543.1</v>
      </c>
      <c r="D4564">
        <v>17001</v>
      </c>
      <c r="E4564" t="str">
        <f>HYPERLINK("http://www.ncbi.nlm.nih.gov/Taxonomy/Browser/wwwtax.cgi?mode=Info&amp;id=57078&amp;lvl=3&amp;lin=f&amp;keep=1&amp;srchmode=1&amp;unlock","57078")</f>
        <v>57078</v>
      </c>
      <c r="F4564" t="s">
        <v>1140</v>
      </c>
      <c r="G4564" t="str">
        <f>HYPERLINK("http://www.ncbi.nlm.nih.gov/Taxonomy/Browser/wwwtax.cgi?mode=Info&amp;id=57078&amp;lvl=3&amp;lin=f&amp;keep=1&amp;srchmode=1&amp;unlock","Dicrocoelium dendriticum")</f>
        <v>Dicrocoelium dendriticum</v>
      </c>
      <c r="H4564" t="s">
        <v>1194</v>
      </c>
      <c r="I4564" t="str">
        <f>HYPERLINK("http://www.ncbi.nlm.nih.gov/protein/CAH8503543.1","unnamed protein product")</f>
        <v>unnamed protein product</v>
      </c>
      <c r="J4564">
        <v>1089.33</v>
      </c>
      <c r="K4564" t="s">
        <v>22</v>
      </c>
      <c r="L4564">
        <v>76</v>
      </c>
      <c r="M4564">
        <v>12.58</v>
      </c>
      <c r="N4564">
        <v>10.72</v>
      </c>
      <c r="O4564" t="s">
        <v>19</v>
      </c>
      <c r="P4564" t="s">
        <v>1320</v>
      </c>
      <c r="Q4564" t="s">
        <v>19</v>
      </c>
      <c r="R4564" t="str">
        <f>HYPERLINK("https://cfpub.epa.gov/ecotox/explore.cfm?ncbi=57078","Explore in ECOTOX")</f>
        <v>Explore in ECOTOX</v>
      </c>
    </row>
    <row r="4565" spans="1:18" x14ac:dyDescent="0.45">
      <c r="A4565" t="s">
        <v>1265</v>
      </c>
      <c r="B4565">
        <v>8</v>
      </c>
      <c r="C4565" t="str">
        <f>HYPERLINK("http://www.ncbi.nlm.nih.gov/protein/KAG5441693.1","KAG5441693.1")</f>
        <v>KAG5441693.1</v>
      </c>
      <c r="D4565">
        <v>29004</v>
      </c>
      <c r="E4565" t="str">
        <f>HYPERLINK("http://www.ncbi.nlm.nih.gov/Taxonomy/Browser/wwwtax.cgi?mode=Info&amp;id=79923&amp;lvl=3&amp;lin=f&amp;keep=1&amp;srchmode=1&amp;unlock","79923")</f>
        <v>79923</v>
      </c>
      <c r="F4565" t="s">
        <v>1140</v>
      </c>
      <c r="G4565" t="str">
        <f>HYPERLINK("http://www.ncbi.nlm.nih.gov/Taxonomy/Browser/wwwtax.cgi?mode=Info&amp;id=79923&amp;lvl=3&amp;lin=f&amp;keep=1&amp;srchmode=1&amp;unlock","Clonorchis sinensis")</f>
        <v>Clonorchis sinensis</v>
      </c>
      <c r="H4565" t="s">
        <v>1197</v>
      </c>
      <c r="I4565" t="str">
        <f>HYPERLINK("http://www.ncbi.nlm.nih.gov/protein/KAG5441693.1","Ryanodine receptor")</f>
        <v>Ryanodine receptor</v>
      </c>
      <c r="J4565">
        <v>1087.4000000000001</v>
      </c>
      <c r="K4565" t="s">
        <v>22</v>
      </c>
      <c r="L4565">
        <v>76</v>
      </c>
      <c r="M4565">
        <v>12.58</v>
      </c>
      <c r="N4565">
        <v>10.7</v>
      </c>
      <c r="O4565" t="s">
        <v>19</v>
      </c>
      <c r="P4565" t="s">
        <v>1320</v>
      </c>
      <c r="Q4565" t="s">
        <v>19</v>
      </c>
      <c r="R4565" t="str">
        <f>HYPERLINK("https://cfpub.epa.gov/ecotox/explore.cfm?ncbi=79923","Explore in ECOTOX")</f>
        <v>Explore in ECOTOX</v>
      </c>
    </row>
    <row r="4566" spans="1:18" x14ac:dyDescent="0.45">
      <c r="A4566" t="s">
        <v>1265</v>
      </c>
      <c r="B4566">
        <v>8</v>
      </c>
      <c r="C4566" t="str">
        <f>HYPERLINK("http://www.ncbi.nlm.nih.gov/protein/TGZ67042.1","TGZ67042.1")</f>
        <v>TGZ67042.1</v>
      </c>
      <c r="D4566">
        <v>20948</v>
      </c>
      <c r="E4566" t="str">
        <f>HYPERLINK("http://www.ncbi.nlm.nih.gov/Taxonomy/Browser/wwwtax.cgi?mode=Info&amp;id=147828&amp;lvl=3&amp;lin=f&amp;keep=1&amp;srchmode=1&amp;unlock","147828")</f>
        <v>147828</v>
      </c>
      <c r="F4566" t="s">
        <v>1140</v>
      </c>
      <c r="G4566" t="str">
        <f>HYPERLINK("http://www.ncbi.nlm.nih.gov/Taxonomy/Browser/wwwtax.cgi?mode=Info&amp;id=147828&amp;lvl=3&amp;lin=f&amp;keep=1&amp;srchmode=1&amp;unlock","Opisthorchis felineus")</f>
        <v>Opisthorchis felineus</v>
      </c>
      <c r="H4566" t="s">
        <v>1188</v>
      </c>
      <c r="I4566" t="str">
        <f>HYPERLINK("http://www.ncbi.nlm.nih.gov/protein/TGZ67042.1","hypothetical protein CRM22_004998")</f>
        <v>hypothetical protein CRM22_004998</v>
      </c>
      <c r="J4566">
        <v>1087.4000000000001</v>
      </c>
      <c r="K4566" t="s">
        <v>22</v>
      </c>
      <c r="L4566">
        <v>76</v>
      </c>
      <c r="M4566">
        <v>12.58</v>
      </c>
      <c r="N4566">
        <v>10.7</v>
      </c>
      <c r="O4566" t="s">
        <v>19</v>
      </c>
      <c r="P4566" t="s">
        <v>1320</v>
      </c>
      <c r="Q4566" t="s">
        <v>19</v>
      </c>
      <c r="R4566" t="str">
        <f>HYPERLINK("https://cfpub.epa.gov/ecotox/explore.cfm?ncbi=147828","Explore in ECOTOX")</f>
        <v>Explore in ECOTOX</v>
      </c>
    </row>
    <row r="4567" spans="1:18" x14ac:dyDescent="0.45">
      <c r="A4567" t="s">
        <v>1265</v>
      </c>
      <c r="B4567">
        <v>8</v>
      </c>
      <c r="C4567" t="str">
        <f>HYPERLINK("http://www.ncbi.nlm.nih.gov/protein/CAH8441646.1","CAH8441646.1")</f>
        <v>CAH8441646.1</v>
      </c>
      <c r="D4567">
        <v>41618</v>
      </c>
      <c r="E4567" t="str">
        <f>HYPERLINK("http://www.ncbi.nlm.nih.gov/Taxonomy/Browser/wwwtax.cgi?mode=Info&amp;id=48269&amp;lvl=3&amp;lin=f&amp;keep=1&amp;srchmode=1&amp;unlock","48269")</f>
        <v>48269</v>
      </c>
      <c r="F4567" t="s">
        <v>1140</v>
      </c>
      <c r="G4567" t="str">
        <f>HYPERLINK("http://www.ncbi.nlm.nih.gov/Taxonomy/Browser/wwwtax.cgi?mode=Info&amp;id=48269&amp;lvl=3&amp;lin=f&amp;keep=1&amp;srchmode=1&amp;unlock","Schistosoma margrebowiei")</f>
        <v>Schistosoma margrebowiei</v>
      </c>
      <c r="H4567" t="s">
        <v>1141</v>
      </c>
      <c r="I4567" t="str">
        <f>HYPERLINK("http://www.ncbi.nlm.nih.gov/protein/CAH8441646.1","unnamed protein product")</f>
        <v>unnamed protein product</v>
      </c>
      <c r="J4567">
        <v>1083.17</v>
      </c>
      <c r="K4567" t="s">
        <v>22</v>
      </c>
      <c r="L4567">
        <v>76</v>
      </c>
      <c r="M4567">
        <v>12.58</v>
      </c>
      <c r="N4567">
        <v>10.66</v>
      </c>
      <c r="O4567" t="s">
        <v>19</v>
      </c>
      <c r="P4567" t="s">
        <v>1320</v>
      </c>
      <c r="Q4567" t="s">
        <v>19</v>
      </c>
      <c r="R4567" t="str">
        <f>HYPERLINK("https://cfpub.epa.gov/ecotox/explore.cfm?ncbi=48269","Explore in ECOTOX")</f>
        <v>Explore in ECOTOX</v>
      </c>
    </row>
    <row r="4568" spans="1:18" x14ac:dyDescent="0.45">
      <c r="A4568" t="s">
        <v>1265</v>
      </c>
      <c r="B4568">
        <v>8</v>
      </c>
      <c r="C4568" t="str">
        <f>HYPERLINK("http://www.ncbi.nlm.nih.gov/protein/CAH8440066.1","CAH8440066.1")</f>
        <v>CAH8440066.1</v>
      </c>
      <c r="D4568">
        <v>15114</v>
      </c>
      <c r="E4568" t="str">
        <f>HYPERLINK("http://www.ncbi.nlm.nih.gov/Taxonomy/Browser/wwwtax.cgi?mode=Info&amp;id=393876&amp;lvl=3&amp;lin=f&amp;keep=1&amp;srchmode=1&amp;unlock","393876")</f>
        <v>393876</v>
      </c>
      <c r="F4568" t="s">
        <v>1140</v>
      </c>
      <c r="G4568" t="str">
        <f>HYPERLINK("http://www.ncbi.nlm.nih.gov/Taxonomy/Browser/wwwtax.cgi?mode=Info&amp;id=393876&amp;lvl=3&amp;lin=f&amp;keep=1&amp;srchmode=1&amp;unlock","Schistosoma guineensis")</f>
        <v>Schistosoma guineensis</v>
      </c>
      <c r="H4568" t="s">
        <v>1141</v>
      </c>
      <c r="I4568" t="str">
        <f>HYPERLINK("http://www.ncbi.nlm.nih.gov/protein/CAH8440066.1","unnamed protein product")</f>
        <v>unnamed protein product</v>
      </c>
      <c r="J4568">
        <v>1082.78</v>
      </c>
      <c r="K4568" t="s">
        <v>22</v>
      </c>
      <c r="L4568">
        <v>76</v>
      </c>
      <c r="M4568">
        <v>12.58</v>
      </c>
      <c r="N4568">
        <v>10.66</v>
      </c>
      <c r="O4568" t="s">
        <v>19</v>
      </c>
      <c r="P4568" t="s">
        <v>1320</v>
      </c>
      <c r="Q4568" t="s">
        <v>19</v>
      </c>
      <c r="R4568" t="str">
        <f>HYPERLINK("https://cfpub.epa.gov/ecotox/explore.cfm?ncbi=393876","Explore in ECOTOX")</f>
        <v>Explore in ECOTOX</v>
      </c>
    </row>
    <row r="4569" spans="1:18" x14ac:dyDescent="0.45">
      <c r="A4569" t="s">
        <v>1265</v>
      </c>
      <c r="B4569">
        <v>8</v>
      </c>
      <c r="C4569" t="str">
        <f>HYPERLINK("http://www.ncbi.nlm.nih.gov/protein/CAH8438395.1","CAH8438395.1")</f>
        <v>CAH8438395.1</v>
      </c>
      <c r="D4569">
        <v>29949</v>
      </c>
      <c r="E4569" t="str">
        <f>HYPERLINK("http://www.ncbi.nlm.nih.gov/Taxonomy/Browser/wwwtax.cgi?mode=Info&amp;id=6187&amp;lvl=3&amp;lin=f&amp;keep=1&amp;srchmode=1&amp;unlock","6187")</f>
        <v>6187</v>
      </c>
      <c r="F4569" t="s">
        <v>1140</v>
      </c>
      <c r="G4569" t="str">
        <f>HYPERLINK("http://www.ncbi.nlm.nih.gov/Taxonomy/Browser/wwwtax.cgi?mode=Info&amp;id=6187&amp;lvl=3&amp;lin=f&amp;keep=1&amp;srchmode=1&amp;unlock","Schistosoma intercalatum")</f>
        <v>Schistosoma intercalatum</v>
      </c>
      <c r="H4569" t="s">
        <v>1141</v>
      </c>
      <c r="I4569" t="str">
        <f>HYPERLINK("http://www.ncbi.nlm.nih.gov/protein/CAH8438395.1","unnamed protein product")</f>
        <v>unnamed protein product</v>
      </c>
      <c r="J4569">
        <v>1082.4000000000001</v>
      </c>
      <c r="K4569" t="s">
        <v>22</v>
      </c>
      <c r="L4569">
        <v>76</v>
      </c>
      <c r="M4569">
        <v>12.58</v>
      </c>
      <c r="N4569">
        <v>10.65</v>
      </c>
      <c r="O4569" t="s">
        <v>19</v>
      </c>
      <c r="P4569" t="s">
        <v>1320</v>
      </c>
      <c r="Q4569" t="s">
        <v>19</v>
      </c>
      <c r="R4569" t="str">
        <f>HYPERLINK("https://cfpub.epa.gov/ecotox/explore.cfm?ncbi=6187","Explore in ECOTOX")</f>
        <v>Explore in ECOTOX</v>
      </c>
    </row>
    <row r="4570" spans="1:18" x14ac:dyDescent="0.45">
      <c r="A4570" t="s">
        <v>1265</v>
      </c>
      <c r="B4570">
        <v>8</v>
      </c>
      <c r="C4570" t="str">
        <f>HYPERLINK("http://www.ncbi.nlm.nih.gov/protein/CAH8441616.1","CAH8441616.1")</f>
        <v>CAH8441616.1</v>
      </c>
      <c r="D4570">
        <v>39203</v>
      </c>
      <c r="E4570" t="str">
        <f>HYPERLINK("http://www.ncbi.nlm.nih.gov/Taxonomy/Browser/wwwtax.cgi?mode=Info&amp;id=6186&amp;lvl=3&amp;lin=f&amp;keep=1&amp;srchmode=1&amp;unlock","6186")</f>
        <v>6186</v>
      </c>
      <c r="F4570" t="s">
        <v>1140</v>
      </c>
      <c r="G4570" t="str">
        <f>HYPERLINK("http://www.ncbi.nlm.nih.gov/Taxonomy/Browser/wwwtax.cgi?mode=Info&amp;id=6186&amp;lvl=3&amp;lin=f&amp;keep=1&amp;srchmode=1&amp;unlock","Schistosoma curassoni")</f>
        <v>Schistosoma curassoni</v>
      </c>
      <c r="H4570" t="s">
        <v>1141</v>
      </c>
      <c r="I4570" t="str">
        <f>HYPERLINK("http://www.ncbi.nlm.nih.gov/protein/CAH8441616.1","unnamed protein product")</f>
        <v>unnamed protein product</v>
      </c>
      <c r="J4570">
        <v>1081.6300000000001</v>
      </c>
      <c r="K4570" t="s">
        <v>22</v>
      </c>
      <c r="L4570">
        <v>76</v>
      </c>
      <c r="M4570">
        <v>12.58</v>
      </c>
      <c r="N4570">
        <v>10.65</v>
      </c>
      <c r="O4570" t="s">
        <v>19</v>
      </c>
      <c r="P4570" t="s">
        <v>1320</v>
      </c>
      <c r="Q4570" t="s">
        <v>19</v>
      </c>
      <c r="R4570" t="str">
        <f>HYPERLINK("https://cfpub.epa.gov/ecotox/explore.cfm?ncbi=6186","Explore in ECOTOX")</f>
        <v>Explore in ECOTOX</v>
      </c>
    </row>
    <row r="4571" spans="1:18" x14ac:dyDescent="0.45">
      <c r="A4571" t="s">
        <v>1265</v>
      </c>
      <c r="B4571">
        <v>8</v>
      </c>
      <c r="C4571" t="str">
        <f>HYPERLINK("http://www.ncbi.nlm.nih.gov/protein/CAH8481455.1","CAH8481455.1")</f>
        <v>CAH8481455.1</v>
      </c>
      <c r="D4571">
        <v>44286</v>
      </c>
      <c r="E4571" t="str">
        <f>HYPERLINK("http://www.ncbi.nlm.nih.gov/Taxonomy/Browser/wwwtax.cgi?mode=Info&amp;id=6184&amp;lvl=3&amp;lin=f&amp;keep=1&amp;srchmode=1&amp;unlock","6184")</f>
        <v>6184</v>
      </c>
      <c r="F4571" t="s">
        <v>1140</v>
      </c>
      <c r="G4571" t="str">
        <f>HYPERLINK("http://www.ncbi.nlm.nih.gov/Taxonomy/Browser/wwwtax.cgi?mode=Info&amp;id=6184&amp;lvl=3&amp;lin=f&amp;keep=1&amp;srchmode=1&amp;unlock","Schistosoma bovis")</f>
        <v>Schistosoma bovis</v>
      </c>
      <c r="H4571" t="s">
        <v>1141</v>
      </c>
      <c r="I4571" t="str">
        <f>HYPERLINK("http://www.ncbi.nlm.nih.gov/protein/CAH8481455.1","unnamed protein product")</f>
        <v>unnamed protein product</v>
      </c>
      <c r="J4571">
        <v>1081.6300000000001</v>
      </c>
      <c r="K4571" t="s">
        <v>22</v>
      </c>
      <c r="L4571">
        <v>76</v>
      </c>
      <c r="M4571">
        <v>12.58</v>
      </c>
      <c r="N4571">
        <v>10.65</v>
      </c>
      <c r="O4571" t="s">
        <v>19</v>
      </c>
      <c r="P4571" t="s">
        <v>1320</v>
      </c>
      <c r="Q4571" t="s">
        <v>19</v>
      </c>
      <c r="R4571" t="str">
        <f>HYPERLINK("https://cfpub.epa.gov/ecotox/explore.cfm?ncbi=6184","Explore in ECOTOX")</f>
        <v>Explore in ECOTOX</v>
      </c>
    </row>
    <row r="4572" spans="1:18" x14ac:dyDescent="0.45">
      <c r="A4572" t="s">
        <v>1265</v>
      </c>
      <c r="B4572">
        <v>8</v>
      </c>
      <c r="C4572" t="str">
        <f>HYPERLINK("http://www.ncbi.nlm.nih.gov/protein/CAH8440473.1","CAH8440473.1")</f>
        <v>CAH8440473.1</v>
      </c>
      <c r="D4572">
        <v>64887</v>
      </c>
      <c r="E4572" t="str">
        <f>HYPERLINK("http://www.ncbi.nlm.nih.gov/Taxonomy/Browser/wwwtax.cgi?mode=Info&amp;id=6185&amp;lvl=3&amp;lin=f&amp;keep=1&amp;srchmode=1&amp;unlock","6185")</f>
        <v>6185</v>
      </c>
      <c r="F4572" t="s">
        <v>1140</v>
      </c>
      <c r="G4572" t="str">
        <f>HYPERLINK("http://www.ncbi.nlm.nih.gov/Taxonomy/Browser/wwwtax.cgi?mode=Info&amp;id=6185&amp;lvl=3&amp;lin=f&amp;keep=1&amp;srchmode=1&amp;unlock","Schistosoma haematobium")</f>
        <v>Schistosoma haematobium</v>
      </c>
      <c r="H4572" t="s">
        <v>1141</v>
      </c>
      <c r="I4572" t="str">
        <f>HYPERLINK("http://www.ncbi.nlm.nih.gov/protein/CAH8440473.1","unnamed protein product")</f>
        <v>unnamed protein product</v>
      </c>
      <c r="J4572">
        <v>1081.6300000000001</v>
      </c>
      <c r="K4572" t="s">
        <v>22</v>
      </c>
      <c r="L4572">
        <v>76</v>
      </c>
      <c r="M4572">
        <v>12.58</v>
      </c>
      <c r="N4572">
        <v>10.65</v>
      </c>
      <c r="O4572" t="s">
        <v>19</v>
      </c>
      <c r="P4572" t="s">
        <v>1320</v>
      </c>
      <c r="Q4572" t="s">
        <v>19</v>
      </c>
      <c r="R4572" t="str">
        <f>HYPERLINK("https://cfpub.epa.gov/ecotox/explore.cfm?ncbi=6185","Explore in ECOTOX")</f>
        <v>Explore in ECOTOX</v>
      </c>
    </row>
    <row r="4573" spans="1:18" x14ac:dyDescent="0.45">
      <c r="A4573" t="s">
        <v>1265</v>
      </c>
      <c r="B4573">
        <v>8</v>
      </c>
      <c r="C4573" t="str">
        <f>HYPERLINK("http://www.ncbi.nlm.nih.gov/protein/CAH8491449.1","CAH8491449.1")</f>
        <v>CAH8491449.1</v>
      </c>
      <c r="D4573">
        <v>38218</v>
      </c>
      <c r="E4573" t="str">
        <f>HYPERLINK("http://www.ncbi.nlm.nih.gov/Taxonomy/Browser/wwwtax.cgi?mode=Info&amp;id=6188&amp;lvl=3&amp;lin=f&amp;keep=1&amp;srchmode=1&amp;unlock","6188")</f>
        <v>6188</v>
      </c>
      <c r="F4573" t="s">
        <v>1140</v>
      </c>
      <c r="G4573" t="str">
        <f>HYPERLINK("http://www.ncbi.nlm.nih.gov/Taxonomy/Browser/wwwtax.cgi?mode=Info&amp;id=6188&amp;lvl=3&amp;lin=f&amp;keep=1&amp;srchmode=1&amp;unlock","Schistosoma rodhaini")</f>
        <v>Schistosoma rodhaini</v>
      </c>
      <c r="H4573" t="s">
        <v>1141</v>
      </c>
      <c r="I4573" t="str">
        <f>HYPERLINK("http://www.ncbi.nlm.nih.gov/protein/CAH8491449.1","unnamed protein product")</f>
        <v>unnamed protein product</v>
      </c>
      <c r="J4573">
        <v>1078.54</v>
      </c>
      <c r="K4573" t="s">
        <v>22</v>
      </c>
      <c r="L4573">
        <v>76</v>
      </c>
      <c r="M4573">
        <v>12.58</v>
      </c>
      <c r="N4573">
        <v>10.61</v>
      </c>
      <c r="O4573" t="s">
        <v>19</v>
      </c>
      <c r="P4573" t="s">
        <v>1320</v>
      </c>
      <c r="Q4573" t="s">
        <v>19</v>
      </c>
      <c r="R4573" t="str">
        <f>HYPERLINK("https://cfpub.epa.gov/ecotox/explore.cfm?ncbi=6188","Explore in ECOTOX")</f>
        <v>Explore in ECOTOX</v>
      </c>
    </row>
    <row r="4574" spans="1:18" x14ac:dyDescent="0.45">
      <c r="A4574" t="s">
        <v>1265</v>
      </c>
      <c r="B4574">
        <v>8</v>
      </c>
      <c r="C4574" t="str">
        <f>HYPERLINK("http://www.ncbi.nlm.nih.gov/protein/THD26974.1","THD26974.1")</f>
        <v>THD26974.1</v>
      </c>
      <c r="D4574">
        <v>13907</v>
      </c>
      <c r="E4574" t="str">
        <f>HYPERLINK("http://www.ncbi.nlm.nih.gov/Taxonomy/Browser/wwwtax.cgi?mode=Info&amp;id=6192&amp;lvl=3&amp;lin=f&amp;keep=1&amp;srchmode=1&amp;unlock","6192")</f>
        <v>6192</v>
      </c>
      <c r="F4574" t="s">
        <v>1140</v>
      </c>
      <c r="G4574" t="str">
        <f>HYPERLINK("http://www.ncbi.nlm.nih.gov/Taxonomy/Browser/wwwtax.cgi?mode=Info&amp;id=6192&amp;lvl=3&amp;lin=f&amp;keep=1&amp;srchmode=1&amp;unlock","Fasciola hepatica")</f>
        <v>Fasciola hepatica</v>
      </c>
      <c r="H4574" t="s">
        <v>1199</v>
      </c>
      <c r="I4574" t="str">
        <f>HYPERLINK("http://www.ncbi.nlm.nih.gov/protein/THD26974.1","Ryanodine receptor 44F")</f>
        <v>Ryanodine receptor 44F</v>
      </c>
      <c r="J4574">
        <v>1078.54</v>
      </c>
      <c r="K4574" t="s">
        <v>22</v>
      </c>
      <c r="L4574">
        <v>76</v>
      </c>
      <c r="M4574">
        <v>12.58</v>
      </c>
      <c r="N4574">
        <v>10.61</v>
      </c>
      <c r="O4574" t="s">
        <v>19</v>
      </c>
      <c r="P4574" t="s">
        <v>1320</v>
      </c>
      <c r="Q4574" t="s">
        <v>19</v>
      </c>
      <c r="R4574" t="str">
        <f>HYPERLINK("https://cfpub.epa.gov/ecotox/explore.cfm?ncbi=6192","Explore in ECOTOX")</f>
        <v>Explore in ECOTOX</v>
      </c>
    </row>
    <row r="4575" spans="1:18" x14ac:dyDescent="0.45">
      <c r="A4575" t="s">
        <v>1265</v>
      </c>
      <c r="B4575">
        <v>8</v>
      </c>
      <c r="C4575" t="str">
        <f>HYPERLINK("http://www.ncbi.nlm.nih.gov/protein/CAI2723066.1","CAI2723066.1")</f>
        <v>CAI2723066.1</v>
      </c>
      <c r="D4575">
        <v>14559</v>
      </c>
      <c r="E4575" t="str">
        <f>HYPERLINK("http://www.ncbi.nlm.nih.gov/Taxonomy/Browser/wwwtax.cgi?mode=Info&amp;id=6189&amp;lvl=3&amp;lin=f&amp;keep=1&amp;srchmode=1&amp;unlock","6189")</f>
        <v>6189</v>
      </c>
      <c r="F4575" t="s">
        <v>1140</v>
      </c>
      <c r="G4575" t="str">
        <f>HYPERLINK("http://www.ncbi.nlm.nih.gov/Taxonomy/Browser/wwwtax.cgi?mode=Info&amp;id=6189&amp;lvl=3&amp;lin=f&amp;keep=1&amp;srchmode=1&amp;unlock","Schistosoma spindale")</f>
        <v>Schistosoma spindale</v>
      </c>
      <c r="H4575" t="s">
        <v>1141</v>
      </c>
      <c r="I4575" t="str">
        <f>HYPERLINK("http://www.ncbi.nlm.nih.gov/protein/CAI2723066.1","unnamed protein product")</f>
        <v>unnamed protein product</v>
      </c>
      <c r="J4575">
        <v>1077.3900000000001</v>
      </c>
      <c r="K4575" t="s">
        <v>22</v>
      </c>
      <c r="L4575">
        <v>76</v>
      </c>
      <c r="M4575">
        <v>12.58</v>
      </c>
      <c r="N4575">
        <v>10.6</v>
      </c>
      <c r="O4575" t="s">
        <v>19</v>
      </c>
      <c r="P4575" t="s">
        <v>1320</v>
      </c>
      <c r="Q4575" t="s">
        <v>19</v>
      </c>
      <c r="R4575" t="str">
        <f>HYPERLINK("https://cfpub.epa.gov/ecotox/explore.cfm?ncbi=6189","Explore in ECOTOX")</f>
        <v>Explore in ECOTOX</v>
      </c>
    </row>
    <row r="4576" spans="1:18" x14ac:dyDescent="0.45">
      <c r="A4576" t="s">
        <v>1265</v>
      </c>
      <c r="B4576">
        <v>8</v>
      </c>
      <c r="C4576" t="str">
        <f>HYPERLINK("http://www.ncbi.nlm.nih.gov/protein/CAH8833988.1","CAH8833988.1")</f>
        <v>CAH8833988.1</v>
      </c>
      <c r="D4576">
        <v>43160</v>
      </c>
      <c r="E4576" t="str">
        <f>HYPERLINK("http://www.ncbi.nlm.nih.gov/Taxonomy/Browser/wwwtax.cgi?mode=Info&amp;id=157069&amp;lvl=3&amp;lin=f&amp;keep=1&amp;srchmode=1&amp;unlock","157069")</f>
        <v>157069</v>
      </c>
      <c r="F4576" t="s">
        <v>1140</v>
      </c>
      <c r="G4576" t="str">
        <f>HYPERLINK("http://www.ncbi.nlm.nih.gov/Taxonomy/Browser/wwwtax.cgi?mode=Info&amp;id=157069&amp;lvl=3&amp;lin=f&amp;keep=1&amp;srchmode=1&amp;unlock","Trichobilharzia regenti")</f>
        <v>Trichobilharzia regenti</v>
      </c>
      <c r="H4576" t="s">
        <v>1192</v>
      </c>
      <c r="I4576" t="str">
        <f>HYPERLINK("http://www.ncbi.nlm.nih.gov/protein/CAH8833988.1","unnamed protein product, partial")</f>
        <v>unnamed protein product, partial</v>
      </c>
      <c r="J4576">
        <v>1077.3900000000001</v>
      </c>
      <c r="K4576" t="s">
        <v>22</v>
      </c>
      <c r="L4576">
        <v>76</v>
      </c>
      <c r="M4576">
        <v>12.58</v>
      </c>
      <c r="N4576">
        <v>10.6</v>
      </c>
      <c r="O4576" t="s">
        <v>19</v>
      </c>
      <c r="P4576" t="s">
        <v>1320</v>
      </c>
      <c r="Q4576" t="s">
        <v>19</v>
      </c>
      <c r="R4576" t="str">
        <f>HYPERLINK("https://cfpub.epa.gov/ecotox/explore.cfm?ncbi=157069","Explore in ECOTOX")</f>
        <v>Explore in ECOTOX</v>
      </c>
    </row>
    <row r="4577" spans="1:18" x14ac:dyDescent="0.45">
      <c r="A4577" t="s">
        <v>1265</v>
      </c>
      <c r="B4577">
        <v>8</v>
      </c>
      <c r="C4577" t="str">
        <f>HYPERLINK("http://www.ncbi.nlm.nih.gov/protein/RNA44121.1","RNA44121.1")</f>
        <v>RNA44121.1</v>
      </c>
      <c r="D4577">
        <v>53183</v>
      </c>
      <c r="E4577" t="str">
        <f>HYPERLINK("http://www.ncbi.nlm.nih.gov/Taxonomy/Browser/wwwtax.cgi?mode=Info&amp;id=10195&amp;lvl=3&amp;lin=f&amp;keep=1&amp;srchmode=1&amp;unlock","10195")</f>
        <v>10195</v>
      </c>
      <c r="F4577" t="s">
        <v>811</v>
      </c>
      <c r="G4577" t="str">
        <f>HYPERLINK("http://www.ncbi.nlm.nih.gov/Taxonomy/Browser/wwwtax.cgi?mode=Info&amp;id=10195&amp;lvl=3&amp;lin=f&amp;keep=1&amp;srchmode=1&amp;unlock","Brachionus plicatilis")</f>
        <v>Brachionus plicatilis</v>
      </c>
      <c r="H4577" t="s">
        <v>812</v>
      </c>
      <c r="I4577" t="str">
        <f>HYPERLINK("http://www.ncbi.nlm.nih.gov/protein/RNA44121.1","ryanodine receptor 44F-like")</f>
        <v>ryanodine receptor 44F-like</v>
      </c>
      <c r="J4577">
        <v>1073.1500000000001</v>
      </c>
      <c r="K4577" t="s">
        <v>22</v>
      </c>
      <c r="L4577">
        <v>76</v>
      </c>
      <c r="M4577">
        <v>12.58</v>
      </c>
      <c r="N4577">
        <v>10.56</v>
      </c>
      <c r="O4577" t="s">
        <v>19</v>
      </c>
      <c r="P4577" t="s">
        <v>1320</v>
      </c>
      <c r="Q4577" t="s">
        <v>19</v>
      </c>
      <c r="R4577" t="str">
        <f>HYPERLINK("https://cfpub.epa.gov/ecotox/explore.cfm?ncbi=10195","Explore in ECOTOX")</f>
        <v>Explore in ECOTOX</v>
      </c>
    </row>
    <row r="4578" spans="1:18" x14ac:dyDescent="0.45">
      <c r="A4578" t="s">
        <v>1265</v>
      </c>
      <c r="B4578">
        <v>8</v>
      </c>
      <c r="C4578" t="str">
        <f>HYPERLINK("http://www.ncbi.nlm.nih.gov/protein/TNN17701.1","TNN17701.1")</f>
        <v>TNN17701.1</v>
      </c>
      <c r="D4578">
        <v>65681</v>
      </c>
      <c r="E4578" t="str">
        <f>HYPERLINK("http://www.ncbi.nlm.nih.gov/Taxonomy/Browser/wwwtax.cgi?mode=Info&amp;id=6182&amp;lvl=3&amp;lin=f&amp;keep=1&amp;srchmode=1&amp;unlock","6182")</f>
        <v>6182</v>
      </c>
      <c r="F4578" t="s">
        <v>1140</v>
      </c>
      <c r="G4578" t="str">
        <f>HYPERLINK("http://www.ncbi.nlm.nih.gov/Taxonomy/Browser/wwwtax.cgi?mode=Info&amp;id=6182&amp;lvl=3&amp;lin=f&amp;keep=1&amp;srchmode=1&amp;unlock","Schistosoma japonicum")</f>
        <v>Schistosoma japonicum</v>
      </c>
      <c r="H4578" t="s">
        <v>1141</v>
      </c>
      <c r="I4578" t="str">
        <f>HYPERLINK("http://www.ncbi.nlm.nih.gov/protein/TNN17701.1","Ryanodine receptor isoform 2")</f>
        <v>Ryanodine receptor isoform 2</v>
      </c>
      <c r="J4578">
        <v>1072.3800000000001</v>
      </c>
      <c r="K4578" t="s">
        <v>22</v>
      </c>
      <c r="L4578">
        <v>76</v>
      </c>
      <c r="M4578">
        <v>12.58</v>
      </c>
      <c r="N4578">
        <v>10.55</v>
      </c>
      <c r="O4578" t="s">
        <v>19</v>
      </c>
      <c r="P4578" t="s">
        <v>1320</v>
      </c>
      <c r="Q4578" t="s">
        <v>19</v>
      </c>
      <c r="R4578" t="str">
        <f>HYPERLINK("https://cfpub.epa.gov/ecotox/explore.cfm?ncbi=6182","Explore in ECOTOX")</f>
        <v>Explore in ECOTOX</v>
      </c>
    </row>
    <row r="4579" spans="1:18" x14ac:dyDescent="0.45">
      <c r="A4579" t="s">
        <v>1265</v>
      </c>
      <c r="B4579">
        <v>8</v>
      </c>
      <c r="C4579" t="str">
        <f>HYPERLINK("http://www.ncbi.nlm.nih.gov/protein/CAH8834663.1","CAH8834663.1")</f>
        <v>CAH8834663.1</v>
      </c>
      <c r="D4579">
        <v>20325</v>
      </c>
      <c r="E4579" t="str">
        <f>HYPERLINK("http://www.ncbi.nlm.nih.gov/Taxonomy/Browser/wwwtax.cgi?mode=Info&amp;id=157070&amp;lvl=3&amp;lin=f&amp;keep=1&amp;srchmode=1&amp;unlock","157070")</f>
        <v>157070</v>
      </c>
      <c r="F4579" t="s">
        <v>1140</v>
      </c>
      <c r="G4579" t="str">
        <f>HYPERLINK("http://www.ncbi.nlm.nih.gov/Taxonomy/Browser/wwwtax.cgi?mode=Info&amp;id=157070&amp;lvl=3&amp;lin=f&amp;keep=1&amp;srchmode=1&amp;unlock","Trichobilharzia szidati")</f>
        <v>Trichobilharzia szidati</v>
      </c>
      <c r="H4579" t="s">
        <v>1141</v>
      </c>
      <c r="I4579" t="str">
        <f>HYPERLINK("http://www.ncbi.nlm.nih.gov/protein/CAH8834663.1","unnamed protein product")</f>
        <v>unnamed protein product</v>
      </c>
      <c r="J4579">
        <v>1059.67</v>
      </c>
      <c r="K4579" t="s">
        <v>22</v>
      </c>
      <c r="L4579">
        <v>76</v>
      </c>
      <c r="M4579">
        <v>12.58</v>
      </c>
      <c r="N4579">
        <v>10.43</v>
      </c>
      <c r="O4579" t="s">
        <v>19</v>
      </c>
      <c r="P4579" t="s">
        <v>1320</v>
      </c>
      <c r="Q4579" t="s">
        <v>19</v>
      </c>
      <c r="R4579" t="str">
        <f>HYPERLINK("https://cfpub.epa.gov/ecotox/explore.cfm?ncbi=157070","Explore in ECOTOX")</f>
        <v>Explore in ECOTOX</v>
      </c>
    </row>
    <row r="4580" spans="1:18" x14ac:dyDescent="0.45">
      <c r="A4580" t="s">
        <v>1265</v>
      </c>
      <c r="B4580">
        <v>8</v>
      </c>
      <c r="C4580" t="str">
        <f>HYPERLINK("http://www.ncbi.nlm.nih.gov/protein/KAG8232313.1","KAG8232313.1")</f>
        <v>KAG8232313.1</v>
      </c>
      <c r="D4580">
        <v>18897</v>
      </c>
      <c r="E4580" t="str">
        <f>HYPERLINK("http://www.ncbi.nlm.nih.gov/Taxonomy/Browser/wwwtax.cgi?mode=Info&amp;id=123851&amp;lvl=3&amp;lin=f&amp;keep=1&amp;srchmode=1&amp;unlock","123851")</f>
        <v>123851</v>
      </c>
      <c r="F4580" t="s">
        <v>760</v>
      </c>
      <c r="G4580" t="str">
        <f>HYPERLINK("http://www.ncbi.nlm.nih.gov/Taxonomy/Browser/wwwtax.cgi?mode=Info&amp;id=123851&amp;lvl=3&amp;lin=f&amp;keep=1&amp;srchmode=1&amp;unlock","Ladona fulva")</f>
        <v>Ladona fulva</v>
      </c>
      <c r="H4580" t="s">
        <v>1195</v>
      </c>
      <c r="I4580" t="str">
        <f>HYPERLINK("http://www.ncbi.nlm.nih.gov/protein/KAG8232313.1","hypothetical protein J437_LFUL009412")</f>
        <v>hypothetical protein J437_LFUL009412</v>
      </c>
      <c r="J4580">
        <v>1056.97</v>
      </c>
      <c r="K4580" t="s">
        <v>22</v>
      </c>
      <c r="L4580">
        <v>76</v>
      </c>
      <c r="M4580">
        <v>12.58</v>
      </c>
      <c r="N4580">
        <v>10.4</v>
      </c>
      <c r="O4580" t="s">
        <v>19</v>
      </c>
      <c r="P4580" t="s">
        <v>1320</v>
      </c>
      <c r="Q4580" t="s">
        <v>19</v>
      </c>
      <c r="R4580" t="str">
        <f>HYPERLINK("https://cfpub.epa.gov/ecotox/explore.cfm?ncbi=123851","Explore in ECOTOX")</f>
        <v>Explore in ECOTOX</v>
      </c>
    </row>
    <row r="4581" spans="1:18" x14ac:dyDescent="0.45">
      <c r="A4581" t="s">
        <v>1265</v>
      </c>
      <c r="B4581">
        <v>8</v>
      </c>
      <c r="C4581" t="str">
        <f>HYPERLINK("http://www.ncbi.nlm.nih.gov/protein/VZI27969.1","VZI27969.1")</f>
        <v>VZI27969.1</v>
      </c>
      <c r="D4581">
        <v>28662</v>
      </c>
      <c r="E4581" t="str">
        <f>HYPERLINK("http://www.ncbi.nlm.nih.gov/Taxonomy/Browser/wwwtax.cgi?mode=Info&amp;id=99802&amp;lvl=3&amp;lin=f&amp;keep=1&amp;srchmode=1&amp;unlock","99802")</f>
        <v>99802</v>
      </c>
      <c r="F4581" t="s">
        <v>1185</v>
      </c>
      <c r="G4581" t="str">
        <f>HYPERLINK("http://www.ncbi.nlm.nih.gov/Taxonomy/Browser/wwwtax.cgi?mode=Info&amp;id=99802&amp;lvl=3&amp;lin=f&amp;keep=1&amp;srchmode=1&amp;unlock","Spirometra erinaceieuropaei")</f>
        <v>Spirometra erinaceieuropaei</v>
      </c>
      <c r="H4581" t="s">
        <v>1186</v>
      </c>
      <c r="I4581" t="str">
        <f>HYPERLINK("http://www.ncbi.nlm.nih.gov/protein/VZI27969.1","unnamed protein product")</f>
        <v>unnamed protein product</v>
      </c>
      <c r="J4581">
        <v>1056.97</v>
      </c>
      <c r="K4581" t="s">
        <v>22</v>
      </c>
      <c r="L4581">
        <v>76</v>
      </c>
      <c r="M4581">
        <v>12.58</v>
      </c>
      <c r="N4581">
        <v>10.4</v>
      </c>
      <c r="O4581" t="s">
        <v>22</v>
      </c>
      <c r="P4581" t="s">
        <v>1320</v>
      </c>
      <c r="Q4581" t="s">
        <v>19</v>
      </c>
      <c r="R4581" t="str">
        <f>HYPERLINK("https://cfpub.epa.gov/ecotox/explore.cfm?ncbi=99802","Explore in ECOTOX")</f>
        <v>Explore in ECOTOX</v>
      </c>
    </row>
    <row r="4582" spans="1:18" x14ac:dyDescent="0.45">
      <c r="A4582" t="s">
        <v>1265</v>
      </c>
      <c r="B4582">
        <v>8</v>
      </c>
      <c r="C4582" t="str">
        <f>HYPERLINK("http://www.ncbi.nlm.nih.gov/protein/GLG95823.1","GLG95823.1")</f>
        <v>GLG95823.1</v>
      </c>
      <c r="D4582">
        <v>25394</v>
      </c>
      <c r="E4582" t="str">
        <f>HYPERLINK("http://www.ncbi.nlm.nih.gov/Taxonomy/Browser/wwwtax.cgi?mode=Info&amp;id=6999&amp;lvl=3&amp;lin=f&amp;keep=1&amp;srchmode=1&amp;unlock","6999")</f>
        <v>6999</v>
      </c>
      <c r="F4582" t="s">
        <v>760</v>
      </c>
      <c r="G4582" t="str">
        <f>HYPERLINK("http://www.ncbi.nlm.nih.gov/Taxonomy/Browser/wwwtax.cgi?mode=Info&amp;id=6999&amp;lvl=3&amp;lin=f&amp;keep=1&amp;srchmode=1&amp;unlock","Gryllus bimaculatus")</f>
        <v>Gryllus bimaculatus</v>
      </c>
      <c r="H4582" t="s">
        <v>1198</v>
      </c>
      <c r="I4582" t="str">
        <f>HYPERLINK("http://www.ncbi.nlm.nih.gov/protein/GLG95823.1","Ryanodine receptor")</f>
        <v>Ryanodine receptor</v>
      </c>
      <c r="J4582">
        <v>1056.2</v>
      </c>
      <c r="K4582" t="s">
        <v>22</v>
      </c>
      <c r="L4582">
        <v>76</v>
      </c>
      <c r="M4582">
        <v>12.58</v>
      </c>
      <c r="N4582">
        <v>10.39</v>
      </c>
      <c r="O4582" t="s">
        <v>19</v>
      </c>
      <c r="P4582" t="s">
        <v>1320</v>
      </c>
      <c r="Q4582" t="s">
        <v>19</v>
      </c>
      <c r="R4582" t="str">
        <f>HYPERLINK("https://cfpub.epa.gov/ecotox/explore.cfm?ncbi=6999","Explore in ECOTOX")</f>
        <v>Explore in ECOTOX</v>
      </c>
    </row>
    <row r="4583" spans="1:18" x14ac:dyDescent="0.45">
      <c r="A4583" t="s">
        <v>1265</v>
      </c>
      <c r="B4583">
        <v>8</v>
      </c>
      <c r="C4583" t="str">
        <f>HYPERLINK("http://www.ncbi.nlm.nih.gov/protein/KAF5405064.1","KAF5405064.1")</f>
        <v>KAF5405064.1</v>
      </c>
      <c r="D4583">
        <v>12550</v>
      </c>
      <c r="E4583" t="str">
        <f>HYPERLINK("http://www.ncbi.nlm.nih.gov/Taxonomy/Browser/wwwtax.cgi?mode=Info&amp;id=100268&amp;lvl=3&amp;lin=f&amp;keep=1&amp;srchmode=1&amp;unlock","100268")</f>
        <v>100268</v>
      </c>
      <c r="F4583" t="s">
        <v>1140</v>
      </c>
      <c r="G4583" t="str">
        <f>HYPERLINK("http://www.ncbi.nlm.nih.gov/Taxonomy/Browser/wwwtax.cgi?mode=Info&amp;id=100268&amp;lvl=3&amp;lin=f&amp;keep=1&amp;srchmode=1&amp;unlock","Paragonimus heterotremus")</f>
        <v>Paragonimus heterotremus</v>
      </c>
      <c r="H4583" t="s">
        <v>1194</v>
      </c>
      <c r="I4583" t="str">
        <f>HYPERLINK("http://www.ncbi.nlm.nih.gov/protein/KAF5405064.1","hypothetical protein PHET_01364")</f>
        <v>hypothetical protein PHET_01364</v>
      </c>
      <c r="J4583">
        <v>1055.82</v>
      </c>
      <c r="K4583" t="s">
        <v>22</v>
      </c>
      <c r="L4583">
        <v>76</v>
      </c>
      <c r="M4583">
        <v>12.58</v>
      </c>
      <c r="N4583">
        <v>10.39</v>
      </c>
      <c r="O4583" t="s">
        <v>19</v>
      </c>
      <c r="P4583" t="s">
        <v>1320</v>
      </c>
      <c r="Q4583" t="s">
        <v>19</v>
      </c>
      <c r="R4583" t="str">
        <f>HYPERLINK("https://cfpub.epa.gov/ecotox/explore.cfm?ncbi=100268","Explore in ECOTOX")</f>
        <v>Explore in ECOTOX</v>
      </c>
    </row>
    <row r="4584" spans="1:18" x14ac:dyDescent="0.45">
      <c r="A4584" t="s">
        <v>1265</v>
      </c>
      <c r="B4584">
        <v>8</v>
      </c>
      <c r="C4584" t="str">
        <f>HYPERLINK("http://www.ncbi.nlm.nih.gov/protein/KAJ9597821.1","KAJ9597821.1")</f>
        <v>KAJ9597821.1</v>
      </c>
      <c r="D4584">
        <v>28554</v>
      </c>
      <c r="E4584" t="str">
        <f>HYPERLINK("http://www.ncbi.nlm.nih.gov/Taxonomy/Browser/wwwtax.cgi?mode=Info&amp;id=6984&amp;lvl=3&amp;lin=f&amp;keep=1&amp;srchmode=1&amp;unlock","6984")</f>
        <v>6984</v>
      </c>
      <c r="F4584" t="s">
        <v>760</v>
      </c>
      <c r="G4584" t="str">
        <f>HYPERLINK("http://www.ncbi.nlm.nih.gov/Taxonomy/Browser/wwwtax.cgi?mode=Info&amp;id=6984&amp;lvl=3&amp;lin=f&amp;keep=1&amp;srchmode=1&amp;unlock","Diploptera punctata")</f>
        <v>Diploptera punctata</v>
      </c>
      <c r="H4584" t="s">
        <v>1196</v>
      </c>
      <c r="I4584" t="str">
        <f>HYPERLINK("http://www.ncbi.nlm.nih.gov/protein/KAJ9597821.1","hypothetical protein L9F63_011316, partial")</f>
        <v>hypothetical protein L9F63_011316, partial</v>
      </c>
      <c r="J4584">
        <v>1028.8499999999999</v>
      </c>
      <c r="K4584" t="s">
        <v>22</v>
      </c>
      <c r="L4584">
        <v>76</v>
      </c>
      <c r="M4584">
        <v>12.58</v>
      </c>
      <c r="N4584">
        <v>10.130000000000001</v>
      </c>
      <c r="O4584" t="s">
        <v>19</v>
      </c>
      <c r="P4584" t="s">
        <v>1320</v>
      </c>
      <c r="Q4584" t="s">
        <v>19</v>
      </c>
      <c r="R4584" t="str">
        <f>HYPERLINK("https://cfpub.epa.gov/ecotox/explore.cfm?ncbi=6984","Explore in ECOTOX")</f>
        <v>Explore in ECOTOX</v>
      </c>
    </row>
    <row r="4585" spans="1:18" x14ac:dyDescent="0.45">
      <c r="A4585" t="s">
        <v>1265</v>
      </c>
      <c r="B4585">
        <v>8</v>
      </c>
      <c r="C4585" t="str">
        <f>HYPERLINK("http://www.ncbi.nlm.nih.gov/protein/GFR86949.1","GFR86949.1")</f>
        <v>GFR86949.1</v>
      </c>
      <c r="D4585">
        <v>70755</v>
      </c>
      <c r="E4585" t="str">
        <f>HYPERLINK("http://www.ncbi.nlm.nih.gov/Taxonomy/Browser/wwwtax.cgi?mode=Info&amp;id=1093978&amp;lvl=3&amp;lin=f&amp;keep=1&amp;srchmode=1&amp;unlock","1093978")</f>
        <v>1093978</v>
      </c>
      <c r="F4585" t="s">
        <v>757</v>
      </c>
      <c r="G4585" t="str">
        <f>HYPERLINK("http://www.ncbi.nlm.nih.gov/Taxonomy/Browser/wwwtax.cgi?mode=Info&amp;id=1093978&amp;lvl=3&amp;lin=f&amp;keep=1&amp;srchmode=1&amp;unlock","Elysia marginata")</f>
        <v>Elysia marginata</v>
      </c>
      <c r="H4585" t="s">
        <v>832</v>
      </c>
      <c r="I4585" t="str">
        <f>HYPERLINK("http://www.ncbi.nlm.nih.gov/protein/GFR86949.1","ryanodine receptor")</f>
        <v>ryanodine receptor</v>
      </c>
      <c r="J4585">
        <v>1028.8499999999999</v>
      </c>
      <c r="K4585" t="s">
        <v>22</v>
      </c>
      <c r="L4585">
        <v>76</v>
      </c>
      <c r="M4585">
        <v>12.58</v>
      </c>
      <c r="N4585">
        <v>10.130000000000001</v>
      </c>
      <c r="O4585" t="s">
        <v>19</v>
      </c>
      <c r="P4585" t="s">
        <v>1320</v>
      </c>
      <c r="Q4585" t="s">
        <v>19</v>
      </c>
      <c r="R4585" t="str">
        <f>HYPERLINK("https://cfpub.epa.gov/ecotox/explore.cfm?ncbi=1093978","Explore in ECOTOX")</f>
        <v>Explore in ECOTOX</v>
      </c>
    </row>
    <row r="4586" spans="1:18" x14ac:dyDescent="0.45">
      <c r="A4586" t="s">
        <v>1265</v>
      </c>
      <c r="B4586">
        <v>8</v>
      </c>
      <c r="C4586" t="str">
        <f>HYPERLINK("http://www.ncbi.nlm.nih.gov/protein/KAG8000214.1","KAG8000214.1")</f>
        <v>KAG8000214.1</v>
      </c>
      <c r="D4586">
        <v>16095</v>
      </c>
      <c r="E4586" t="str">
        <f>HYPERLINK("http://www.ncbi.nlm.nih.gov/Taxonomy/Browser/wwwtax.cgi?mode=Info&amp;id=240163&amp;lvl=3&amp;lin=f&amp;keep=1&amp;srchmode=1&amp;unlock","240163")</f>
        <v>240163</v>
      </c>
      <c r="F4586" t="s">
        <v>17</v>
      </c>
      <c r="G4586" t="str">
        <f>HYPERLINK("http://www.ncbi.nlm.nih.gov/Taxonomy/Browser/wwwtax.cgi?mode=Info&amp;id=240163&amp;lvl=3&amp;lin=f&amp;keep=1&amp;srchmode=1&amp;unlock","Nibea albiflora")</f>
        <v>Nibea albiflora</v>
      </c>
      <c r="H4586" t="s">
        <v>1200</v>
      </c>
      <c r="I4586" t="str">
        <f>HYPERLINK("http://www.ncbi.nlm.nih.gov/protein/KAG8000214.1","Ryanodine receptor 2")</f>
        <v>Ryanodine receptor 2</v>
      </c>
      <c r="J4586">
        <v>1022.69</v>
      </c>
      <c r="K4586" t="s">
        <v>22</v>
      </c>
      <c r="L4586">
        <v>76</v>
      </c>
      <c r="M4586">
        <v>12.58</v>
      </c>
      <c r="N4586">
        <v>10.07</v>
      </c>
      <c r="O4586" t="s">
        <v>19</v>
      </c>
      <c r="P4586" t="s">
        <v>1320</v>
      </c>
      <c r="Q4586" t="s">
        <v>19</v>
      </c>
      <c r="R4586" t="str">
        <f>HYPERLINK("https://cfpub.epa.gov/ecotox/explore.cfm?ncbi=240163","Explore in ECOTOX")</f>
        <v>Explore in ECOTOX</v>
      </c>
    </row>
    <row r="4587" spans="1:18" x14ac:dyDescent="0.45">
      <c r="A4587" t="s">
        <v>1265</v>
      </c>
      <c r="B4587">
        <v>8</v>
      </c>
      <c r="C4587" t="str">
        <f>HYPERLINK("http://www.ncbi.nlm.nih.gov/protein/VDD81758.1","VDD81758.1")</f>
        <v>VDD81758.1</v>
      </c>
      <c r="D4587">
        <v>10609</v>
      </c>
      <c r="E4587" t="str">
        <f>HYPERLINK("http://www.ncbi.nlm.nih.gov/Taxonomy/Browser/wwwtax.cgi?mode=Info&amp;id=53468&amp;lvl=3&amp;lin=f&amp;keep=1&amp;srchmode=1&amp;unlock","53468")</f>
        <v>53468</v>
      </c>
      <c r="F4587" t="s">
        <v>1185</v>
      </c>
      <c r="G4587" t="str">
        <f>HYPERLINK("http://www.ncbi.nlm.nih.gov/Taxonomy/Browser/wwwtax.cgi?mode=Info&amp;id=53468&amp;lvl=3&amp;lin=f&amp;keep=1&amp;srchmode=1&amp;unlock","Mesocestoides corti")</f>
        <v>Mesocestoides corti</v>
      </c>
      <c r="H4587" t="s">
        <v>1186</v>
      </c>
      <c r="I4587" t="str">
        <f>HYPERLINK("http://www.ncbi.nlm.nih.gov/protein/VDD81758.1","unnamed protein product")</f>
        <v>unnamed protein product</v>
      </c>
      <c r="J4587">
        <v>1014.6</v>
      </c>
      <c r="K4587" t="s">
        <v>22</v>
      </c>
      <c r="L4587">
        <v>76</v>
      </c>
      <c r="M4587">
        <v>12.58</v>
      </c>
      <c r="N4587">
        <v>9.99</v>
      </c>
      <c r="O4587" t="s">
        <v>22</v>
      </c>
      <c r="P4587" t="s">
        <v>1320</v>
      </c>
      <c r="Q4587" t="s">
        <v>19</v>
      </c>
      <c r="R4587" t="str">
        <f>HYPERLINK("https://cfpub.epa.gov/ecotox/explore.cfm?ncbi=53468","Explore in ECOTOX")</f>
        <v>Explore in ECOTOX</v>
      </c>
    </row>
    <row r="4588" spans="1:18" x14ac:dyDescent="0.45">
      <c r="A4588" t="s">
        <v>1265</v>
      </c>
      <c r="B4588">
        <v>8</v>
      </c>
      <c r="C4588" t="str">
        <f>HYPERLINK("http://www.ncbi.nlm.nih.gov/protein/KAA0193600.1","KAA0193600.1")</f>
        <v>KAA0193600.1</v>
      </c>
      <c r="D4588">
        <v>11877</v>
      </c>
      <c r="E4588" t="str">
        <f>HYPERLINK("http://www.ncbi.nlm.nih.gov/Taxonomy/Browser/wwwtax.cgi?mode=Info&amp;id=27845&amp;lvl=3&amp;lin=f&amp;keep=1&amp;srchmode=1&amp;unlock","27845")</f>
        <v>27845</v>
      </c>
      <c r="F4588" t="s">
        <v>1140</v>
      </c>
      <c r="G4588" t="str">
        <f>HYPERLINK("http://www.ncbi.nlm.nih.gov/Taxonomy/Browser/wwwtax.cgi?mode=Info&amp;id=27845&amp;lvl=3&amp;lin=f&amp;keep=1&amp;srchmode=1&amp;unlock","Fasciolopsis buski")</f>
        <v>Fasciolopsis buski</v>
      </c>
      <c r="H4588" t="s">
        <v>1194</v>
      </c>
      <c r="I4588" t="str">
        <f>HYPERLINK("http://www.ncbi.nlm.nih.gov/protein/KAA0193600.1","Ryanodine receptor 44F")</f>
        <v>Ryanodine receptor 44F</v>
      </c>
      <c r="J4588">
        <v>1011.91</v>
      </c>
      <c r="K4588" t="s">
        <v>22</v>
      </c>
      <c r="L4588">
        <v>76</v>
      </c>
      <c r="M4588">
        <v>12.58</v>
      </c>
      <c r="N4588">
        <v>9.9600000000000009</v>
      </c>
      <c r="O4588" t="s">
        <v>19</v>
      </c>
      <c r="P4588" t="s">
        <v>1320</v>
      </c>
      <c r="Q4588" t="s">
        <v>19</v>
      </c>
      <c r="R4588" t="str">
        <f>HYPERLINK("https://cfpub.epa.gov/ecotox/explore.cfm?ncbi=27845","Explore in ECOTOX")</f>
        <v>Explore in ECOTOX</v>
      </c>
    </row>
    <row r="4589" spans="1:18" x14ac:dyDescent="0.45">
      <c r="A4589" t="s">
        <v>1265</v>
      </c>
      <c r="B4589">
        <v>8</v>
      </c>
      <c r="C4589" t="str">
        <f>HYPERLINK("http://www.ncbi.nlm.nih.gov/protein/KAF8560811.1","KAF8560811.1")</f>
        <v>KAF8560811.1</v>
      </c>
      <c r="D4589">
        <v>25028</v>
      </c>
      <c r="E4589" t="str">
        <f>HYPERLINK("http://www.ncbi.nlm.nih.gov/Taxonomy/Browser/wwwtax.cgi?mode=Info&amp;id=34504&amp;lvl=3&amp;lin=f&amp;keep=1&amp;srchmode=1&amp;unlock","34504")</f>
        <v>34504</v>
      </c>
      <c r="F4589" t="s">
        <v>1140</v>
      </c>
      <c r="G4589" t="str">
        <f>HYPERLINK("http://www.ncbi.nlm.nih.gov/Taxonomy/Browser/wwwtax.cgi?mode=Info&amp;id=34504&amp;lvl=3&amp;lin=f&amp;keep=1&amp;srchmode=1&amp;unlock","Paragonimus westermani")</f>
        <v>Paragonimus westermani</v>
      </c>
      <c r="H4589" t="s">
        <v>1194</v>
      </c>
      <c r="I4589" t="str">
        <f>HYPERLINK("http://www.ncbi.nlm.nih.gov/protein/KAF8560811.1","hypothetical protein P879_00762")</f>
        <v>hypothetical protein P879_00762</v>
      </c>
      <c r="J4589">
        <v>1004.2</v>
      </c>
      <c r="K4589" t="s">
        <v>22</v>
      </c>
      <c r="L4589">
        <v>76</v>
      </c>
      <c r="M4589">
        <v>12.58</v>
      </c>
      <c r="N4589">
        <v>9.8800000000000008</v>
      </c>
      <c r="O4589" t="s">
        <v>19</v>
      </c>
      <c r="P4589" t="s">
        <v>1320</v>
      </c>
      <c r="Q4589" t="s">
        <v>19</v>
      </c>
      <c r="R4589" t="str">
        <f>HYPERLINK("https://cfpub.epa.gov/ecotox/explore.cfm?ncbi=34504","Explore in ECOTOX")</f>
        <v>Explore in ECOTOX</v>
      </c>
    </row>
    <row r="4590" spans="1:18" x14ac:dyDescent="0.45">
      <c r="A4590" t="s">
        <v>1265</v>
      </c>
      <c r="B4590">
        <v>8</v>
      </c>
      <c r="C4590" t="str">
        <f>HYPERLINK("http://www.ncbi.nlm.nih.gov/protein/KAG5704415.1","KAG5704415.1")</f>
        <v>KAG5704415.1</v>
      </c>
      <c r="D4590">
        <v>29726</v>
      </c>
      <c r="E4590" t="str">
        <f>HYPERLINK("http://www.ncbi.nlm.nih.gov/Taxonomy/Browser/wwwtax.cgi?mode=Info&amp;id=370345&amp;lvl=3&amp;lin=f&amp;keep=1&amp;srchmode=1&amp;unlock","370345")</f>
        <v>370345</v>
      </c>
      <c r="F4590" t="s">
        <v>757</v>
      </c>
      <c r="G4590" t="str">
        <f>HYPERLINK("http://www.ncbi.nlm.nih.gov/Taxonomy/Browser/wwwtax.cgi?mode=Info&amp;id=370345&amp;lvl=3&amp;lin=f&amp;keep=1&amp;srchmode=1&amp;unlock","Batillaria attramentaria")</f>
        <v>Batillaria attramentaria</v>
      </c>
      <c r="H4590" t="s">
        <v>832</v>
      </c>
      <c r="I4590" t="str">
        <f>HYPERLINK("http://www.ncbi.nlm.nih.gov/protein/KAG5704415.1","hypothetical protein BaRGS_024270, partial")</f>
        <v>hypothetical protein BaRGS_024270, partial</v>
      </c>
      <c r="J4590">
        <v>1003.05</v>
      </c>
      <c r="K4590" t="s">
        <v>22</v>
      </c>
      <c r="L4590">
        <v>76</v>
      </c>
      <c r="M4590">
        <v>12.58</v>
      </c>
      <c r="N4590">
        <v>9.8699999999999992</v>
      </c>
      <c r="O4590" t="s">
        <v>19</v>
      </c>
      <c r="P4590" t="s">
        <v>1320</v>
      </c>
      <c r="Q4590" t="s">
        <v>19</v>
      </c>
      <c r="R4590" t="str">
        <f>HYPERLINK("https://cfpub.epa.gov/ecotox/explore.cfm?ncbi=370345","Explore in ECOTOX")</f>
        <v>Explore in ECOTOX</v>
      </c>
    </row>
    <row r="4591" spans="1:18" x14ac:dyDescent="0.45">
      <c r="A4591" t="s">
        <v>1265</v>
      </c>
      <c r="B4591">
        <v>8</v>
      </c>
      <c r="C4591" t="str">
        <f>HYPERLINK("http://www.ncbi.nlm.nih.gov/protein/KAF6780008.1","KAF6780008.1")</f>
        <v>KAF6780008.1</v>
      </c>
      <c r="D4591">
        <v>12867</v>
      </c>
      <c r="E4591" t="str">
        <f>HYPERLINK("http://www.ncbi.nlm.nih.gov/Taxonomy/Browser/wwwtax.cgi?mode=Info&amp;id=100269&amp;lvl=3&amp;lin=f&amp;keep=1&amp;srchmode=1&amp;unlock","100269")</f>
        <v>100269</v>
      </c>
      <c r="F4591" t="s">
        <v>1140</v>
      </c>
      <c r="G4591" t="str">
        <f>HYPERLINK("http://www.ncbi.nlm.nih.gov/Taxonomy/Browser/wwwtax.cgi?mode=Info&amp;id=100269&amp;lvl=3&amp;lin=f&amp;keep=1&amp;srchmode=1&amp;unlock","Paragonimus kellicotti")</f>
        <v>Paragonimus kellicotti</v>
      </c>
      <c r="H4591" t="s">
        <v>1194</v>
      </c>
      <c r="I4591" t="str">
        <f>HYPERLINK("http://www.ncbi.nlm.nih.gov/protein/KAF6780008.1","hypothetical protein AHF37_01425")</f>
        <v>hypothetical protein AHF37_01425</v>
      </c>
      <c r="J4591">
        <v>990.33</v>
      </c>
      <c r="K4591" t="s">
        <v>22</v>
      </c>
      <c r="L4591">
        <v>76</v>
      </c>
      <c r="M4591">
        <v>12.58</v>
      </c>
      <c r="N4591">
        <v>9.75</v>
      </c>
      <c r="O4591" t="s">
        <v>19</v>
      </c>
      <c r="P4591" t="s">
        <v>1320</v>
      </c>
      <c r="Q4591" t="s">
        <v>19</v>
      </c>
      <c r="R4591" t="str">
        <f>HYPERLINK("https://cfpub.epa.gov/ecotox/explore.cfm?ncbi=100269","Explore in ECOTOX")</f>
        <v>Explore in ECOTOX</v>
      </c>
    </row>
    <row r="4592" spans="1:18" x14ac:dyDescent="0.45">
      <c r="A4592" t="s">
        <v>1265</v>
      </c>
      <c r="B4592">
        <v>8</v>
      </c>
      <c r="C4592" t="str">
        <f>HYPERLINK("http://www.ncbi.nlm.nih.gov/protein/KAF7261042.1","KAF7261042.1")</f>
        <v>KAF7261042.1</v>
      </c>
      <c r="D4592">
        <v>12680</v>
      </c>
      <c r="E4592" t="str">
        <f>HYPERLINK("http://www.ncbi.nlm.nih.gov/Taxonomy/Browser/wwwtax.cgi?mode=Info&amp;id=59628&amp;lvl=3&amp;lin=f&amp;keep=1&amp;srchmode=1&amp;unlock","59628")</f>
        <v>59628</v>
      </c>
      <c r="F4592" t="s">
        <v>1140</v>
      </c>
      <c r="G4592" t="str">
        <f>HYPERLINK("http://www.ncbi.nlm.nih.gov/Taxonomy/Browser/wwwtax.cgi?mode=Info&amp;id=59628&amp;lvl=3&amp;lin=f&amp;keep=1&amp;srchmode=1&amp;unlock","Paragonimus skrjabini miyazakii")</f>
        <v>Paragonimus skrjabini miyazakii</v>
      </c>
      <c r="H4592" t="s">
        <v>1194</v>
      </c>
      <c r="I4592" t="str">
        <f>HYPERLINK("http://www.ncbi.nlm.nih.gov/protein/KAF7261042.1","hypothetical protein EG68_01789")</f>
        <v>hypothetical protein EG68_01789</v>
      </c>
      <c r="J4592">
        <v>989.95</v>
      </c>
      <c r="K4592" t="s">
        <v>22</v>
      </c>
      <c r="L4592">
        <v>76</v>
      </c>
      <c r="M4592">
        <v>12.58</v>
      </c>
      <c r="N4592">
        <v>9.74</v>
      </c>
      <c r="O4592" t="s">
        <v>19</v>
      </c>
      <c r="P4592" t="s">
        <v>1320</v>
      </c>
      <c r="Q4592" t="s">
        <v>19</v>
      </c>
      <c r="R4592" t="str">
        <f>HYPERLINK("https://cfpub.epa.gov/ecotox/explore.cfm?ncbi=59628","Explore in ECOTOX")</f>
        <v>Explore in ECOTOX</v>
      </c>
    </row>
    <row r="4593" spans="1:18" x14ac:dyDescent="0.45">
      <c r="A4593" t="s">
        <v>1265</v>
      </c>
      <c r="B4593">
        <v>8</v>
      </c>
      <c r="C4593" t="str">
        <f>HYPERLINK("http://www.ncbi.nlm.nih.gov/protein/TPP59596.1","TPP59596.1")</f>
        <v>TPP59596.1</v>
      </c>
      <c r="D4593">
        <v>13630</v>
      </c>
      <c r="E4593" t="str">
        <f>HYPERLINK("http://www.ncbi.nlm.nih.gov/Taxonomy/Browser/wwwtax.cgi?mode=Info&amp;id=46835&amp;lvl=3&amp;lin=f&amp;keep=1&amp;srchmode=1&amp;unlock","46835")</f>
        <v>46835</v>
      </c>
      <c r="F4593" t="s">
        <v>1140</v>
      </c>
      <c r="G4593" t="str">
        <f>HYPERLINK("http://www.ncbi.nlm.nih.gov/Taxonomy/Browser/wwwtax.cgi?mode=Info&amp;id=46835&amp;lvl=3&amp;lin=f&amp;keep=1&amp;srchmode=1&amp;unlock","Fasciola gigantica")</f>
        <v>Fasciola gigantica</v>
      </c>
      <c r="H4593" t="s">
        <v>1194</v>
      </c>
      <c r="I4593" t="str">
        <f>HYPERLINK("http://www.ncbi.nlm.nih.gov/protein/TPP59596.1","Ryanodine receptor 44F")</f>
        <v>Ryanodine receptor 44F</v>
      </c>
      <c r="J4593">
        <v>977.62</v>
      </c>
      <c r="K4593" t="s">
        <v>22</v>
      </c>
      <c r="L4593">
        <v>76</v>
      </c>
      <c r="M4593">
        <v>12.58</v>
      </c>
      <c r="N4593">
        <v>9.6199999999999992</v>
      </c>
      <c r="O4593" t="s">
        <v>19</v>
      </c>
      <c r="P4593" t="s">
        <v>1320</v>
      </c>
      <c r="Q4593" t="s">
        <v>19</v>
      </c>
      <c r="R4593" t="str">
        <f>HYPERLINK("https://cfpub.epa.gov/ecotox/explore.cfm?ncbi=46835","Explore in ECOTOX")</f>
        <v>Explore in ECOTOX</v>
      </c>
    </row>
    <row r="4594" spans="1:18" x14ac:dyDescent="0.45">
      <c r="A4594" t="s">
        <v>1265</v>
      </c>
      <c r="B4594">
        <v>8</v>
      </c>
      <c r="C4594" t="str">
        <f>HYPERLINK("http://www.ncbi.nlm.nih.gov/protein/CAH8439317.1","CAH8439317.1")</f>
        <v>CAH8439317.1</v>
      </c>
      <c r="D4594">
        <v>36727</v>
      </c>
      <c r="E4594" t="str">
        <f>HYPERLINK("http://www.ncbi.nlm.nih.gov/Taxonomy/Browser/wwwtax.cgi?mode=Info&amp;id=31246&amp;lvl=3&amp;lin=f&amp;keep=1&amp;srchmode=1&amp;unlock","31246")</f>
        <v>31246</v>
      </c>
      <c r="F4594" t="s">
        <v>1140</v>
      </c>
      <c r="G4594" t="str">
        <f>HYPERLINK("http://www.ncbi.nlm.nih.gov/Taxonomy/Browser/wwwtax.cgi?mode=Info&amp;id=31246&amp;lvl=3&amp;lin=f&amp;keep=1&amp;srchmode=1&amp;unlock","Schistosoma mattheei")</f>
        <v>Schistosoma mattheei</v>
      </c>
      <c r="H4594" t="s">
        <v>1141</v>
      </c>
      <c r="I4594" t="str">
        <f>HYPERLINK("http://www.ncbi.nlm.nih.gov/protein/CAH8439317.1","unnamed protein product")</f>
        <v>unnamed protein product</v>
      </c>
      <c r="J4594">
        <v>969.92</v>
      </c>
      <c r="K4594" t="s">
        <v>22</v>
      </c>
      <c r="L4594">
        <v>76</v>
      </c>
      <c r="M4594">
        <v>12.58</v>
      </c>
      <c r="N4594">
        <v>9.5500000000000007</v>
      </c>
      <c r="O4594" t="s">
        <v>19</v>
      </c>
      <c r="P4594" t="s">
        <v>1320</v>
      </c>
      <c r="Q4594" t="s">
        <v>19</v>
      </c>
      <c r="R4594" t="str">
        <f>HYPERLINK("https://cfpub.epa.gov/ecotox/explore.cfm?ncbi=31246","Explore in ECOTOX")</f>
        <v>Explore in ECOTOX</v>
      </c>
    </row>
    <row r="4595" spans="1:18" x14ac:dyDescent="0.45">
      <c r="A4595" t="s">
        <v>1265</v>
      </c>
      <c r="B4595">
        <v>8</v>
      </c>
      <c r="C4595" t="str">
        <f>HYPERLINK("http://www.ncbi.nlm.nih.gov/protein/KAH9379884.1","KAH9379884.1")</f>
        <v>KAH9379884.1</v>
      </c>
      <c r="D4595">
        <v>26567</v>
      </c>
      <c r="E4595" t="str">
        <f>HYPERLINK("http://www.ncbi.nlm.nih.gov/Taxonomy/Browser/wwwtax.cgi?mode=Info&amp;id=44386&amp;lvl=3&amp;lin=f&amp;keep=1&amp;srchmode=1&amp;unlock","44386")</f>
        <v>44386</v>
      </c>
      <c r="F4595" t="s">
        <v>904</v>
      </c>
      <c r="G4595" t="str">
        <f>HYPERLINK("http://www.ncbi.nlm.nih.gov/Taxonomy/Browser/wwwtax.cgi?mode=Info&amp;id=44386&amp;lvl=3&amp;lin=f&amp;keep=1&amp;srchmode=1&amp;unlock","Haemaphysalis longicornis")</f>
        <v>Haemaphysalis longicornis</v>
      </c>
      <c r="H4595" t="s">
        <v>1269</v>
      </c>
      <c r="I4595" t="str">
        <f>HYPERLINK("http://www.ncbi.nlm.nih.gov/protein/KAH9379884.1","hypothetical protein HPB48_013788")</f>
        <v>hypothetical protein HPB48_013788</v>
      </c>
      <c r="J4595">
        <v>967.61</v>
      </c>
      <c r="K4595" t="s">
        <v>22</v>
      </c>
      <c r="L4595">
        <v>76</v>
      </c>
      <c r="M4595">
        <v>12.58</v>
      </c>
      <c r="N4595">
        <v>9.52</v>
      </c>
      <c r="O4595" t="s">
        <v>19</v>
      </c>
      <c r="P4595" t="s">
        <v>1320</v>
      </c>
      <c r="Q4595" t="s">
        <v>19</v>
      </c>
      <c r="R4595" t="str">
        <f>HYPERLINK("https://cfpub.epa.gov/ecotox/explore.cfm?ncbi=44386","Explore in ECOTOX")</f>
        <v>Explore in ECOTOX</v>
      </c>
    </row>
    <row r="4596" spans="1:18" x14ac:dyDescent="0.45">
      <c r="A4596" t="s">
        <v>1265</v>
      </c>
      <c r="B4596">
        <v>8</v>
      </c>
      <c r="C4596" t="str">
        <f>HYPERLINK("http://www.ncbi.nlm.nih.gov/protein/GFY63641.1","GFY63641.1")</f>
        <v>GFY63641.1</v>
      </c>
      <c r="D4596">
        <v>51785</v>
      </c>
      <c r="E4596" t="str">
        <f>HYPERLINK("http://www.ncbi.nlm.nih.gov/Taxonomy/Browser/wwwtax.cgi?mode=Info&amp;id=2747483&amp;lvl=3&amp;lin=f&amp;keep=1&amp;srchmode=1&amp;unlock","2747483")</f>
        <v>2747483</v>
      </c>
      <c r="F4596" t="s">
        <v>904</v>
      </c>
      <c r="G4596" t="str">
        <f>HYPERLINK("http://www.ncbi.nlm.nih.gov/Taxonomy/Browser/wwwtax.cgi?mode=Info&amp;id=2747483&amp;lvl=3&amp;lin=f&amp;keep=1&amp;srchmode=1&amp;unlock","Trichonephila inaurata madagascariensis")</f>
        <v>Trichonephila inaurata madagascariensis</v>
      </c>
      <c r="H4596" t="s">
        <v>1202</v>
      </c>
      <c r="I4596" t="str">
        <f>HYPERLINK("http://www.ncbi.nlm.nih.gov/protein/GFY63641.1","ryanodine receptor")</f>
        <v>ryanodine receptor</v>
      </c>
      <c r="J4596">
        <v>960.29</v>
      </c>
      <c r="K4596" t="s">
        <v>22</v>
      </c>
      <c r="L4596">
        <v>76</v>
      </c>
      <c r="M4596">
        <v>12.58</v>
      </c>
      <c r="N4596">
        <v>9.4499999999999993</v>
      </c>
      <c r="O4596" t="s">
        <v>19</v>
      </c>
      <c r="P4596" t="s">
        <v>1320</v>
      </c>
      <c r="Q4596" t="s">
        <v>19</v>
      </c>
      <c r="R4596" t="str">
        <f>HYPERLINK("https://cfpub.epa.gov/ecotox/explore.cfm?ncbi=2747483","Explore in ECOTOX")</f>
        <v>Explore in ECOTOX</v>
      </c>
    </row>
    <row r="4597" spans="1:18" x14ac:dyDescent="0.45">
      <c r="A4597" t="s">
        <v>1265</v>
      </c>
      <c r="B4597">
        <v>8</v>
      </c>
      <c r="C4597" t="str">
        <f>HYPERLINK("http://www.ncbi.nlm.nih.gov/protein/CAD7395323.1","CAD7395323.1")</f>
        <v>CAD7395323.1</v>
      </c>
      <c r="D4597">
        <v>15929</v>
      </c>
      <c r="E4597" t="str">
        <f>HYPERLINK("http://www.ncbi.nlm.nih.gov/Taxonomy/Browser/wwwtax.cgi?mode=Info&amp;id=170557&amp;lvl=3&amp;lin=f&amp;keep=1&amp;srchmode=1&amp;unlock","170557")</f>
        <v>170557</v>
      </c>
      <c r="F4597" t="s">
        <v>760</v>
      </c>
      <c r="G4597" t="str">
        <f>HYPERLINK("http://www.ncbi.nlm.nih.gov/Taxonomy/Browser/wwwtax.cgi?mode=Info&amp;id=170557&amp;lvl=3&amp;lin=f&amp;keep=1&amp;srchmode=1&amp;unlock","Timema poppensis")</f>
        <v>Timema poppensis</v>
      </c>
      <c r="H4597" t="s">
        <v>1039</v>
      </c>
      <c r="I4597" t="str">
        <f>HYPERLINK("http://www.ncbi.nlm.nih.gov/protein/CAD7395323.1","unnamed protein product")</f>
        <v>unnamed protein product</v>
      </c>
      <c r="J4597">
        <v>944.11</v>
      </c>
      <c r="K4597" t="s">
        <v>22</v>
      </c>
      <c r="L4597">
        <v>76</v>
      </c>
      <c r="M4597">
        <v>12.58</v>
      </c>
      <c r="N4597">
        <v>9.2899999999999991</v>
      </c>
      <c r="O4597" t="s">
        <v>19</v>
      </c>
      <c r="P4597" t="s">
        <v>1320</v>
      </c>
      <c r="Q4597" t="s">
        <v>19</v>
      </c>
      <c r="R4597" t="str">
        <f>HYPERLINK("https://cfpub.epa.gov/ecotox/explore.cfm?ncbi=170557","Explore in ECOTOX")</f>
        <v>Explore in ECOTOX</v>
      </c>
    </row>
    <row r="4598" spans="1:18" x14ac:dyDescent="0.45">
      <c r="A4598" t="s">
        <v>1265</v>
      </c>
      <c r="B4598">
        <v>8</v>
      </c>
      <c r="C4598" t="str">
        <f>HYPERLINK("http://www.ncbi.nlm.nih.gov/protein/CAD1474296.1","CAD1474296.1")</f>
        <v>CAD1474296.1</v>
      </c>
      <c r="D4598">
        <v>9806</v>
      </c>
      <c r="E4598" t="str">
        <f>HYPERLINK("http://www.ncbi.nlm.nih.gov/Taxonomy/Browser/wwwtax.cgi?mode=Info&amp;id=395501&amp;lvl=3&amp;lin=f&amp;keep=1&amp;srchmode=1&amp;unlock","395501")</f>
        <v>395501</v>
      </c>
      <c r="F4598" t="s">
        <v>760</v>
      </c>
      <c r="G4598" t="str">
        <f>HYPERLINK("http://www.ncbi.nlm.nih.gov/Taxonomy/Browser/wwwtax.cgi?mode=Info&amp;id=395501&amp;lvl=3&amp;lin=f&amp;keep=1&amp;srchmode=1&amp;unlock","Heterotrigona itama")</f>
        <v>Heterotrigona itama</v>
      </c>
      <c r="H4598" t="s">
        <v>817</v>
      </c>
      <c r="I4598" t="str">
        <f>HYPERLINK("http://www.ncbi.nlm.nih.gov/protein/CAD1474296.1","unnamed protein product, partial")</f>
        <v>unnamed protein product, partial</v>
      </c>
      <c r="J4598">
        <v>939.87</v>
      </c>
      <c r="K4598" t="s">
        <v>22</v>
      </c>
      <c r="L4598">
        <v>76</v>
      </c>
      <c r="M4598">
        <v>12.58</v>
      </c>
      <c r="N4598">
        <v>9.25</v>
      </c>
      <c r="O4598" t="s">
        <v>19</v>
      </c>
      <c r="P4598" t="s">
        <v>1320</v>
      </c>
      <c r="Q4598" t="s">
        <v>19</v>
      </c>
      <c r="R4598" t="str">
        <f>HYPERLINK("https://cfpub.epa.gov/ecotox/explore.cfm?ncbi=395501","Explore in ECOTOX")</f>
        <v>Explore in ECOTOX</v>
      </c>
    </row>
    <row r="4599" spans="1:18" x14ac:dyDescent="0.45">
      <c r="A4599" t="s">
        <v>1265</v>
      </c>
      <c r="B4599">
        <v>8</v>
      </c>
      <c r="C4599" t="str">
        <f>HYPERLINK("http://www.ncbi.nlm.nih.gov/protein/KFM65082.1","KFM65082.1")</f>
        <v>KFM65082.1</v>
      </c>
      <c r="D4599">
        <v>27105</v>
      </c>
      <c r="E4599" t="str">
        <f>HYPERLINK("http://www.ncbi.nlm.nih.gov/Taxonomy/Browser/wwwtax.cgi?mode=Info&amp;id=407821&amp;lvl=3&amp;lin=f&amp;keep=1&amp;srchmode=1&amp;unlock","407821")</f>
        <v>407821</v>
      </c>
      <c r="F4599" t="s">
        <v>904</v>
      </c>
      <c r="G4599" t="str">
        <f>HYPERLINK("http://www.ncbi.nlm.nih.gov/Taxonomy/Browser/wwwtax.cgi?mode=Info&amp;id=407821&amp;lvl=3&amp;lin=f&amp;keep=1&amp;srchmode=1&amp;unlock","Stegodyphus mimosarum")</f>
        <v>Stegodyphus mimosarum</v>
      </c>
      <c r="H4599" t="s">
        <v>905</v>
      </c>
      <c r="I4599" t="str">
        <f>HYPERLINK("http://www.ncbi.nlm.nih.gov/protein/KFM65082.1","Ryanodine receptor 44F, partial")</f>
        <v>Ryanodine receptor 44F, partial</v>
      </c>
      <c r="J4599">
        <v>934.48</v>
      </c>
      <c r="K4599" t="s">
        <v>22</v>
      </c>
      <c r="L4599">
        <v>76</v>
      </c>
      <c r="M4599">
        <v>12.58</v>
      </c>
      <c r="N4599">
        <v>9.1999999999999993</v>
      </c>
      <c r="O4599" t="s">
        <v>19</v>
      </c>
      <c r="P4599" t="s">
        <v>1320</v>
      </c>
      <c r="Q4599" t="s">
        <v>19</v>
      </c>
      <c r="R4599" t="str">
        <f>HYPERLINK("https://cfpub.epa.gov/ecotox/explore.cfm?ncbi=407821","Explore in ECOTOX")</f>
        <v>Explore in ECOTOX</v>
      </c>
    </row>
    <row r="4600" spans="1:18" x14ac:dyDescent="0.45">
      <c r="A4600" t="s">
        <v>1265</v>
      </c>
      <c r="B4600">
        <v>8</v>
      </c>
      <c r="C4600" t="str">
        <f>HYPERLINK("http://www.ncbi.nlm.nih.gov/protein/KAF4525020.1","KAF4525020.1")</f>
        <v>KAF4525020.1</v>
      </c>
      <c r="D4600">
        <v>18581</v>
      </c>
      <c r="E4600" t="str">
        <f>HYPERLINK("http://www.ncbi.nlm.nih.gov/Taxonomy/Browser/wwwtax.cgi?mode=Info&amp;id=1049336&amp;lvl=3&amp;lin=f&amp;keep=1&amp;srchmode=1&amp;unlock","1049336")</f>
        <v>1049336</v>
      </c>
      <c r="F4600" t="s">
        <v>760</v>
      </c>
      <c r="G4600" t="str">
        <f>HYPERLINK("http://www.ncbi.nlm.nih.gov/Taxonomy/Browser/wwwtax.cgi?mode=Info&amp;id=1049336&amp;lvl=3&amp;lin=f&amp;keep=1&amp;srchmode=1&amp;unlock","Ephemera danica")</f>
        <v>Ephemera danica</v>
      </c>
      <c r="H4600" t="s">
        <v>1203</v>
      </c>
      <c r="I4600" t="str">
        <f>HYPERLINK("http://www.ncbi.nlm.nih.gov/protein/KAF4525020.1","hypothetical protein B566_EDAN012127, partial")</f>
        <v>hypothetical protein B566_EDAN012127, partial</v>
      </c>
      <c r="J4600">
        <v>928.7</v>
      </c>
      <c r="K4600" t="s">
        <v>22</v>
      </c>
      <c r="L4600">
        <v>76</v>
      </c>
      <c r="M4600">
        <v>12.58</v>
      </c>
      <c r="N4600">
        <v>9.14</v>
      </c>
      <c r="O4600" t="s">
        <v>19</v>
      </c>
      <c r="P4600" t="s">
        <v>1320</v>
      </c>
      <c r="Q4600" t="s">
        <v>19</v>
      </c>
      <c r="R4600" t="str">
        <f>HYPERLINK("https://cfpub.epa.gov/ecotox/explore.cfm?ncbi=1049336","Explore in ECOTOX")</f>
        <v>Explore in ECOTOX</v>
      </c>
    </row>
    <row r="4601" spans="1:18" x14ac:dyDescent="0.45">
      <c r="A4601" t="s">
        <v>1265</v>
      </c>
      <c r="B4601">
        <v>8</v>
      </c>
      <c r="C4601" t="str">
        <f>HYPERLINK("http://www.ncbi.nlm.nih.gov/protein/KAJ8982736.1","KAJ8982736.1")</f>
        <v>KAJ8982736.1</v>
      </c>
      <c r="D4601">
        <v>18609</v>
      </c>
      <c r="E4601" t="str">
        <f>HYPERLINK("http://www.ncbi.nlm.nih.gov/Taxonomy/Browser/wwwtax.cgi?mode=Info&amp;id=1323400&amp;lvl=3&amp;lin=f&amp;keep=1&amp;srchmode=1&amp;unlock","1323400")</f>
        <v>1323400</v>
      </c>
      <c r="F4601" t="s">
        <v>760</v>
      </c>
      <c r="G4601" t="str">
        <f>HYPERLINK("http://www.ncbi.nlm.nih.gov/Taxonomy/Browser/wwwtax.cgi?mode=Info&amp;id=1323400&amp;lvl=3&amp;lin=f&amp;keep=1&amp;srchmode=1&amp;unlock","Molorchus minor")</f>
        <v>Molorchus minor</v>
      </c>
      <c r="H4601" t="s">
        <v>1115</v>
      </c>
      <c r="I4601" t="str">
        <f>HYPERLINK("http://www.ncbi.nlm.nih.gov/protein/KAJ8982736.1","hypothetical protein NQ317_014034")</f>
        <v>hypothetical protein NQ317_014034</v>
      </c>
      <c r="J4601">
        <v>913.68</v>
      </c>
      <c r="K4601" t="s">
        <v>22</v>
      </c>
      <c r="L4601">
        <v>76</v>
      </c>
      <c r="M4601">
        <v>12.58</v>
      </c>
      <c r="N4601">
        <v>8.99</v>
      </c>
      <c r="O4601" t="s">
        <v>19</v>
      </c>
      <c r="P4601" t="s">
        <v>1320</v>
      </c>
      <c r="Q4601" t="s">
        <v>19</v>
      </c>
      <c r="R4601" t="str">
        <f>HYPERLINK("https://cfpub.epa.gov/ecotox/explore.cfm?ncbi=1323400","Explore in ECOTOX")</f>
        <v>Explore in ECOTOX</v>
      </c>
    </row>
    <row r="4602" spans="1:18" x14ac:dyDescent="0.45">
      <c r="A4602" t="s">
        <v>1265</v>
      </c>
      <c r="B4602">
        <v>8</v>
      </c>
      <c r="C4602" t="str">
        <f>HYPERLINK("http://www.ncbi.nlm.nih.gov/protein/VDK40797.1","VDK40797.1")</f>
        <v>VDK40797.1</v>
      </c>
      <c r="D4602">
        <v>10501</v>
      </c>
      <c r="E4602" t="str">
        <f>HYPERLINK("http://www.ncbi.nlm.nih.gov/Taxonomy/Browser/wwwtax.cgi?mode=Info&amp;id=60517&amp;lvl=3&amp;lin=f&amp;keep=1&amp;srchmode=1&amp;unlock","60517")</f>
        <v>60517</v>
      </c>
      <c r="F4602" t="s">
        <v>1185</v>
      </c>
      <c r="G4602" t="str">
        <f>HYPERLINK("http://www.ncbi.nlm.nih.gov/Taxonomy/Browser/wwwtax.cgi?mode=Info&amp;id=60517&amp;lvl=3&amp;lin=f&amp;keep=1&amp;srchmode=1&amp;unlock","Taenia asiatica")</f>
        <v>Taenia asiatica</v>
      </c>
      <c r="H4602" t="s">
        <v>1204</v>
      </c>
      <c r="I4602" t="str">
        <f>HYPERLINK("http://www.ncbi.nlm.nih.gov/protein/VDK40797.1","unnamed protein product")</f>
        <v>unnamed protein product</v>
      </c>
      <c r="J4602">
        <v>882.09</v>
      </c>
      <c r="K4602" t="s">
        <v>22</v>
      </c>
      <c r="L4602">
        <v>76</v>
      </c>
      <c r="M4602">
        <v>12.58</v>
      </c>
      <c r="N4602">
        <v>8.68</v>
      </c>
      <c r="O4602" t="s">
        <v>22</v>
      </c>
      <c r="P4602" t="s">
        <v>1320</v>
      </c>
      <c r="Q4602" t="s">
        <v>19</v>
      </c>
      <c r="R4602" t="str">
        <f>HYPERLINK("https://cfpub.epa.gov/ecotox/explore.cfm?ncbi=60517","Explore in ECOTOX")</f>
        <v>Explore in ECOTOX</v>
      </c>
    </row>
    <row r="4603" spans="1:18" x14ac:dyDescent="0.45">
      <c r="A4603" t="s">
        <v>1265</v>
      </c>
      <c r="B4603">
        <v>8</v>
      </c>
      <c r="C4603" t="str">
        <f>HYPERLINK("http://www.ncbi.nlm.nih.gov/protein/VDL39194.1","VDL39194.1")</f>
        <v>VDL39194.1</v>
      </c>
      <c r="D4603">
        <v>30647</v>
      </c>
      <c r="E4603" t="str">
        <f>HYPERLINK("http://www.ncbi.nlm.nih.gov/Taxonomy/Browser/wwwtax.cgi?mode=Info&amp;id=6216&amp;lvl=3&amp;lin=f&amp;keep=1&amp;srchmode=1&amp;unlock","6216")</f>
        <v>6216</v>
      </c>
      <c r="F4603" t="s">
        <v>1185</v>
      </c>
      <c r="G4603" t="str">
        <f>HYPERLINK("http://www.ncbi.nlm.nih.gov/Taxonomy/Browser/wwwtax.cgi?mode=Info&amp;id=6216&amp;lvl=3&amp;lin=f&amp;keep=1&amp;srchmode=1&amp;unlock","Hymenolepis diminuta")</f>
        <v>Hymenolepis diminuta</v>
      </c>
      <c r="H4603" t="s">
        <v>1187</v>
      </c>
      <c r="I4603" t="str">
        <f>HYPERLINK("http://www.ncbi.nlm.nih.gov/protein/VDL39194.1","unnamed protein product")</f>
        <v>unnamed protein product</v>
      </c>
      <c r="J4603">
        <v>878.63</v>
      </c>
      <c r="K4603" t="s">
        <v>22</v>
      </c>
      <c r="L4603">
        <v>76</v>
      </c>
      <c r="M4603">
        <v>12.58</v>
      </c>
      <c r="N4603">
        <v>8.65</v>
      </c>
      <c r="O4603" t="s">
        <v>22</v>
      </c>
      <c r="P4603" t="s">
        <v>1320</v>
      </c>
      <c r="Q4603" t="s">
        <v>19</v>
      </c>
      <c r="R4603" t="str">
        <f>HYPERLINK("https://cfpub.epa.gov/ecotox/explore.cfm?ncbi=6216","Explore in ECOTOX")</f>
        <v>Explore in ECOTOX</v>
      </c>
    </row>
    <row r="4604" spans="1:18" x14ac:dyDescent="0.45">
      <c r="A4604" t="s">
        <v>1265</v>
      </c>
      <c r="B4604">
        <v>8</v>
      </c>
      <c r="C4604" t="str">
        <f>HYPERLINK("http://www.ncbi.nlm.nih.gov/protein/XP_024347304.1","XP_024347304.1")</f>
        <v>XP_024347304.1</v>
      </c>
      <c r="D4604">
        <v>48135</v>
      </c>
      <c r="E4604" t="str">
        <f>HYPERLINK("http://www.ncbi.nlm.nih.gov/Taxonomy/Browser/wwwtax.cgi?mode=Info&amp;id=6210&amp;lvl=3&amp;lin=f&amp;keep=1&amp;srchmode=1&amp;unlock","6210")</f>
        <v>6210</v>
      </c>
      <c r="F4604" t="s">
        <v>1185</v>
      </c>
      <c r="G4604" t="str">
        <f>HYPERLINK("http://www.ncbi.nlm.nih.gov/Taxonomy/Browser/wwwtax.cgi?mode=Info&amp;id=6210&amp;lvl=3&amp;lin=f&amp;keep=1&amp;srchmode=1&amp;unlock","Echinococcus granulosus")</f>
        <v>Echinococcus granulosus</v>
      </c>
      <c r="H4604" t="s">
        <v>1186</v>
      </c>
      <c r="I4604" t="str">
        <f>HYPERLINK("http://www.ncbi.nlm.nih.gov/protein/XP_024347304.1","Ryanodine receptor 44F")</f>
        <v>Ryanodine receptor 44F</v>
      </c>
      <c r="J4604">
        <v>865.14</v>
      </c>
      <c r="K4604" t="s">
        <v>22</v>
      </c>
      <c r="L4604">
        <v>76</v>
      </c>
      <c r="M4604">
        <v>12.58</v>
      </c>
      <c r="N4604">
        <v>8.51</v>
      </c>
      <c r="O4604" t="s">
        <v>22</v>
      </c>
      <c r="P4604" t="s">
        <v>1320</v>
      </c>
      <c r="Q4604" t="s">
        <v>19</v>
      </c>
      <c r="R4604" t="str">
        <f>HYPERLINK("https://cfpub.epa.gov/ecotox/explore.cfm?ncbi=6210","Explore in ECOTOX")</f>
        <v>Explore in ECOTOX</v>
      </c>
    </row>
    <row r="4605" spans="1:18" x14ac:dyDescent="0.45">
      <c r="A4605" t="s">
        <v>1265</v>
      </c>
      <c r="B4605">
        <v>8</v>
      </c>
      <c r="C4605" t="str">
        <f>HYPERLINK("http://www.ncbi.nlm.nih.gov/protein/KAI5643469.1","KAI5643469.1")</f>
        <v>KAI5643469.1</v>
      </c>
      <c r="D4605">
        <v>16704</v>
      </c>
      <c r="E4605" t="str">
        <f>HYPERLINK("http://www.ncbi.nlm.nih.gov/Taxonomy/Browser/wwwtax.cgi?mode=Info&amp;id=192464&amp;lvl=3&amp;lin=f&amp;keep=1&amp;srchmode=1&amp;unlock","192464")</f>
        <v>192464</v>
      </c>
      <c r="F4605" t="s">
        <v>760</v>
      </c>
      <c r="G4605" t="str">
        <f>HYPERLINK("http://www.ncbi.nlm.nih.gov/Taxonomy/Browser/wwwtax.cgi?mode=Info&amp;id=192464&amp;lvl=3&amp;lin=f&amp;keep=1&amp;srchmode=1&amp;unlock","Phthorimaea operculella")</f>
        <v>Phthorimaea operculella</v>
      </c>
      <c r="H4605" t="s">
        <v>1171</v>
      </c>
      <c r="I4605" t="str">
        <f>HYPERLINK("http://www.ncbi.nlm.nih.gov/protein/KAI5643469.1","ryR domain-containing protein")</f>
        <v>ryR domain-containing protein</v>
      </c>
      <c r="J4605">
        <v>860.91</v>
      </c>
      <c r="K4605" t="s">
        <v>22</v>
      </c>
      <c r="L4605">
        <v>76</v>
      </c>
      <c r="M4605">
        <v>12.58</v>
      </c>
      <c r="N4605">
        <v>8.4700000000000006</v>
      </c>
      <c r="O4605" t="s">
        <v>19</v>
      </c>
      <c r="P4605" t="s">
        <v>1320</v>
      </c>
      <c r="Q4605" t="s">
        <v>19</v>
      </c>
      <c r="R4605" t="str">
        <f>HYPERLINK("https://cfpub.epa.gov/ecotox/explore.cfm?ncbi=192464","Explore in ECOTOX")</f>
        <v>Explore in ECOTOX</v>
      </c>
    </row>
    <row r="4606" spans="1:18" x14ac:dyDescent="0.45">
      <c r="A4606" t="s">
        <v>1265</v>
      </c>
      <c r="B4606">
        <v>8</v>
      </c>
      <c r="C4606" t="str">
        <f>HYPERLINK("http://www.ncbi.nlm.nih.gov/protein/CAD7230235.1","CAD7230235.1")</f>
        <v>CAD7230235.1</v>
      </c>
      <c r="D4606">
        <v>35749</v>
      </c>
      <c r="E4606" t="str">
        <f>HYPERLINK("http://www.ncbi.nlm.nih.gov/Taxonomy/Browser/wwwtax.cgi?mode=Info&amp;id=163714&amp;lvl=3&amp;lin=f&amp;keep=1&amp;srchmode=1&amp;unlock","163714")</f>
        <v>163714</v>
      </c>
      <c r="F4606" t="s">
        <v>1105</v>
      </c>
      <c r="G4606" t="str">
        <f>HYPERLINK("http://www.ncbi.nlm.nih.gov/Taxonomy/Browser/wwwtax.cgi?mode=Info&amp;id=163714&amp;lvl=3&amp;lin=f&amp;keep=1&amp;srchmode=1&amp;unlock","Cyprideis torosa")</f>
        <v>Cyprideis torosa</v>
      </c>
      <c r="H4606" t="s">
        <v>1106</v>
      </c>
      <c r="I4606" t="str">
        <f>HYPERLINK("http://www.ncbi.nlm.nih.gov/protein/CAD7230235.1","unnamed protein product")</f>
        <v>unnamed protein product</v>
      </c>
      <c r="J4606">
        <v>815.45</v>
      </c>
      <c r="K4606" t="s">
        <v>22</v>
      </c>
      <c r="L4606">
        <v>76</v>
      </c>
      <c r="M4606">
        <v>12.58</v>
      </c>
      <c r="N4606">
        <v>8.0299999999999994</v>
      </c>
      <c r="O4606" t="s">
        <v>19</v>
      </c>
      <c r="P4606" t="s">
        <v>1320</v>
      </c>
      <c r="Q4606" t="s">
        <v>19</v>
      </c>
      <c r="R4606" t="str">
        <f>HYPERLINK("https://cfpub.epa.gov/ecotox/explore.cfm?ncbi=163714","Explore in ECOTOX")</f>
        <v>Explore in ECOTOX</v>
      </c>
    </row>
    <row r="4607" spans="1:18" x14ac:dyDescent="0.45">
      <c r="A4607" t="s">
        <v>1265</v>
      </c>
      <c r="B4607">
        <v>8</v>
      </c>
      <c r="C4607" t="str">
        <f>HYPERLINK("http://www.ncbi.nlm.nih.gov/protein/MCL4120159.1","MCL4120159.1")</f>
        <v>MCL4120159.1</v>
      </c>
      <c r="D4607">
        <v>67989</v>
      </c>
      <c r="E4607" t="str">
        <f>HYPERLINK("http://www.ncbi.nlm.nih.gov/Taxonomy/Browser/wwwtax.cgi?mode=Info&amp;id=82763&amp;lvl=3&amp;lin=f&amp;keep=1&amp;srchmode=1&amp;unlock","82763")</f>
        <v>82763</v>
      </c>
      <c r="F4607" t="s">
        <v>779</v>
      </c>
      <c r="G4607" t="str">
        <f>HYPERLINK("http://www.ncbi.nlm.nih.gov/Taxonomy/Browser/wwwtax.cgi?mode=Info&amp;id=82763&amp;lvl=3&amp;lin=f&amp;keep=1&amp;srchmode=1&amp;unlock","Idotea baltica")</f>
        <v>Idotea baltica</v>
      </c>
      <c r="H4607" t="s">
        <v>1206</v>
      </c>
      <c r="I4607" t="str">
        <f>HYPERLINK("http://www.ncbi.nlm.nih.gov/protein/MCL4120159.1","hypothetical protein")</f>
        <v>hypothetical protein</v>
      </c>
      <c r="J4607">
        <v>806.98</v>
      </c>
      <c r="K4607" t="s">
        <v>22</v>
      </c>
      <c r="L4607">
        <v>76</v>
      </c>
      <c r="M4607">
        <v>12.58</v>
      </c>
      <c r="N4607">
        <v>7.94</v>
      </c>
      <c r="O4607" t="s">
        <v>19</v>
      </c>
      <c r="P4607" t="s">
        <v>1320</v>
      </c>
      <c r="Q4607" t="s">
        <v>19</v>
      </c>
      <c r="R4607" t="str">
        <f>HYPERLINK("https://cfpub.epa.gov/ecotox/explore.cfm?ncbi=82763","Explore in ECOTOX")</f>
        <v>Explore in ECOTOX</v>
      </c>
    </row>
    <row r="4608" spans="1:18" x14ac:dyDescent="0.45">
      <c r="A4608" t="s">
        <v>1265</v>
      </c>
      <c r="B4608">
        <v>8</v>
      </c>
      <c r="C4608" t="str">
        <f>HYPERLINK("http://www.ncbi.nlm.nih.gov/protein/XP_009173549.1","XP_009173549.1")</f>
        <v>XP_009173549.1</v>
      </c>
      <c r="D4608">
        <v>43645</v>
      </c>
      <c r="E4608" t="str">
        <f>HYPERLINK("http://www.ncbi.nlm.nih.gov/Taxonomy/Browser/wwwtax.cgi?mode=Info&amp;id=6198&amp;lvl=3&amp;lin=f&amp;keep=1&amp;srchmode=1&amp;unlock","6198")</f>
        <v>6198</v>
      </c>
      <c r="F4608" t="s">
        <v>1140</v>
      </c>
      <c r="G4608" t="str">
        <f>HYPERLINK("http://www.ncbi.nlm.nih.gov/Taxonomy/Browser/wwwtax.cgi?mode=Info&amp;id=6198&amp;lvl=3&amp;lin=f&amp;keep=1&amp;srchmode=1&amp;unlock","Opisthorchis viverrini")</f>
        <v>Opisthorchis viverrini</v>
      </c>
      <c r="H4608" t="s">
        <v>1205</v>
      </c>
      <c r="I4608" t="str">
        <f>HYPERLINK("http://www.ncbi.nlm.nih.gov/protein/XP_009173549.1","hypothetical protein T265_09254")</f>
        <v>hypothetical protein T265_09254</v>
      </c>
      <c r="J4608">
        <v>803.9</v>
      </c>
      <c r="K4608" t="s">
        <v>22</v>
      </c>
      <c r="L4608">
        <v>76</v>
      </c>
      <c r="M4608">
        <v>12.58</v>
      </c>
      <c r="N4608">
        <v>7.91</v>
      </c>
      <c r="O4608" t="s">
        <v>19</v>
      </c>
      <c r="P4608" t="s">
        <v>1320</v>
      </c>
      <c r="Q4608" t="s">
        <v>19</v>
      </c>
      <c r="R4608" t="str">
        <f>HYPERLINK("https://cfpub.epa.gov/ecotox/explore.cfm?ncbi=6198","Explore in ECOTOX")</f>
        <v>Explore in ECOTOX</v>
      </c>
    </row>
    <row r="4609" spans="1:18" x14ac:dyDescent="0.45">
      <c r="A4609" t="s">
        <v>1265</v>
      </c>
      <c r="B4609">
        <v>8</v>
      </c>
      <c r="C4609" t="str">
        <f>HYPERLINK("http://www.ncbi.nlm.nih.gov/protein/KAG9509881.1","KAG9509881.1")</f>
        <v>KAG9509881.1</v>
      </c>
      <c r="D4609">
        <v>3062</v>
      </c>
      <c r="E4609" t="str">
        <f>HYPERLINK("http://www.ncbi.nlm.nih.gov/Taxonomy/Browser/wwwtax.cgi?mode=Info&amp;id=1670756&amp;lvl=3&amp;lin=f&amp;keep=1&amp;srchmode=1&amp;unlock","1670756")</f>
        <v>1670756</v>
      </c>
      <c r="F4609" t="s">
        <v>904</v>
      </c>
      <c r="G4609" t="str">
        <f>HYPERLINK("http://www.ncbi.nlm.nih.gov/Taxonomy/Browser/wwwtax.cgi?mode=Info&amp;id=1670756&amp;lvl=3&amp;lin=f&amp;keep=1&amp;srchmode=1&amp;unlock","Fragariocoptes setiger")</f>
        <v>Fragariocoptes setiger</v>
      </c>
      <c r="H4609" t="s">
        <v>992</v>
      </c>
      <c r="I4609" t="str">
        <f>HYPERLINK("http://www.ncbi.nlm.nih.gov/protein/KAG9509881.1","Ryanodine receptor, partial")</f>
        <v>Ryanodine receptor, partial</v>
      </c>
      <c r="J4609">
        <v>801.59</v>
      </c>
      <c r="K4609" t="s">
        <v>22</v>
      </c>
      <c r="L4609">
        <v>76</v>
      </c>
      <c r="M4609">
        <v>12.58</v>
      </c>
      <c r="N4609">
        <v>7.89</v>
      </c>
      <c r="O4609" t="s">
        <v>19</v>
      </c>
      <c r="P4609" t="s">
        <v>1320</v>
      </c>
      <c r="Q4609" t="s">
        <v>19</v>
      </c>
      <c r="R4609" t="str">
        <f>HYPERLINK("https://cfpub.epa.gov/ecotox/explore.cfm?ncbi=1670756","Explore in ECOTOX")</f>
        <v>Explore in ECOTOX</v>
      </c>
    </row>
    <row r="4610" spans="1:18" x14ac:dyDescent="0.45">
      <c r="A4610" t="s">
        <v>1265</v>
      </c>
      <c r="B4610">
        <v>8</v>
      </c>
      <c r="C4610" t="str">
        <f>HYPERLINK("http://www.ncbi.nlm.nih.gov/protein/TKR86982.1","TKR86982.1")</f>
        <v>TKR86982.1</v>
      </c>
      <c r="D4610">
        <v>36674</v>
      </c>
      <c r="E4610" t="str">
        <f>HYPERLINK("http://www.ncbi.nlm.nih.gov/Taxonomy/Browser/wwwtax.cgi?mode=Info&amp;id=34508&amp;lvl=3&amp;lin=f&amp;keep=1&amp;srchmode=1&amp;unlock","34508")</f>
        <v>34508</v>
      </c>
      <c r="F4610" t="s">
        <v>1024</v>
      </c>
      <c r="G4610" t="str">
        <f>HYPERLINK("http://www.ncbi.nlm.nih.gov/Taxonomy/Browser/wwwtax.cgi?mode=Info&amp;id=34508&amp;lvl=3&amp;lin=f&amp;keep=1&amp;srchmode=1&amp;unlock","Steinernema carpocapsae")</f>
        <v>Steinernema carpocapsae</v>
      </c>
      <c r="H4610" t="s">
        <v>1027</v>
      </c>
      <c r="I4610" t="str">
        <f>HYPERLINK("http://www.ncbi.nlm.nih.gov/protein/TKR86982.1","hypothetical protein L596_011471")</f>
        <v>hypothetical protein L596_011471</v>
      </c>
      <c r="J4610">
        <v>796.58</v>
      </c>
      <c r="K4610" t="s">
        <v>22</v>
      </c>
      <c r="L4610">
        <v>76</v>
      </c>
      <c r="M4610">
        <v>12.58</v>
      </c>
      <c r="N4610">
        <v>7.84</v>
      </c>
      <c r="O4610" t="s">
        <v>19</v>
      </c>
      <c r="P4610" t="s">
        <v>1320</v>
      </c>
      <c r="Q4610" t="s">
        <v>19</v>
      </c>
      <c r="R4610" t="str">
        <f>HYPERLINK("https://cfpub.epa.gov/ecotox/explore.cfm?ncbi=34508","Explore in ECOTOX")</f>
        <v>Explore in ECOTOX</v>
      </c>
    </row>
    <row r="4611" spans="1:18" x14ac:dyDescent="0.45">
      <c r="A4611" t="s">
        <v>1265</v>
      </c>
      <c r="B4611">
        <v>8</v>
      </c>
      <c r="C4611" t="str">
        <f>HYPERLINK("http://www.ncbi.nlm.nih.gov/protein/VDL92643.1","VDL92643.1")</f>
        <v>VDL92643.1</v>
      </c>
      <c r="D4611">
        <v>20320</v>
      </c>
      <c r="E4611" t="str">
        <f>HYPERLINK("http://www.ncbi.nlm.nih.gov/Taxonomy/Browser/wwwtax.cgi?mode=Info&amp;id=70667&amp;lvl=3&amp;lin=f&amp;keep=1&amp;srchmode=1&amp;unlock","70667")</f>
        <v>70667</v>
      </c>
      <c r="F4611" t="s">
        <v>1185</v>
      </c>
      <c r="G4611" t="str">
        <f>HYPERLINK("http://www.ncbi.nlm.nih.gov/Taxonomy/Browser/wwwtax.cgi?mode=Info&amp;id=70667&amp;lvl=3&amp;lin=f&amp;keep=1&amp;srchmode=1&amp;unlock","Schistocephalus solidus")</f>
        <v>Schistocephalus solidus</v>
      </c>
      <c r="H4611" t="s">
        <v>1186</v>
      </c>
      <c r="I4611" t="str">
        <f>HYPERLINK("http://www.ncbi.nlm.nih.gov/protein/VDL92643.1","unnamed protein product")</f>
        <v>unnamed protein product</v>
      </c>
      <c r="J4611">
        <v>786.18</v>
      </c>
      <c r="K4611" t="s">
        <v>22</v>
      </c>
      <c r="L4611">
        <v>76</v>
      </c>
      <c r="M4611">
        <v>12.58</v>
      </c>
      <c r="N4611">
        <v>7.74</v>
      </c>
      <c r="O4611" t="s">
        <v>22</v>
      </c>
      <c r="P4611" t="s">
        <v>1320</v>
      </c>
      <c r="Q4611" t="s">
        <v>19</v>
      </c>
      <c r="R4611" t="str">
        <f>HYPERLINK("https://cfpub.epa.gov/ecotox/explore.cfm?ncbi=70667","Explore in ECOTOX")</f>
        <v>Explore in ECOTOX</v>
      </c>
    </row>
    <row r="4612" spans="1:18" x14ac:dyDescent="0.45">
      <c r="A4612" t="s">
        <v>1265</v>
      </c>
      <c r="B4612">
        <v>8</v>
      </c>
      <c r="C4612" t="str">
        <f>HYPERLINK("http://www.ncbi.nlm.nih.gov/protein/XP_019855347.1","XP_019855347.1")</f>
        <v>XP_019855347.1</v>
      </c>
      <c r="D4612">
        <v>23631</v>
      </c>
      <c r="E4612" t="str">
        <f>HYPERLINK("http://www.ncbi.nlm.nih.gov/Taxonomy/Browser/wwwtax.cgi?mode=Info&amp;id=400682&amp;lvl=3&amp;lin=f&amp;keep=1&amp;srchmode=1&amp;unlock","400682")</f>
        <v>400682</v>
      </c>
      <c r="F4612" t="s">
        <v>1210</v>
      </c>
      <c r="G4612" t="str">
        <f>HYPERLINK("http://www.ncbi.nlm.nih.gov/Taxonomy/Browser/wwwtax.cgi?mode=Info&amp;id=400682&amp;lvl=3&amp;lin=f&amp;keep=1&amp;srchmode=1&amp;unlock","Amphimedon queenslandica")</f>
        <v>Amphimedon queenslandica</v>
      </c>
      <c r="H4612" t="s">
        <v>1211</v>
      </c>
      <c r="I4612" t="str">
        <f>HYPERLINK("http://www.ncbi.nlm.nih.gov/protein/XP_019855347.1","PREDICTED: ryanodine receptor 2")</f>
        <v>PREDICTED: ryanodine receptor 2</v>
      </c>
      <c r="J4612">
        <v>768.07</v>
      </c>
      <c r="K4612" t="s">
        <v>22</v>
      </c>
      <c r="L4612">
        <v>76</v>
      </c>
      <c r="M4612">
        <v>12.58</v>
      </c>
      <c r="N4612">
        <v>7.56</v>
      </c>
      <c r="O4612" t="s">
        <v>22</v>
      </c>
      <c r="P4612" t="s">
        <v>1320</v>
      </c>
      <c r="Q4612" t="s">
        <v>19</v>
      </c>
      <c r="R4612" t="str">
        <f>HYPERLINK("https://cfpub.epa.gov/ecotox/explore.cfm?ncbi=400682","Explore in ECOTOX")</f>
        <v>Explore in ECOTOX</v>
      </c>
    </row>
    <row r="4613" spans="1:18" x14ac:dyDescent="0.45">
      <c r="A4613" t="s">
        <v>1265</v>
      </c>
      <c r="B4613">
        <v>8</v>
      </c>
      <c r="C4613" t="str">
        <f>HYPERLINK("http://www.ncbi.nlm.nih.gov/protein/KAJ8926556.1","KAJ8926556.1")</f>
        <v>KAJ8926556.1</v>
      </c>
      <c r="D4613">
        <v>19424</v>
      </c>
      <c r="E4613" t="str">
        <f>HYPERLINK("http://www.ncbi.nlm.nih.gov/Taxonomy/Browser/wwwtax.cgi?mode=Info&amp;id=1586634&amp;lvl=3&amp;lin=f&amp;keep=1&amp;srchmode=1&amp;unlock","1586634")</f>
        <v>1586634</v>
      </c>
      <c r="F4613" t="s">
        <v>760</v>
      </c>
      <c r="G4613" t="str">
        <f>HYPERLINK("http://www.ncbi.nlm.nih.gov/Taxonomy/Browser/wwwtax.cgi?mode=Info&amp;id=1586634&amp;lvl=3&amp;lin=f&amp;keep=1&amp;srchmode=1&amp;unlock","Rhamnusium bicolor")</f>
        <v>Rhamnusium bicolor</v>
      </c>
      <c r="H4613" t="s">
        <v>1115</v>
      </c>
      <c r="I4613" t="str">
        <f>HYPERLINK("http://www.ncbi.nlm.nih.gov/protein/KAJ8926556.1","hypothetical protein NQ314_021073")</f>
        <v>hypothetical protein NQ314_021073</v>
      </c>
      <c r="J4613">
        <v>763.84</v>
      </c>
      <c r="K4613" t="s">
        <v>22</v>
      </c>
      <c r="L4613">
        <v>76</v>
      </c>
      <c r="M4613">
        <v>12.58</v>
      </c>
      <c r="N4613">
        <v>7.52</v>
      </c>
      <c r="O4613" t="s">
        <v>19</v>
      </c>
      <c r="P4613" t="s">
        <v>1320</v>
      </c>
      <c r="Q4613" t="s">
        <v>19</v>
      </c>
      <c r="R4613" t="str">
        <f>HYPERLINK("https://cfpub.epa.gov/ecotox/explore.cfm?ncbi=1586634","Explore in ECOTOX")</f>
        <v>Explore in ECOTOX</v>
      </c>
    </row>
    <row r="4614" spans="1:18" x14ac:dyDescent="0.45">
      <c r="A4614" t="s">
        <v>1265</v>
      </c>
      <c r="B4614">
        <v>8</v>
      </c>
      <c r="C4614" t="str">
        <f>HYPERLINK("http://www.ncbi.nlm.nih.gov/protein/RWS25625.1","RWS25625.1")</f>
        <v>RWS25625.1</v>
      </c>
      <c r="D4614">
        <v>14717</v>
      </c>
      <c r="E4614" t="str">
        <f>HYPERLINK("http://www.ncbi.nlm.nih.gov/Taxonomy/Browser/wwwtax.cgi?mode=Info&amp;id=299467&amp;lvl=3&amp;lin=f&amp;keep=1&amp;srchmode=1&amp;unlock","299467")</f>
        <v>299467</v>
      </c>
      <c r="F4614" t="s">
        <v>904</v>
      </c>
      <c r="G4614" t="str">
        <f>HYPERLINK("http://www.ncbi.nlm.nih.gov/Taxonomy/Browser/wwwtax.cgi?mode=Info&amp;id=299467&amp;lvl=3&amp;lin=f&amp;keep=1&amp;srchmode=1&amp;unlock","Leptotrombidium deliense")</f>
        <v>Leptotrombidium deliense</v>
      </c>
      <c r="H4614" t="s">
        <v>1207</v>
      </c>
      <c r="I4614" t="str">
        <f>HYPERLINK("http://www.ncbi.nlm.nih.gov/protein/RWS25625.1","ryanodine receptor-like protein, partial")</f>
        <v>ryanodine receptor-like protein, partial</v>
      </c>
      <c r="J4614">
        <v>744.96</v>
      </c>
      <c r="K4614" t="s">
        <v>22</v>
      </c>
      <c r="L4614">
        <v>76</v>
      </c>
      <c r="M4614">
        <v>12.58</v>
      </c>
      <c r="N4614">
        <v>7.33</v>
      </c>
      <c r="O4614" t="s">
        <v>19</v>
      </c>
      <c r="P4614" t="s">
        <v>1320</v>
      </c>
      <c r="Q4614" t="s">
        <v>19</v>
      </c>
      <c r="R4614" t="str">
        <f>HYPERLINK("https://cfpub.epa.gov/ecotox/explore.cfm?ncbi=299467","Explore in ECOTOX")</f>
        <v>Explore in ECOTOX</v>
      </c>
    </row>
    <row r="4615" spans="1:18" x14ac:dyDescent="0.45">
      <c r="A4615" t="s">
        <v>1265</v>
      </c>
      <c r="B4615">
        <v>8</v>
      </c>
      <c r="C4615" t="str">
        <f>HYPERLINK("http://www.ncbi.nlm.nih.gov/protein/CAJ0957704.1","CAJ0957704.1")</f>
        <v>CAJ0957704.1</v>
      </c>
      <c r="D4615">
        <v>25721</v>
      </c>
      <c r="E4615" t="str">
        <f>HYPERLINK("http://www.ncbi.nlm.nih.gov/Taxonomy/Browser/wwwtax.cgi?mode=Info&amp;id=111125&amp;lvl=3&amp;lin=f&amp;keep=1&amp;srchmode=1&amp;unlock","111125")</f>
        <v>111125</v>
      </c>
      <c r="F4615" t="s">
        <v>177</v>
      </c>
      <c r="G4615" t="str">
        <f>HYPERLINK("http://www.ncbi.nlm.nih.gov/Taxonomy/Browser/wwwtax.cgi?mode=Info&amp;id=111125&amp;lvl=3&amp;lin=f&amp;keep=1&amp;srchmode=1&amp;unlock","Ranitomeya imitator")</f>
        <v>Ranitomeya imitator</v>
      </c>
      <c r="H4615" t="s">
        <v>1270</v>
      </c>
      <c r="I4615" t="str">
        <f>HYPERLINK("http://www.ncbi.nlm.nih.gov/protein/CAJ0957704.1","unnamed protein product")</f>
        <v>unnamed protein product</v>
      </c>
      <c r="J4615">
        <v>740.73</v>
      </c>
      <c r="K4615" t="s">
        <v>22</v>
      </c>
      <c r="L4615">
        <v>76</v>
      </c>
      <c r="M4615">
        <v>12.58</v>
      </c>
      <c r="N4615">
        <v>7.29</v>
      </c>
      <c r="O4615" t="s">
        <v>19</v>
      </c>
      <c r="P4615" t="s">
        <v>1320</v>
      </c>
      <c r="Q4615" t="s">
        <v>19</v>
      </c>
      <c r="R4615" t="str">
        <f>HYPERLINK("https://cfpub.epa.gov/ecotox/explore.cfm?ncbi=111125","Explore in ECOTOX")</f>
        <v>Explore in ECOTOX</v>
      </c>
    </row>
    <row r="4616" spans="1:18" x14ac:dyDescent="0.45">
      <c r="A4616" t="s">
        <v>1265</v>
      </c>
      <c r="B4616">
        <v>8</v>
      </c>
      <c r="C4616" t="str">
        <f>HYPERLINK("http://www.ncbi.nlm.nih.gov/protein/KAJ4442003.1","KAJ4442003.1")</f>
        <v>KAJ4442003.1</v>
      </c>
      <c r="D4616">
        <v>27727</v>
      </c>
      <c r="E4616" t="str">
        <f>HYPERLINK("http://www.ncbi.nlm.nih.gov/Taxonomy/Browser/wwwtax.cgi?mode=Info&amp;id=6978&amp;lvl=3&amp;lin=f&amp;keep=1&amp;srchmode=1&amp;unlock","6978")</f>
        <v>6978</v>
      </c>
      <c r="F4616" t="s">
        <v>760</v>
      </c>
      <c r="G4616" t="str">
        <f>HYPERLINK("http://www.ncbi.nlm.nih.gov/Taxonomy/Browser/wwwtax.cgi?mode=Info&amp;id=6978&amp;lvl=3&amp;lin=f&amp;keep=1&amp;srchmode=1&amp;unlock","Periplaneta americana")</f>
        <v>Periplaneta americana</v>
      </c>
      <c r="H4616" t="s">
        <v>1176</v>
      </c>
      <c r="I4616" t="str">
        <f>HYPERLINK("http://www.ncbi.nlm.nih.gov/protein/KAJ4442003.1","hypothetical protein ANN_11867, partial")</f>
        <v>hypothetical protein ANN_11867, partial</v>
      </c>
      <c r="J4616">
        <v>737.64</v>
      </c>
      <c r="K4616" t="s">
        <v>22</v>
      </c>
      <c r="L4616">
        <v>76</v>
      </c>
      <c r="M4616">
        <v>12.58</v>
      </c>
      <c r="N4616">
        <v>7.26</v>
      </c>
      <c r="O4616" t="s">
        <v>19</v>
      </c>
      <c r="P4616" t="s">
        <v>1320</v>
      </c>
      <c r="Q4616" t="s">
        <v>19</v>
      </c>
      <c r="R4616" t="str">
        <f>HYPERLINK("https://cfpub.epa.gov/ecotox/explore.cfm?ncbi=6978","Explore in ECOTOX")</f>
        <v>Explore in ECOTOX</v>
      </c>
    </row>
    <row r="4617" spans="1:18" x14ac:dyDescent="0.45">
      <c r="A4617" t="s">
        <v>1265</v>
      </c>
      <c r="B4617">
        <v>8</v>
      </c>
      <c r="C4617" t="str">
        <f>HYPERLINK("http://www.ncbi.nlm.nih.gov/protein/VDO05596.1","VDO05596.1")</f>
        <v>VDO05596.1</v>
      </c>
      <c r="D4617">
        <v>13761</v>
      </c>
      <c r="E4617" t="str">
        <f>HYPERLINK("http://www.ncbi.nlm.nih.gov/Taxonomy/Browser/wwwtax.cgi?mode=Info&amp;id=102285&amp;lvl=3&amp;lin=f&amp;keep=1&amp;srchmode=1&amp;unlock","102285")</f>
        <v>102285</v>
      </c>
      <c r="F4617" t="s">
        <v>1185</v>
      </c>
      <c r="G4617" t="str">
        <f>HYPERLINK("http://www.ncbi.nlm.nih.gov/Taxonomy/Browser/wwwtax.cgi?mode=Info&amp;id=102285&amp;lvl=3&amp;lin=f&amp;keep=1&amp;srchmode=1&amp;unlock","Rodentolepis nana")</f>
        <v>Rodentolepis nana</v>
      </c>
      <c r="H4617" t="s">
        <v>1186</v>
      </c>
      <c r="I4617" t="str">
        <f>HYPERLINK("http://www.ncbi.nlm.nih.gov/protein/VDO05596.1","unnamed protein product")</f>
        <v>unnamed protein product</v>
      </c>
      <c r="J4617">
        <v>737.26</v>
      </c>
      <c r="K4617" t="s">
        <v>22</v>
      </c>
      <c r="L4617">
        <v>76</v>
      </c>
      <c r="M4617">
        <v>12.58</v>
      </c>
      <c r="N4617">
        <v>7.26</v>
      </c>
      <c r="O4617" t="s">
        <v>22</v>
      </c>
      <c r="P4617" t="s">
        <v>1320</v>
      </c>
      <c r="Q4617" t="s">
        <v>19</v>
      </c>
      <c r="R4617" t="str">
        <f>HYPERLINK("https://cfpub.epa.gov/ecotox/explore.cfm?ncbi=102285","Explore in ECOTOX")</f>
        <v>Explore in ECOTOX</v>
      </c>
    </row>
    <row r="4618" spans="1:18" x14ac:dyDescent="0.45">
      <c r="A4618" t="s">
        <v>1265</v>
      </c>
      <c r="B4618">
        <v>8</v>
      </c>
      <c r="C4618" t="str">
        <f>HYPERLINK("http://www.ncbi.nlm.nih.gov/protein/KAI6654232.1","KAI6654232.1")</f>
        <v>KAI6654232.1</v>
      </c>
      <c r="D4618">
        <v>16541</v>
      </c>
      <c r="E4618" t="str">
        <f>HYPERLINK("http://www.ncbi.nlm.nih.gov/Taxonomy/Browser/wwwtax.cgi?mode=Info&amp;id=111878&amp;lvl=3&amp;lin=f&amp;keep=1&amp;srchmode=1&amp;unlock","111878")</f>
        <v>111878</v>
      </c>
      <c r="F4618" t="s">
        <v>1215</v>
      </c>
      <c r="G4618" t="str">
        <f>HYPERLINK("http://www.ncbi.nlm.nih.gov/Taxonomy/Browser/wwwtax.cgi?mode=Info&amp;id=111878&amp;lvl=3&amp;lin=f&amp;keep=1&amp;srchmode=1&amp;unlock","Oopsacas minuta")</f>
        <v>Oopsacas minuta</v>
      </c>
      <c r="H4618" t="s">
        <v>1211</v>
      </c>
      <c r="I4618" t="str">
        <f>HYPERLINK("http://www.ncbi.nlm.nih.gov/protein/KAI6654232.1","Ryanodine receptor 3")</f>
        <v>Ryanodine receptor 3</v>
      </c>
      <c r="J4618">
        <v>717.23</v>
      </c>
      <c r="K4618" t="s">
        <v>22</v>
      </c>
      <c r="L4618">
        <v>76</v>
      </c>
      <c r="M4618">
        <v>12.58</v>
      </c>
      <c r="N4618">
        <v>7.06</v>
      </c>
      <c r="O4618" t="s">
        <v>22</v>
      </c>
      <c r="P4618" t="s">
        <v>1320</v>
      </c>
      <c r="Q4618" t="s">
        <v>19</v>
      </c>
      <c r="R4618" t="str">
        <f>HYPERLINK("https://cfpub.epa.gov/ecotox/explore.cfm?ncbi=111878","Explore in ECOTOX")</f>
        <v>Explore in ECOTOX</v>
      </c>
    </row>
    <row r="4619" spans="1:18" x14ac:dyDescent="0.45">
      <c r="A4619" t="s">
        <v>1265</v>
      </c>
      <c r="B4619">
        <v>8</v>
      </c>
      <c r="C4619" t="str">
        <f>HYPERLINK("http://www.ncbi.nlm.nih.gov/protein/KIH62211.1","KIH62211.1")</f>
        <v>KIH62211.1</v>
      </c>
      <c r="D4619">
        <v>27573</v>
      </c>
      <c r="E4619" t="str">
        <f>HYPERLINK("http://www.ncbi.nlm.nih.gov/Taxonomy/Browser/wwwtax.cgi?mode=Info&amp;id=51022&amp;lvl=3&amp;lin=f&amp;keep=1&amp;srchmode=1&amp;unlock","51022")</f>
        <v>51022</v>
      </c>
      <c r="F4619" t="s">
        <v>1024</v>
      </c>
      <c r="G4619" t="str">
        <f>HYPERLINK("http://www.ncbi.nlm.nih.gov/Taxonomy/Browser/wwwtax.cgi?mode=Info&amp;id=51022&amp;lvl=3&amp;lin=f&amp;keep=1&amp;srchmode=1&amp;unlock","Ancylostoma duodenale")</f>
        <v>Ancylostoma duodenale</v>
      </c>
      <c r="H4619" t="s">
        <v>1025</v>
      </c>
      <c r="I4619" t="str">
        <f>HYPERLINK("http://www.ncbi.nlm.nih.gov/protein/KIH62211.1","RIH domain protein")</f>
        <v>RIH domain protein</v>
      </c>
      <c r="J4619">
        <v>681.79</v>
      </c>
      <c r="K4619" t="s">
        <v>22</v>
      </c>
      <c r="L4619">
        <v>76</v>
      </c>
      <c r="M4619">
        <v>12.58</v>
      </c>
      <c r="N4619">
        <v>6.71</v>
      </c>
      <c r="O4619" t="s">
        <v>19</v>
      </c>
      <c r="P4619" t="s">
        <v>1320</v>
      </c>
      <c r="Q4619" t="s">
        <v>19</v>
      </c>
      <c r="R4619" t="str">
        <f>HYPERLINK("https://cfpub.epa.gov/ecotox/explore.cfm?ncbi=51022","Explore in ECOTOX")</f>
        <v>Explore in ECOTOX</v>
      </c>
    </row>
    <row r="4620" spans="1:18" x14ac:dyDescent="0.45">
      <c r="A4620" t="s">
        <v>1265</v>
      </c>
      <c r="B4620">
        <v>8</v>
      </c>
      <c r="C4620" t="str">
        <f>HYPERLINK("http://www.ncbi.nlm.nih.gov/protein/XP_035829329.1","XP_035829329.1")</f>
        <v>XP_035829329.1</v>
      </c>
      <c r="D4620">
        <v>27924</v>
      </c>
      <c r="E4620" t="str">
        <f>HYPERLINK("http://www.ncbi.nlm.nih.gov/Taxonomy/Browser/wwwtax.cgi?mode=Info&amp;id=6500&amp;lvl=3&amp;lin=f&amp;keep=1&amp;srchmode=1&amp;unlock","6500")</f>
        <v>6500</v>
      </c>
      <c r="F4620" t="s">
        <v>757</v>
      </c>
      <c r="G4620" t="str">
        <f>HYPERLINK("http://www.ncbi.nlm.nih.gov/Taxonomy/Browser/wwwtax.cgi?mode=Info&amp;id=6500&amp;lvl=3&amp;lin=f&amp;keep=1&amp;srchmode=1&amp;unlock","Aplysia californica")</f>
        <v>Aplysia californica</v>
      </c>
      <c r="H4620" t="s">
        <v>1208</v>
      </c>
      <c r="I4620" t="str">
        <f>HYPERLINK("http://www.ncbi.nlm.nih.gov/protein/XP_035829329.1","LOW QUALITY PROTEIN: ryanodine receptor")</f>
        <v>LOW QUALITY PROTEIN: ryanodine receptor</v>
      </c>
      <c r="J4620">
        <v>674.09</v>
      </c>
      <c r="K4620" t="s">
        <v>22</v>
      </c>
      <c r="L4620">
        <v>76</v>
      </c>
      <c r="M4620">
        <v>12.58</v>
      </c>
      <c r="N4620">
        <v>6.63</v>
      </c>
      <c r="O4620" t="s">
        <v>19</v>
      </c>
      <c r="P4620" t="s">
        <v>1320</v>
      </c>
      <c r="Q4620" t="s">
        <v>19</v>
      </c>
      <c r="R4620" t="str">
        <f>HYPERLINK("https://cfpub.epa.gov/ecotox/explore.cfm?ncbi=6500","Explore in ECOTOX")</f>
        <v>Explore in ECOTOX</v>
      </c>
    </row>
    <row r="4621" spans="1:18" x14ac:dyDescent="0.45">
      <c r="A4621" t="s">
        <v>1265</v>
      </c>
      <c r="B4621">
        <v>8</v>
      </c>
      <c r="C4621" t="str">
        <f>HYPERLINK("http://www.ncbi.nlm.nih.gov/protein/KOB76511.1","KOB76511.1")</f>
        <v>KOB76511.1</v>
      </c>
      <c r="D4621">
        <v>17113</v>
      </c>
      <c r="E4621" t="str">
        <f>HYPERLINK("http://www.ncbi.nlm.nih.gov/Taxonomy/Browser/wwwtax.cgi?mode=Info&amp;id=104452&amp;lvl=3&amp;lin=f&amp;keep=1&amp;srchmode=1&amp;unlock","104452")</f>
        <v>104452</v>
      </c>
      <c r="F4621" t="s">
        <v>760</v>
      </c>
      <c r="G4621" t="str">
        <f>HYPERLINK("http://www.ncbi.nlm.nih.gov/Taxonomy/Browser/wwwtax.cgi?mode=Info&amp;id=104452&amp;lvl=3&amp;lin=f&amp;keep=1&amp;srchmode=1&amp;unlock","Operophtera brumata")</f>
        <v>Operophtera brumata</v>
      </c>
      <c r="H4621" t="s">
        <v>1212</v>
      </c>
      <c r="I4621" t="str">
        <f>HYPERLINK("http://www.ncbi.nlm.nih.gov/protein/KOB76511.1","Ryanodine receptor 44F, partial")</f>
        <v>Ryanodine receptor 44F, partial</v>
      </c>
      <c r="J4621">
        <v>672.54</v>
      </c>
      <c r="K4621" t="s">
        <v>22</v>
      </c>
      <c r="L4621">
        <v>76</v>
      </c>
      <c r="M4621">
        <v>12.58</v>
      </c>
      <c r="N4621">
        <v>6.62</v>
      </c>
      <c r="O4621" t="s">
        <v>19</v>
      </c>
      <c r="P4621" t="s">
        <v>1320</v>
      </c>
      <c r="Q4621" t="s">
        <v>19</v>
      </c>
      <c r="R4621" t="str">
        <f>HYPERLINK("https://cfpub.epa.gov/ecotox/explore.cfm?ncbi=104452","Explore in ECOTOX")</f>
        <v>Explore in ECOTOX</v>
      </c>
    </row>
    <row r="4622" spans="1:18" x14ac:dyDescent="0.45">
      <c r="A4622" t="s">
        <v>1265</v>
      </c>
      <c r="B4622">
        <v>8</v>
      </c>
      <c r="C4622" t="str">
        <f>HYPERLINK("http://www.ncbi.nlm.nih.gov/protein/CAG7835911.1","CAG7835911.1")</f>
        <v>CAG7835911.1</v>
      </c>
      <c r="D4622">
        <v>51065</v>
      </c>
      <c r="E4622" t="str">
        <f>HYPERLINK("http://www.ncbi.nlm.nih.gov/Taxonomy/Browser/wwwtax.cgi?mode=Info&amp;id=39272&amp;lvl=3&amp;lin=f&amp;keep=1&amp;srchmode=1&amp;unlock","39272")</f>
        <v>39272</v>
      </c>
      <c r="F4622" t="s">
        <v>999</v>
      </c>
      <c r="G4622" t="str">
        <f>HYPERLINK("http://www.ncbi.nlm.nih.gov/Taxonomy/Browser/wwwtax.cgi?mode=Info&amp;id=39272&amp;lvl=3&amp;lin=f&amp;keep=1&amp;srchmode=1&amp;unlock","Allacma fusca")</f>
        <v>Allacma fusca</v>
      </c>
      <c r="H4622" t="s">
        <v>1183</v>
      </c>
      <c r="I4622" t="str">
        <f>HYPERLINK("http://www.ncbi.nlm.nih.gov/protein/CAG7835911.1","unnamed protein product")</f>
        <v>unnamed protein product</v>
      </c>
      <c r="J4622">
        <v>660.99</v>
      </c>
      <c r="K4622" t="s">
        <v>22</v>
      </c>
      <c r="L4622">
        <v>76</v>
      </c>
      <c r="M4622">
        <v>12.58</v>
      </c>
      <c r="N4622">
        <v>6.51</v>
      </c>
      <c r="O4622" t="s">
        <v>19</v>
      </c>
      <c r="P4622" t="s">
        <v>1320</v>
      </c>
      <c r="Q4622" t="s">
        <v>19</v>
      </c>
      <c r="R4622" t="str">
        <f>HYPERLINK("https://cfpub.epa.gov/ecotox/explore.cfm?ncbi=39272","Explore in ECOTOX")</f>
        <v>Explore in ECOTOX</v>
      </c>
    </row>
    <row r="4623" spans="1:18" x14ac:dyDescent="0.45">
      <c r="A4623" t="s">
        <v>1265</v>
      </c>
      <c r="B4623">
        <v>8</v>
      </c>
      <c r="C4623" t="str">
        <f>HYPERLINK("http://www.ncbi.nlm.nih.gov/protein/KJH53389.1","KJH53389.1")</f>
        <v>KJH53389.1</v>
      </c>
      <c r="D4623">
        <v>14346</v>
      </c>
      <c r="E4623" t="str">
        <f>HYPERLINK("http://www.ncbi.nlm.nih.gov/Taxonomy/Browser/wwwtax.cgi?mode=Info&amp;id=29172&amp;lvl=3&amp;lin=f&amp;keep=1&amp;srchmode=1&amp;unlock","29172")</f>
        <v>29172</v>
      </c>
      <c r="F4623" t="s">
        <v>1024</v>
      </c>
      <c r="G4623" t="str">
        <f>HYPERLINK("http://www.ncbi.nlm.nih.gov/Taxonomy/Browser/wwwtax.cgi?mode=Info&amp;id=29172&amp;lvl=3&amp;lin=f&amp;keep=1&amp;srchmode=1&amp;unlock","Dictyocaulus viviparus")</f>
        <v>Dictyocaulus viviparus</v>
      </c>
      <c r="H4623" t="s">
        <v>1201</v>
      </c>
      <c r="I4623" t="str">
        <f>HYPERLINK("http://www.ncbi.nlm.nih.gov/protein/KJH53389.1","RIH domain protein")</f>
        <v>RIH domain protein</v>
      </c>
      <c r="J4623">
        <v>646.74</v>
      </c>
      <c r="K4623" t="s">
        <v>22</v>
      </c>
      <c r="L4623">
        <v>76</v>
      </c>
      <c r="M4623">
        <v>12.58</v>
      </c>
      <c r="N4623">
        <v>6.37</v>
      </c>
      <c r="O4623" t="s">
        <v>19</v>
      </c>
      <c r="P4623" t="s">
        <v>1320</v>
      </c>
      <c r="Q4623" t="s">
        <v>19</v>
      </c>
      <c r="R4623" t="str">
        <f>HYPERLINK("https://cfpub.epa.gov/ecotox/explore.cfm?ncbi=29172","Explore in ECOTOX")</f>
        <v>Explore in ECOTOX</v>
      </c>
    </row>
    <row r="4624" spans="1:18" x14ac:dyDescent="0.45">
      <c r="A4624" t="s">
        <v>1265</v>
      </c>
      <c r="B4624">
        <v>8</v>
      </c>
      <c r="C4624" t="str">
        <f>HYPERLINK("http://www.ncbi.nlm.nih.gov/protein/CAH8289697.1","CAH8289697.1")</f>
        <v>CAH8289697.1</v>
      </c>
      <c r="D4624">
        <v>13488</v>
      </c>
      <c r="E4624" t="str">
        <f>HYPERLINK("http://www.ncbi.nlm.nih.gov/Taxonomy/Browser/wwwtax.cgi?mode=Info&amp;id=1163369&amp;lvl=3&amp;lin=f&amp;keep=1&amp;srchmode=1&amp;unlock","1163369")</f>
        <v>1163369</v>
      </c>
      <c r="F4624" t="s">
        <v>1140</v>
      </c>
      <c r="G4624" t="str">
        <f>HYPERLINK("http://www.ncbi.nlm.nih.gov/Taxonomy/Browser/wwwtax.cgi?mode=Info&amp;id=1163369&amp;lvl=3&amp;lin=f&amp;keep=1&amp;srchmode=1&amp;unlock","Schistosoma turkestanicum")</f>
        <v>Schistosoma turkestanicum</v>
      </c>
      <c r="H4624" t="s">
        <v>1141</v>
      </c>
      <c r="I4624" t="str">
        <f>HYPERLINK("http://www.ncbi.nlm.nih.gov/protein/CAH8289697.1","unnamed protein product, partial")</f>
        <v>unnamed protein product, partial</v>
      </c>
      <c r="J4624">
        <v>635.57000000000005</v>
      </c>
      <c r="K4624" t="s">
        <v>22</v>
      </c>
      <c r="L4624">
        <v>76</v>
      </c>
      <c r="M4624">
        <v>12.58</v>
      </c>
      <c r="N4624">
        <v>6.26</v>
      </c>
      <c r="O4624" t="s">
        <v>19</v>
      </c>
      <c r="P4624" t="s">
        <v>1320</v>
      </c>
      <c r="Q4624" t="s">
        <v>19</v>
      </c>
      <c r="R4624" t="str">
        <f>HYPERLINK("https://cfpub.epa.gov/ecotox/explore.cfm?ncbi=1163369","Explore in ECOTOX")</f>
        <v>Explore in ECOTOX</v>
      </c>
    </row>
    <row r="4625" spans="1:18" x14ac:dyDescent="0.45">
      <c r="A4625" t="s">
        <v>1265</v>
      </c>
      <c r="B4625">
        <v>8</v>
      </c>
      <c r="C4625" t="str">
        <f>HYPERLINK("http://www.ncbi.nlm.nih.gov/protein/CAG2056612.1","CAG2056612.1")</f>
        <v>CAG2056612.1</v>
      </c>
      <c r="D4625">
        <v>16673</v>
      </c>
      <c r="E4625" t="str">
        <f>HYPERLINK("http://www.ncbi.nlm.nih.gov/Taxonomy/Browser/wwwtax.cgi?mode=Info&amp;id=61482&amp;lvl=3&amp;lin=f&amp;keep=1&amp;srchmode=1&amp;unlock","61482")</f>
        <v>61482</v>
      </c>
      <c r="F4625" t="s">
        <v>760</v>
      </c>
      <c r="G4625" t="str">
        <f>HYPERLINK("http://www.ncbi.nlm.nih.gov/Taxonomy/Browser/wwwtax.cgi?mode=Info&amp;id=61482&amp;lvl=3&amp;lin=f&amp;keep=1&amp;srchmode=1&amp;unlock","Timema podura")</f>
        <v>Timema podura</v>
      </c>
      <c r="H4625" t="s">
        <v>1039</v>
      </c>
      <c r="I4625" t="str">
        <f>HYPERLINK("http://www.ncbi.nlm.nih.gov/protein/CAG2056612.1","unnamed protein product")</f>
        <v>unnamed protein product</v>
      </c>
      <c r="J4625">
        <v>632.1</v>
      </c>
      <c r="K4625" t="s">
        <v>22</v>
      </c>
      <c r="L4625">
        <v>76</v>
      </c>
      <c r="M4625">
        <v>12.58</v>
      </c>
      <c r="N4625">
        <v>6.22</v>
      </c>
      <c r="O4625" t="s">
        <v>19</v>
      </c>
      <c r="P4625" t="s">
        <v>1320</v>
      </c>
      <c r="Q4625" t="s">
        <v>19</v>
      </c>
      <c r="R4625" t="str">
        <f>HYPERLINK("https://cfpub.epa.gov/ecotox/explore.cfm?ncbi=61482","Explore in ECOTOX")</f>
        <v>Explore in ECOTOX</v>
      </c>
    </row>
    <row r="4626" spans="1:18" x14ac:dyDescent="0.45">
      <c r="A4626" t="s">
        <v>1265</v>
      </c>
      <c r="B4626">
        <v>8</v>
      </c>
      <c r="C4626" t="str">
        <f>HYPERLINK("http://www.ncbi.nlm.nih.gov/protein/PIO64936.1","PIO64936.1")</f>
        <v>PIO64936.1</v>
      </c>
      <c r="D4626">
        <v>25770</v>
      </c>
      <c r="E4626" t="str">
        <f>HYPERLINK("http://www.ncbi.nlm.nih.gov/Taxonomy/Browser/wwwtax.cgi?mode=Info&amp;id=45464&amp;lvl=3&amp;lin=f&amp;keep=1&amp;srchmode=1&amp;unlock","45464")</f>
        <v>45464</v>
      </c>
      <c r="F4626" t="s">
        <v>1024</v>
      </c>
      <c r="G4626" t="str">
        <f>HYPERLINK("http://www.ncbi.nlm.nih.gov/Taxonomy/Browser/wwwtax.cgi?mode=Info&amp;id=45464&amp;lvl=3&amp;lin=f&amp;keep=1&amp;srchmode=1&amp;unlock","Teladorsagia circumcincta")</f>
        <v>Teladorsagia circumcincta</v>
      </c>
      <c r="H4626" t="s">
        <v>1025</v>
      </c>
      <c r="I4626" t="str">
        <f>HYPERLINK("http://www.ncbi.nlm.nih.gov/protein/PIO64936.1","EF hand, partial")</f>
        <v>EF hand, partial</v>
      </c>
      <c r="J4626">
        <v>622.47</v>
      </c>
      <c r="K4626" t="s">
        <v>22</v>
      </c>
      <c r="L4626">
        <v>76</v>
      </c>
      <c r="M4626">
        <v>12.58</v>
      </c>
      <c r="N4626">
        <v>6.13</v>
      </c>
      <c r="O4626" t="s">
        <v>19</v>
      </c>
      <c r="P4626" t="s">
        <v>1320</v>
      </c>
      <c r="Q4626" t="s">
        <v>19</v>
      </c>
      <c r="R4626" t="str">
        <f>HYPERLINK("https://cfpub.epa.gov/ecotox/explore.cfm?ncbi=45464","Explore in ECOTOX")</f>
        <v>Explore in ECOTOX</v>
      </c>
    </row>
    <row r="4627" spans="1:18" x14ac:dyDescent="0.45">
      <c r="A4627" t="s">
        <v>1265</v>
      </c>
      <c r="B4627">
        <v>8</v>
      </c>
      <c r="C4627" t="str">
        <f>HYPERLINK("http://www.ncbi.nlm.nih.gov/protein/KAI4492832.1","KAI4492832.1")</f>
        <v>KAI4492832.1</v>
      </c>
      <c r="D4627">
        <v>15634</v>
      </c>
      <c r="E4627" t="str">
        <f>HYPERLINK("http://www.ncbi.nlm.nih.gov/Taxonomy/Browser/wwwtax.cgi?mode=Info&amp;id=27506&amp;lvl=3&amp;lin=f&amp;keep=1&amp;srchmode=1&amp;unlock","27506")</f>
        <v>27506</v>
      </c>
      <c r="F4627" t="s">
        <v>760</v>
      </c>
      <c r="G4627" t="str">
        <f>HYPERLINK("http://www.ncbi.nlm.nih.gov/Taxonomy/Browser/wwwtax.cgi?mode=Info&amp;id=27506&amp;lvl=3&amp;lin=f&amp;keep=1&amp;srchmode=1&amp;unlock","Polistes exclamans")</f>
        <v>Polistes exclamans</v>
      </c>
      <c r="H4627" t="s">
        <v>808</v>
      </c>
      <c r="I4627" t="str">
        <f>HYPERLINK("http://www.ncbi.nlm.nih.gov/protein/KAI4492832.1","hypothetical protein M0804_002623")</f>
        <v>hypothetical protein M0804_002623</v>
      </c>
      <c r="J4627">
        <v>602.44000000000005</v>
      </c>
      <c r="K4627" t="s">
        <v>22</v>
      </c>
      <c r="L4627">
        <v>76</v>
      </c>
      <c r="M4627">
        <v>12.58</v>
      </c>
      <c r="N4627">
        <v>5.93</v>
      </c>
      <c r="O4627" t="s">
        <v>19</v>
      </c>
      <c r="P4627" t="s">
        <v>1320</v>
      </c>
      <c r="Q4627" t="s">
        <v>19</v>
      </c>
      <c r="R4627" t="str">
        <f>HYPERLINK("https://cfpub.epa.gov/ecotox/explore.cfm?ncbi=27506","Explore in ECOTOX")</f>
        <v>Explore in ECOTOX</v>
      </c>
    </row>
    <row r="4628" spans="1:18" x14ac:dyDescent="0.45">
      <c r="A4628" t="s">
        <v>1265</v>
      </c>
      <c r="B4628">
        <v>8</v>
      </c>
      <c r="C4628" t="str">
        <f>HYPERLINK("http://www.ncbi.nlm.nih.gov/protein/KAG0431611.1","KAG0431611.1")</f>
        <v>KAG0431611.1</v>
      </c>
      <c r="D4628">
        <v>28539</v>
      </c>
      <c r="E4628" t="str">
        <f>HYPERLINK("http://www.ncbi.nlm.nih.gov/Taxonomy/Browser/wwwtax.cgi?mode=Info&amp;id=34615&amp;lvl=3&amp;lin=f&amp;keep=1&amp;srchmode=1&amp;unlock","34615")</f>
        <v>34615</v>
      </c>
      <c r="F4628" t="s">
        <v>904</v>
      </c>
      <c r="G4628" t="str">
        <f>HYPERLINK("http://www.ncbi.nlm.nih.gov/Taxonomy/Browser/wwwtax.cgi?mode=Info&amp;id=34615&amp;lvl=3&amp;lin=f&amp;keep=1&amp;srchmode=1&amp;unlock","Ixodes persulcatus")</f>
        <v>Ixodes persulcatus</v>
      </c>
      <c r="H4628" t="s">
        <v>1271</v>
      </c>
      <c r="I4628" t="str">
        <f>HYPERLINK("http://www.ncbi.nlm.nih.gov/protein/KAG0431611.1","hypothetical protein HPB47_021623, partial")</f>
        <v>hypothetical protein HPB47_021623, partial</v>
      </c>
      <c r="J4628">
        <v>594.35</v>
      </c>
      <c r="K4628" t="s">
        <v>22</v>
      </c>
      <c r="L4628">
        <v>76</v>
      </c>
      <c r="M4628">
        <v>12.58</v>
      </c>
      <c r="N4628">
        <v>5.85</v>
      </c>
      <c r="O4628" t="s">
        <v>19</v>
      </c>
      <c r="P4628" t="s">
        <v>1320</v>
      </c>
      <c r="Q4628" t="s">
        <v>19</v>
      </c>
      <c r="R4628" t="str">
        <f>HYPERLINK("https://cfpub.epa.gov/ecotox/explore.cfm?ncbi=34615","Explore in ECOTOX")</f>
        <v>Explore in ECOTOX</v>
      </c>
    </row>
    <row r="4629" spans="1:18" x14ac:dyDescent="0.45">
      <c r="A4629" t="s">
        <v>1265</v>
      </c>
      <c r="B4629">
        <v>8</v>
      </c>
      <c r="C4629" t="str">
        <f>HYPERLINK("http://www.ncbi.nlm.nih.gov/protein/VDM78191.1","VDM78191.1")</f>
        <v>VDM78191.1</v>
      </c>
      <c r="D4629">
        <v>20957</v>
      </c>
      <c r="E4629" t="str">
        <f>HYPERLINK("http://www.ncbi.nlm.nih.gov/Taxonomy/Browser/wwwtax.cgi?mode=Info&amp;id=40348&amp;lvl=3&amp;lin=f&amp;keep=1&amp;srchmode=1&amp;unlock","40348")</f>
        <v>40348</v>
      </c>
      <c r="F4629" t="s">
        <v>1024</v>
      </c>
      <c r="G4629" t="str">
        <f>HYPERLINK("http://www.ncbi.nlm.nih.gov/Taxonomy/Browser/wwwtax.cgi?mode=Info&amp;id=40348&amp;lvl=3&amp;lin=f&amp;keep=1&amp;srchmode=1&amp;unlock","Strongylus vulgaris")</f>
        <v>Strongylus vulgaris</v>
      </c>
      <c r="H4629" t="s">
        <v>1213</v>
      </c>
      <c r="I4629" t="str">
        <f>HYPERLINK("http://www.ncbi.nlm.nih.gov/protein/VDM78191.1","unnamed protein product")</f>
        <v>unnamed protein product</v>
      </c>
      <c r="J4629">
        <v>578.55999999999995</v>
      </c>
      <c r="K4629" t="s">
        <v>22</v>
      </c>
      <c r="L4629">
        <v>76</v>
      </c>
      <c r="M4629">
        <v>12.58</v>
      </c>
      <c r="N4629">
        <v>5.69</v>
      </c>
      <c r="O4629" t="s">
        <v>19</v>
      </c>
      <c r="P4629" t="s">
        <v>1320</v>
      </c>
      <c r="Q4629" t="s">
        <v>19</v>
      </c>
      <c r="R4629" t="str">
        <f>HYPERLINK("https://cfpub.epa.gov/ecotox/explore.cfm?ncbi=40348","Explore in ECOTOX")</f>
        <v>Explore in ECOTOX</v>
      </c>
    </row>
    <row r="4630" spans="1:18" x14ac:dyDescent="0.45">
      <c r="A4630" t="s">
        <v>1265</v>
      </c>
      <c r="B4630">
        <v>8</v>
      </c>
      <c r="C4630" t="str">
        <f>HYPERLINK("http://www.ncbi.nlm.nih.gov/protein/AAD01425.1","AAD01425.1")</f>
        <v>AAD01425.1</v>
      </c>
      <c r="D4630">
        <v>441</v>
      </c>
      <c r="E4630" t="str">
        <f>HYPERLINK("http://www.ncbi.nlm.nih.gov/Taxonomy/Browser/wwwtax.cgi?mode=Info&amp;id=7102&amp;lvl=3&amp;lin=f&amp;keep=1&amp;srchmode=1&amp;unlock","7102")</f>
        <v>7102</v>
      </c>
      <c r="F4630" t="s">
        <v>760</v>
      </c>
      <c r="G4630" t="str">
        <f>HYPERLINK("http://www.ncbi.nlm.nih.gov/Taxonomy/Browser/wwwtax.cgi?mode=Info&amp;id=7102&amp;lvl=3&amp;lin=f&amp;keep=1&amp;srchmode=1&amp;unlock","Heliothis virescens")</f>
        <v>Heliothis virescens</v>
      </c>
      <c r="H4630" t="s">
        <v>1272</v>
      </c>
      <c r="I4630" t="str">
        <f>HYPERLINK("http://www.ncbi.nlm.nih.gov/protein/AAD01425.1","ryanodine receptor, partial")</f>
        <v>ryanodine receptor, partial</v>
      </c>
      <c r="J4630">
        <v>572.01</v>
      </c>
      <c r="K4630" t="s">
        <v>22</v>
      </c>
      <c r="L4630">
        <v>76</v>
      </c>
      <c r="M4630">
        <v>12.58</v>
      </c>
      <c r="N4630">
        <v>5.63</v>
      </c>
      <c r="O4630" t="s">
        <v>19</v>
      </c>
      <c r="P4630" t="s">
        <v>1320</v>
      </c>
      <c r="Q4630" t="s">
        <v>19</v>
      </c>
      <c r="R4630" t="str">
        <f>HYPERLINK("https://cfpub.epa.gov/ecotox/explore.cfm?ncbi=7102","Explore in ECOTOX")</f>
        <v>Explore in ECOTOX</v>
      </c>
    </row>
    <row r="4631" spans="1:18" x14ac:dyDescent="0.45">
      <c r="A4631" t="s">
        <v>1265</v>
      </c>
      <c r="B4631">
        <v>8</v>
      </c>
      <c r="C4631" t="str">
        <f>HYPERLINK("http://www.ncbi.nlm.nih.gov/protein/PSN30490.1","PSN30490.1")</f>
        <v>PSN30490.1</v>
      </c>
      <c r="D4631">
        <v>30233</v>
      </c>
      <c r="E4631" t="str">
        <f>HYPERLINK("http://www.ncbi.nlm.nih.gov/Taxonomy/Browser/wwwtax.cgi?mode=Info&amp;id=6973&amp;lvl=3&amp;lin=f&amp;keep=1&amp;srchmode=1&amp;unlock","6973")</f>
        <v>6973</v>
      </c>
      <c r="F4631" t="s">
        <v>760</v>
      </c>
      <c r="G4631" t="str">
        <f>HYPERLINK("http://www.ncbi.nlm.nih.gov/Taxonomy/Browser/wwwtax.cgi?mode=Info&amp;id=6973&amp;lvl=3&amp;lin=f&amp;keep=1&amp;srchmode=1&amp;unlock","Blattella germanica")</f>
        <v>Blattella germanica</v>
      </c>
      <c r="H4631" t="s">
        <v>1214</v>
      </c>
      <c r="I4631" t="str">
        <f>HYPERLINK("http://www.ncbi.nlm.nih.gov/protein/PSN30490.1","Ryanodine receptor")</f>
        <v>Ryanodine receptor</v>
      </c>
      <c r="J4631">
        <v>559.29999999999995</v>
      </c>
      <c r="K4631" t="s">
        <v>22</v>
      </c>
      <c r="L4631">
        <v>76</v>
      </c>
      <c r="M4631">
        <v>12.58</v>
      </c>
      <c r="N4631">
        <v>5.5</v>
      </c>
      <c r="O4631" t="s">
        <v>19</v>
      </c>
      <c r="P4631" t="s">
        <v>1320</v>
      </c>
      <c r="Q4631" t="s">
        <v>19</v>
      </c>
      <c r="R4631" t="str">
        <f>HYPERLINK("https://cfpub.epa.gov/ecotox/explore.cfm?ncbi=6973","Explore in ECOTOX")</f>
        <v>Explore in ECOTOX</v>
      </c>
    </row>
    <row r="4632" spans="1:18" x14ac:dyDescent="0.45">
      <c r="A4632" t="s">
        <v>1265</v>
      </c>
      <c r="B4632">
        <v>8</v>
      </c>
      <c r="C4632" t="str">
        <f>HYPERLINK("http://www.ncbi.nlm.nih.gov/protein/QCS27672.1","QCS27672.1")</f>
        <v>QCS27672.1</v>
      </c>
      <c r="D4632">
        <v>82</v>
      </c>
      <c r="E4632" t="str">
        <f>HYPERLINK("http://www.ncbi.nlm.nih.gov/Taxonomy/Browser/wwwtax.cgi?mode=Info&amp;id=208526&amp;lvl=3&amp;lin=f&amp;keep=1&amp;srchmode=1&amp;unlock","208526")</f>
        <v>208526</v>
      </c>
      <c r="F4632" t="s">
        <v>241</v>
      </c>
      <c r="G4632" t="str">
        <f>HYPERLINK("http://www.ncbi.nlm.nih.gov/Taxonomy/Browser/wwwtax.cgi?mode=Info&amp;id=208526&amp;lvl=3&amp;lin=f&amp;keep=1&amp;srchmode=1&amp;unlock","Gallus gallus gallus")</f>
        <v>Gallus gallus gallus</v>
      </c>
      <c r="H4632" t="s">
        <v>242</v>
      </c>
      <c r="I4632" t="str">
        <f>HYPERLINK("http://www.ncbi.nlm.nih.gov/protein/QCS27672.1","ryanodine receptor 2, partial")</f>
        <v>ryanodine receptor 2, partial</v>
      </c>
      <c r="J4632">
        <v>558.14</v>
      </c>
      <c r="K4632" t="s">
        <v>22</v>
      </c>
      <c r="L4632">
        <v>76</v>
      </c>
      <c r="M4632">
        <v>12.58</v>
      </c>
      <c r="N4632">
        <v>5.49</v>
      </c>
      <c r="O4632" t="s">
        <v>19</v>
      </c>
      <c r="P4632" t="s">
        <v>1320</v>
      </c>
      <c r="Q4632" t="s">
        <v>19</v>
      </c>
      <c r="R4632" t="str">
        <f>HYPERLINK("https://cfpub.epa.gov/ecotox/explore.cfm?ncbi=208526","Explore in ECOTOX")</f>
        <v>Explore in ECOTOX</v>
      </c>
    </row>
    <row r="4633" spans="1:18" x14ac:dyDescent="0.45">
      <c r="A4633" t="s">
        <v>1265</v>
      </c>
      <c r="B4633">
        <v>8</v>
      </c>
      <c r="C4633" t="str">
        <f>HYPERLINK("http://www.ncbi.nlm.nih.gov/protein/VDN28008.1","VDN28008.1")</f>
        <v>VDN28008.1</v>
      </c>
      <c r="D4633">
        <v>27183</v>
      </c>
      <c r="E4633" t="str">
        <f>HYPERLINK("http://www.ncbi.nlm.nih.gov/Taxonomy/Browser/wwwtax.cgi?mode=Info&amp;id=637853&amp;lvl=3&amp;lin=f&amp;keep=1&amp;srchmode=1&amp;unlock","637853")</f>
        <v>637853</v>
      </c>
      <c r="F4633" t="s">
        <v>1024</v>
      </c>
      <c r="G4633" t="str">
        <f>HYPERLINK("http://www.ncbi.nlm.nih.gov/Taxonomy/Browser/wwwtax.cgi?mode=Info&amp;id=637853&amp;lvl=3&amp;lin=f&amp;keep=1&amp;srchmode=1&amp;unlock","Gongylonema pulchrum")</f>
        <v>Gongylonema pulchrum</v>
      </c>
      <c r="H4633" t="s">
        <v>1027</v>
      </c>
      <c r="I4633" t="str">
        <f>HYPERLINK("http://www.ncbi.nlm.nih.gov/protein/VDN28008.1","unnamed protein product")</f>
        <v>unnamed protein product</v>
      </c>
      <c r="J4633">
        <v>535.41</v>
      </c>
      <c r="K4633" t="s">
        <v>22</v>
      </c>
      <c r="L4633">
        <v>76</v>
      </c>
      <c r="M4633">
        <v>12.58</v>
      </c>
      <c r="N4633">
        <v>5.27</v>
      </c>
      <c r="O4633" t="s">
        <v>19</v>
      </c>
      <c r="P4633" t="s">
        <v>1320</v>
      </c>
      <c r="Q4633" t="s">
        <v>19</v>
      </c>
      <c r="R4633" t="str">
        <f>HYPERLINK("https://cfpub.epa.gov/ecotox/explore.cfm?ncbi=637853","Explore in ECOTOX")</f>
        <v>Explore in ECOTOX</v>
      </c>
    </row>
    <row r="4634" spans="1:18" x14ac:dyDescent="0.45">
      <c r="A4634" t="s">
        <v>1265</v>
      </c>
      <c r="B4634">
        <v>8</v>
      </c>
      <c r="C4634" t="str">
        <f>HYPERLINK("http://www.ncbi.nlm.nih.gov/protein/VDP68243.1","VDP68243.1")</f>
        <v>VDP68243.1</v>
      </c>
      <c r="D4634">
        <v>18603</v>
      </c>
      <c r="E4634" t="str">
        <f>HYPERLINK("http://www.ncbi.nlm.nih.gov/Taxonomy/Browser/wwwtax.cgi?mode=Info&amp;id=27848&amp;lvl=3&amp;lin=f&amp;keep=1&amp;srchmode=1&amp;unlock","27848")</f>
        <v>27848</v>
      </c>
      <c r="F4634" t="s">
        <v>1140</v>
      </c>
      <c r="G4634" t="str">
        <f>HYPERLINK("http://www.ncbi.nlm.nih.gov/Taxonomy/Browser/wwwtax.cgi?mode=Info&amp;id=27848&amp;lvl=3&amp;lin=f&amp;keep=1&amp;srchmode=1&amp;unlock","Echinostoma caproni")</f>
        <v>Echinostoma caproni</v>
      </c>
      <c r="H4634" t="s">
        <v>1194</v>
      </c>
      <c r="I4634" t="str">
        <f>HYPERLINK("http://www.ncbi.nlm.nih.gov/protein/VDP68243.1","unnamed protein product")</f>
        <v>unnamed protein product</v>
      </c>
      <c r="J4634">
        <v>524.63</v>
      </c>
      <c r="K4634" t="s">
        <v>22</v>
      </c>
      <c r="L4634">
        <v>76</v>
      </c>
      <c r="M4634">
        <v>12.58</v>
      </c>
      <c r="N4634">
        <v>5.16</v>
      </c>
      <c r="O4634" t="s">
        <v>19</v>
      </c>
      <c r="P4634" t="s">
        <v>1320</v>
      </c>
      <c r="Q4634" t="s">
        <v>19</v>
      </c>
      <c r="R4634" t="str">
        <f>HYPERLINK("https://cfpub.epa.gov/ecotox/explore.cfm?ncbi=27848","Explore in ECOTOX")</f>
        <v>Explore in ECOTOX</v>
      </c>
    </row>
    <row r="4635" spans="1:18" x14ac:dyDescent="0.45">
      <c r="A4635" t="s">
        <v>1265</v>
      </c>
      <c r="B4635">
        <v>8</v>
      </c>
      <c r="C4635" t="str">
        <f>HYPERLINK("http://www.ncbi.nlm.nih.gov/protein/VDN10952.1","VDN10952.1")</f>
        <v>VDN10952.1</v>
      </c>
      <c r="D4635">
        <v>20058</v>
      </c>
      <c r="E4635" t="str">
        <f>HYPERLINK("http://www.ncbi.nlm.nih.gov/Taxonomy/Browser/wwwtax.cgi?mode=Info&amp;id=60516&amp;lvl=3&amp;lin=f&amp;keep=1&amp;srchmode=1&amp;unlock","60516")</f>
        <v>60516</v>
      </c>
      <c r="F4635" t="s">
        <v>1185</v>
      </c>
      <c r="G4635" t="str">
        <f>HYPERLINK("http://www.ncbi.nlm.nih.gov/Taxonomy/Browser/wwwtax.cgi?mode=Info&amp;id=60516&amp;lvl=3&amp;lin=f&amp;keep=1&amp;srchmode=1&amp;unlock","Dibothriocephalus latus")</f>
        <v>Dibothriocephalus latus</v>
      </c>
      <c r="H4635" t="s">
        <v>1273</v>
      </c>
      <c r="I4635" t="str">
        <f>HYPERLINK("http://www.ncbi.nlm.nih.gov/protein/VDN10952.1","unnamed protein product")</f>
        <v>unnamed protein product</v>
      </c>
      <c r="J4635">
        <v>523.09</v>
      </c>
      <c r="K4635" t="s">
        <v>22</v>
      </c>
      <c r="L4635">
        <v>76</v>
      </c>
      <c r="M4635">
        <v>12.58</v>
      </c>
      <c r="N4635">
        <v>5.15</v>
      </c>
      <c r="O4635" t="s">
        <v>22</v>
      </c>
      <c r="P4635" t="s">
        <v>1320</v>
      </c>
      <c r="Q4635" t="s">
        <v>19</v>
      </c>
      <c r="R4635" t="str">
        <f>HYPERLINK("https://cfpub.epa.gov/ecotox/explore.cfm?ncbi=60516","Explore in ECOTOX")</f>
        <v>Explore in ECOTOX</v>
      </c>
    </row>
    <row r="4636" spans="1:18" x14ac:dyDescent="0.45">
      <c r="A4636" t="s">
        <v>1265</v>
      </c>
      <c r="B4636">
        <v>8</v>
      </c>
      <c r="C4636" t="str">
        <f>HYPERLINK("http://www.ncbi.nlm.nih.gov/protein/ADV57109.1","ADV57109.1")</f>
        <v>ADV57109.1</v>
      </c>
      <c r="D4636">
        <v>441</v>
      </c>
      <c r="E4636" t="str">
        <f>HYPERLINK("http://www.ncbi.nlm.nih.gov/Taxonomy/Browser/wwwtax.cgi?mode=Info&amp;id=75356&amp;lvl=3&amp;lin=f&amp;keep=1&amp;srchmode=1&amp;unlock","75356")</f>
        <v>75356</v>
      </c>
      <c r="F4636" t="s">
        <v>17</v>
      </c>
      <c r="G4636" t="str">
        <f>HYPERLINK("http://www.ncbi.nlm.nih.gov/Taxonomy/Browser/wwwtax.cgi?mode=Info&amp;id=75356&amp;lvl=3&amp;lin=f&amp;keep=1&amp;srchmode=1&amp;unlock","Mylopharyngodon piceus")</f>
        <v>Mylopharyngodon piceus</v>
      </c>
      <c r="H4636" t="s">
        <v>1321</v>
      </c>
      <c r="I4636" t="str">
        <f>HYPERLINK("http://www.ncbi.nlm.nih.gov/protein/ADV57109.1","ryanodine receptor 3, partial")</f>
        <v>ryanodine receptor 3, partial</v>
      </c>
      <c r="J4636">
        <v>489.96</v>
      </c>
      <c r="K4636" t="s">
        <v>22</v>
      </c>
      <c r="L4636">
        <v>76</v>
      </c>
      <c r="M4636">
        <v>12.58</v>
      </c>
      <c r="N4636">
        <v>4.82</v>
      </c>
      <c r="O4636" t="s">
        <v>19</v>
      </c>
      <c r="P4636" t="s">
        <v>1320</v>
      </c>
      <c r="Q4636" t="s">
        <v>19</v>
      </c>
      <c r="R4636" t="str">
        <f>HYPERLINK("https://cfpub.epa.gov/ecotox/explore.cfm?ncbi=75356","Explore in ECOTOX")</f>
        <v>Explore in ECOTOX</v>
      </c>
    </row>
    <row r="4637" spans="1:18" x14ac:dyDescent="0.45">
      <c r="A4637" t="s">
        <v>1265</v>
      </c>
      <c r="B4637">
        <v>8</v>
      </c>
      <c r="C4637" t="str">
        <f>HYPERLINK("http://www.ncbi.nlm.nih.gov/protein/ADV57120.1","ADV57120.1")</f>
        <v>ADV57120.1</v>
      </c>
      <c r="D4637">
        <v>69</v>
      </c>
      <c r="E4637" t="str">
        <f>HYPERLINK("http://www.ncbi.nlm.nih.gov/Taxonomy/Browser/wwwtax.cgi?mode=Info&amp;id=238034&amp;lvl=3&amp;lin=f&amp;keep=1&amp;srchmode=1&amp;unlock","238034")</f>
        <v>238034</v>
      </c>
      <c r="F4637" t="s">
        <v>17</v>
      </c>
      <c r="G4637" t="str">
        <f>HYPERLINK("http://www.ncbi.nlm.nih.gov/Taxonomy/Browser/wwwtax.cgi?mode=Info&amp;id=238034&amp;lvl=3&amp;lin=f&amp;keep=1&amp;srchmode=1&amp;unlock","Luciobrama macrocephalus")</f>
        <v>Luciobrama macrocephalus</v>
      </c>
      <c r="H4637" t="s">
        <v>21</v>
      </c>
      <c r="I4637" t="str">
        <f>HYPERLINK("http://www.ncbi.nlm.nih.gov/protein/ADV57120.1","ryanodine receptor 3, partial")</f>
        <v>ryanodine receptor 3, partial</v>
      </c>
      <c r="J4637">
        <v>487.26</v>
      </c>
      <c r="K4637" t="s">
        <v>22</v>
      </c>
      <c r="L4637">
        <v>76</v>
      </c>
      <c r="M4637">
        <v>12.58</v>
      </c>
      <c r="N4637">
        <v>4.8</v>
      </c>
      <c r="O4637" t="s">
        <v>19</v>
      </c>
      <c r="P4637" t="s">
        <v>1320</v>
      </c>
      <c r="Q4637" t="s">
        <v>19</v>
      </c>
      <c r="R4637" t="str">
        <f>HYPERLINK("https://cfpub.epa.gov/ecotox/explore.cfm?ncbi=238034","Explore in ECOTOX")</f>
        <v>Explore in ECOTOX</v>
      </c>
    </row>
    <row r="4638" spans="1:18" x14ac:dyDescent="0.45">
      <c r="A4638" t="s">
        <v>1265</v>
      </c>
      <c r="B4638">
        <v>8</v>
      </c>
      <c r="C4638" t="str">
        <f>HYPERLINK("http://www.ncbi.nlm.nih.gov/protein/ADV57118.1","ADV57118.1")</f>
        <v>ADV57118.1</v>
      </c>
      <c r="D4638">
        <v>300</v>
      </c>
      <c r="E4638" t="str">
        <f>HYPERLINK("http://www.ncbi.nlm.nih.gov/Taxonomy/Browser/wwwtax.cgi?mode=Info&amp;id=141458&amp;lvl=3&amp;lin=f&amp;keep=1&amp;srchmode=1&amp;unlock","141458")</f>
        <v>141458</v>
      </c>
      <c r="F4638" t="s">
        <v>17</v>
      </c>
      <c r="G4638" t="str">
        <f>HYPERLINK("http://www.ncbi.nlm.nih.gov/Taxonomy/Browser/wwwtax.cgi?mode=Info&amp;id=141458&amp;lvl=3&amp;lin=f&amp;keep=1&amp;srchmode=1&amp;unlock","Opsariichthys bidens")</f>
        <v>Opsariichthys bidens</v>
      </c>
      <c r="H4638" t="s">
        <v>21</v>
      </c>
      <c r="I4638" t="str">
        <f>HYPERLINK("http://www.ncbi.nlm.nih.gov/protein/ADV57118.1","ryanodine receptor 3, partial")</f>
        <v>ryanodine receptor 3, partial</v>
      </c>
      <c r="J4638">
        <v>483.41</v>
      </c>
      <c r="K4638" t="s">
        <v>22</v>
      </c>
      <c r="L4638">
        <v>76</v>
      </c>
      <c r="M4638">
        <v>12.58</v>
      </c>
      <c r="N4638">
        <v>4.76</v>
      </c>
      <c r="O4638" t="s">
        <v>19</v>
      </c>
      <c r="P4638" t="s">
        <v>1320</v>
      </c>
      <c r="Q4638" t="s">
        <v>19</v>
      </c>
      <c r="R4638" t="str">
        <f>HYPERLINK("https://cfpub.epa.gov/ecotox/explore.cfm?ncbi=141458","Explore in ECOTOX")</f>
        <v>Explore in ECOTOX</v>
      </c>
    </row>
    <row r="4639" spans="1:18" x14ac:dyDescent="0.45">
      <c r="A4639" t="s">
        <v>1265</v>
      </c>
      <c r="B4639">
        <v>8</v>
      </c>
      <c r="C4639" t="str">
        <f>HYPERLINK("http://www.ncbi.nlm.nih.gov/protein/ADV57119.1","ADV57119.1")</f>
        <v>ADV57119.1</v>
      </c>
      <c r="D4639">
        <v>157</v>
      </c>
      <c r="E4639" t="str">
        <f>HYPERLINK("http://www.ncbi.nlm.nih.gov/Taxonomy/Browser/wwwtax.cgi?mode=Info&amp;id=143615&amp;lvl=3&amp;lin=f&amp;keep=1&amp;srchmode=1&amp;unlock","143615")</f>
        <v>143615</v>
      </c>
      <c r="F4639" t="s">
        <v>17</v>
      </c>
      <c r="G4639" t="str">
        <f>HYPERLINK("http://www.ncbi.nlm.nih.gov/Taxonomy/Browser/wwwtax.cgi?mode=Info&amp;id=143615&amp;lvl=3&amp;lin=f&amp;keep=1&amp;srchmode=1&amp;unlock","Ochetobius elongatus")</f>
        <v>Ochetobius elongatus</v>
      </c>
      <c r="H4639" t="s">
        <v>21</v>
      </c>
      <c r="I4639" t="str">
        <f>HYPERLINK("http://www.ncbi.nlm.nih.gov/protein/ADV57119.1","ryanodine receptor 3, partial")</f>
        <v>ryanodine receptor 3, partial</v>
      </c>
      <c r="J4639">
        <v>482.26</v>
      </c>
      <c r="K4639" t="s">
        <v>22</v>
      </c>
      <c r="L4639">
        <v>76</v>
      </c>
      <c r="M4639">
        <v>12.58</v>
      </c>
      <c r="N4639">
        <v>4.75</v>
      </c>
      <c r="O4639" t="s">
        <v>19</v>
      </c>
      <c r="P4639" t="s">
        <v>1320</v>
      </c>
      <c r="Q4639" t="s">
        <v>19</v>
      </c>
      <c r="R4639" t="str">
        <f>HYPERLINK("https://cfpub.epa.gov/ecotox/explore.cfm?ncbi=143615","Explore in ECOTOX")</f>
        <v>Explore in ECOTOX</v>
      </c>
    </row>
    <row r="4640" spans="1:18" x14ac:dyDescent="0.45">
      <c r="A4640" t="s">
        <v>1265</v>
      </c>
      <c r="B4640">
        <v>8</v>
      </c>
      <c r="C4640" t="str">
        <f>HYPERLINK("http://www.ncbi.nlm.nih.gov/protein/ADV57115.1","ADV57115.1")</f>
        <v>ADV57115.1</v>
      </c>
      <c r="D4640">
        <v>205</v>
      </c>
      <c r="E4640" t="str">
        <f>HYPERLINK("http://www.ncbi.nlm.nih.gov/Taxonomy/Browser/wwwtax.cgi?mode=Info&amp;id=238031&amp;lvl=3&amp;lin=f&amp;keep=1&amp;srchmode=1&amp;unlock","238031")</f>
        <v>238031</v>
      </c>
      <c r="F4640" t="s">
        <v>17</v>
      </c>
      <c r="G4640" t="str">
        <f>HYPERLINK("http://www.ncbi.nlm.nih.gov/Taxonomy/Browser/wwwtax.cgi?mode=Info&amp;id=238031&amp;lvl=3&amp;lin=f&amp;keep=1&amp;srchmode=1&amp;unlock","Elopichthys bambusa")</f>
        <v>Elopichthys bambusa</v>
      </c>
      <c r="H4640" t="s">
        <v>1322</v>
      </c>
      <c r="I4640" t="str">
        <f>HYPERLINK("http://www.ncbi.nlm.nih.gov/protein/ADV57115.1","ryanodine receptor 3, partial")</f>
        <v>ryanodine receptor 3, partial</v>
      </c>
      <c r="J4640">
        <v>481.49</v>
      </c>
      <c r="K4640" t="s">
        <v>22</v>
      </c>
      <c r="L4640">
        <v>76</v>
      </c>
      <c r="M4640">
        <v>12.58</v>
      </c>
      <c r="N4640">
        <v>4.74</v>
      </c>
      <c r="O4640" t="s">
        <v>19</v>
      </c>
      <c r="P4640" t="s">
        <v>1320</v>
      </c>
      <c r="Q4640" t="s">
        <v>19</v>
      </c>
      <c r="R4640" t="str">
        <f>HYPERLINK("https://cfpub.epa.gov/ecotox/explore.cfm?ncbi=238031","Explore in ECOTOX")</f>
        <v>Explore in ECOTOX</v>
      </c>
    </row>
    <row r="4641" spans="1:18" x14ac:dyDescent="0.45">
      <c r="A4641" t="s">
        <v>1265</v>
      </c>
      <c r="B4641">
        <v>8</v>
      </c>
      <c r="C4641" t="str">
        <f>HYPERLINK("http://www.ncbi.nlm.nih.gov/protein/ADV57111.1","ADV57111.1")</f>
        <v>ADV57111.1</v>
      </c>
      <c r="D4641">
        <v>721</v>
      </c>
      <c r="E4641" t="str">
        <f>HYPERLINK("http://www.ncbi.nlm.nih.gov/Taxonomy/Browser/wwwtax.cgi?mode=Info&amp;id=13095&amp;lvl=3&amp;lin=f&amp;keep=1&amp;srchmode=1&amp;unlock","13095")</f>
        <v>13095</v>
      </c>
      <c r="F4641" t="s">
        <v>17</v>
      </c>
      <c r="G4641" t="str">
        <f>HYPERLINK("http://www.ncbi.nlm.nih.gov/Taxonomy/Browser/wwwtax.cgi?mode=Info&amp;id=13095&amp;lvl=3&amp;lin=f&amp;keep=1&amp;srchmode=1&amp;unlock","Hypophthalmichthys molitrix")</f>
        <v>Hypophthalmichthys molitrix</v>
      </c>
      <c r="H4641" t="s">
        <v>1323</v>
      </c>
      <c r="I4641" t="str">
        <f>HYPERLINK("http://www.ncbi.nlm.nih.gov/protein/ADV57111.1","ryanodine receptor 3, partial")</f>
        <v>ryanodine receptor 3, partial</v>
      </c>
      <c r="J4641">
        <v>465.69</v>
      </c>
      <c r="K4641" t="s">
        <v>22</v>
      </c>
      <c r="L4641">
        <v>76</v>
      </c>
      <c r="M4641">
        <v>12.58</v>
      </c>
      <c r="N4641">
        <v>4.58</v>
      </c>
      <c r="O4641" t="s">
        <v>19</v>
      </c>
      <c r="P4641" t="s">
        <v>1320</v>
      </c>
      <c r="Q4641" t="s">
        <v>19</v>
      </c>
      <c r="R4641" t="str">
        <f>HYPERLINK("https://cfpub.epa.gov/ecotox/explore.cfm?ncbi=13095","Explore in ECOTOX")</f>
        <v>Explore in ECOTOX</v>
      </c>
    </row>
    <row r="4642" spans="1:18" x14ac:dyDescent="0.45">
      <c r="A4642" t="s">
        <v>1265</v>
      </c>
      <c r="B4642">
        <v>8</v>
      </c>
      <c r="C4642" t="str">
        <f>HYPERLINK("http://www.ncbi.nlm.nih.gov/protein/KAJ8867413.1","KAJ8867413.1")</f>
        <v>KAJ8867413.1</v>
      </c>
      <c r="D4642">
        <v>33112</v>
      </c>
      <c r="E4642" t="str">
        <f>HYPERLINK("http://www.ncbi.nlm.nih.gov/Taxonomy/Browser/wwwtax.cgi?mode=Info&amp;id=614101&amp;lvl=3&amp;lin=f&amp;keep=1&amp;srchmode=1&amp;unlock","614101")</f>
        <v>614101</v>
      </c>
      <c r="F4642" t="s">
        <v>760</v>
      </c>
      <c r="G4642" t="str">
        <f>HYPERLINK("http://www.ncbi.nlm.nih.gov/Taxonomy/Browser/wwwtax.cgi?mode=Info&amp;id=614101&amp;lvl=3&amp;lin=f&amp;keep=1&amp;srchmode=1&amp;unlock","Dryococelus australis")</f>
        <v>Dryococelus australis</v>
      </c>
      <c r="H4642" t="s">
        <v>1039</v>
      </c>
      <c r="I4642" t="str">
        <f>HYPERLINK("http://www.ncbi.nlm.nih.gov/protein/KAJ8867413.1","hypothetical protein PR048_031214")</f>
        <v>hypothetical protein PR048_031214</v>
      </c>
      <c r="J4642">
        <v>464.54</v>
      </c>
      <c r="K4642" t="s">
        <v>22</v>
      </c>
      <c r="L4642">
        <v>76</v>
      </c>
      <c r="M4642">
        <v>12.58</v>
      </c>
      <c r="N4642">
        <v>4.57</v>
      </c>
      <c r="O4642" t="s">
        <v>19</v>
      </c>
      <c r="P4642" t="s">
        <v>1320</v>
      </c>
      <c r="Q4642" t="s">
        <v>19</v>
      </c>
      <c r="R4642" t="str">
        <f>HYPERLINK("https://cfpub.epa.gov/ecotox/explore.cfm?ncbi=614101","Explore in ECOTOX")</f>
        <v>Explore in ECOTOX</v>
      </c>
    </row>
    <row r="4643" spans="1:18" x14ac:dyDescent="0.45">
      <c r="A4643" t="s">
        <v>1265</v>
      </c>
      <c r="B4643">
        <v>8</v>
      </c>
      <c r="C4643" t="str">
        <f>HYPERLINK("http://www.ncbi.nlm.nih.gov/protein/ADV57113.1","ADV57113.1")</f>
        <v>ADV57113.1</v>
      </c>
      <c r="D4643">
        <v>233</v>
      </c>
      <c r="E4643" t="str">
        <f>HYPERLINK("http://www.ncbi.nlm.nih.gov/Taxonomy/Browser/wwwtax.cgi?mode=Info&amp;id=75372&amp;lvl=3&amp;lin=f&amp;keep=1&amp;srchmode=1&amp;unlock","75372")</f>
        <v>75372</v>
      </c>
      <c r="F4643" t="s">
        <v>17</v>
      </c>
      <c r="G4643" t="str">
        <f>HYPERLINK("http://www.ncbi.nlm.nih.gov/Taxonomy/Browser/wwwtax.cgi?mode=Info&amp;id=75372&amp;lvl=3&amp;lin=f&amp;keep=1&amp;srchmode=1&amp;unlock","Squaliobarbus curriculus")</f>
        <v>Squaliobarbus curriculus</v>
      </c>
      <c r="H4643" t="s">
        <v>1324</v>
      </c>
      <c r="I4643" t="str">
        <f>HYPERLINK("http://www.ncbi.nlm.nih.gov/protein/ADV57113.1","ryanodine receptor 3, partial")</f>
        <v>ryanodine receptor 3, partial</v>
      </c>
      <c r="J4643">
        <v>461.84</v>
      </c>
      <c r="K4643" t="s">
        <v>22</v>
      </c>
      <c r="L4643">
        <v>76</v>
      </c>
      <c r="M4643">
        <v>12.58</v>
      </c>
      <c r="N4643">
        <v>4.55</v>
      </c>
      <c r="O4643" t="s">
        <v>19</v>
      </c>
      <c r="P4643" t="s">
        <v>1320</v>
      </c>
      <c r="Q4643" t="s">
        <v>19</v>
      </c>
      <c r="R4643" t="str">
        <f>HYPERLINK("https://cfpub.epa.gov/ecotox/explore.cfm?ncbi=75372","Explore in ECOTOX")</f>
        <v>Explore in ECOTOX</v>
      </c>
    </row>
    <row r="4644" spans="1:18" x14ac:dyDescent="0.45">
      <c r="A4644" t="s">
        <v>1265</v>
      </c>
      <c r="B4644">
        <v>8</v>
      </c>
      <c r="C4644" t="str">
        <f>HYPERLINK("http://www.ncbi.nlm.nih.gov/protein/QPK39223.1","QPK39223.1")</f>
        <v>QPK39223.1</v>
      </c>
      <c r="D4644">
        <v>133</v>
      </c>
      <c r="E4644" t="str">
        <f>HYPERLINK("http://www.ncbi.nlm.nih.gov/Taxonomy/Browser/wwwtax.cgi?mode=Info&amp;id=55553&amp;lvl=3&amp;lin=f&amp;keep=1&amp;srchmode=1&amp;unlock","55553")</f>
        <v>55553</v>
      </c>
      <c r="F4644" t="s">
        <v>17</v>
      </c>
      <c r="G4644" t="str">
        <f>HYPERLINK("http://www.ncbi.nlm.nih.gov/Taxonomy/Browser/wwwtax.cgi?mode=Info&amp;id=55553&amp;lvl=3&amp;lin=f&amp;keep=1&amp;srchmode=1&amp;unlock","Tridentiger bifasciatus")</f>
        <v>Tridentiger bifasciatus</v>
      </c>
      <c r="H4644" t="s">
        <v>1325</v>
      </c>
      <c r="I4644" t="str">
        <f>HYPERLINK("http://www.ncbi.nlm.nih.gov/protein/QPK39223.1","Ryanodine receptor 3, partial")</f>
        <v>Ryanodine receptor 3, partial</v>
      </c>
      <c r="J4644">
        <v>454.91</v>
      </c>
      <c r="K4644" t="s">
        <v>22</v>
      </c>
      <c r="L4644">
        <v>76</v>
      </c>
      <c r="M4644">
        <v>12.58</v>
      </c>
      <c r="N4644">
        <v>4.4800000000000004</v>
      </c>
      <c r="O4644" t="s">
        <v>19</v>
      </c>
      <c r="P4644" t="s">
        <v>1320</v>
      </c>
      <c r="Q4644" t="s">
        <v>19</v>
      </c>
      <c r="R4644" t="str">
        <f>HYPERLINK("https://cfpub.epa.gov/ecotox/explore.cfm?ncbi=55553","Explore in ECOTOX")</f>
        <v>Explore in ECOTOX</v>
      </c>
    </row>
    <row r="4645" spans="1:18" x14ac:dyDescent="0.45">
      <c r="A4645" t="s">
        <v>1265</v>
      </c>
      <c r="B4645">
        <v>8</v>
      </c>
      <c r="C4645" t="str">
        <f>HYPERLINK("http://www.ncbi.nlm.nih.gov/protein/BAL68313.1","BAL68313.1")</f>
        <v>BAL68313.1</v>
      </c>
      <c r="D4645">
        <v>87</v>
      </c>
      <c r="E4645" t="str">
        <f>HYPERLINK("http://www.ncbi.nlm.nih.gov/Taxonomy/Browser/wwwtax.cgi?mode=Info&amp;id=80787&amp;lvl=3&amp;lin=f&amp;keep=1&amp;srchmode=1&amp;unlock","80787")</f>
        <v>80787</v>
      </c>
      <c r="F4645" t="s">
        <v>17</v>
      </c>
      <c r="G4645" t="str">
        <f>HYPERLINK("http://www.ncbi.nlm.nih.gov/Taxonomy/Browser/wwwtax.cgi?mode=Info&amp;id=80787&amp;lvl=3&amp;lin=f&amp;keep=1&amp;srchmode=1&amp;unlock","Acheilognathus tabira tabira")</f>
        <v>Acheilognathus tabira tabira</v>
      </c>
      <c r="H4645" t="s">
        <v>21</v>
      </c>
      <c r="I4645" t="str">
        <f>HYPERLINK("http://www.ncbi.nlm.nih.gov/protein/BAL68313.1","ryanodine receptor 3-like protein, partial")</f>
        <v>ryanodine receptor 3-like protein, partial</v>
      </c>
      <c r="J4645">
        <v>451.82</v>
      </c>
      <c r="K4645" t="s">
        <v>22</v>
      </c>
      <c r="L4645">
        <v>76</v>
      </c>
      <c r="M4645">
        <v>12.58</v>
      </c>
      <c r="N4645">
        <v>4.45</v>
      </c>
      <c r="O4645" t="s">
        <v>19</v>
      </c>
      <c r="P4645" t="s">
        <v>1320</v>
      </c>
      <c r="Q4645" t="s">
        <v>19</v>
      </c>
      <c r="R4645" t="str">
        <f>HYPERLINK("https://cfpub.epa.gov/ecotox/explore.cfm?ncbi=80787","Explore in ECOTOX")</f>
        <v>Explore in ECOTOX</v>
      </c>
    </row>
    <row r="4646" spans="1:18" x14ac:dyDescent="0.45">
      <c r="A4646" t="s">
        <v>1265</v>
      </c>
      <c r="B4646">
        <v>8</v>
      </c>
      <c r="C4646" t="str">
        <f>HYPERLINK("http://www.ncbi.nlm.nih.gov/protein/BAL68310.1","BAL68310.1")</f>
        <v>BAL68310.1</v>
      </c>
      <c r="D4646">
        <v>149</v>
      </c>
      <c r="E4646" t="str">
        <f>HYPERLINK("http://www.ncbi.nlm.nih.gov/Taxonomy/Browser/wwwtax.cgi?mode=Info&amp;id=80784&amp;lvl=3&amp;lin=f&amp;keep=1&amp;srchmode=1&amp;unlock","80784")</f>
        <v>80784</v>
      </c>
      <c r="F4646" t="s">
        <v>17</v>
      </c>
      <c r="G4646" t="str">
        <f>HYPERLINK("http://www.ncbi.nlm.nih.gov/Taxonomy/Browser/wwwtax.cgi?mode=Info&amp;id=80784&amp;lvl=3&amp;lin=f&amp;keep=1&amp;srchmode=1&amp;unlock","Acheilognathus rhombeus")</f>
        <v>Acheilognathus rhombeus</v>
      </c>
      <c r="H4646" t="s">
        <v>21</v>
      </c>
      <c r="I4646" t="str">
        <f>HYPERLINK("http://www.ncbi.nlm.nih.gov/protein/BAL68310.1","ryanodine receptor 3-like protein, partial")</f>
        <v>ryanodine receptor 3-like protein, partial</v>
      </c>
      <c r="J4646">
        <v>451.82</v>
      </c>
      <c r="K4646" t="s">
        <v>22</v>
      </c>
      <c r="L4646">
        <v>76</v>
      </c>
      <c r="M4646">
        <v>12.58</v>
      </c>
      <c r="N4646">
        <v>4.45</v>
      </c>
      <c r="O4646" t="s">
        <v>19</v>
      </c>
      <c r="P4646" t="s">
        <v>1320</v>
      </c>
      <c r="Q4646" t="s">
        <v>19</v>
      </c>
      <c r="R4646" t="str">
        <f>HYPERLINK("https://cfpub.epa.gov/ecotox/explore.cfm?ncbi=80784","Explore in ECOTOX")</f>
        <v>Explore in ECOTOX</v>
      </c>
    </row>
    <row r="4647" spans="1:18" x14ac:dyDescent="0.45">
      <c r="A4647" t="s">
        <v>1265</v>
      </c>
      <c r="B4647">
        <v>8</v>
      </c>
      <c r="C4647" t="str">
        <f>HYPERLINK("http://www.ncbi.nlm.nih.gov/protein/BAL68318.1","BAL68318.1")</f>
        <v>BAL68318.1</v>
      </c>
      <c r="D4647">
        <v>38</v>
      </c>
      <c r="E4647" t="str">
        <f>HYPERLINK("http://www.ncbi.nlm.nih.gov/Taxonomy/Browser/wwwtax.cgi?mode=Info&amp;id=481690&amp;lvl=3&amp;lin=f&amp;keep=1&amp;srchmode=1&amp;unlock","481690")</f>
        <v>481690</v>
      </c>
      <c r="F4647" t="s">
        <v>17</v>
      </c>
      <c r="G4647" t="str">
        <f>HYPERLINK("http://www.ncbi.nlm.nih.gov/Taxonomy/Browser/wwwtax.cgi?mode=Info&amp;id=481690&amp;lvl=3&amp;lin=f&amp;keep=1&amp;srchmode=1&amp;unlock","Acheilognathus tabira erythropterus")</f>
        <v>Acheilognathus tabira erythropterus</v>
      </c>
      <c r="H4647" t="s">
        <v>21</v>
      </c>
      <c r="I4647" t="str">
        <f>HYPERLINK("http://www.ncbi.nlm.nih.gov/protein/BAL68318.1","ryanodine receptor 3-like protein, partial")</f>
        <v>ryanodine receptor 3-like protein, partial</v>
      </c>
      <c r="J4647">
        <v>451.82</v>
      </c>
      <c r="K4647" t="s">
        <v>22</v>
      </c>
      <c r="L4647">
        <v>76</v>
      </c>
      <c r="M4647">
        <v>12.58</v>
      </c>
      <c r="N4647">
        <v>4.45</v>
      </c>
      <c r="O4647" t="s">
        <v>19</v>
      </c>
      <c r="P4647" t="s">
        <v>1320</v>
      </c>
      <c r="Q4647" t="s">
        <v>19</v>
      </c>
      <c r="R4647" t="str">
        <f>HYPERLINK("https://cfpub.epa.gov/ecotox/explore.cfm?ncbi=481690","Explore in ECOTOX")</f>
        <v>Explore in ECOTOX</v>
      </c>
    </row>
    <row r="4648" spans="1:18" x14ac:dyDescent="0.45">
      <c r="A4648" t="s">
        <v>1265</v>
      </c>
      <c r="B4648">
        <v>8</v>
      </c>
      <c r="C4648" t="str">
        <f>HYPERLINK("http://www.ncbi.nlm.nih.gov/protein/BAL68312.1","BAL68312.1")</f>
        <v>BAL68312.1</v>
      </c>
      <c r="D4648">
        <v>45</v>
      </c>
      <c r="E4648" t="str">
        <f>HYPERLINK("http://www.ncbi.nlm.nih.gov/Taxonomy/Browser/wwwtax.cgi?mode=Info&amp;id=80789&amp;lvl=3&amp;lin=f&amp;keep=1&amp;srchmode=1&amp;unlock","80789")</f>
        <v>80789</v>
      </c>
      <c r="F4648" t="s">
        <v>17</v>
      </c>
      <c r="G4648" t="str">
        <f>HYPERLINK("http://www.ncbi.nlm.nih.gov/Taxonomy/Browser/wwwtax.cgi?mode=Info&amp;id=80789&amp;lvl=3&amp;lin=f&amp;keep=1&amp;srchmode=1&amp;unlock","Acheilognathus typus")</f>
        <v>Acheilognathus typus</v>
      </c>
      <c r="H4648" t="s">
        <v>1326</v>
      </c>
      <c r="I4648" t="str">
        <f>HYPERLINK("http://www.ncbi.nlm.nih.gov/protein/BAL68312.1","ryanodine receptor 3-like protein, partial")</f>
        <v>ryanodine receptor 3-like protein, partial</v>
      </c>
      <c r="J4648">
        <v>451.82</v>
      </c>
      <c r="K4648" t="s">
        <v>22</v>
      </c>
      <c r="L4648">
        <v>76</v>
      </c>
      <c r="M4648">
        <v>12.58</v>
      </c>
      <c r="N4648">
        <v>4.45</v>
      </c>
      <c r="O4648" t="s">
        <v>19</v>
      </c>
      <c r="P4648" t="s">
        <v>1320</v>
      </c>
      <c r="Q4648" t="s">
        <v>19</v>
      </c>
      <c r="R4648" t="str">
        <f>HYPERLINK("https://cfpub.epa.gov/ecotox/explore.cfm?ncbi=80789","Explore in ECOTOX")</f>
        <v>Explore in ECOTOX</v>
      </c>
    </row>
    <row r="4649" spans="1:18" x14ac:dyDescent="0.45">
      <c r="A4649" t="s">
        <v>1265</v>
      </c>
      <c r="B4649">
        <v>8</v>
      </c>
      <c r="C4649" t="str">
        <f>HYPERLINK("http://www.ncbi.nlm.nih.gov/protein/BAL68317.1","BAL68317.1")</f>
        <v>BAL68317.1</v>
      </c>
      <c r="D4649">
        <v>48</v>
      </c>
      <c r="E4649" t="str">
        <f>HYPERLINK("http://www.ncbi.nlm.nih.gov/Taxonomy/Browser/wwwtax.cgi?mode=Info&amp;id=481689&amp;lvl=3&amp;lin=f&amp;keep=1&amp;srchmode=1&amp;unlock","481689")</f>
        <v>481689</v>
      </c>
      <c r="F4649" t="s">
        <v>17</v>
      </c>
      <c r="G4649" t="str">
        <f>HYPERLINK("http://www.ncbi.nlm.nih.gov/Taxonomy/Browser/wwwtax.cgi?mode=Info&amp;id=481689&amp;lvl=3&amp;lin=f&amp;keep=1&amp;srchmode=1&amp;unlock","Acheilognathus tabira jordani")</f>
        <v>Acheilognathus tabira jordani</v>
      </c>
      <c r="H4649" t="s">
        <v>21</v>
      </c>
      <c r="I4649" t="str">
        <f>HYPERLINK("http://www.ncbi.nlm.nih.gov/protein/BAL68317.1","ryanodine receptor 3-like protein, partial")</f>
        <v>ryanodine receptor 3-like protein, partial</v>
      </c>
      <c r="J4649">
        <v>451.82</v>
      </c>
      <c r="K4649" t="s">
        <v>22</v>
      </c>
      <c r="L4649">
        <v>76</v>
      </c>
      <c r="M4649">
        <v>12.58</v>
      </c>
      <c r="N4649">
        <v>4.45</v>
      </c>
      <c r="O4649" t="s">
        <v>19</v>
      </c>
      <c r="P4649" t="s">
        <v>1320</v>
      </c>
      <c r="Q4649" t="s">
        <v>19</v>
      </c>
      <c r="R4649" t="str">
        <f>HYPERLINK("https://cfpub.epa.gov/ecotox/explore.cfm?ncbi=481689","Explore in ECOTOX")</f>
        <v>Explore in ECOTOX</v>
      </c>
    </row>
    <row r="4650" spans="1:18" x14ac:dyDescent="0.45">
      <c r="A4650" t="s">
        <v>1265</v>
      </c>
      <c r="B4650">
        <v>8</v>
      </c>
      <c r="C4650" t="str">
        <f>HYPERLINK("http://www.ncbi.nlm.nih.gov/protein/BAL68321.1","BAL68321.1")</f>
        <v>BAL68321.1</v>
      </c>
      <c r="D4650">
        <v>31</v>
      </c>
      <c r="E4650" t="str">
        <f>HYPERLINK("http://www.ncbi.nlm.nih.gov/Taxonomy/Browser/wwwtax.cgi?mode=Info&amp;id=481691&amp;lvl=3&amp;lin=f&amp;keep=1&amp;srchmode=1&amp;unlock","481691")</f>
        <v>481691</v>
      </c>
      <c r="F4650" t="s">
        <v>17</v>
      </c>
      <c r="G4650" t="str">
        <f>HYPERLINK("http://www.ncbi.nlm.nih.gov/Taxonomy/Browser/wwwtax.cgi?mode=Info&amp;id=481691&amp;lvl=3&amp;lin=f&amp;keep=1&amp;srchmode=1&amp;unlock","Acheilognathus tabira nakamurae")</f>
        <v>Acheilognathus tabira nakamurae</v>
      </c>
      <c r="H4650" t="s">
        <v>21</v>
      </c>
      <c r="I4650" t="str">
        <f>HYPERLINK("http://www.ncbi.nlm.nih.gov/protein/BAL68321.1","ryanodine receptor 3-like protein, partial")</f>
        <v>ryanodine receptor 3-like protein, partial</v>
      </c>
      <c r="J4650">
        <v>451.82</v>
      </c>
      <c r="K4650" t="s">
        <v>22</v>
      </c>
      <c r="L4650">
        <v>76</v>
      </c>
      <c r="M4650">
        <v>12.58</v>
      </c>
      <c r="N4650">
        <v>4.45</v>
      </c>
      <c r="O4650" t="s">
        <v>19</v>
      </c>
      <c r="P4650" t="s">
        <v>1320</v>
      </c>
      <c r="Q4650" t="s">
        <v>19</v>
      </c>
      <c r="R4650" t="str">
        <f>HYPERLINK("https://cfpub.epa.gov/ecotox/explore.cfm?ncbi=481691","Explore in ECOTOX")</f>
        <v>Explore in ECOTOX</v>
      </c>
    </row>
    <row r="4651" spans="1:18" x14ac:dyDescent="0.45">
      <c r="A4651" t="s">
        <v>1265</v>
      </c>
      <c r="B4651">
        <v>8</v>
      </c>
      <c r="C4651" t="str">
        <f>HYPERLINK("http://www.ncbi.nlm.nih.gov/protein/BAL68314.1","BAL68314.1")</f>
        <v>BAL68314.1</v>
      </c>
      <c r="D4651">
        <v>46</v>
      </c>
      <c r="E4651" t="str">
        <f>HYPERLINK("http://www.ncbi.nlm.nih.gov/Taxonomy/Browser/wwwtax.cgi?mode=Info&amp;id=1000278&amp;lvl=3&amp;lin=f&amp;keep=1&amp;srchmode=1&amp;unlock","1000278")</f>
        <v>1000278</v>
      </c>
      <c r="F4651" t="s">
        <v>17</v>
      </c>
      <c r="G4651" t="str">
        <f>HYPERLINK("http://www.ncbi.nlm.nih.gov/Taxonomy/Browser/wwwtax.cgi?mode=Info&amp;id=1000278&amp;lvl=3&amp;lin=f&amp;keep=1&amp;srchmode=1&amp;unlock","Acheilognathus tabira tohokuensis")</f>
        <v>Acheilognathus tabira tohokuensis</v>
      </c>
      <c r="H4651" t="s">
        <v>21</v>
      </c>
      <c r="I4651" t="str">
        <f>HYPERLINK("http://www.ncbi.nlm.nih.gov/protein/BAL68314.1","ryanodine receptor 3-like protein, partial")</f>
        <v>ryanodine receptor 3-like protein, partial</v>
      </c>
      <c r="J4651">
        <v>451.82</v>
      </c>
      <c r="K4651" t="s">
        <v>22</v>
      </c>
      <c r="L4651">
        <v>76</v>
      </c>
      <c r="M4651">
        <v>12.58</v>
      </c>
      <c r="N4651">
        <v>4.45</v>
      </c>
      <c r="O4651" t="s">
        <v>19</v>
      </c>
      <c r="P4651" t="s">
        <v>1320</v>
      </c>
      <c r="Q4651" t="s">
        <v>19</v>
      </c>
      <c r="R4651" t="str">
        <f>HYPERLINK("https://cfpub.epa.gov/ecotox/explore.cfm?ncbi=1000278","Explore in ECOTOX")</f>
        <v>Explore in ECOTOX</v>
      </c>
    </row>
    <row r="4652" spans="1:18" x14ac:dyDescent="0.45">
      <c r="A4652" t="s">
        <v>1265</v>
      </c>
      <c r="B4652">
        <v>8</v>
      </c>
      <c r="C4652" t="str">
        <f>HYPERLINK("http://www.ncbi.nlm.nih.gov/protein/BAL68307.1","BAL68307.1")</f>
        <v>BAL68307.1</v>
      </c>
      <c r="D4652">
        <v>278</v>
      </c>
      <c r="E4652" t="str">
        <f>HYPERLINK("http://www.ncbi.nlm.nih.gov/Taxonomy/Browser/wwwtax.cgi?mode=Info&amp;id=80805&amp;lvl=3&amp;lin=f&amp;keep=1&amp;srchmode=1&amp;unlock","80805")</f>
        <v>80805</v>
      </c>
      <c r="F4652" t="s">
        <v>17</v>
      </c>
      <c r="G4652" t="str">
        <f>HYPERLINK("http://www.ncbi.nlm.nih.gov/Taxonomy/Browser/wwwtax.cgi?mode=Info&amp;id=80805&amp;lvl=3&amp;lin=f&amp;keep=1&amp;srchmode=1&amp;unlock","Tanakia lanceolata")</f>
        <v>Tanakia lanceolata</v>
      </c>
      <c r="H4652" t="s">
        <v>21</v>
      </c>
      <c r="I4652" t="str">
        <f>HYPERLINK("http://www.ncbi.nlm.nih.gov/protein/BAL68307.1","ryanodine receptor 3-like protein, partial")</f>
        <v>ryanodine receptor 3-like protein, partial</v>
      </c>
      <c r="J4652">
        <v>450.28</v>
      </c>
      <c r="K4652" t="s">
        <v>22</v>
      </c>
      <c r="L4652">
        <v>76</v>
      </c>
      <c r="M4652">
        <v>12.58</v>
      </c>
      <c r="N4652">
        <v>4.43</v>
      </c>
      <c r="O4652" t="s">
        <v>19</v>
      </c>
      <c r="P4652" t="s">
        <v>1320</v>
      </c>
      <c r="Q4652" t="s">
        <v>19</v>
      </c>
      <c r="R4652" t="str">
        <f>HYPERLINK("https://cfpub.epa.gov/ecotox/explore.cfm?ncbi=80805","Explore in ECOTOX")</f>
        <v>Explore in ECOTOX</v>
      </c>
    </row>
    <row r="4653" spans="1:18" x14ac:dyDescent="0.45">
      <c r="A4653" t="s">
        <v>1265</v>
      </c>
      <c r="B4653">
        <v>8</v>
      </c>
      <c r="C4653" t="str">
        <f>HYPERLINK("http://www.ncbi.nlm.nih.gov/protein/BAL68306.1","BAL68306.1")</f>
        <v>BAL68306.1</v>
      </c>
      <c r="D4653">
        <v>249</v>
      </c>
      <c r="E4653" t="str">
        <f>HYPERLINK("http://www.ncbi.nlm.nih.gov/Taxonomy/Browser/wwwtax.cgi?mode=Info&amp;id=80806&amp;lvl=3&amp;lin=f&amp;keep=1&amp;srchmode=1&amp;unlock","80806")</f>
        <v>80806</v>
      </c>
      <c r="F4653" t="s">
        <v>17</v>
      </c>
      <c r="G4653" t="str">
        <f>HYPERLINK("http://www.ncbi.nlm.nih.gov/Taxonomy/Browser/wwwtax.cgi?mode=Info&amp;id=80806&amp;lvl=3&amp;lin=f&amp;keep=1&amp;srchmode=1&amp;unlock","Tanakia limbata")</f>
        <v>Tanakia limbata</v>
      </c>
      <c r="H4653" t="s">
        <v>1327</v>
      </c>
      <c r="I4653" t="str">
        <f>HYPERLINK("http://www.ncbi.nlm.nih.gov/protein/BAL68306.1","ryanodine receptor 3-like protein, partial")</f>
        <v>ryanodine receptor 3-like protein, partial</v>
      </c>
      <c r="J4653">
        <v>450.28</v>
      </c>
      <c r="K4653" t="s">
        <v>22</v>
      </c>
      <c r="L4653">
        <v>76</v>
      </c>
      <c r="M4653">
        <v>12.58</v>
      </c>
      <c r="N4653">
        <v>4.43</v>
      </c>
      <c r="O4653" t="s">
        <v>19</v>
      </c>
      <c r="P4653" t="s">
        <v>1320</v>
      </c>
      <c r="Q4653" t="s">
        <v>19</v>
      </c>
      <c r="R4653" t="str">
        <f>HYPERLINK("https://cfpub.epa.gov/ecotox/explore.cfm?ncbi=80806","Explore in ECOTOX")</f>
        <v>Explore in ECOTOX</v>
      </c>
    </row>
    <row r="4654" spans="1:18" x14ac:dyDescent="0.45">
      <c r="A4654" t="s">
        <v>1265</v>
      </c>
      <c r="B4654">
        <v>8</v>
      </c>
      <c r="C4654" t="str">
        <f>HYPERLINK("http://www.ncbi.nlm.nih.gov/protein/BAL68305.1","BAL68305.1")</f>
        <v>BAL68305.1</v>
      </c>
      <c r="D4654">
        <v>316</v>
      </c>
      <c r="E4654" t="str">
        <f>HYPERLINK("http://www.ncbi.nlm.nih.gov/Taxonomy/Browser/wwwtax.cgi?mode=Info&amp;id=80810&amp;lvl=3&amp;lin=f&amp;keep=1&amp;srchmode=1&amp;unlock","80810")</f>
        <v>80810</v>
      </c>
      <c r="F4654" t="s">
        <v>17</v>
      </c>
      <c r="G4654" t="str">
        <f>HYPERLINK("http://www.ncbi.nlm.nih.gov/Taxonomy/Browser/wwwtax.cgi?mode=Info&amp;id=80810&amp;lvl=3&amp;lin=f&amp;keep=1&amp;srchmode=1&amp;unlock","Zacco platypus")</f>
        <v>Zacco platypus</v>
      </c>
      <c r="H4654" t="s">
        <v>1328</v>
      </c>
      <c r="I4654" t="str">
        <f>HYPERLINK("http://www.ncbi.nlm.nih.gov/protein/BAL68305.1","ryanodine receptor 3-like protein, partial")</f>
        <v>ryanodine receptor 3-like protein, partial</v>
      </c>
      <c r="J4654">
        <v>449.9</v>
      </c>
      <c r="K4654" t="s">
        <v>22</v>
      </c>
      <c r="L4654">
        <v>76</v>
      </c>
      <c r="M4654">
        <v>12.58</v>
      </c>
      <c r="N4654">
        <v>4.43</v>
      </c>
      <c r="O4654" t="s">
        <v>19</v>
      </c>
      <c r="P4654" t="s">
        <v>1320</v>
      </c>
      <c r="Q4654" t="s">
        <v>19</v>
      </c>
      <c r="R4654" t="str">
        <f>HYPERLINK("https://cfpub.epa.gov/ecotox/explore.cfm?ncbi=80810","Explore in ECOTOX")</f>
        <v>Explore in ECOTOX</v>
      </c>
    </row>
    <row r="4655" spans="1:18" x14ac:dyDescent="0.45">
      <c r="A4655" t="s">
        <v>1265</v>
      </c>
      <c r="B4655">
        <v>8</v>
      </c>
      <c r="C4655" t="str">
        <f>HYPERLINK("http://www.ncbi.nlm.nih.gov/protein/BAL68308.1","BAL68308.1")</f>
        <v>BAL68308.1</v>
      </c>
      <c r="D4655">
        <v>60</v>
      </c>
      <c r="E4655" t="str">
        <f>HYPERLINK("http://www.ncbi.nlm.nih.gov/Taxonomy/Browser/wwwtax.cgi?mode=Info&amp;id=80801&amp;lvl=3&amp;lin=f&amp;keep=1&amp;srchmode=1&amp;unlock","80801")</f>
        <v>80801</v>
      </c>
      <c r="F4655" t="s">
        <v>17</v>
      </c>
      <c r="G4655" t="str">
        <f>HYPERLINK("http://www.ncbi.nlm.nih.gov/Taxonomy/Browser/wwwtax.cgi?mode=Info&amp;id=80801&amp;lvl=3&amp;lin=f&amp;keep=1&amp;srchmode=1&amp;unlock","Rhodeus ocellatus ocellatus")</f>
        <v>Rhodeus ocellatus ocellatus</v>
      </c>
      <c r="H4655" t="s">
        <v>1329</v>
      </c>
      <c r="I4655" t="str">
        <f>HYPERLINK("http://www.ncbi.nlm.nih.gov/protein/BAL68308.1","ryanodine receptor 3-like protein, partial")</f>
        <v>ryanodine receptor 3-like protein, partial</v>
      </c>
      <c r="J4655">
        <v>449.13</v>
      </c>
      <c r="K4655" t="s">
        <v>22</v>
      </c>
      <c r="L4655">
        <v>76</v>
      </c>
      <c r="M4655">
        <v>12.58</v>
      </c>
      <c r="N4655">
        <v>4.42</v>
      </c>
      <c r="O4655" t="s">
        <v>19</v>
      </c>
      <c r="P4655" t="s">
        <v>1320</v>
      </c>
      <c r="Q4655" t="s">
        <v>19</v>
      </c>
      <c r="R4655" t="str">
        <f>HYPERLINK("https://cfpub.epa.gov/ecotox/explore.cfm?ncbi=80801","Explore in ECOTOX")</f>
        <v>Explore in ECOTOX</v>
      </c>
    </row>
    <row r="4656" spans="1:18" x14ac:dyDescent="0.45">
      <c r="A4656" t="s">
        <v>1265</v>
      </c>
      <c r="B4656">
        <v>8</v>
      </c>
      <c r="C4656" t="str">
        <f>HYPERLINK("http://www.ncbi.nlm.nih.gov/protein/ADO33053.1","ADO33053.1")</f>
        <v>ADO33053.1</v>
      </c>
      <c r="D4656">
        <v>415</v>
      </c>
      <c r="E4656" t="str">
        <f>HYPERLINK("http://www.ncbi.nlm.nih.gov/Taxonomy/Browser/wwwtax.cgi?mode=Info&amp;id=82595&amp;lvl=3&amp;lin=f&amp;keep=1&amp;srchmode=1&amp;unlock","82595")</f>
        <v>82595</v>
      </c>
      <c r="F4656" t="s">
        <v>760</v>
      </c>
      <c r="G4656" t="str">
        <f>HYPERLINK("http://www.ncbi.nlm.nih.gov/Taxonomy/Browser/wwwtax.cgi?mode=Info&amp;id=82595&amp;lvl=3&amp;lin=f&amp;keep=1&amp;srchmode=1&amp;unlock","Biston betularia")</f>
        <v>Biston betularia</v>
      </c>
      <c r="H4656" t="s">
        <v>1217</v>
      </c>
      <c r="I4656" t="str">
        <f>HYPERLINK("http://www.ncbi.nlm.nih.gov/protein/ADO33053.1","ryanodine receptor, partial")</f>
        <v>ryanodine receptor, partial</v>
      </c>
      <c r="J4656">
        <v>448.74</v>
      </c>
      <c r="K4656" t="s">
        <v>22</v>
      </c>
      <c r="L4656">
        <v>76</v>
      </c>
      <c r="M4656">
        <v>12.58</v>
      </c>
      <c r="N4656">
        <v>4.42</v>
      </c>
      <c r="O4656" t="s">
        <v>19</v>
      </c>
      <c r="P4656" t="s">
        <v>1320</v>
      </c>
      <c r="Q4656" t="s">
        <v>19</v>
      </c>
      <c r="R4656" t="str">
        <f>HYPERLINK("https://cfpub.epa.gov/ecotox/explore.cfm?ncbi=82595","Explore in ECOTOX")</f>
        <v>Explore in ECOTOX</v>
      </c>
    </row>
    <row r="4657" spans="1:18" x14ac:dyDescent="0.45">
      <c r="A4657" t="s">
        <v>1265</v>
      </c>
      <c r="B4657">
        <v>8</v>
      </c>
      <c r="C4657" t="str">
        <f>HYPERLINK("http://www.ncbi.nlm.nih.gov/protein/AEH99086.1","AEH99086.1")</f>
        <v>AEH99086.1</v>
      </c>
      <c r="D4657">
        <v>26</v>
      </c>
      <c r="E4657" t="str">
        <f>HYPERLINK("http://www.ncbi.nlm.nih.gov/Taxonomy/Browser/wwwtax.cgi?mode=Info&amp;id=1042307&amp;lvl=3&amp;lin=f&amp;keep=1&amp;srchmode=1&amp;unlock","1042307")</f>
        <v>1042307</v>
      </c>
      <c r="F4657" t="s">
        <v>17</v>
      </c>
      <c r="G4657" t="str">
        <f>HYPERLINK("http://www.ncbi.nlm.nih.gov/Taxonomy/Browser/wwwtax.cgi?mode=Info&amp;id=1042307&amp;lvl=3&amp;lin=f&amp;keep=1&amp;srchmode=1&amp;unlock","Nocomis effusus")</f>
        <v>Nocomis effusus</v>
      </c>
      <c r="H4657" t="s">
        <v>21</v>
      </c>
      <c r="I4657" t="str">
        <f>HYPERLINK("http://www.ncbi.nlm.nih.gov/protein/AEH99086.1","ryanodine receptor 3-like protein, partial")</f>
        <v>ryanodine receptor 3-like protein, partial</v>
      </c>
      <c r="J4657">
        <v>448.74</v>
      </c>
      <c r="K4657" t="s">
        <v>22</v>
      </c>
      <c r="L4657">
        <v>76</v>
      </c>
      <c r="M4657">
        <v>12.58</v>
      </c>
      <c r="N4657">
        <v>4.42</v>
      </c>
      <c r="O4657" t="s">
        <v>19</v>
      </c>
      <c r="P4657" t="s">
        <v>1320</v>
      </c>
      <c r="Q4657" t="s">
        <v>19</v>
      </c>
      <c r="R4657" t="str">
        <f>HYPERLINK("https://cfpub.epa.gov/ecotox/explore.cfm?ncbi=1042307","Explore in ECOTOX")</f>
        <v>Explore in ECOTOX</v>
      </c>
    </row>
    <row r="4658" spans="1:18" x14ac:dyDescent="0.45">
      <c r="A4658" t="s">
        <v>1265</v>
      </c>
      <c r="B4658">
        <v>8</v>
      </c>
      <c r="C4658" t="str">
        <f>HYPERLINK("http://www.ncbi.nlm.nih.gov/protein/BAL68311.1","BAL68311.1")</f>
        <v>BAL68311.1</v>
      </c>
      <c r="D4658">
        <v>62</v>
      </c>
      <c r="E4658" t="str">
        <f>HYPERLINK("http://www.ncbi.nlm.nih.gov/Taxonomy/Browser/wwwtax.cgi?mode=Info&amp;id=80783&amp;lvl=3&amp;lin=f&amp;keep=1&amp;srchmode=1&amp;unlock","80783")</f>
        <v>80783</v>
      </c>
      <c r="F4658" t="s">
        <v>17</v>
      </c>
      <c r="G4658" t="str">
        <f>HYPERLINK("http://www.ncbi.nlm.nih.gov/Taxonomy/Browser/wwwtax.cgi?mode=Info&amp;id=80783&amp;lvl=3&amp;lin=f&amp;keep=1&amp;srchmode=1&amp;unlock","Acheilognathus melanogaster")</f>
        <v>Acheilognathus melanogaster</v>
      </c>
      <c r="H4658" t="s">
        <v>21</v>
      </c>
      <c r="I4658" t="str">
        <f>HYPERLINK("http://www.ncbi.nlm.nih.gov/protein/BAL68311.1","ryanodine receptor 3-like protein, partial")</f>
        <v>ryanodine receptor 3-like protein, partial</v>
      </c>
      <c r="J4658">
        <v>448.74</v>
      </c>
      <c r="K4658" t="s">
        <v>22</v>
      </c>
      <c r="L4658">
        <v>76</v>
      </c>
      <c r="M4658">
        <v>12.58</v>
      </c>
      <c r="N4658">
        <v>4.42</v>
      </c>
      <c r="O4658" t="s">
        <v>19</v>
      </c>
      <c r="P4658" t="s">
        <v>1320</v>
      </c>
      <c r="Q4658" t="s">
        <v>19</v>
      </c>
      <c r="R4658" t="str">
        <f>HYPERLINK("https://cfpub.epa.gov/ecotox/explore.cfm?ncbi=80783","Explore in ECOTOX")</f>
        <v>Explore in ECOTOX</v>
      </c>
    </row>
    <row r="4659" spans="1:18" x14ac:dyDescent="0.45">
      <c r="A4659" t="s">
        <v>1265</v>
      </c>
      <c r="B4659">
        <v>8</v>
      </c>
      <c r="C4659" t="str">
        <f>HYPERLINK("http://www.ncbi.nlm.nih.gov/protein/BAJ09012.1","BAJ09012.1")</f>
        <v>BAJ09012.1</v>
      </c>
      <c r="D4659">
        <v>18</v>
      </c>
      <c r="E4659" t="str">
        <f>HYPERLINK("http://www.ncbi.nlm.nih.gov/Taxonomy/Browser/wwwtax.cgi?mode=Info&amp;id=697582&amp;lvl=3&amp;lin=f&amp;keep=1&amp;srchmode=1&amp;unlock","697582")</f>
        <v>697582</v>
      </c>
      <c r="F4659" t="s">
        <v>17</v>
      </c>
      <c r="G4659" t="str">
        <f>HYPERLINK("http://www.ncbi.nlm.nih.gov/Taxonomy/Browser/wwwtax.cgi?mode=Info&amp;id=697582&amp;lvl=3&amp;lin=f&amp;keep=1&amp;srchmode=1&amp;unlock","Biwia yodoensis")</f>
        <v>Biwia yodoensis</v>
      </c>
      <c r="H4659" t="s">
        <v>21</v>
      </c>
      <c r="I4659" t="str">
        <f>HYPERLINK("http://www.ncbi.nlm.nih.gov/protein/BAJ09012.1","novel protein similar to vertebrate ryanodine receptor 3, partial")</f>
        <v>novel protein similar to vertebrate ryanodine receptor 3, partial</v>
      </c>
      <c r="J4659">
        <v>447.97</v>
      </c>
      <c r="K4659" t="s">
        <v>22</v>
      </c>
      <c r="L4659">
        <v>76</v>
      </c>
      <c r="M4659">
        <v>12.58</v>
      </c>
      <c r="N4659">
        <v>4.41</v>
      </c>
      <c r="O4659" t="s">
        <v>19</v>
      </c>
      <c r="P4659" t="s">
        <v>1320</v>
      </c>
      <c r="Q4659" t="s">
        <v>19</v>
      </c>
      <c r="R4659" t="str">
        <f>HYPERLINK("https://cfpub.epa.gov/ecotox/explore.cfm?ncbi=697582","Explore in ECOTOX")</f>
        <v>Explore in ECOTOX</v>
      </c>
    </row>
    <row r="4660" spans="1:18" x14ac:dyDescent="0.45">
      <c r="A4660" t="s">
        <v>1265</v>
      </c>
      <c r="B4660">
        <v>8</v>
      </c>
      <c r="C4660" t="str">
        <f>HYPERLINK("http://www.ncbi.nlm.nih.gov/protein/BAJ09011.1","BAJ09011.1")</f>
        <v>BAJ09011.1</v>
      </c>
      <c r="D4660">
        <v>129</v>
      </c>
      <c r="E4660" t="str">
        <f>HYPERLINK("http://www.ncbi.nlm.nih.gov/Taxonomy/Browser/wwwtax.cgi?mode=Info&amp;id=143612&amp;lvl=3&amp;lin=f&amp;keep=1&amp;srchmode=1&amp;unlock","143612")</f>
        <v>143612</v>
      </c>
      <c r="F4660" t="s">
        <v>17</v>
      </c>
      <c r="G4660" t="str">
        <f>HYPERLINK("http://www.ncbi.nlm.nih.gov/Taxonomy/Browser/wwwtax.cgi?mode=Info&amp;id=143612&amp;lvl=3&amp;lin=f&amp;keep=1&amp;srchmode=1&amp;unlock","Biwia zezera")</f>
        <v>Biwia zezera</v>
      </c>
      <c r="H4660" t="s">
        <v>21</v>
      </c>
      <c r="I4660" t="str">
        <f>HYPERLINK("http://www.ncbi.nlm.nih.gov/protein/BAJ09011.1","novel protein similar to vertebrate ryanodine receptor 3, partial")</f>
        <v>novel protein similar to vertebrate ryanodine receptor 3, partial</v>
      </c>
      <c r="J4660">
        <v>447.97</v>
      </c>
      <c r="K4660" t="s">
        <v>22</v>
      </c>
      <c r="L4660">
        <v>76</v>
      </c>
      <c r="M4660">
        <v>12.58</v>
      </c>
      <c r="N4660">
        <v>4.41</v>
      </c>
      <c r="O4660" t="s">
        <v>19</v>
      </c>
      <c r="P4660" t="s">
        <v>1320</v>
      </c>
      <c r="Q4660" t="s">
        <v>19</v>
      </c>
      <c r="R4660" t="str">
        <f>HYPERLINK("https://cfpub.epa.gov/ecotox/explore.cfm?ncbi=143612","Explore in ECOTOX")</f>
        <v>Explore in ECOTOX</v>
      </c>
    </row>
    <row r="4661" spans="1:18" x14ac:dyDescent="0.45">
      <c r="A4661" t="s">
        <v>1265</v>
      </c>
      <c r="B4661">
        <v>8</v>
      </c>
      <c r="C4661" t="str">
        <f>HYPERLINK("http://www.ncbi.nlm.nih.gov/protein/ADV57112.1","ADV57112.1")</f>
        <v>ADV57112.1</v>
      </c>
      <c r="D4661">
        <v>511</v>
      </c>
      <c r="E4661" t="str">
        <f>HYPERLINK("http://www.ncbi.nlm.nih.gov/Taxonomy/Browser/wwwtax.cgi?mode=Info&amp;id=7965&amp;lvl=3&amp;lin=f&amp;keep=1&amp;srchmode=1&amp;unlock","7965")</f>
        <v>7965</v>
      </c>
      <c r="F4661" t="s">
        <v>17</v>
      </c>
      <c r="G4661" t="str">
        <f>HYPERLINK("http://www.ncbi.nlm.nih.gov/Taxonomy/Browser/wwwtax.cgi?mode=Info&amp;id=7965&amp;lvl=3&amp;lin=f&amp;keep=1&amp;srchmode=1&amp;unlock","Hypophthalmichthys nobilis")</f>
        <v>Hypophthalmichthys nobilis</v>
      </c>
      <c r="H4661" t="s">
        <v>1330</v>
      </c>
      <c r="I4661" t="str">
        <f>HYPERLINK("http://www.ncbi.nlm.nih.gov/protein/ADV57112.1","ryanodine receptor 3, partial")</f>
        <v>ryanodine receptor 3, partial</v>
      </c>
      <c r="J4661">
        <v>447.2</v>
      </c>
      <c r="K4661" t="s">
        <v>22</v>
      </c>
      <c r="L4661">
        <v>76</v>
      </c>
      <c r="M4661">
        <v>12.58</v>
      </c>
      <c r="N4661">
        <v>4.4000000000000004</v>
      </c>
      <c r="O4661" t="s">
        <v>19</v>
      </c>
      <c r="P4661" t="s">
        <v>1320</v>
      </c>
      <c r="Q4661" t="s">
        <v>19</v>
      </c>
      <c r="R4661" t="str">
        <f>HYPERLINK("https://cfpub.epa.gov/ecotox/explore.cfm?ncbi=7965","Explore in ECOTOX")</f>
        <v>Explore in ECOTOX</v>
      </c>
    </row>
    <row r="4662" spans="1:18" x14ac:dyDescent="0.45">
      <c r="A4662" t="s">
        <v>1265</v>
      </c>
      <c r="B4662">
        <v>8</v>
      </c>
      <c r="C4662" t="str">
        <f>HYPERLINK("http://www.ncbi.nlm.nih.gov/protein/BAS02789.1","BAS02789.1")</f>
        <v>BAS02789.1</v>
      </c>
      <c r="D4662">
        <v>328</v>
      </c>
      <c r="E4662" t="str">
        <f>HYPERLINK("http://www.ncbi.nlm.nih.gov/Taxonomy/Browser/wwwtax.cgi?mode=Info&amp;id=75332&amp;lvl=3&amp;lin=f&amp;keep=1&amp;srchmode=1&amp;unlock","75332")</f>
        <v>75332</v>
      </c>
      <c r="F4662" t="s">
        <v>17</v>
      </c>
      <c r="G4662" t="str">
        <f>HYPERLINK("http://www.ncbi.nlm.nih.gov/Taxonomy/Browser/wwwtax.cgi?mode=Info&amp;id=75332&amp;lvl=3&amp;lin=f&amp;keep=1&amp;srchmode=1&amp;unlock","Abbottina rivularis")</f>
        <v>Abbottina rivularis</v>
      </c>
      <c r="H4662" t="s">
        <v>1331</v>
      </c>
      <c r="I4662" t="str">
        <f>HYPERLINK("http://www.ncbi.nlm.nih.gov/protein/BAS02789.1","ryanodine receptor 3-like protein, partial")</f>
        <v>ryanodine receptor 3-like protein, partial</v>
      </c>
      <c r="J4662">
        <v>447.2</v>
      </c>
      <c r="K4662" t="s">
        <v>22</v>
      </c>
      <c r="L4662">
        <v>76</v>
      </c>
      <c r="M4662">
        <v>12.58</v>
      </c>
      <c r="N4662">
        <v>4.4000000000000004</v>
      </c>
      <c r="O4662" t="s">
        <v>19</v>
      </c>
      <c r="P4662" t="s">
        <v>1320</v>
      </c>
      <c r="Q4662" t="s">
        <v>19</v>
      </c>
      <c r="R4662" t="str">
        <f>HYPERLINK("https://cfpub.epa.gov/ecotox/explore.cfm?ncbi=75332","Explore in ECOTOX")</f>
        <v>Explore in ECOTOX</v>
      </c>
    </row>
    <row r="4663" spans="1:18" x14ac:dyDescent="0.45">
      <c r="A4663" t="s">
        <v>1265</v>
      </c>
      <c r="B4663">
        <v>8</v>
      </c>
      <c r="C4663" t="str">
        <f>HYPERLINK("http://www.ncbi.nlm.nih.gov/protein/AEH99095.1","AEH99095.1")</f>
        <v>AEH99095.1</v>
      </c>
      <c r="D4663">
        <v>16</v>
      </c>
      <c r="E4663" t="str">
        <f>HYPERLINK("http://www.ncbi.nlm.nih.gov/Taxonomy/Browser/wwwtax.cgi?mode=Info&amp;id=85562&amp;lvl=3&amp;lin=f&amp;keep=1&amp;srchmode=1&amp;unlock","85562")</f>
        <v>85562</v>
      </c>
      <c r="F4663" t="s">
        <v>17</v>
      </c>
      <c r="G4663" t="str">
        <f>HYPERLINK("http://www.ncbi.nlm.nih.gov/Taxonomy/Browser/wwwtax.cgi?mode=Info&amp;id=85562&amp;lvl=3&amp;lin=f&amp;keep=1&amp;srchmode=1&amp;unlock","Phenacobius crassilabrum")</f>
        <v>Phenacobius crassilabrum</v>
      </c>
      <c r="H4663" t="s">
        <v>21</v>
      </c>
      <c r="I4663" t="str">
        <f>HYPERLINK("http://www.ncbi.nlm.nih.gov/protein/AEH99095.1","ryanodine receptor 3-like protein, partial")</f>
        <v>ryanodine receptor 3-like protein, partial</v>
      </c>
      <c r="J4663">
        <v>446.82</v>
      </c>
      <c r="K4663" t="s">
        <v>22</v>
      </c>
      <c r="L4663">
        <v>76</v>
      </c>
      <c r="M4663">
        <v>12.58</v>
      </c>
      <c r="N4663">
        <v>4.4000000000000004</v>
      </c>
      <c r="O4663" t="s">
        <v>19</v>
      </c>
      <c r="P4663" t="s">
        <v>1320</v>
      </c>
      <c r="Q4663" t="s">
        <v>19</v>
      </c>
      <c r="R4663" t="str">
        <f>HYPERLINK("https://cfpub.epa.gov/ecotox/explore.cfm?ncbi=85562","Explore in ECOTOX")</f>
        <v>Explore in ECOTOX</v>
      </c>
    </row>
    <row r="4664" spans="1:18" x14ac:dyDescent="0.45">
      <c r="A4664" t="s">
        <v>1265</v>
      </c>
      <c r="B4664">
        <v>8</v>
      </c>
      <c r="C4664" t="str">
        <f>HYPERLINK("http://www.ncbi.nlm.nih.gov/protein/AEH99097.1","AEH99097.1")</f>
        <v>AEH99097.1</v>
      </c>
      <c r="D4664">
        <v>14</v>
      </c>
      <c r="E4664" t="str">
        <f>HYPERLINK("http://www.ncbi.nlm.nih.gov/Taxonomy/Browser/wwwtax.cgi?mode=Info&amp;id=85563&amp;lvl=3&amp;lin=f&amp;keep=1&amp;srchmode=1&amp;unlock","85563")</f>
        <v>85563</v>
      </c>
      <c r="F4664" t="s">
        <v>17</v>
      </c>
      <c r="G4664" t="str">
        <f>HYPERLINK("http://www.ncbi.nlm.nih.gov/Taxonomy/Browser/wwwtax.cgi?mode=Info&amp;id=85563&amp;lvl=3&amp;lin=f&amp;keep=1&amp;srchmode=1&amp;unlock","Phenacobius teretulus")</f>
        <v>Phenacobius teretulus</v>
      </c>
      <c r="H4664" t="s">
        <v>21</v>
      </c>
      <c r="I4664" t="str">
        <f>HYPERLINK("http://www.ncbi.nlm.nih.gov/protein/AEH99097.1","ryanodine receptor 3-like protein, partial")</f>
        <v>ryanodine receptor 3-like protein, partial</v>
      </c>
      <c r="J4664">
        <v>446.82</v>
      </c>
      <c r="K4664" t="s">
        <v>22</v>
      </c>
      <c r="L4664">
        <v>76</v>
      </c>
      <c r="M4664">
        <v>12.58</v>
      </c>
      <c r="N4664">
        <v>4.4000000000000004</v>
      </c>
      <c r="O4664" t="s">
        <v>19</v>
      </c>
      <c r="P4664" t="s">
        <v>1320</v>
      </c>
      <c r="Q4664" t="s">
        <v>19</v>
      </c>
      <c r="R4664" t="str">
        <f>HYPERLINK("https://cfpub.epa.gov/ecotox/explore.cfm?ncbi=85563","Explore in ECOTOX")</f>
        <v>Explore in ECOTOX</v>
      </c>
    </row>
    <row r="4665" spans="1:18" x14ac:dyDescent="0.45">
      <c r="A4665" t="s">
        <v>1265</v>
      </c>
      <c r="B4665">
        <v>8</v>
      </c>
      <c r="C4665" t="str">
        <f>HYPERLINK("http://www.ncbi.nlm.nih.gov/protein/AEH99094.1","AEH99094.1")</f>
        <v>AEH99094.1</v>
      </c>
      <c r="D4665">
        <v>46</v>
      </c>
      <c r="E4665" t="str">
        <f>HYPERLINK("http://www.ncbi.nlm.nih.gov/Taxonomy/Browser/wwwtax.cgi?mode=Info&amp;id=71759&amp;lvl=3&amp;lin=f&amp;keep=1&amp;srchmode=1&amp;unlock","71759")</f>
        <v>71759</v>
      </c>
      <c r="F4665" t="s">
        <v>17</v>
      </c>
      <c r="G4665" t="str">
        <f>HYPERLINK("http://www.ncbi.nlm.nih.gov/Taxonomy/Browser/wwwtax.cgi?mode=Info&amp;id=71759&amp;lvl=3&amp;lin=f&amp;keep=1&amp;srchmode=1&amp;unlock","Phenacobius mirabilis")</f>
        <v>Phenacobius mirabilis</v>
      </c>
      <c r="H4665" t="s">
        <v>21</v>
      </c>
      <c r="I4665" t="str">
        <f>HYPERLINK("http://www.ncbi.nlm.nih.gov/protein/AEH99094.1","ryanodine receptor 3-like protein, partial")</f>
        <v>ryanodine receptor 3-like protein, partial</v>
      </c>
      <c r="J4665">
        <v>446.82</v>
      </c>
      <c r="K4665" t="s">
        <v>22</v>
      </c>
      <c r="L4665">
        <v>76</v>
      </c>
      <c r="M4665">
        <v>12.58</v>
      </c>
      <c r="N4665">
        <v>4.4000000000000004</v>
      </c>
      <c r="O4665" t="s">
        <v>19</v>
      </c>
      <c r="P4665" t="s">
        <v>1320</v>
      </c>
      <c r="Q4665" t="s">
        <v>19</v>
      </c>
      <c r="R4665" t="str">
        <f>HYPERLINK("https://cfpub.epa.gov/ecotox/explore.cfm?ncbi=71759","Explore in ECOTOX")</f>
        <v>Explore in ECOTOX</v>
      </c>
    </row>
    <row r="4666" spans="1:18" x14ac:dyDescent="0.45">
      <c r="A4666" t="s">
        <v>1265</v>
      </c>
      <c r="B4666">
        <v>8</v>
      </c>
      <c r="C4666" t="str">
        <f>HYPERLINK("http://www.ncbi.nlm.nih.gov/protein/AEH99085.1","AEH99085.1")</f>
        <v>AEH99085.1</v>
      </c>
      <c r="D4666">
        <v>240</v>
      </c>
      <c r="E4666" t="str">
        <f>HYPERLINK("http://www.ncbi.nlm.nih.gov/Taxonomy/Browser/wwwtax.cgi?mode=Info&amp;id=340988&amp;lvl=3&amp;lin=f&amp;keep=1&amp;srchmode=1&amp;unlock","340988")</f>
        <v>340988</v>
      </c>
      <c r="F4666" t="s">
        <v>17</v>
      </c>
      <c r="G4666" t="str">
        <f>HYPERLINK("http://www.ncbi.nlm.nih.gov/Taxonomy/Browser/wwwtax.cgi?mode=Info&amp;id=340988&amp;lvl=3&amp;lin=f&amp;keep=1&amp;srchmode=1&amp;unlock","Rhinichthys cataractae")</f>
        <v>Rhinichthys cataractae</v>
      </c>
      <c r="H4666" t="s">
        <v>1332</v>
      </c>
      <c r="I4666" t="str">
        <f>HYPERLINK("http://www.ncbi.nlm.nih.gov/protein/AEH99085.1","ryanodine receptor 3-like protein, partial")</f>
        <v>ryanodine receptor 3-like protein, partial</v>
      </c>
      <c r="J4666">
        <v>446.82</v>
      </c>
      <c r="K4666" t="s">
        <v>22</v>
      </c>
      <c r="L4666">
        <v>76</v>
      </c>
      <c r="M4666">
        <v>12.58</v>
      </c>
      <c r="N4666">
        <v>4.4000000000000004</v>
      </c>
      <c r="O4666" t="s">
        <v>19</v>
      </c>
      <c r="P4666" t="s">
        <v>1320</v>
      </c>
      <c r="Q4666" t="s">
        <v>19</v>
      </c>
      <c r="R4666" t="str">
        <f>HYPERLINK("https://cfpub.epa.gov/ecotox/explore.cfm?ncbi=340988","Explore in ECOTOX")</f>
        <v>Explore in ECOTOX</v>
      </c>
    </row>
    <row r="4667" spans="1:18" x14ac:dyDescent="0.45">
      <c r="A4667" t="s">
        <v>1265</v>
      </c>
      <c r="B4667">
        <v>8</v>
      </c>
      <c r="C4667" t="str">
        <f>HYPERLINK("http://www.ncbi.nlm.nih.gov/protein/AEH99090.1","AEH99090.1")</f>
        <v>AEH99090.1</v>
      </c>
      <c r="D4667">
        <v>101</v>
      </c>
      <c r="E4667" t="str">
        <f>HYPERLINK("http://www.ncbi.nlm.nih.gov/Taxonomy/Browser/wwwtax.cgi?mode=Info&amp;id=111836&amp;lvl=3&amp;lin=f&amp;keep=1&amp;srchmode=1&amp;unlock","111836")</f>
        <v>111836</v>
      </c>
      <c r="F4667" t="s">
        <v>17</v>
      </c>
      <c r="G4667" t="str">
        <f>HYPERLINK("http://www.ncbi.nlm.nih.gov/Taxonomy/Browser/wwwtax.cgi?mode=Info&amp;id=111836&amp;lvl=3&amp;lin=f&amp;keep=1&amp;srchmode=1&amp;unlock","Hybopsis amblops")</f>
        <v>Hybopsis amblops</v>
      </c>
      <c r="H4667" t="s">
        <v>1333</v>
      </c>
      <c r="I4667" t="str">
        <f>HYPERLINK("http://www.ncbi.nlm.nih.gov/protein/AEH99090.1","ryanodine receptor 3-like protein, partial")</f>
        <v>ryanodine receptor 3-like protein, partial</v>
      </c>
      <c r="J4667">
        <v>446.82</v>
      </c>
      <c r="K4667" t="s">
        <v>22</v>
      </c>
      <c r="L4667">
        <v>76</v>
      </c>
      <c r="M4667">
        <v>12.58</v>
      </c>
      <c r="N4667">
        <v>4.4000000000000004</v>
      </c>
      <c r="O4667" t="s">
        <v>19</v>
      </c>
      <c r="P4667" t="s">
        <v>1320</v>
      </c>
      <c r="Q4667" t="s">
        <v>19</v>
      </c>
      <c r="R4667" t="str">
        <f>HYPERLINK("https://cfpub.epa.gov/ecotox/explore.cfm?ncbi=111836","Explore in ECOTOX")</f>
        <v>Explore in ECOTOX</v>
      </c>
    </row>
    <row r="4668" spans="1:18" x14ac:dyDescent="0.45">
      <c r="A4668" t="s">
        <v>1265</v>
      </c>
      <c r="B4668">
        <v>8</v>
      </c>
      <c r="C4668" t="str">
        <f>HYPERLINK("http://www.ncbi.nlm.nih.gov/protein/AEH99096.1","AEH99096.1")</f>
        <v>AEH99096.1</v>
      </c>
      <c r="D4668">
        <v>14</v>
      </c>
      <c r="E4668" t="str">
        <f>HYPERLINK("http://www.ncbi.nlm.nih.gov/Taxonomy/Browser/wwwtax.cgi?mode=Info&amp;id=85564&amp;lvl=3&amp;lin=f&amp;keep=1&amp;srchmode=1&amp;unlock","85564")</f>
        <v>85564</v>
      </c>
      <c r="F4668" t="s">
        <v>17</v>
      </c>
      <c r="G4668" t="str">
        <f>HYPERLINK("http://www.ncbi.nlm.nih.gov/Taxonomy/Browser/wwwtax.cgi?mode=Info&amp;id=85564&amp;lvl=3&amp;lin=f&amp;keep=1&amp;srchmode=1&amp;unlock","Phenacobius uranops")</f>
        <v>Phenacobius uranops</v>
      </c>
      <c r="H4668" t="s">
        <v>21</v>
      </c>
      <c r="I4668" t="str">
        <f>HYPERLINK("http://www.ncbi.nlm.nih.gov/protein/AEH99096.1","ryanodine receptor 3-like protein, partial")</f>
        <v>ryanodine receptor 3-like protein, partial</v>
      </c>
      <c r="J4668">
        <v>446.82</v>
      </c>
      <c r="K4668" t="s">
        <v>22</v>
      </c>
      <c r="L4668">
        <v>76</v>
      </c>
      <c r="M4668">
        <v>12.58</v>
      </c>
      <c r="N4668">
        <v>4.4000000000000004</v>
      </c>
      <c r="O4668" t="s">
        <v>19</v>
      </c>
      <c r="P4668" t="s">
        <v>1320</v>
      </c>
      <c r="Q4668" t="s">
        <v>19</v>
      </c>
      <c r="R4668" t="str">
        <f>HYPERLINK("https://cfpub.epa.gov/ecotox/explore.cfm?ncbi=85564","Explore in ECOTOX")</f>
        <v>Explore in ECOTOX</v>
      </c>
    </row>
    <row r="4669" spans="1:18" x14ac:dyDescent="0.45">
      <c r="A4669" t="s">
        <v>1265</v>
      </c>
      <c r="B4669">
        <v>8</v>
      </c>
      <c r="C4669" t="str">
        <f>HYPERLINK("http://www.ncbi.nlm.nih.gov/protein/AEH99093.1","AEH99093.1")</f>
        <v>AEH99093.1</v>
      </c>
      <c r="D4669">
        <v>15</v>
      </c>
      <c r="E4669" t="str">
        <f>HYPERLINK("http://www.ncbi.nlm.nih.gov/Taxonomy/Browser/wwwtax.cgi?mode=Info&amp;id=67552&amp;lvl=3&amp;lin=f&amp;keep=1&amp;srchmode=1&amp;unlock","67552")</f>
        <v>67552</v>
      </c>
      <c r="F4669" t="s">
        <v>17</v>
      </c>
      <c r="G4669" t="str">
        <f>HYPERLINK("http://www.ncbi.nlm.nih.gov/Taxonomy/Browser/wwwtax.cgi?mode=Info&amp;id=67552&amp;lvl=3&amp;lin=f&amp;keep=1&amp;srchmode=1&amp;unlock","Phenacobius catostomus")</f>
        <v>Phenacobius catostomus</v>
      </c>
      <c r="H4669" t="s">
        <v>1334</v>
      </c>
      <c r="I4669" t="str">
        <f>HYPERLINK("http://www.ncbi.nlm.nih.gov/protein/AEH99093.1","ryanodine receptor 3-like protein, partial")</f>
        <v>ryanodine receptor 3-like protein, partial</v>
      </c>
      <c r="J4669">
        <v>446.82</v>
      </c>
      <c r="K4669" t="s">
        <v>22</v>
      </c>
      <c r="L4669">
        <v>76</v>
      </c>
      <c r="M4669">
        <v>12.58</v>
      </c>
      <c r="N4669">
        <v>4.4000000000000004</v>
      </c>
      <c r="O4669" t="s">
        <v>19</v>
      </c>
      <c r="P4669" t="s">
        <v>1320</v>
      </c>
      <c r="Q4669" t="s">
        <v>19</v>
      </c>
      <c r="R4669" t="str">
        <f>HYPERLINK("https://cfpub.epa.gov/ecotox/explore.cfm?ncbi=67552","Explore in ECOTOX")</f>
        <v>Explore in ECOTOX</v>
      </c>
    </row>
    <row r="4670" spans="1:18" x14ac:dyDescent="0.45">
      <c r="A4670" t="s">
        <v>1265</v>
      </c>
      <c r="B4670">
        <v>8</v>
      </c>
      <c r="C4670" t="str">
        <f>HYPERLINK("http://www.ncbi.nlm.nih.gov/protein/AEH99084.1","AEH99084.1")</f>
        <v>AEH99084.1</v>
      </c>
      <c r="D4670">
        <v>28</v>
      </c>
      <c r="E4670" t="str">
        <f>HYPERLINK("http://www.ncbi.nlm.nih.gov/Taxonomy/Browser/wwwtax.cgi?mode=Info&amp;id=86942&amp;lvl=3&amp;lin=f&amp;keep=1&amp;srchmode=1&amp;unlock","86942")</f>
        <v>86942</v>
      </c>
      <c r="F4670" t="s">
        <v>17</v>
      </c>
      <c r="G4670" t="str">
        <f>HYPERLINK("http://www.ncbi.nlm.nih.gov/Taxonomy/Browser/wwwtax.cgi?mode=Info&amp;id=86942&amp;lvl=3&amp;lin=f&amp;keep=1&amp;srchmode=1&amp;unlock","Exoglossum laurae")</f>
        <v>Exoglossum laurae</v>
      </c>
      <c r="H4670" t="s">
        <v>1335</v>
      </c>
      <c r="I4670" t="str">
        <f>HYPERLINK("http://www.ncbi.nlm.nih.gov/protein/AEH99084.1","ryanodine receptor 3-like protein, partial")</f>
        <v>ryanodine receptor 3-like protein, partial</v>
      </c>
      <c r="J4670">
        <v>446.82</v>
      </c>
      <c r="K4670" t="s">
        <v>22</v>
      </c>
      <c r="L4670">
        <v>76</v>
      </c>
      <c r="M4670">
        <v>12.58</v>
      </c>
      <c r="N4670">
        <v>4.4000000000000004</v>
      </c>
      <c r="O4670" t="s">
        <v>19</v>
      </c>
      <c r="P4670" t="s">
        <v>1320</v>
      </c>
      <c r="Q4670" t="s">
        <v>19</v>
      </c>
      <c r="R4670" t="str">
        <f>HYPERLINK("https://cfpub.epa.gov/ecotox/explore.cfm?ncbi=86942","Explore in ECOTOX")</f>
        <v>Explore in ECOTOX</v>
      </c>
    </row>
    <row r="4671" spans="1:18" x14ac:dyDescent="0.45">
      <c r="A4671" t="s">
        <v>1265</v>
      </c>
      <c r="B4671">
        <v>8</v>
      </c>
      <c r="C4671" t="str">
        <f>HYPERLINK("http://www.ncbi.nlm.nih.gov/protein/AEH99088.1","AEH99088.1")</f>
        <v>AEH99088.1</v>
      </c>
      <c r="D4671">
        <v>261</v>
      </c>
      <c r="E4671" t="str">
        <f>HYPERLINK("http://www.ncbi.nlm.nih.gov/Taxonomy/Browser/wwwtax.cgi?mode=Info&amp;id=51138&amp;lvl=3&amp;lin=f&amp;keep=1&amp;srchmode=1&amp;unlock","51138")</f>
        <v>51138</v>
      </c>
      <c r="F4671" t="s">
        <v>17</v>
      </c>
      <c r="G4671" t="str">
        <f>HYPERLINK("http://www.ncbi.nlm.nih.gov/Taxonomy/Browser/wwwtax.cgi?mode=Info&amp;id=51138&amp;lvl=3&amp;lin=f&amp;keep=1&amp;srchmode=1&amp;unlock","Pimephales notatus")</f>
        <v>Pimephales notatus</v>
      </c>
      <c r="H4671" t="s">
        <v>1336</v>
      </c>
      <c r="I4671" t="str">
        <f>HYPERLINK("http://www.ncbi.nlm.nih.gov/protein/AEH99088.1","ryanodine receptor 3-like protein, partial")</f>
        <v>ryanodine receptor 3-like protein, partial</v>
      </c>
      <c r="J4671">
        <v>446.43</v>
      </c>
      <c r="K4671" t="s">
        <v>22</v>
      </c>
      <c r="L4671">
        <v>76</v>
      </c>
      <c r="M4671">
        <v>12.58</v>
      </c>
      <c r="N4671">
        <v>4.3899999999999997</v>
      </c>
      <c r="O4671" t="s">
        <v>19</v>
      </c>
      <c r="P4671" t="s">
        <v>1320</v>
      </c>
      <c r="Q4671" t="s">
        <v>19</v>
      </c>
      <c r="R4671" t="str">
        <f>HYPERLINK("https://cfpub.epa.gov/ecotox/explore.cfm?ncbi=51138","Explore in ECOTOX")</f>
        <v>Explore in ECOTOX</v>
      </c>
    </row>
    <row r="4672" spans="1:18" x14ac:dyDescent="0.45">
      <c r="A4672" t="s">
        <v>1265</v>
      </c>
      <c r="B4672">
        <v>8</v>
      </c>
      <c r="C4672" t="str">
        <f>HYPERLINK("http://www.ncbi.nlm.nih.gov/protein/BAS02786.1","BAS02786.1")</f>
        <v>BAS02786.1</v>
      </c>
      <c r="D4672">
        <v>185</v>
      </c>
      <c r="E4672" t="str">
        <f>HYPERLINK("http://www.ncbi.nlm.nih.gov/Taxonomy/Browser/wwwtax.cgi?mode=Info&amp;id=418128&amp;lvl=3&amp;lin=f&amp;keep=1&amp;srchmode=1&amp;unlock","418128")</f>
        <v>418128</v>
      </c>
      <c r="F4672" t="s">
        <v>17</v>
      </c>
      <c r="G4672" t="str">
        <f>HYPERLINK("http://www.ncbi.nlm.nih.gov/Taxonomy/Browser/wwwtax.cgi?mode=Info&amp;id=418128&amp;lvl=3&amp;lin=f&amp;keep=1&amp;srchmode=1&amp;unlock","Pseudogobio esocinus")</f>
        <v>Pseudogobio esocinus</v>
      </c>
      <c r="H4672" t="s">
        <v>1337</v>
      </c>
      <c r="I4672" t="str">
        <f>HYPERLINK("http://www.ncbi.nlm.nih.gov/protein/BAS02786.1","ryanodine receptor 3-like protein, partial")</f>
        <v>ryanodine receptor 3-like protein, partial</v>
      </c>
      <c r="J4672">
        <v>446.05</v>
      </c>
      <c r="K4672" t="s">
        <v>22</v>
      </c>
      <c r="L4672">
        <v>76</v>
      </c>
      <c r="M4672">
        <v>12.58</v>
      </c>
      <c r="N4672">
        <v>4.3899999999999997</v>
      </c>
      <c r="O4672" t="s">
        <v>19</v>
      </c>
      <c r="P4672" t="s">
        <v>1320</v>
      </c>
      <c r="Q4672" t="s">
        <v>19</v>
      </c>
      <c r="R4672" t="str">
        <f>HYPERLINK("https://cfpub.epa.gov/ecotox/explore.cfm?ncbi=418128","Explore in ECOTOX")</f>
        <v>Explore in ECOTOX</v>
      </c>
    </row>
    <row r="4673" spans="1:18" x14ac:dyDescent="0.45">
      <c r="A4673" t="s">
        <v>1265</v>
      </c>
      <c r="B4673">
        <v>8</v>
      </c>
      <c r="C4673" t="str">
        <f>HYPERLINK("http://www.ncbi.nlm.nih.gov/protein/ABV64920.1","ABV64920.1")</f>
        <v>ABV64920.1</v>
      </c>
      <c r="D4673">
        <v>193</v>
      </c>
      <c r="E4673" t="str">
        <f>HYPERLINK("http://www.ncbi.nlm.nih.gov/Taxonomy/Browser/wwwtax.cgi?mode=Info&amp;id=28800&amp;lvl=3&amp;lin=f&amp;keep=1&amp;srchmode=1&amp;unlock","28800")</f>
        <v>28800</v>
      </c>
      <c r="F4673" t="s">
        <v>17</v>
      </c>
      <c r="G4673" t="str">
        <f>HYPERLINK("http://www.ncbi.nlm.nih.gov/Taxonomy/Browser/wwwtax.cgi?mode=Info&amp;id=28800&amp;lvl=3&amp;lin=f&amp;keep=1&amp;srchmode=1&amp;unlock","Notemigonus crysoleucas")</f>
        <v>Notemigonus crysoleucas</v>
      </c>
      <c r="H4673" t="s">
        <v>1338</v>
      </c>
      <c r="I4673" t="str">
        <f>HYPERLINK("http://www.ncbi.nlm.nih.gov/protein/ABV64920.1","ryanodine receptor 3-like protein, partial")</f>
        <v>ryanodine receptor 3-like protein, partial</v>
      </c>
      <c r="J4673">
        <v>446.05</v>
      </c>
      <c r="K4673" t="s">
        <v>22</v>
      </c>
      <c r="L4673">
        <v>76</v>
      </c>
      <c r="M4673">
        <v>12.58</v>
      </c>
      <c r="N4673">
        <v>4.3899999999999997</v>
      </c>
      <c r="O4673" t="s">
        <v>19</v>
      </c>
      <c r="P4673" t="s">
        <v>1320</v>
      </c>
      <c r="Q4673" t="s">
        <v>19</v>
      </c>
      <c r="R4673" t="str">
        <f>HYPERLINK("https://cfpub.epa.gov/ecotox/explore.cfm?ncbi=28800","Explore in ECOTOX")</f>
        <v>Explore in ECOTOX</v>
      </c>
    </row>
    <row r="4674" spans="1:18" x14ac:dyDescent="0.45">
      <c r="A4674" t="s">
        <v>1265</v>
      </c>
      <c r="B4674">
        <v>8</v>
      </c>
      <c r="C4674" t="str">
        <f>HYPERLINK("http://www.ncbi.nlm.nih.gov/protein/AEH99092.1","AEH99092.1")</f>
        <v>AEH99092.1</v>
      </c>
      <c r="D4674">
        <v>12</v>
      </c>
      <c r="E4674" t="str">
        <f>HYPERLINK("http://www.ncbi.nlm.nih.gov/Taxonomy/Browser/wwwtax.cgi?mode=Info&amp;id=51133&amp;lvl=3&amp;lin=f&amp;keep=1&amp;srchmode=1&amp;unlock","51133")</f>
        <v>51133</v>
      </c>
      <c r="F4674" t="s">
        <v>17</v>
      </c>
      <c r="G4674" t="str">
        <f>HYPERLINK("http://www.ncbi.nlm.nih.gov/Taxonomy/Browser/wwwtax.cgi?mode=Info&amp;id=51133&amp;lvl=3&amp;lin=f&amp;keep=1&amp;srchmode=1&amp;unlock","Luxilus coccogenis")</f>
        <v>Luxilus coccogenis</v>
      </c>
      <c r="H4674" t="s">
        <v>21</v>
      </c>
      <c r="I4674" t="str">
        <f>HYPERLINK("http://www.ncbi.nlm.nih.gov/protein/AEH99092.1","ryanodine receptor 3-like protein, partial")</f>
        <v>ryanodine receptor 3-like protein, partial</v>
      </c>
      <c r="J4674">
        <v>445.28</v>
      </c>
      <c r="K4674" t="s">
        <v>22</v>
      </c>
      <c r="L4674">
        <v>76</v>
      </c>
      <c r="M4674">
        <v>12.58</v>
      </c>
      <c r="N4674">
        <v>4.38</v>
      </c>
      <c r="O4674" t="s">
        <v>19</v>
      </c>
      <c r="P4674" t="s">
        <v>1320</v>
      </c>
      <c r="Q4674" t="s">
        <v>19</v>
      </c>
      <c r="R4674" t="str">
        <f>HYPERLINK("https://cfpub.epa.gov/ecotox/explore.cfm?ncbi=51133","Explore in ECOTOX")</f>
        <v>Explore in ECOTOX</v>
      </c>
    </row>
    <row r="4675" spans="1:18" x14ac:dyDescent="0.45">
      <c r="A4675" t="s">
        <v>1265</v>
      </c>
      <c r="B4675">
        <v>8</v>
      </c>
      <c r="C4675" t="str">
        <f>HYPERLINK("http://www.ncbi.nlm.nih.gov/protein/AEH99098.1","AEH99098.1")</f>
        <v>AEH99098.1</v>
      </c>
      <c r="D4675">
        <v>62</v>
      </c>
      <c r="E4675" t="str">
        <f>HYPERLINK("http://www.ncbi.nlm.nih.gov/Taxonomy/Browser/wwwtax.cgi?mode=Info&amp;id=85566&amp;lvl=3&amp;lin=f&amp;keep=1&amp;srchmode=1&amp;unlock","85566")</f>
        <v>85566</v>
      </c>
      <c r="F4675" t="s">
        <v>17</v>
      </c>
      <c r="G4675" t="str">
        <f>HYPERLINK("http://www.ncbi.nlm.nih.gov/Taxonomy/Browser/wwwtax.cgi?mode=Info&amp;id=85566&amp;lvl=3&amp;lin=f&amp;keep=1&amp;srchmode=1&amp;unlock","Erimystax dissimilis")</f>
        <v>Erimystax dissimilis</v>
      </c>
      <c r="H4675" t="s">
        <v>1339</v>
      </c>
      <c r="I4675" t="str">
        <f>HYPERLINK("http://www.ncbi.nlm.nih.gov/protein/AEH99098.1","ryanodine receptor 3-like protein, partial")</f>
        <v>ryanodine receptor 3-like protein, partial</v>
      </c>
      <c r="J4675">
        <v>444.89</v>
      </c>
      <c r="K4675" t="s">
        <v>22</v>
      </c>
      <c r="L4675">
        <v>76</v>
      </c>
      <c r="M4675">
        <v>12.58</v>
      </c>
      <c r="N4675">
        <v>4.38</v>
      </c>
      <c r="O4675" t="s">
        <v>19</v>
      </c>
      <c r="P4675" t="s">
        <v>1320</v>
      </c>
      <c r="Q4675" t="s">
        <v>19</v>
      </c>
      <c r="R4675" t="str">
        <f>HYPERLINK("https://cfpub.epa.gov/ecotox/explore.cfm?ncbi=85566","Explore in ECOTOX")</f>
        <v>Explore in ECOTOX</v>
      </c>
    </row>
    <row r="4676" spans="1:18" x14ac:dyDescent="0.45">
      <c r="A4676" t="s">
        <v>1265</v>
      </c>
      <c r="B4676">
        <v>8</v>
      </c>
      <c r="C4676" t="str">
        <f>HYPERLINK("http://www.ncbi.nlm.nih.gov/protein/AEH99083.1","AEH99083.1")</f>
        <v>AEH99083.1</v>
      </c>
      <c r="D4676">
        <v>82</v>
      </c>
      <c r="E4676" t="str">
        <f>HYPERLINK("http://www.ncbi.nlm.nih.gov/Taxonomy/Browser/wwwtax.cgi?mode=Info&amp;id=364065&amp;lvl=3&amp;lin=f&amp;keep=1&amp;srchmode=1&amp;unlock","364065")</f>
        <v>364065</v>
      </c>
      <c r="F4676" t="s">
        <v>17</v>
      </c>
      <c r="G4676" t="str">
        <f>HYPERLINK("http://www.ncbi.nlm.nih.gov/Taxonomy/Browser/wwwtax.cgi?mode=Info&amp;id=364065&amp;lvl=3&amp;lin=f&amp;keep=1&amp;srchmode=1&amp;unlock","Campostoma oligolepis")</f>
        <v>Campostoma oligolepis</v>
      </c>
      <c r="H4676" t="s">
        <v>1340</v>
      </c>
      <c r="I4676" t="str">
        <f>HYPERLINK("http://www.ncbi.nlm.nih.gov/protein/AEH99083.1","ryanodine receptor 3-like protein, partial")</f>
        <v>ryanodine receptor 3-like protein, partial</v>
      </c>
      <c r="J4676">
        <v>444.89</v>
      </c>
      <c r="K4676" t="s">
        <v>22</v>
      </c>
      <c r="L4676">
        <v>76</v>
      </c>
      <c r="M4676">
        <v>12.58</v>
      </c>
      <c r="N4676">
        <v>4.38</v>
      </c>
      <c r="O4676" t="s">
        <v>19</v>
      </c>
      <c r="P4676" t="s">
        <v>1320</v>
      </c>
      <c r="Q4676" t="s">
        <v>19</v>
      </c>
      <c r="R4676" t="str">
        <f>HYPERLINK("https://cfpub.epa.gov/ecotox/explore.cfm?ncbi=364065","Explore in ECOTOX")</f>
        <v>Explore in ECOTOX</v>
      </c>
    </row>
    <row r="4677" spans="1:18" x14ac:dyDescent="0.45">
      <c r="A4677" t="s">
        <v>1265</v>
      </c>
      <c r="B4677">
        <v>8</v>
      </c>
      <c r="C4677" t="str">
        <f>HYPERLINK("http://www.ncbi.nlm.nih.gov/protein/AFQ97664.1","AFQ97664.1")</f>
        <v>AFQ97664.1</v>
      </c>
      <c r="D4677">
        <v>8</v>
      </c>
      <c r="E4677" t="str">
        <f>HYPERLINK("http://www.ncbi.nlm.nih.gov/Taxonomy/Browser/wwwtax.cgi?mode=Info&amp;id=1227733&amp;lvl=3&amp;lin=f&amp;keep=1&amp;srchmode=1&amp;unlock","1227733")</f>
        <v>1227733</v>
      </c>
      <c r="F4677" t="s">
        <v>17</v>
      </c>
      <c r="G4677" t="str">
        <f>HYPERLINK("http://www.ncbi.nlm.nih.gov/Taxonomy/Browser/wwwtax.cgi?mode=Info&amp;id=1227733&amp;lvl=3&amp;lin=f&amp;keep=1&amp;srchmode=1&amp;unlock","Scleropages sp. CF-2012")</f>
        <v>Scleropages sp. CF-2012</v>
      </c>
      <c r="H4677" t="s">
        <v>1275</v>
      </c>
      <c r="I4677" t="str">
        <f>HYPERLINK("http://www.ncbi.nlm.nih.gov/protein/AFQ97664.1","ryanodine receptor 3-like protein, partial")</f>
        <v>ryanodine receptor 3-like protein, partial</v>
      </c>
      <c r="J4677">
        <v>443.74</v>
      </c>
      <c r="K4677" t="s">
        <v>22</v>
      </c>
      <c r="L4677">
        <v>76</v>
      </c>
      <c r="M4677">
        <v>12.58</v>
      </c>
      <c r="N4677">
        <v>4.37</v>
      </c>
      <c r="O4677" t="s">
        <v>19</v>
      </c>
      <c r="P4677" t="s">
        <v>1320</v>
      </c>
      <c r="Q4677" t="s">
        <v>19</v>
      </c>
      <c r="R4677" t="str">
        <f>HYPERLINK("https://cfpub.epa.gov/ecotox/explore.cfm?ncbi=1227733","Explore in ECOTOX")</f>
        <v>Explore in ECOTOX</v>
      </c>
    </row>
    <row r="4678" spans="1:18" x14ac:dyDescent="0.45">
      <c r="A4678" t="s">
        <v>1265</v>
      </c>
      <c r="B4678">
        <v>8</v>
      </c>
      <c r="C4678" t="str">
        <f>HYPERLINK("http://www.ncbi.nlm.nih.gov/protein/VDK17998.1","VDK17998.1")</f>
        <v>VDK17998.1</v>
      </c>
      <c r="D4678">
        <v>21582</v>
      </c>
      <c r="E4678" t="str">
        <f>HYPERLINK("http://www.ncbi.nlm.nih.gov/Taxonomy/Browser/wwwtax.cgi?mode=Info&amp;id=6269&amp;lvl=3&amp;lin=f&amp;keep=1&amp;srchmode=1&amp;unlock","6269")</f>
        <v>6269</v>
      </c>
      <c r="F4678" t="s">
        <v>1024</v>
      </c>
      <c r="G4678" t="str">
        <f>HYPERLINK("http://www.ncbi.nlm.nih.gov/Taxonomy/Browser/wwwtax.cgi?mode=Info&amp;id=6269&amp;lvl=3&amp;lin=f&amp;keep=1&amp;srchmode=1&amp;unlock","Anisakis simplex")</f>
        <v>Anisakis simplex</v>
      </c>
      <c r="H4678" t="s">
        <v>1216</v>
      </c>
      <c r="I4678" t="str">
        <f>HYPERLINK("http://www.ncbi.nlm.nih.gov/protein/VDK17998.1","unnamed protein product")</f>
        <v>unnamed protein product</v>
      </c>
      <c r="J4678">
        <v>443.74</v>
      </c>
      <c r="K4678" t="s">
        <v>22</v>
      </c>
      <c r="L4678">
        <v>76</v>
      </c>
      <c r="M4678">
        <v>12.58</v>
      </c>
      <c r="N4678">
        <v>4.37</v>
      </c>
      <c r="O4678" t="s">
        <v>19</v>
      </c>
      <c r="P4678" t="s">
        <v>1320</v>
      </c>
      <c r="Q4678" t="s">
        <v>19</v>
      </c>
      <c r="R4678" t="str">
        <f>HYPERLINK("https://cfpub.epa.gov/ecotox/explore.cfm?ncbi=6269","Explore in ECOTOX")</f>
        <v>Explore in ECOTOX</v>
      </c>
    </row>
    <row r="4679" spans="1:18" x14ac:dyDescent="0.45">
      <c r="A4679" t="s">
        <v>1265</v>
      </c>
      <c r="B4679">
        <v>8</v>
      </c>
      <c r="C4679" t="str">
        <f>HYPERLINK("http://www.ncbi.nlm.nih.gov/protein/ARQ83133.1","ARQ83133.1")</f>
        <v>ARQ83133.1</v>
      </c>
      <c r="D4679">
        <v>89</v>
      </c>
      <c r="E4679" t="str">
        <f>HYPERLINK("http://www.ncbi.nlm.nih.gov/Taxonomy/Browser/wwwtax.cgi?mode=Info&amp;id=113541&amp;lvl=3&amp;lin=f&amp;keep=1&amp;srchmode=1&amp;unlock","113541")</f>
        <v>113541</v>
      </c>
      <c r="F4679" t="s">
        <v>17</v>
      </c>
      <c r="G4679" t="str">
        <f>HYPERLINK("http://www.ncbi.nlm.nih.gov/Taxonomy/Browser/wwwtax.cgi?mode=Info&amp;id=113541&amp;lvl=3&amp;lin=f&amp;keep=1&amp;srchmode=1&amp;unlock","Scleropages jardinii")</f>
        <v>Scleropages jardinii</v>
      </c>
      <c r="H4679" t="s">
        <v>1276</v>
      </c>
      <c r="I4679" t="str">
        <f>HYPERLINK("http://www.ncbi.nlm.nih.gov/protein/ARQ83133.1","ryanodine receptor 3-like protein, partial")</f>
        <v>ryanodine receptor 3-like protein, partial</v>
      </c>
      <c r="J4679">
        <v>442.96</v>
      </c>
      <c r="K4679" t="s">
        <v>22</v>
      </c>
      <c r="L4679">
        <v>76</v>
      </c>
      <c r="M4679">
        <v>12.58</v>
      </c>
      <c r="N4679">
        <v>4.3600000000000003</v>
      </c>
      <c r="O4679" t="s">
        <v>19</v>
      </c>
      <c r="P4679" t="s">
        <v>1320</v>
      </c>
      <c r="Q4679" t="s">
        <v>19</v>
      </c>
      <c r="R4679" t="str">
        <f>HYPERLINK("https://cfpub.epa.gov/ecotox/explore.cfm?ncbi=113541","Explore in ECOTOX")</f>
        <v>Explore in ECOTOX</v>
      </c>
    </row>
    <row r="4680" spans="1:18" x14ac:dyDescent="0.45">
      <c r="A4680" t="s">
        <v>1265</v>
      </c>
      <c r="B4680">
        <v>8</v>
      </c>
      <c r="C4680" t="str">
        <f>HYPERLINK("http://www.ncbi.nlm.nih.gov/protein/AEH99089.1","AEH99089.1")</f>
        <v>AEH99089.1</v>
      </c>
      <c r="D4680">
        <v>22</v>
      </c>
      <c r="E4680" t="str">
        <f>HYPERLINK("http://www.ncbi.nlm.nih.gov/Taxonomy/Browser/wwwtax.cgi?mode=Info&amp;id=354136&amp;lvl=3&amp;lin=f&amp;keep=1&amp;srchmode=1&amp;unlock","354136")</f>
        <v>354136</v>
      </c>
      <c r="F4680" t="s">
        <v>17</v>
      </c>
      <c r="G4680" t="str">
        <f>HYPERLINK("http://www.ncbi.nlm.nih.gov/Taxonomy/Browser/wwwtax.cgi?mode=Info&amp;id=354136&amp;lvl=3&amp;lin=f&amp;keep=1&amp;srchmode=1&amp;unlock","Lythrurus fasciolaris")</f>
        <v>Lythrurus fasciolaris</v>
      </c>
      <c r="H4680" t="s">
        <v>1341</v>
      </c>
      <c r="I4680" t="str">
        <f>HYPERLINK("http://www.ncbi.nlm.nih.gov/protein/AEH99089.1","ryanodine receptor 3-like protein, partial")</f>
        <v>ryanodine receptor 3-like protein, partial</v>
      </c>
      <c r="J4680">
        <v>441.04</v>
      </c>
      <c r="K4680" t="s">
        <v>22</v>
      </c>
      <c r="L4680">
        <v>76</v>
      </c>
      <c r="M4680">
        <v>12.58</v>
      </c>
      <c r="N4680">
        <v>4.34</v>
      </c>
      <c r="O4680" t="s">
        <v>19</v>
      </c>
      <c r="P4680" t="s">
        <v>1320</v>
      </c>
      <c r="Q4680" t="s">
        <v>19</v>
      </c>
      <c r="R4680" t="str">
        <f>HYPERLINK("https://cfpub.epa.gov/ecotox/explore.cfm?ncbi=354136","Explore in ECOTOX")</f>
        <v>Explore in ECOTOX</v>
      </c>
    </row>
    <row r="4681" spans="1:18" x14ac:dyDescent="0.45">
      <c r="A4681" t="s">
        <v>1265</v>
      </c>
      <c r="B4681">
        <v>8</v>
      </c>
      <c r="C4681" t="str">
        <f>HYPERLINK("http://www.ncbi.nlm.nih.gov/protein/AEH99087.1","AEH99087.1")</f>
        <v>AEH99087.1</v>
      </c>
      <c r="D4681">
        <v>17</v>
      </c>
      <c r="E4681" t="str">
        <f>HYPERLINK("http://www.ncbi.nlm.nih.gov/Taxonomy/Browser/wwwtax.cgi?mode=Info&amp;id=87710&amp;lvl=3&amp;lin=f&amp;keep=1&amp;srchmode=1&amp;unlock","87710")</f>
        <v>87710</v>
      </c>
      <c r="F4681" t="s">
        <v>17</v>
      </c>
      <c r="G4681" t="str">
        <f>HYPERLINK("http://www.ncbi.nlm.nih.gov/Taxonomy/Browser/wwwtax.cgi?mode=Info&amp;id=87710&amp;lvl=3&amp;lin=f&amp;keep=1&amp;srchmode=1&amp;unlock","Cyprinella callistia")</f>
        <v>Cyprinella callistia</v>
      </c>
      <c r="H4681" t="s">
        <v>1342</v>
      </c>
      <c r="I4681" t="str">
        <f>HYPERLINK("http://www.ncbi.nlm.nih.gov/protein/AEH99087.1","ryanodine receptor 3-like protein, partial")</f>
        <v>ryanodine receptor 3-like protein, partial</v>
      </c>
      <c r="J4681">
        <v>439.88</v>
      </c>
      <c r="K4681" t="s">
        <v>22</v>
      </c>
      <c r="L4681">
        <v>76</v>
      </c>
      <c r="M4681">
        <v>12.58</v>
      </c>
      <c r="N4681">
        <v>4.33</v>
      </c>
      <c r="O4681" t="s">
        <v>19</v>
      </c>
      <c r="P4681" t="s">
        <v>1320</v>
      </c>
      <c r="Q4681" t="s">
        <v>19</v>
      </c>
      <c r="R4681" t="str">
        <f>HYPERLINK("https://cfpub.epa.gov/ecotox/explore.cfm?ncbi=87710","Explore in ECOTOX")</f>
        <v>Explore in ECOTOX</v>
      </c>
    </row>
    <row r="4682" spans="1:18" x14ac:dyDescent="0.45">
      <c r="A4682" t="s">
        <v>1265</v>
      </c>
      <c r="B4682">
        <v>8</v>
      </c>
      <c r="C4682" t="str">
        <f>HYPERLINK("http://www.ncbi.nlm.nih.gov/protein/ALX40458.1","ALX40458.1")</f>
        <v>ALX40458.1</v>
      </c>
      <c r="D4682">
        <v>168</v>
      </c>
      <c r="E4682" t="str">
        <f>HYPERLINK("http://www.ncbi.nlm.nih.gov/Taxonomy/Browser/wwwtax.cgi?mode=Info&amp;id=381606&amp;lvl=3&amp;lin=f&amp;keep=1&amp;srchmode=1&amp;unlock","381606")</f>
        <v>381606</v>
      </c>
      <c r="F4682" t="s">
        <v>17</v>
      </c>
      <c r="G4682" t="str">
        <f>HYPERLINK("http://www.ncbi.nlm.nih.gov/Taxonomy/Browser/wwwtax.cgi?mode=Info&amp;id=381606&amp;lvl=3&amp;lin=f&amp;keep=1&amp;srchmode=1&amp;unlock","Barbonymus gonionotus")</f>
        <v>Barbonymus gonionotus</v>
      </c>
      <c r="H4682" t="s">
        <v>1343</v>
      </c>
      <c r="I4682" t="str">
        <f>HYPERLINK("http://www.ncbi.nlm.nih.gov/protein/ALX40458.1","ryanodine receptor 3-like protein, partial")</f>
        <v>ryanodine receptor 3-like protein, partial</v>
      </c>
      <c r="J4682">
        <v>439.11</v>
      </c>
      <c r="K4682" t="s">
        <v>22</v>
      </c>
      <c r="L4682">
        <v>76</v>
      </c>
      <c r="M4682">
        <v>12.58</v>
      </c>
      <c r="N4682">
        <v>4.32</v>
      </c>
      <c r="O4682" t="s">
        <v>19</v>
      </c>
      <c r="P4682" t="s">
        <v>1320</v>
      </c>
      <c r="Q4682" t="s">
        <v>19</v>
      </c>
      <c r="R4682" t="str">
        <f>HYPERLINK("https://cfpub.epa.gov/ecotox/explore.cfm?ncbi=381606","Explore in ECOTOX")</f>
        <v>Explore in ECOTOX</v>
      </c>
    </row>
    <row r="4683" spans="1:18" x14ac:dyDescent="0.45">
      <c r="A4683" t="s">
        <v>1265</v>
      </c>
      <c r="B4683">
        <v>8</v>
      </c>
      <c r="C4683" t="str">
        <f>HYPERLINK("http://www.ncbi.nlm.nih.gov/protein/ALX40486.1","ALX40486.1")</f>
        <v>ALX40486.1</v>
      </c>
      <c r="D4683">
        <v>51</v>
      </c>
      <c r="E4683" t="str">
        <f>HYPERLINK("http://www.ncbi.nlm.nih.gov/Taxonomy/Browser/wwwtax.cgi?mode=Info&amp;id=319226&amp;lvl=3&amp;lin=f&amp;keep=1&amp;srchmode=1&amp;unlock","319226")</f>
        <v>319226</v>
      </c>
      <c r="F4683" t="s">
        <v>17</v>
      </c>
      <c r="G4683" t="str">
        <f>HYPERLINK("http://www.ncbi.nlm.nih.gov/Taxonomy/Browser/wwwtax.cgi?mode=Info&amp;id=319226&amp;lvl=3&amp;lin=f&amp;keep=1&amp;srchmode=1&amp;unlock","Rhynchocypris percnurus sachalinensis")</f>
        <v>Rhynchocypris percnurus sachalinensis</v>
      </c>
      <c r="H4683" t="s">
        <v>1344</v>
      </c>
      <c r="I4683" t="str">
        <f>HYPERLINK("http://www.ncbi.nlm.nih.gov/protein/ALX40486.1","ryanodine receptor 3-like protein, partial")</f>
        <v>ryanodine receptor 3-like protein, partial</v>
      </c>
      <c r="J4683">
        <v>438.73</v>
      </c>
      <c r="K4683" t="s">
        <v>22</v>
      </c>
      <c r="L4683">
        <v>76</v>
      </c>
      <c r="M4683">
        <v>12.58</v>
      </c>
      <c r="N4683">
        <v>4.32</v>
      </c>
      <c r="O4683" t="s">
        <v>19</v>
      </c>
      <c r="P4683" t="s">
        <v>1320</v>
      </c>
      <c r="Q4683" t="s">
        <v>19</v>
      </c>
      <c r="R4683" t="str">
        <f>HYPERLINK("https://cfpub.epa.gov/ecotox/explore.cfm?ncbi=319226","Explore in ECOTOX")</f>
        <v>Explore in ECOTOX</v>
      </c>
    </row>
    <row r="4684" spans="1:18" x14ac:dyDescent="0.45">
      <c r="A4684" t="s">
        <v>1265</v>
      </c>
      <c r="B4684">
        <v>8</v>
      </c>
      <c r="C4684" t="str">
        <f>HYPERLINK("http://www.ncbi.nlm.nih.gov/protein/ALX40441.1","ALX40441.1")</f>
        <v>ALX40441.1</v>
      </c>
      <c r="D4684">
        <v>61</v>
      </c>
      <c r="E4684" t="str">
        <f>HYPERLINK("http://www.ncbi.nlm.nih.gov/Taxonomy/Browser/wwwtax.cgi?mode=Info&amp;id=278179&amp;lvl=3&amp;lin=f&amp;keep=1&amp;srchmode=1&amp;unlock","278179")</f>
        <v>278179</v>
      </c>
      <c r="F4684" t="s">
        <v>17</v>
      </c>
      <c r="G4684" t="str">
        <f>HYPERLINK("http://www.ncbi.nlm.nih.gov/Taxonomy/Browser/wwwtax.cgi?mode=Info&amp;id=278179&amp;lvl=3&amp;lin=f&amp;keep=1&amp;srchmode=1&amp;unlock","Leptobotia pellegrini")</f>
        <v>Leptobotia pellegrini</v>
      </c>
      <c r="H4684" t="s">
        <v>21</v>
      </c>
      <c r="I4684" t="str">
        <f>HYPERLINK("http://www.ncbi.nlm.nih.gov/protein/ALX40441.1","ryanodine receptor 3-like protein, partial")</f>
        <v>ryanodine receptor 3-like protein, partial</v>
      </c>
      <c r="J4684">
        <v>437.57</v>
      </c>
      <c r="K4684" t="s">
        <v>22</v>
      </c>
      <c r="L4684">
        <v>76</v>
      </c>
      <c r="M4684">
        <v>12.58</v>
      </c>
      <c r="N4684">
        <v>4.3099999999999996</v>
      </c>
      <c r="O4684" t="s">
        <v>19</v>
      </c>
      <c r="P4684" t="s">
        <v>1320</v>
      </c>
      <c r="Q4684" t="s">
        <v>19</v>
      </c>
      <c r="R4684" t="str">
        <f>HYPERLINK("https://cfpub.epa.gov/ecotox/explore.cfm?ncbi=278179","Explore in ECOTOX")</f>
        <v>Explore in ECOTOX</v>
      </c>
    </row>
    <row r="4685" spans="1:18" x14ac:dyDescent="0.45">
      <c r="A4685" t="s">
        <v>1265</v>
      </c>
      <c r="B4685">
        <v>8</v>
      </c>
      <c r="C4685" t="str">
        <f>HYPERLINK("http://www.ncbi.nlm.nih.gov/protein/ALX40488.1","ALX40488.1")</f>
        <v>ALX40488.1</v>
      </c>
      <c r="D4685">
        <v>29</v>
      </c>
      <c r="E4685" t="str">
        <f>HYPERLINK("http://www.ncbi.nlm.nih.gov/Taxonomy/Browser/wwwtax.cgi?mode=Info&amp;id=644345&amp;lvl=3&amp;lin=f&amp;keep=1&amp;srchmode=1&amp;unlock","644345")</f>
        <v>644345</v>
      </c>
      <c r="F4685" t="s">
        <v>17</v>
      </c>
      <c r="G4685" t="str">
        <f>HYPERLINK("http://www.ncbi.nlm.nih.gov/Taxonomy/Browser/wwwtax.cgi?mode=Info&amp;id=644345&amp;lvl=3&amp;lin=f&amp;keep=1&amp;srchmode=1&amp;unlock","Tribolodon ezoe")</f>
        <v>Tribolodon ezoe</v>
      </c>
      <c r="H4685" t="s">
        <v>21</v>
      </c>
      <c r="I4685" t="str">
        <f>HYPERLINK("http://www.ncbi.nlm.nih.gov/protein/ALX40488.1","ryanodine receptor 3-like protein, partial")</f>
        <v>ryanodine receptor 3-like protein, partial</v>
      </c>
      <c r="J4685">
        <v>437.19</v>
      </c>
      <c r="K4685" t="s">
        <v>22</v>
      </c>
      <c r="L4685">
        <v>76</v>
      </c>
      <c r="M4685">
        <v>12.58</v>
      </c>
      <c r="N4685">
        <v>4.3</v>
      </c>
      <c r="O4685" t="s">
        <v>19</v>
      </c>
      <c r="P4685" t="s">
        <v>1320</v>
      </c>
      <c r="Q4685" t="s">
        <v>19</v>
      </c>
      <c r="R4685" t="str">
        <f>HYPERLINK("https://cfpub.epa.gov/ecotox/explore.cfm?ncbi=644345","Explore in ECOTOX")</f>
        <v>Explore in ECOTOX</v>
      </c>
    </row>
    <row r="4686" spans="1:18" x14ac:dyDescent="0.45">
      <c r="A4686" t="s">
        <v>1265</v>
      </c>
      <c r="B4686">
        <v>8</v>
      </c>
      <c r="C4686" t="str">
        <f>HYPERLINK("http://www.ncbi.nlm.nih.gov/protein/ABM22429.1","ABM22429.1")</f>
        <v>ABM22429.1</v>
      </c>
      <c r="D4686">
        <v>236</v>
      </c>
      <c r="E4686" t="str">
        <f>HYPERLINK("http://www.ncbi.nlm.nih.gov/Taxonomy/Browser/wwwtax.cgi?mode=Info&amp;id=67558&amp;lvl=3&amp;lin=f&amp;keep=1&amp;srchmode=1&amp;unlock","67558")</f>
        <v>67558</v>
      </c>
      <c r="F4686" t="s">
        <v>17</v>
      </c>
      <c r="G4686" t="str">
        <f>HYPERLINK("http://www.ncbi.nlm.nih.gov/Taxonomy/Browser/wwwtax.cgi?mode=Info&amp;id=67558&amp;lvl=3&amp;lin=f&amp;keep=1&amp;srchmode=1&amp;unlock","Semotilus atromaculatus")</f>
        <v>Semotilus atromaculatus</v>
      </c>
      <c r="H4686" t="s">
        <v>1345</v>
      </c>
      <c r="I4686" t="str">
        <f>HYPERLINK("http://www.ncbi.nlm.nih.gov/protein/ABM22429.1","ryanodine receptor 3-like protein, partial")</f>
        <v>ryanodine receptor 3-like protein, partial</v>
      </c>
      <c r="J4686">
        <v>436.03</v>
      </c>
      <c r="K4686" t="s">
        <v>22</v>
      </c>
      <c r="L4686">
        <v>76</v>
      </c>
      <c r="M4686">
        <v>12.58</v>
      </c>
      <c r="N4686">
        <v>4.29</v>
      </c>
      <c r="O4686" t="s">
        <v>19</v>
      </c>
      <c r="P4686" t="s">
        <v>1320</v>
      </c>
      <c r="Q4686" t="s">
        <v>19</v>
      </c>
      <c r="R4686" t="str">
        <f>HYPERLINK("https://cfpub.epa.gov/ecotox/explore.cfm?ncbi=67558","Explore in ECOTOX")</f>
        <v>Explore in ECOTOX</v>
      </c>
    </row>
    <row r="4687" spans="1:18" x14ac:dyDescent="0.45">
      <c r="A4687" t="s">
        <v>1265</v>
      </c>
      <c r="B4687">
        <v>8</v>
      </c>
      <c r="C4687" t="str">
        <f>HYPERLINK("http://www.ncbi.nlm.nih.gov/protein/ALX40453.1","ALX40453.1")</f>
        <v>ALX40453.1</v>
      </c>
      <c r="D4687">
        <v>73</v>
      </c>
      <c r="E4687" t="str">
        <f>HYPERLINK("http://www.ncbi.nlm.nih.gov/Taxonomy/Browser/wwwtax.cgi?mode=Info&amp;id=457510&amp;lvl=3&amp;lin=f&amp;keep=1&amp;srchmode=1&amp;unlock","457510")</f>
        <v>457510</v>
      </c>
      <c r="F4687" t="s">
        <v>17</v>
      </c>
      <c r="G4687" t="str">
        <f>HYPERLINK("http://www.ncbi.nlm.nih.gov/Taxonomy/Browser/wwwtax.cgi?mode=Info&amp;id=457510&amp;lvl=3&amp;lin=f&amp;keep=1&amp;srchmode=1&amp;unlock","Canthophrys gongota")</f>
        <v>Canthophrys gongota</v>
      </c>
      <c r="H4687" t="s">
        <v>1346</v>
      </c>
      <c r="I4687" t="str">
        <f>HYPERLINK("http://www.ncbi.nlm.nih.gov/protein/ALX40453.1","ryanodine receptor 3-like protein, partial")</f>
        <v>ryanodine receptor 3-like protein, partial</v>
      </c>
      <c r="J4687">
        <v>435.65</v>
      </c>
      <c r="K4687" t="s">
        <v>22</v>
      </c>
      <c r="L4687">
        <v>76</v>
      </c>
      <c r="M4687">
        <v>12.58</v>
      </c>
      <c r="N4687">
        <v>4.29</v>
      </c>
      <c r="O4687" t="s">
        <v>19</v>
      </c>
      <c r="P4687" t="s">
        <v>1320</v>
      </c>
      <c r="Q4687" t="s">
        <v>19</v>
      </c>
      <c r="R4687" t="str">
        <f>HYPERLINK("https://cfpub.epa.gov/ecotox/explore.cfm?ncbi=457510","Explore in ECOTOX")</f>
        <v>Explore in ECOTOX</v>
      </c>
    </row>
    <row r="4688" spans="1:18" x14ac:dyDescent="0.45">
      <c r="A4688" t="s">
        <v>1265</v>
      </c>
      <c r="B4688">
        <v>8</v>
      </c>
      <c r="C4688" t="str">
        <f>HYPERLINK("http://www.ncbi.nlm.nih.gov/protein/ALX40415.1","ALX40415.1")</f>
        <v>ALX40415.1</v>
      </c>
      <c r="D4688">
        <v>46</v>
      </c>
      <c r="E4688" t="str">
        <f>HYPERLINK("http://www.ncbi.nlm.nih.gov/Taxonomy/Browser/wwwtax.cgi?mode=Info&amp;id=516038&amp;lvl=3&amp;lin=f&amp;keep=1&amp;srchmode=1&amp;unlock","516038")</f>
        <v>516038</v>
      </c>
      <c r="F4688" t="s">
        <v>17</v>
      </c>
      <c r="G4688" t="str">
        <f>HYPERLINK("http://www.ncbi.nlm.nih.gov/Taxonomy/Browser/wwwtax.cgi?mode=Info&amp;id=516038&amp;lvl=3&amp;lin=f&amp;keep=1&amp;srchmode=1&amp;unlock","Sewellia lineolata")</f>
        <v>Sewellia lineolata</v>
      </c>
      <c r="H4688" t="s">
        <v>1347</v>
      </c>
      <c r="I4688" t="str">
        <f>HYPERLINK("http://www.ncbi.nlm.nih.gov/protein/ALX40415.1","ryanodine receptor 3-like protein, partial")</f>
        <v>ryanodine receptor 3-like protein, partial</v>
      </c>
      <c r="J4688">
        <v>435.26</v>
      </c>
      <c r="K4688" t="s">
        <v>22</v>
      </c>
      <c r="L4688">
        <v>76</v>
      </c>
      <c r="M4688">
        <v>12.58</v>
      </c>
      <c r="N4688">
        <v>4.28</v>
      </c>
      <c r="O4688" t="s">
        <v>19</v>
      </c>
      <c r="P4688" t="s">
        <v>1320</v>
      </c>
      <c r="Q4688" t="s">
        <v>19</v>
      </c>
      <c r="R4688" t="str">
        <f>HYPERLINK("https://cfpub.epa.gov/ecotox/explore.cfm?ncbi=516038","Explore in ECOTOX")</f>
        <v>Explore in ECOTOX</v>
      </c>
    </row>
    <row r="4689" spans="1:18" x14ac:dyDescent="0.45">
      <c r="A4689" t="s">
        <v>1265</v>
      </c>
      <c r="B4689">
        <v>8</v>
      </c>
      <c r="C4689" t="str">
        <f>HYPERLINK("http://www.ncbi.nlm.nih.gov/protein/ABV64914.1","ABV64914.1")</f>
        <v>ABV64914.1</v>
      </c>
      <c r="D4689">
        <v>119</v>
      </c>
      <c r="E4689" t="str">
        <f>HYPERLINK("http://www.ncbi.nlm.nih.gov/Taxonomy/Browser/wwwtax.cgi?mode=Info&amp;id=54904&amp;lvl=3&amp;lin=f&amp;keep=1&amp;srchmode=1&amp;unlock","54904")</f>
        <v>54904</v>
      </c>
      <c r="F4689" t="s">
        <v>17</v>
      </c>
      <c r="G4689" t="str">
        <f>HYPERLINK("http://www.ncbi.nlm.nih.gov/Taxonomy/Browser/wwwtax.cgi?mode=Info&amp;id=54904&amp;lvl=3&amp;lin=f&amp;keep=1&amp;srchmode=1&amp;unlock","Hiodon alosoides")</f>
        <v>Hiodon alosoides</v>
      </c>
      <c r="H4689" t="s">
        <v>1348</v>
      </c>
      <c r="I4689" t="str">
        <f>HYPERLINK("http://www.ncbi.nlm.nih.gov/protein/ABV64914.1","ryanodine receptor 3-like protein, partial")</f>
        <v>ryanodine receptor 3-like protein, partial</v>
      </c>
      <c r="J4689">
        <v>435.26</v>
      </c>
      <c r="K4689" t="s">
        <v>22</v>
      </c>
      <c r="L4689">
        <v>76</v>
      </c>
      <c r="M4689">
        <v>12.58</v>
      </c>
      <c r="N4689">
        <v>4.28</v>
      </c>
      <c r="O4689" t="s">
        <v>19</v>
      </c>
      <c r="P4689" t="s">
        <v>1320</v>
      </c>
      <c r="Q4689" t="s">
        <v>19</v>
      </c>
      <c r="R4689" t="str">
        <f>HYPERLINK("https://cfpub.epa.gov/ecotox/explore.cfm?ncbi=54904","Explore in ECOTOX")</f>
        <v>Explore in ECOTOX</v>
      </c>
    </row>
    <row r="4690" spans="1:18" x14ac:dyDescent="0.45">
      <c r="A4690" t="s">
        <v>1265</v>
      </c>
      <c r="B4690">
        <v>8</v>
      </c>
      <c r="C4690" t="str">
        <f>HYPERLINK("http://www.ncbi.nlm.nih.gov/protein/ALX40473.1","ALX40473.1")</f>
        <v>ALX40473.1</v>
      </c>
      <c r="D4690">
        <v>66</v>
      </c>
      <c r="E4690" t="str">
        <f>HYPERLINK("http://www.ncbi.nlm.nih.gov/Taxonomy/Browser/wwwtax.cgi?mode=Info&amp;id=381598&amp;lvl=3&amp;lin=f&amp;keep=1&amp;srchmode=1&amp;unlock","381598")</f>
        <v>381598</v>
      </c>
      <c r="F4690" t="s">
        <v>17</v>
      </c>
      <c r="G4690" t="str">
        <f>HYPERLINK("http://www.ncbi.nlm.nih.gov/Taxonomy/Browser/wwwtax.cgi?mode=Info&amp;id=381598&amp;lvl=3&amp;lin=f&amp;keep=1&amp;srchmode=1&amp;unlock","Labiobarbus lineatus")</f>
        <v>Labiobarbus lineatus</v>
      </c>
      <c r="H4690" t="s">
        <v>21</v>
      </c>
      <c r="I4690" t="str">
        <f>HYPERLINK("http://www.ncbi.nlm.nih.gov/protein/ALX40473.1","ryanodine receptor 3-like protein, partial")</f>
        <v>ryanodine receptor 3-like protein, partial</v>
      </c>
      <c r="J4690">
        <v>435.26</v>
      </c>
      <c r="K4690" t="s">
        <v>22</v>
      </c>
      <c r="L4690">
        <v>76</v>
      </c>
      <c r="M4690">
        <v>12.58</v>
      </c>
      <c r="N4690">
        <v>4.28</v>
      </c>
      <c r="O4690" t="s">
        <v>19</v>
      </c>
      <c r="P4690" t="s">
        <v>1320</v>
      </c>
      <c r="Q4690" t="s">
        <v>19</v>
      </c>
      <c r="R4690" t="str">
        <f>HYPERLINK("https://cfpub.epa.gov/ecotox/explore.cfm?ncbi=381598","Explore in ECOTOX")</f>
        <v>Explore in ECOTOX</v>
      </c>
    </row>
    <row r="4691" spans="1:18" x14ac:dyDescent="0.45">
      <c r="A4691" t="s">
        <v>1265</v>
      </c>
      <c r="B4691">
        <v>8</v>
      </c>
      <c r="C4691" t="str">
        <f>HYPERLINK("http://www.ncbi.nlm.nih.gov/protein/ALX40482.1","ALX40482.1")</f>
        <v>ALX40482.1</v>
      </c>
      <c r="D4691">
        <v>136</v>
      </c>
      <c r="E4691" t="str">
        <f>HYPERLINK("http://www.ncbi.nlm.nih.gov/Taxonomy/Browser/wwwtax.cgi?mode=Info&amp;id=354116&amp;lvl=3&amp;lin=f&amp;keep=1&amp;srchmode=1&amp;unlock","354116")</f>
        <v>354116</v>
      </c>
      <c r="F4691" t="s">
        <v>17</v>
      </c>
      <c r="G4691" t="str">
        <f>HYPERLINK("http://www.ncbi.nlm.nih.gov/Taxonomy/Browser/wwwtax.cgi?mode=Info&amp;id=354116&amp;lvl=3&amp;lin=f&amp;keep=1&amp;srchmode=1&amp;unlock","Coreoleuciscus splendidus")</f>
        <v>Coreoleuciscus splendidus</v>
      </c>
      <c r="H4691" t="s">
        <v>1349</v>
      </c>
      <c r="I4691" t="str">
        <f>HYPERLINK("http://www.ncbi.nlm.nih.gov/protein/ALX40482.1","ryanodine receptor 3-like protein, partial")</f>
        <v>ryanodine receptor 3-like protein, partial</v>
      </c>
      <c r="J4691">
        <v>435.26</v>
      </c>
      <c r="K4691" t="s">
        <v>22</v>
      </c>
      <c r="L4691">
        <v>76</v>
      </c>
      <c r="M4691">
        <v>12.58</v>
      </c>
      <c r="N4691">
        <v>4.28</v>
      </c>
      <c r="O4691" t="s">
        <v>19</v>
      </c>
      <c r="P4691" t="s">
        <v>1320</v>
      </c>
      <c r="Q4691" t="s">
        <v>19</v>
      </c>
      <c r="R4691" t="str">
        <f>HYPERLINK("https://cfpub.epa.gov/ecotox/explore.cfm?ncbi=354116","Explore in ECOTOX")</f>
        <v>Explore in ECOTOX</v>
      </c>
    </row>
    <row r="4692" spans="1:18" x14ac:dyDescent="0.45">
      <c r="A4692" t="s">
        <v>1265</v>
      </c>
      <c r="B4692">
        <v>8</v>
      </c>
      <c r="C4692" t="str">
        <f>HYPERLINK("http://www.ncbi.nlm.nih.gov/protein/ALX40477.1","ALX40477.1")</f>
        <v>ALX40477.1</v>
      </c>
      <c r="D4692">
        <v>13</v>
      </c>
      <c r="E4692" t="str">
        <f>HYPERLINK("http://www.ncbi.nlm.nih.gov/Taxonomy/Browser/wwwtax.cgi?mode=Info&amp;id=1778157&amp;lvl=3&amp;lin=f&amp;keep=1&amp;srchmode=1&amp;unlock","1778157")</f>
        <v>1778157</v>
      </c>
      <c r="F4692" t="s">
        <v>17</v>
      </c>
      <c r="G4692" t="str">
        <f>HYPERLINK("http://www.ncbi.nlm.nih.gov/Taxonomy/Browser/wwwtax.cgi?mode=Info&amp;id=1778157&amp;lvl=3&amp;lin=f&amp;keep=1&amp;srchmode=1&amp;unlock","Poropuntius sp. cypn21")</f>
        <v>Poropuntius sp. cypn21</v>
      </c>
      <c r="H4692" t="s">
        <v>21</v>
      </c>
      <c r="I4692" t="str">
        <f>HYPERLINK("http://www.ncbi.nlm.nih.gov/protein/ALX40477.1","ryanodine receptor 3-like protein, partial")</f>
        <v>ryanodine receptor 3-like protein, partial</v>
      </c>
      <c r="J4692">
        <v>434.49</v>
      </c>
      <c r="K4692" t="s">
        <v>22</v>
      </c>
      <c r="L4692">
        <v>76</v>
      </c>
      <c r="M4692">
        <v>12.58</v>
      </c>
      <c r="N4692">
        <v>4.28</v>
      </c>
      <c r="O4692" t="s">
        <v>19</v>
      </c>
      <c r="P4692" t="s">
        <v>1320</v>
      </c>
      <c r="Q4692" t="s">
        <v>19</v>
      </c>
      <c r="R4692" t="str">
        <f>HYPERLINK("https://cfpub.epa.gov/ecotox/explore.cfm?ncbi=1778157","Explore in ECOTOX")</f>
        <v>Explore in ECOTOX</v>
      </c>
    </row>
    <row r="4693" spans="1:18" x14ac:dyDescent="0.45">
      <c r="A4693" t="s">
        <v>1265</v>
      </c>
      <c r="B4693">
        <v>8</v>
      </c>
      <c r="C4693" t="str">
        <f>HYPERLINK("http://www.ncbi.nlm.nih.gov/protein/ALX40420.1","ALX40420.1")</f>
        <v>ALX40420.1</v>
      </c>
      <c r="D4693">
        <v>81</v>
      </c>
      <c r="E4693" t="str">
        <f>HYPERLINK("http://www.ncbi.nlm.nih.gov/Taxonomy/Browser/wwwtax.cgi?mode=Info&amp;id=278182&amp;lvl=3&amp;lin=f&amp;keep=1&amp;srchmode=1&amp;unlock","278182")</f>
        <v>278182</v>
      </c>
      <c r="F4693" t="s">
        <v>17</v>
      </c>
      <c r="G4693" t="str">
        <f>HYPERLINK("http://www.ncbi.nlm.nih.gov/Taxonomy/Browser/wwwtax.cgi?mode=Info&amp;id=278182&amp;lvl=3&amp;lin=f&amp;keep=1&amp;srchmode=1&amp;unlock","Sinogastromyzon szechuanensis")</f>
        <v>Sinogastromyzon szechuanensis</v>
      </c>
      <c r="H4693" t="s">
        <v>1350</v>
      </c>
      <c r="I4693" t="str">
        <f>HYPERLINK("http://www.ncbi.nlm.nih.gov/protein/ALX40420.1","ryanodine receptor 3-like protein, partial")</f>
        <v>ryanodine receptor 3-like protein, partial</v>
      </c>
      <c r="J4693">
        <v>434.49</v>
      </c>
      <c r="K4693" t="s">
        <v>22</v>
      </c>
      <c r="L4693">
        <v>76</v>
      </c>
      <c r="M4693">
        <v>12.58</v>
      </c>
      <c r="N4693">
        <v>4.28</v>
      </c>
      <c r="O4693" t="s">
        <v>19</v>
      </c>
      <c r="P4693" t="s">
        <v>1320</v>
      </c>
      <c r="Q4693" t="s">
        <v>19</v>
      </c>
      <c r="R4693" t="str">
        <f>HYPERLINK("https://cfpub.epa.gov/ecotox/explore.cfm?ncbi=278182","Explore in ECOTOX")</f>
        <v>Explore in ECOTOX</v>
      </c>
    </row>
    <row r="4694" spans="1:18" x14ac:dyDescent="0.45">
      <c r="A4694" t="s">
        <v>1265</v>
      </c>
      <c r="B4694">
        <v>8</v>
      </c>
      <c r="C4694" t="str">
        <f>HYPERLINK("http://www.ncbi.nlm.nih.gov/protein/ALX40479.1","ALX40479.1")</f>
        <v>ALX40479.1</v>
      </c>
      <c r="D4694">
        <v>51</v>
      </c>
      <c r="E4694" t="str">
        <f>HYPERLINK("http://www.ncbi.nlm.nih.gov/Taxonomy/Browser/wwwtax.cgi?mode=Info&amp;id=643353&amp;lvl=3&amp;lin=f&amp;keep=1&amp;srchmode=1&amp;unlock","643353")</f>
        <v>643353</v>
      </c>
      <c r="F4694" t="s">
        <v>17</v>
      </c>
      <c r="G4694" t="str">
        <f>HYPERLINK("http://www.ncbi.nlm.nih.gov/Taxonomy/Browser/wwwtax.cgi?mode=Info&amp;id=643353&amp;lvl=3&amp;lin=f&amp;keep=1&amp;srchmode=1&amp;unlock","Sikukia gudgeri")</f>
        <v>Sikukia gudgeri</v>
      </c>
      <c r="H4694" t="s">
        <v>21</v>
      </c>
      <c r="I4694" t="str">
        <f>HYPERLINK("http://www.ncbi.nlm.nih.gov/protein/ALX40479.1","ryanodine receptor 3-like protein, partial")</f>
        <v>ryanodine receptor 3-like protein, partial</v>
      </c>
      <c r="J4694">
        <v>434.49</v>
      </c>
      <c r="K4694" t="s">
        <v>22</v>
      </c>
      <c r="L4694">
        <v>76</v>
      </c>
      <c r="M4694">
        <v>12.58</v>
      </c>
      <c r="N4694">
        <v>4.28</v>
      </c>
      <c r="O4694" t="s">
        <v>19</v>
      </c>
      <c r="P4694" t="s">
        <v>1320</v>
      </c>
      <c r="Q4694" t="s">
        <v>19</v>
      </c>
      <c r="R4694" t="str">
        <f>HYPERLINK("https://cfpub.epa.gov/ecotox/explore.cfm?ncbi=643353","Explore in ECOTOX")</f>
        <v>Explore in ECOTOX</v>
      </c>
    </row>
    <row r="4695" spans="1:18" x14ac:dyDescent="0.45">
      <c r="A4695" t="s">
        <v>1265</v>
      </c>
      <c r="B4695">
        <v>8</v>
      </c>
      <c r="C4695" t="str">
        <f>HYPERLINK("http://www.ncbi.nlm.nih.gov/protein/ADV57116.1","ADV57116.1")</f>
        <v>ADV57116.1</v>
      </c>
      <c r="D4695">
        <v>130</v>
      </c>
      <c r="E4695" t="str">
        <f>HYPERLINK("http://www.ncbi.nlm.nih.gov/Taxonomy/Browser/wwwtax.cgi?mode=Info&amp;id=70546&amp;lvl=3&amp;lin=f&amp;keep=1&amp;srchmode=1&amp;unlock","70546")</f>
        <v>70546</v>
      </c>
      <c r="F4695" t="s">
        <v>17</v>
      </c>
      <c r="G4695" t="str">
        <f>HYPERLINK("http://www.ncbi.nlm.nih.gov/Taxonomy/Browser/wwwtax.cgi?mode=Info&amp;id=70546&amp;lvl=3&amp;lin=f&amp;keep=1&amp;srchmode=1&amp;unlock","Xenocypris argentea")</f>
        <v>Xenocypris argentea</v>
      </c>
      <c r="H4695" t="s">
        <v>1351</v>
      </c>
      <c r="I4695" t="str">
        <f>HYPERLINK("http://www.ncbi.nlm.nih.gov/protein/ADV57116.1","ryanodine receptor 3, partial")</f>
        <v>ryanodine receptor 3, partial</v>
      </c>
      <c r="J4695">
        <v>434.49</v>
      </c>
      <c r="K4695" t="s">
        <v>22</v>
      </c>
      <c r="L4695">
        <v>76</v>
      </c>
      <c r="M4695">
        <v>12.58</v>
      </c>
      <c r="N4695">
        <v>4.28</v>
      </c>
      <c r="O4695" t="s">
        <v>19</v>
      </c>
      <c r="P4695" t="s">
        <v>1320</v>
      </c>
      <c r="Q4695" t="s">
        <v>19</v>
      </c>
      <c r="R4695" t="str">
        <f>HYPERLINK("https://cfpub.epa.gov/ecotox/explore.cfm?ncbi=70546","Explore in ECOTOX")</f>
        <v>Explore in ECOTOX</v>
      </c>
    </row>
    <row r="4696" spans="1:18" x14ac:dyDescent="0.45">
      <c r="A4696" t="s">
        <v>1265</v>
      </c>
      <c r="B4696">
        <v>8</v>
      </c>
      <c r="C4696" t="str">
        <f>HYPERLINK("http://www.ncbi.nlm.nih.gov/protein/ALX40474.1","ALX40474.1")</f>
        <v>ALX40474.1</v>
      </c>
      <c r="D4696">
        <v>16</v>
      </c>
      <c r="E4696" t="str">
        <f>HYPERLINK("http://www.ncbi.nlm.nih.gov/Taxonomy/Browser/wwwtax.cgi?mode=Info&amp;id=1093605&amp;lvl=3&amp;lin=f&amp;keep=1&amp;srchmode=1&amp;unlock","1093605")</f>
        <v>1093605</v>
      </c>
      <c r="F4696" t="s">
        <v>17</v>
      </c>
      <c r="G4696" t="str">
        <f>HYPERLINK("http://www.ncbi.nlm.nih.gov/Taxonomy/Browser/wwwtax.cgi?mode=Info&amp;id=1093605&amp;lvl=3&amp;lin=f&amp;keep=1&amp;srchmode=1&amp;unlock","Mystacoleucus atridorsalis")</f>
        <v>Mystacoleucus atridorsalis</v>
      </c>
      <c r="H4696" t="s">
        <v>21</v>
      </c>
      <c r="I4696" t="str">
        <f>HYPERLINK("http://www.ncbi.nlm.nih.gov/protein/ALX40474.1","ryanodine receptor 3-like protein, partial")</f>
        <v>ryanodine receptor 3-like protein, partial</v>
      </c>
      <c r="J4696">
        <v>434.11</v>
      </c>
      <c r="K4696" t="s">
        <v>22</v>
      </c>
      <c r="L4696">
        <v>76</v>
      </c>
      <c r="M4696">
        <v>12.58</v>
      </c>
      <c r="N4696">
        <v>4.2699999999999996</v>
      </c>
      <c r="O4696" t="s">
        <v>19</v>
      </c>
      <c r="P4696" t="s">
        <v>1320</v>
      </c>
      <c r="Q4696" t="s">
        <v>19</v>
      </c>
      <c r="R4696" t="str">
        <f>HYPERLINK("https://cfpub.epa.gov/ecotox/explore.cfm?ncbi=1093605","Explore in ECOTOX")</f>
        <v>Explore in ECOTOX</v>
      </c>
    </row>
    <row r="4697" spans="1:18" x14ac:dyDescent="0.45">
      <c r="A4697" t="s">
        <v>1265</v>
      </c>
      <c r="B4697">
        <v>8</v>
      </c>
      <c r="C4697" t="str">
        <f>HYPERLINK("http://www.ncbi.nlm.nih.gov/protein/ALX40470.1","ALX40470.1")</f>
        <v>ALX40470.1</v>
      </c>
      <c r="D4697">
        <v>14</v>
      </c>
      <c r="E4697" t="str">
        <f>HYPERLINK("http://www.ncbi.nlm.nih.gov/Taxonomy/Browser/wwwtax.cgi?mode=Info&amp;id=1764105&amp;lvl=3&amp;lin=f&amp;keep=1&amp;srchmode=1&amp;unlock","1764105")</f>
        <v>1764105</v>
      </c>
      <c r="F4697" t="s">
        <v>17</v>
      </c>
      <c r="G4697" t="str">
        <f>HYPERLINK("http://www.ncbi.nlm.nih.gov/Taxonomy/Browser/wwwtax.cgi?mode=Info&amp;id=1764105&amp;lvl=3&amp;lin=f&amp;keep=1&amp;srchmode=1&amp;unlock","Hypsibarbus lagleri")</f>
        <v>Hypsibarbus lagleri</v>
      </c>
      <c r="H4697" t="s">
        <v>21</v>
      </c>
      <c r="I4697" t="str">
        <f>HYPERLINK("http://www.ncbi.nlm.nih.gov/protein/ALX40470.1","ryanodine receptor 3-like protein, partial")</f>
        <v>ryanodine receptor 3-like protein, partial</v>
      </c>
      <c r="J4697">
        <v>434.11</v>
      </c>
      <c r="K4697" t="s">
        <v>22</v>
      </c>
      <c r="L4697">
        <v>76</v>
      </c>
      <c r="M4697">
        <v>12.58</v>
      </c>
      <c r="N4697">
        <v>4.2699999999999996</v>
      </c>
      <c r="O4697" t="s">
        <v>19</v>
      </c>
      <c r="P4697" t="s">
        <v>1320</v>
      </c>
      <c r="Q4697" t="s">
        <v>19</v>
      </c>
      <c r="R4697" t="str">
        <f>HYPERLINK("https://cfpub.epa.gov/ecotox/explore.cfm?ncbi=1764105","Explore in ECOTOX")</f>
        <v>Explore in ECOTOX</v>
      </c>
    </row>
    <row r="4698" spans="1:18" x14ac:dyDescent="0.45">
      <c r="A4698" t="s">
        <v>1265</v>
      </c>
      <c r="B4698">
        <v>8</v>
      </c>
      <c r="C4698" t="str">
        <f>HYPERLINK("http://www.ncbi.nlm.nih.gov/protein/ALX40471.1","ALX40471.1")</f>
        <v>ALX40471.1</v>
      </c>
      <c r="D4698">
        <v>35</v>
      </c>
      <c r="E4698" t="str">
        <f>HYPERLINK("http://www.ncbi.nlm.nih.gov/Taxonomy/Browser/wwwtax.cgi?mode=Info&amp;id=370359&amp;lvl=3&amp;lin=f&amp;keep=1&amp;srchmode=1&amp;unlock","370359")</f>
        <v>370359</v>
      </c>
      <c r="F4698" t="s">
        <v>17</v>
      </c>
      <c r="G4698" t="str">
        <f>HYPERLINK("http://www.ncbi.nlm.nih.gov/Taxonomy/Browser/wwwtax.cgi?mode=Info&amp;id=370359&amp;lvl=3&amp;lin=f&amp;keep=1&amp;srchmode=1&amp;unlock","Hypsibarbus wetmorei")</f>
        <v>Hypsibarbus wetmorei</v>
      </c>
      <c r="H4698" t="s">
        <v>1352</v>
      </c>
      <c r="I4698" t="str">
        <f>HYPERLINK("http://www.ncbi.nlm.nih.gov/protein/ALX40471.1","ryanodine receptor 3-like protein, partial")</f>
        <v>ryanodine receptor 3-like protein, partial</v>
      </c>
      <c r="J4698">
        <v>434.11</v>
      </c>
      <c r="K4698" t="s">
        <v>22</v>
      </c>
      <c r="L4698">
        <v>76</v>
      </c>
      <c r="M4698">
        <v>12.58</v>
      </c>
      <c r="N4698">
        <v>4.2699999999999996</v>
      </c>
      <c r="O4698" t="s">
        <v>19</v>
      </c>
      <c r="P4698" t="s">
        <v>1320</v>
      </c>
      <c r="Q4698" t="s">
        <v>19</v>
      </c>
      <c r="R4698" t="str">
        <f>HYPERLINK("https://cfpub.epa.gov/ecotox/explore.cfm?ncbi=370359","Explore in ECOTOX")</f>
        <v>Explore in ECOTOX</v>
      </c>
    </row>
    <row r="4699" spans="1:18" x14ac:dyDescent="0.45">
      <c r="A4699" t="s">
        <v>1265</v>
      </c>
      <c r="B4699">
        <v>8</v>
      </c>
      <c r="C4699" t="str">
        <f>HYPERLINK("http://www.ncbi.nlm.nih.gov/protein/ALX40447.1","ALX40447.1")</f>
        <v>ALX40447.1</v>
      </c>
      <c r="D4699">
        <v>10</v>
      </c>
      <c r="E4699" t="str">
        <f>HYPERLINK("http://www.ncbi.nlm.nih.gov/Taxonomy/Browser/wwwtax.cgi?mode=Info&amp;id=1778130&amp;lvl=3&amp;lin=f&amp;keep=1&amp;srchmode=1&amp;unlock","1778130")</f>
        <v>1778130</v>
      </c>
      <c r="F4699" t="s">
        <v>17</v>
      </c>
      <c r="G4699" t="str">
        <f>HYPERLINK("http://www.ncbi.nlm.nih.gov/Taxonomy/Browser/wwwtax.cgi?mode=Info&amp;id=1778130&amp;lvl=3&amp;lin=f&amp;keep=1&amp;srchmode=1&amp;unlock","Acantopsis sp. cyp845")</f>
        <v>Acantopsis sp. cyp845</v>
      </c>
      <c r="H4699" t="s">
        <v>1353</v>
      </c>
      <c r="I4699" t="str">
        <f>HYPERLINK("http://www.ncbi.nlm.nih.gov/protein/ALX40447.1","ryanodine receptor 3-like protein, partial")</f>
        <v>ryanodine receptor 3-like protein, partial</v>
      </c>
      <c r="J4699">
        <v>433.72</v>
      </c>
      <c r="K4699" t="s">
        <v>22</v>
      </c>
      <c r="L4699">
        <v>76</v>
      </c>
      <c r="M4699">
        <v>12.58</v>
      </c>
      <c r="N4699">
        <v>4.2699999999999996</v>
      </c>
      <c r="O4699" t="s">
        <v>19</v>
      </c>
      <c r="P4699" t="s">
        <v>1320</v>
      </c>
      <c r="Q4699" t="s">
        <v>19</v>
      </c>
      <c r="R4699" t="str">
        <f>HYPERLINK("https://cfpub.epa.gov/ecotox/explore.cfm?ncbi=1778130","Explore in ECOTOX")</f>
        <v>Explore in ECOTOX</v>
      </c>
    </row>
    <row r="4700" spans="1:18" x14ac:dyDescent="0.45">
      <c r="A4700" t="s">
        <v>1265</v>
      </c>
      <c r="B4700">
        <v>8</v>
      </c>
      <c r="C4700" t="str">
        <f>HYPERLINK("http://www.ncbi.nlm.nih.gov/protein/ALX40444.1","ALX40444.1")</f>
        <v>ALX40444.1</v>
      </c>
      <c r="D4700">
        <v>56</v>
      </c>
      <c r="E4700" t="str">
        <f>HYPERLINK("http://www.ncbi.nlm.nih.gov/Taxonomy/Browser/wwwtax.cgi?mode=Info&amp;id=322118&amp;lvl=3&amp;lin=f&amp;keep=1&amp;srchmode=1&amp;unlock","322118")</f>
        <v>322118</v>
      </c>
      <c r="F4700" t="s">
        <v>17</v>
      </c>
      <c r="G4700" t="str">
        <f>HYPERLINK("http://www.ncbi.nlm.nih.gov/Taxonomy/Browser/wwwtax.cgi?mode=Info&amp;id=322118&amp;lvl=3&amp;lin=f&amp;keep=1&amp;srchmode=1&amp;unlock","Syncrossus beauforti")</f>
        <v>Syncrossus beauforti</v>
      </c>
      <c r="H4700" t="s">
        <v>1354</v>
      </c>
      <c r="I4700" t="str">
        <f>HYPERLINK("http://www.ncbi.nlm.nih.gov/protein/ALX40444.1","ryanodine receptor 3-like protein, partial")</f>
        <v>ryanodine receptor 3-like protein, partial</v>
      </c>
      <c r="J4700">
        <v>433.72</v>
      </c>
      <c r="K4700" t="s">
        <v>22</v>
      </c>
      <c r="L4700">
        <v>76</v>
      </c>
      <c r="M4700">
        <v>12.58</v>
      </c>
      <c r="N4700">
        <v>4.2699999999999996</v>
      </c>
      <c r="O4700" t="s">
        <v>19</v>
      </c>
      <c r="P4700" t="s">
        <v>1320</v>
      </c>
      <c r="Q4700" t="s">
        <v>19</v>
      </c>
      <c r="R4700" t="str">
        <f>HYPERLINK("https://cfpub.epa.gov/ecotox/explore.cfm?ncbi=322118","Explore in ECOTOX")</f>
        <v>Explore in ECOTOX</v>
      </c>
    </row>
    <row r="4701" spans="1:18" x14ac:dyDescent="0.45">
      <c r="A4701" t="s">
        <v>1265</v>
      </c>
      <c r="B4701">
        <v>8</v>
      </c>
      <c r="C4701" t="str">
        <f>HYPERLINK("http://www.ncbi.nlm.nih.gov/protein/ALX40449.1","ALX40449.1")</f>
        <v>ALX40449.1</v>
      </c>
      <c r="D4701">
        <v>91</v>
      </c>
      <c r="E4701" t="str">
        <f>HYPERLINK("http://www.ncbi.nlm.nih.gov/Taxonomy/Browser/wwwtax.cgi?mode=Info&amp;id=457520&amp;lvl=3&amp;lin=f&amp;keep=1&amp;srchmode=1&amp;unlock","457520")</f>
        <v>457520</v>
      </c>
      <c r="F4701" t="s">
        <v>17</v>
      </c>
      <c r="G4701" t="str">
        <f>HYPERLINK("http://www.ncbi.nlm.nih.gov/Taxonomy/Browser/wwwtax.cgi?mode=Info&amp;id=457520&amp;lvl=3&amp;lin=f&amp;keep=1&amp;srchmode=1&amp;unlock","Koreocobitis rotundicaudata")</f>
        <v>Koreocobitis rotundicaudata</v>
      </c>
      <c r="H4701" t="s">
        <v>1355</v>
      </c>
      <c r="I4701" t="str">
        <f>HYPERLINK("http://www.ncbi.nlm.nih.gov/protein/ALX40449.1","ryanodine receptor 3-like protein, partial")</f>
        <v>ryanodine receptor 3-like protein, partial</v>
      </c>
      <c r="J4701">
        <v>433.72</v>
      </c>
      <c r="K4701" t="s">
        <v>22</v>
      </c>
      <c r="L4701">
        <v>76</v>
      </c>
      <c r="M4701">
        <v>12.58</v>
      </c>
      <c r="N4701">
        <v>4.2699999999999996</v>
      </c>
      <c r="O4701" t="s">
        <v>19</v>
      </c>
      <c r="P4701" t="s">
        <v>1320</v>
      </c>
      <c r="Q4701" t="s">
        <v>19</v>
      </c>
      <c r="R4701" t="str">
        <f>HYPERLINK("https://cfpub.epa.gov/ecotox/explore.cfm?ncbi=457520","Explore in ECOTOX")</f>
        <v>Explore in ECOTOX</v>
      </c>
    </row>
    <row r="4702" spans="1:18" x14ac:dyDescent="0.45">
      <c r="A4702" t="s">
        <v>1265</v>
      </c>
      <c r="B4702">
        <v>8</v>
      </c>
      <c r="C4702" t="str">
        <f>HYPERLINK("http://www.ncbi.nlm.nih.gov/protein/AEH99091.1","AEH99091.1")</f>
        <v>AEH99091.1</v>
      </c>
      <c r="D4702">
        <v>25</v>
      </c>
      <c r="E4702" t="str">
        <f>HYPERLINK("http://www.ncbi.nlm.nih.gov/Taxonomy/Browser/wwwtax.cgi?mode=Info&amp;id=232995&amp;lvl=3&amp;lin=f&amp;keep=1&amp;srchmode=1&amp;unlock","232995")</f>
        <v>232995</v>
      </c>
      <c r="F4702" t="s">
        <v>17</v>
      </c>
      <c r="G4702" t="str">
        <f>HYPERLINK("http://www.ncbi.nlm.nih.gov/Taxonomy/Browser/wwwtax.cgi?mode=Info&amp;id=232995&amp;lvl=3&amp;lin=f&amp;keep=1&amp;srchmode=1&amp;unlock","Notropis leuciodus")</f>
        <v>Notropis leuciodus</v>
      </c>
      <c r="H4702" t="s">
        <v>1356</v>
      </c>
      <c r="I4702" t="str">
        <f>HYPERLINK("http://www.ncbi.nlm.nih.gov/protein/AEH99091.1","ryanodine receptor 3-like protein, partial")</f>
        <v>ryanodine receptor 3-like protein, partial</v>
      </c>
      <c r="J4702">
        <v>433.33</v>
      </c>
      <c r="K4702" t="s">
        <v>22</v>
      </c>
      <c r="L4702">
        <v>76</v>
      </c>
      <c r="M4702">
        <v>12.58</v>
      </c>
      <c r="N4702">
        <v>4.26</v>
      </c>
      <c r="O4702" t="s">
        <v>19</v>
      </c>
      <c r="P4702" t="s">
        <v>1320</v>
      </c>
      <c r="Q4702" t="s">
        <v>19</v>
      </c>
      <c r="R4702" t="str">
        <f>HYPERLINK("https://cfpub.epa.gov/ecotox/explore.cfm?ncbi=232995","Explore in ECOTOX")</f>
        <v>Explore in ECOTOX</v>
      </c>
    </row>
    <row r="4703" spans="1:18" x14ac:dyDescent="0.45">
      <c r="A4703" t="s">
        <v>1265</v>
      </c>
      <c r="B4703">
        <v>8</v>
      </c>
      <c r="C4703" t="str">
        <f>HYPERLINK("http://www.ncbi.nlm.nih.gov/protein/BAL68309.1","BAL68309.1")</f>
        <v>BAL68309.1</v>
      </c>
      <c r="D4703">
        <v>54</v>
      </c>
      <c r="E4703" t="str">
        <f>HYPERLINK("http://www.ncbi.nlm.nih.gov/Taxonomy/Browser/wwwtax.cgi?mode=Info&amp;id=80780&amp;lvl=3&amp;lin=f&amp;keep=1&amp;srchmode=1&amp;unlock","80780")</f>
        <v>80780</v>
      </c>
      <c r="F4703" t="s">
        <v>17</v>
      </c>
      <c r="G4703" t="str">
        <f>HYPERLINK("http://www.ncbi.nlm.nih.gov/Taxonomy/Browser/wwwtax.cgi?mode=Info&amp;id=80780&amp;lvl=3&amp;lin=f&amp;keep=1&amp;srchmode=1&amp;unlock","Acheilognathus cyanostigma")</f>
        <v>Acheilognathus cyanostigma</v>
      </c>
      <c r="H4703" t="s">
        <v>21</v>
      </c>
      <c r="I4703" t="str">
        <f>HYPERLINK("http://www.ncbi.nlm.nih.gov/protein/BAL68309.1","ryanodine receptor 3-like protein, partial")</f>
        <v>ryanodine receptor 3-like protein, partial</v>
      </c>
      <c r="J4703">
        <v>432.95</v>
      </c>
      <c r="K4703" t="s">
        <v>22</v>
      </c>
      <c r="L4703">
        <v>76</v>
      </c>
      <c r="M4703">
        <v>12.58</v>
      </c>
      <c r="N4703">
        <v>4.26</v>
      </c>
      <c r="O4703" t="s">
        <v>19</v>
      </c>
      <c r="P4703" t="s">
        <v>1320</v>
      </c>
      <c r="Q4703" t="s">
        <v>19</v>
      </c>
      <c r="R4703" t="str">
        <f>HYPERLINK("https://cfpub.epa.gov/ecotox/explore.cfm?ncbi=80780","Explore in ECOTOX")</f>
        <v>Explore in ECOTOX</v>
      </c>
    </row>
    <row r="4704" spans="1:18" x14ac:dyDescent="0.45">
      <c r="A4704" t="s">
        <v>1265</v>
      </c>
      <c r="B4704">
        <v>8</v>
      </c>
      <c r="C4704" t="str">
        <f>HYPERLINK("http://www.ncbi.nlm.nih.gov/protein/ALX40419.1","ALX40419.1")</f>
        <v>ALX40419.1</v>
      </c>
      <c r="D4704">
        <v>13</v>
      </c>
      <c r="E4704" t="str">
        <f>HYPERLINK("http://www.ncbi.nlm.nih.gov/Taxonomy/Browser/wwwtax.cgi?mode=Info&amp;id=1778132&amp;lvl=3&amp;lin=f&amp;keep=1&amp;srchmode=1&amp;unlock","1778132")</f>
        <v>1778132</v>
      </c>
      <c r="F4704" t="s">
        <v>17</v>
      </c>
      <c r="G4704" t="str">
        <f>HYPERLINK("http://www.ncbi.nlm.nih.gov/Taxonomy/Browser/wwwtax.cgi?mode=Info&amp;id=1778132&amp;lvl=3&amp;lin=f&amp;keep=1&amp;srchmode=1&amp;unlock","Balitora sp. cyp24")</f>
        <v>Balitora sp. cyp24</v>
      </c>
      <c r="H4704" t="s">
        <v>1350</v>
      </c>
      <c r="I4704" t="str">
        <f>HYPERLINK("http://www.ncbi.nlm.nih.gov/protein/ALX40419.1","ryanodine receptor 3-like protein, partial")</f>
        <v>ryanodine receptor 3-like protein, partial</v>
      </c>
      <c r="J4704">
        <v>432.95</v>
      </c>
      <c r="K4704" t="s">
        <v>22</v>
      </c>
      <c r="L4704">
        <v>76</v>
      </c>
      <c r="M4704">
        <v>12.58</v>
      </c>
      <c r="N4704">
        <v>4.26</v>
      </c>
      <c r="O4704" t="s">
        <v>19</v>
      </c>
      <c r="P4704" t="s">
        <v>1320</v>
      </c>
      <c r="Q4704" t="s">
        <v>19</v>
      </c>
      <c r="R4704" t="str">
        <f>HYPERLINK("https://cfpub.epa.gov/ecotox/explore.cfm?ncbi=1778132","Explore in ECOTOX")</f>
        <v>Explore in ECOTOX</v>
      </c>
    </row>
    <row r="4705" spans="1:18" x14ac:dyDescent="0.45">
      <c r="A4705" t="s">
        <v>1265</v>
      </c>
      <c r="B4705">
        <v>8</v>
      </c>
      <c r="C4705" t="str">
        <f>HYPERLINK("http://www.ncbi.nlm.nih.gov/protein/ALX40422.1","ALX40422.1")</f>
        <v>ALX40422.1</v>
      </c>
      <c r="D4705">
        <v>13</v>
      </c>
      <c r="E4705" t="str">
        <f>HYPERLINK("http://www.ncbi.nlm.nih.gov/Taxonomy/Browser/wwwtax.cgi?mode=Info&amp;id=1778167&amp;lvl=3&amp;lin=f&amp;keep=1&amp;srchmode=1&amp;unlock","1778167")</f>
        <v>1778167</v>
      </c>
      <c r="F4705" t="s">
        <v>17</v>
      </c>
      <c r="G4705" t="str">
        <f>HYPERLINK("http://www.ncbi.nlm.nih.gov/Taxonomy/Browser/wwwtax.cgi?mode=Info&amp;id=1778167&amp;lvl=3&amp;lin=f&amp;keep=1&amp;srchmode=1&amp;unlock","Sinogastromyzon sp. cyp72")</f>
        <v>Sinogastromyzon sp. cyp72</v>
      </c>
      <c r="H4705" t="s">
        <v>1350</v>
      </c>
      <c r="I4705" t="str">
        <f>HYPERLINK("http://www.ncbi.nlm.nih.gov/protein/ALX40422.1","ryanodine receptor 3-like protein, partial")</f>
        <v>ryanodine receptor 3-like protein, partial</v>
      </c>
      <c r="J4705">
        <v>432.95</v>
      </c>
      <c r="K4705" t="s">
        <v>22</v>
      </c>
      <c r="L4705">
        <v>76</v>
      </c>
      <c r="M4705">
        <v>12.58</v>
      </c>
      <c r="N4705">
        <v>4.26</v>
      </c>
      <c r="O4705" t="s">
        <v>19</v>
      </c>
      <c r="P4705" t="s">
        <v>1320</v>
      </c>
      <c r="Q4705" t="s">
        <v>19</v>
      </c>
      <c r="R4705" t="str">
        <f>HYPERLINK("https://cfpub.epa.gov/ecotox/explore.cfm?ncbi=1778167","Explore in ECOTOX")</f>
        <v>Explore in ECOTOX</v>
      </c>
    </row>
    <row r="4706" spans="1:18" x14ac:dyDescent="0.45">
      <c r="A4706" t="s">
        <v>1265</v>
      </c>
      <c r="B4706">
        <v>8</v>
      </c>
      <c r="C4706" t="str">
        <f>HYPERLINK("http://www.ncbi.nlm.nih.gov/protein/ALX40423.1","ALX40423.1")</f>
        <v>ALX40423.1</v>
      </c>
      <c r="D4706">
        <v>10</v>
      </c>
      <c r="E4706" t="str">
        <f>HYPERLINK("http://www.ncbi.nlm.nih.gov/Taxonomy/Browser/wwwtax.cgi?mode=Info&amp;id=1778128&amp;lvl=3&amp;lin=f&amp;keep=1&amp;srchmode=1&amp;unlock","1778128")</f>
        <v>1778128</v>
      </c>
      <c r="F4706" t="s">
        <v>17</v>
      </c>
      <c r="G4706" t="str">
        <f>HYPERLINK("http://www.ncbi.nlm.nih.gov/Taxonomy/Browser/wwwtax.cgi?mode=Info&amp;id=1778128&amp;lvl=3&amp;lin=f&amp;keep=1&amp;srchmode=1&amp;unlock","Acanthocobitis sp. cyp745")</f>
        <v>Acanthocobitis sp. cyp745</v>
      </c>
      <c r="H4706" t="s">
        <v>21</v>
      </c>
      <c r="I4706" t="str">
        <f>HYPERLINK("http://www.ncbi.nlm.nih.gov/protein/ALX40423.1","ryanodine receptor 3-like protein, partial")</f>
        <v>ryanodine receptor 3-like protein, partial</v>
      </c>
      <c r="J4706">
        <v>432.56</v>
      </c>
      <c r="K4706" t="s">
        <v>22</v>
      </c>
      <c r="L4706">
        <v>76</v>
      </c>
      <c r="M4706">
        <v>12.58</v>
      </c>
      <c r="N4706">
        <v>4.26</v>
      </c>
      <c r="O4706" t="s">
        <v>19</v>
      </c>
      <c r="P4706" t="s">
        <v>1320</v>
      </c>
      <c r="Q4706" t="s">
        <v>19</v>
      </c>
      <c r="R4706" t="str">
        <f>HYPERLINK("https://cfpub.epa.gov/ecotox/explore.cfm?ncbi=1778128","Explore in ECOTOX")</f>
        <v>Explore in ECOTOX</v>
      </c>
    </row>
    <row r="4707" spans="1:18" x14ac:dyDescent="0.45">
      <c r="A4707" t="s">
        <v>1265</v>
      </c>
      <c r="B4707">
        <v>8</v>
      </c>
      <c r="C4707" t="str">
        <f>HYPERLINK("http://www.ncbi.nlm.nih.gov/protein/ABV64926.1","ABV64926.1")</f>
        <v>ABV64926.1</v>
      </c>
      <c r="D4707">
        <v>129</v>
      </c>
      <c r="E4707" t="str">
        <f>HYPERLINK("http://www.ncbi.nlm.nih.gov/Taxonomy/Browser/wwwtax.cgi?mode=Info&amp;id=34771&amp;lvl=3&amp;lin=f&amp;keep=1&amp;srchmode=1&amp;unlock","34771")</f>
        <v>34771</v>
      </c>
      <c r="F4707" t="s">
        <v>17</v>
      </c>
      <c r="G4707" t="str">
        <f>HYPERLINK("http://www.ncbi.nlm.nih.gov/Taxonomy/Browser/wwwtax.cgi?mode=Info&amp;id=34771&amp;lvl=3&amp;lin=f&amp;keep=1&amp;srchmode=1&amp;unlock","Lepisosteus osseus")</f>
        <v>Lepisosteus osseus</v>
      </c>
      <c r="H4707" t="s">
        <v>1274</v>
      </c>
      <c r="I4707" t="str">
        <f>HYPERLINK("http://www.ncbi.nlm.nih.gov/protein/ABV64926.1","ryanodine receptor 3-like protein, partial")</f>
        <v>ryanodine receptor 3-like protein, partial</v>
      </c>
      <c r="J4707">
        <v>432.18</v>
      </c>
      <c r="K4707" t="s">
        <v>22</v>
      </c>
      <c r="L4707">
        <v>76</v>
      </c>
      <c r="M4707">
        <v>12.58</v>
      </c>
      <c r="N4707">
        <v>4.25</v>
      </c>
      <c r="O4707" t="s">
        <v>19</v>
      </c>
      <c r="P4707" t="s">
        <v>1320</v>
      </c>
      <c r="Q4707" t="s">
        <v>19</v>
      </c>
      <c r="R4707" t="str">
        <f>HYPERLINK("https://cfpub.epa.gov/ecotox/explore.cfm?ncbi=34771","Explore in ECOTOX")</f>
        <v>Explore in ECOTOX</v>
      </c>
    </row>
    <row r="4708" spans="1:18" x14ac:dyDescent="0.45">
      <c r="A4708" t="s">
        <v>1265</v>
      </c>
      <c r="B4708">
        <v>8</v>
      </c>
      <c r="C4708" t="str">
        <f>HYPERLINK("http://www.ncbi.nlm.nih.gov/protein/ADV57117.1","ADV57117.1")</f>
        <v>ADV57117.1</v>
      </c>
      <c r="D4708">
        <v>276</v>
      </c>
      <c r="E4708" t="str">
        <f>HYPERLINK("http://www.ncbi.nlm.nih.gov/Taxonomy/Browser/wwwtax.cgi?mode=Info&amp;id=194366&amp;lvl=3&amp;lin=f&amp;keep=1&amp;srchmode=1&amp;unlock","194366")</f>
        <v>194366</v>
      </c>
      <c r="F4708" t="s">
        <v>17</v>
      </c>
      <c r="G4708" t="str">
        <f>HYPERLINK("http://www.ncbi.nlm.nih.gov/Taxonomy/Browser/wwwtax.cgi?mode=Info&amp;id=194366&amp;lvl=3&amp;lin=f&amp;keep=1&amp;srchmode=1&amp;unlock","Culter alburnus")</f>
        <v>Culter alburnus</v>
      </c>
      <c r="H4708" t="s">
        <v>1357</v>
      </c>
      <c r="I4708" t="str">
        <f>HYPERLINK("http://www.ncbi.nlm.nih.gov/protein/ADV57117.1","ryanodine receptor 3, partial")</f>
        <v>ryanodine receptor 3, partial</v>
      </c>
      <c r="J4708">
        <v>432.18</v>
      </c>
      <c r="K4708" t="s">
        <v>22</v>
      </c>
      <c r="L4708">
        <v>76</v>
      </c>
      <c r="M4708">
        <v>12.58</v>
      </c>
      <c r="N4708">
        <v>4.25</v>
      </c>
      <c r="O4708" t="s">
        <v>19</v>
      </c>
      <c r="P4708" t="s">
        <v>1320</v>
      </c>
      <c r="Q4708" t="s">
        <v>19</v>
      </c>
      <c r="R4708" t="str">
        <f>HYPERLINK("https://cfpub.epa.gov/ecotox/explore.cfm?ncbi=194366","Explore in ECOTOX")</f>
        <v>Explore in ECOTOX</v>
      </c>
    </row>
    <row r="4709" spans="1:18" x14ac:dyDescent="0.45">
      <c r="A4709" t="s">
        <v>1265</v>
      </c>
      <c r="B4709">
        <v>8</v>
      </c>
      <c r="C4709" t="str">
        <f>HYPERLINK("http://www.ncbi.nlm.nih.gov/protein/ALX40427.1","ALX40427.1")</f>
        <v>ALX40427.1</v>
      </c>
      <c r="D4709">
        <v>25</v>
      </c>
      <c r="E4709" t="str">
        <f>HYPERLINK("http://www.ncbi.nlm.nih.gov/Taxonomy/Browser/wwwtax.cgi?mode=Info&amp;id=1764109&amp;lvl=3&amp;lin=f&amp;keep=1&amp;srchmode=1&amp;unlock","1764109")</f>
        <v>1764109</v>
      </c>
      <c r="F4709" t="s">
        <v>17</v>
      </c>
      <c r="G4709" t="str">
        <f>HYPERLINK("http://www.ncbi.nlm.nih.gov/Taxonomy/Browser/wwwtax.cgi?mode=Info&amp;id=1764109&amp;lvl=3&amp;lin=f&amp;keep=1&amp;srchmode=1&amp;unlock","Schistura incerta")</f>
        <v>Schistura incerta</v>
      </c>
      <c r="H4709" t="s">
        <v>21</v>
      </c>
      <c r="I4709" t="str">
        <f>HYPERLINK("http://www.ncbi.nlm.nih.gov/protein/ALX40427.1","ryanodine receptor 3-like protein, partial")</f>
        <v>ryanodine receptor 3-like protein, partial</v>
      </c>
      <c r="J4709">
        <v>431.8</v>
      </c>
      <c r="K4709" t="s">
        <v>22</v>
      </c>
      <c r="L4709">
        <v>76</v>
      </c>
      <c r="M4709">
        <v>12.58</v>
      </c>
      <c r="N4709">
        <v>4.25</v>
      </c>
      <c r="O4709" t="s">
        <v>19</v>
      </c>
      <c r="P4709" t="s">
        <v>1320</v>
      </c>
      <c r="Q4709" t="s">
        <v>19</v>
      </c>
      <c r="R4709" t="str">
        <f>HYPERLINK("https://cfpub.epa.gov/ecotox/explore.cfm?ncbi=1764109","Explore in ECOTOX")</f>
        <v>Explore in ECOTOX</v>
      </c>
    </row>
    <row r="4710" spans="1:18" x14ac:dyDescent="0.45">
      <c r="A4710" t="s">
        <v>1265</v>
      </c>
      <c r="B4710">
        <v>8</v>
      </c>
      <c r="C4710" t="str">
        <f>HYPERLINK("http://www.ncbi.nlm.nih.gov/protein/ALX40489.1","ALX40489.1")</f>
        <v>ALX40489.1</v>
      </c>
      <c r="D4710">
        <v>63</v>
      </c>
      <c r="E4710" t="str">
        <f>HYPERLINK("http://www.ncbi.nlm.nih.gov/Taxonomy/Browser/wwwtax.cgi?mode=Info&amp;id=643345&amp;lvl=3&amp;lin=f&amp;keep=1&amp;srchmode=1&amp;unlock","643345")</f>
        <v>643345</v>
      </c>
      <c r="F4710" t="s">
        <v>17</v>
      </c>
      <c r="G4710" t="str">
        <f>HYPERLINK("http://www.ncbi.nlm.nih.gov/Taxonomy/Browser/wwwtax.cgi?mode=Info&amp;id=643345&amp;lvl=3&amp;lin=f&amp;keep=1&amp;srchmode=1&amp;unlock","Psilorhynchus sucatio")</f>
        <v>Psilorhynchus sucatio</v>
      </c>
      <c r="H4710" t="s">
        <v>1358</v>
      </c>
      <c r="I4710" t="str">
        <f>HYPERLINK("http://www.ncbi.nlm.nih.gov/protein/ALX40489.1","ryanodine receptor 3-like protein, partial")</f>
        <v>ryanodine receptor 3-like protein, partial</v>
      </c>
      <c r="J4710">
        <v>431.41</v>
      </c>
      <c r="K4710" t="s">
        <v>22</v>
      </c>
      <c r="L4710">
        <v>76</v>
      </c>
      <c r="M4710">
        <v>12.58</v>
      </c>
      <c r="N4710">
        <v>4.25</v>
      </c>
      <c r="O4710" t="s">
        <v>19</v>
      </c>
      <c r="P4710" t="s">
        <v>1320</v>
      </c>
      <c r="Q4710" t="s">
        <v>19</v>
      </c>
      <c r="R4710" t="str">
        <f>HYPERLINK("https://cfpub.epa.gov/ecotox/explore.cfm?ncbi=643345","Explore in ECOTOX")</f>
        <v>Explore in ECOTOX</v>
      </c>
    </row>
    <row r="4711" spans="1:18" x14ac:dyDescent="0.45">
      <c r="A4711" t="s">
        <v>1265</v>
      </c>
      <c r="B4711">
        <v>8</v>
      </c>
      <c r="C4711" t="str">
        <f>HYPERLINK("http://www.ncbi.nlm.nih.gov/protein/ALX40413.1","ALX40413.1")</f>
        <v>ALX40413.1</v>
      </c>
      <c r="D4711">
        <v>12</v>
      </c>
      <c r="E4711" t="str">
        <f>HYPERLINK("http://www.ncbi.nlm.nih.gov/Taxonomy/Browser/wwwtax.cgi?mode=Info&amp;id=1778158&amp;lvl=3&amp;lin=f&amp;keep=1&amp;srchmode=1&amp;unlock","1778158")</f>
        <v>1778158</v>
      </c>
      <c r="F4711" t="s">
        <v>17</v>
      </c>
      <c r="G4711" t="str">
        <f>HYPERLINK("http://www.ncbi.nlm.nih.gov/Taxonomy/Browser/wwwtax.cgi?mode=Info&amp;id=1778158&amp;lvl=3&amp;lin=f&amp;keep=1&amp;srchmode=1&amp;unlock","Pseudogastromyzon sp. cyp784")</f>
        <v>Pseudogastromyzon sp. cyp784</v>
      </c>
      <c r="H4711" t="s">
        <v>21</v>
      </c>
      <c r="I4711" t="str">
        <f>HYPERLINK("http://www.ncbi.nlm.nih.gov/protein/ALX40413.1","ryanodine receptor 3-like protein, partial")</f>
        <v>ryanodine receptor 3-like protein, partial</v>
      </c>
      <c r="J4711">
        <v>431.41</v>
      </c>
      <c r="K4711" t="s">
        <v>22</v>
      </c>
      <c r="L4711">
        <v>76</v>
      </c>
      <c r="M4711">
        <v>12.58</v>
      </c>
      <c r="N4711">
        <v>4.25</v>
      </c>
      <c r="O4711" t="s">
        <v>19</v>
      </c>
      <c r="P4711" t="s">
        <v>1320</v>
      </c>
      <c r="Q4711" t="s">
        <v>19</v>
      </c>
      <c r="R4711" t="str">
        <f>HYPERLINK("https://cfpub.epa.gov/ecotox/explore.cfm?ncbi=1778158","Explore in ECOTOX")</f>
        <v>Explore in ECOTOX</v>
      </c>
    </row>
    <row r="4712" spans="1:18" x14ac:dyDescent="0.45">
      <c r="A4712" t="s">
        <v>1265</v>
      </c>
      <c r="B4712">
        <v>8</v>
      </c>
      <c r="C4712" t="str">
        <f>HYPERLINK("http://www.ncbi.nlm.nih.gov/protein/ALX40495.1","ALX40495.1")</f>
        <v>ALX40495.1</v>
      </c>
      <c r="D4712">
        <v>46</v>
      </c>
      <c r="E4712" t="str">
        <f>HYPERLINK("http://www.ncbi.nlm.nih.gov/Taxonomy/Browser/wwwtax.cgi?mode=Info&amp;id=496993&amp;lvl=3&amp;lin=f&amp;keep=1&amp;srchmode=1&amp;unlock","496993")</f>
        <v>496993</v>
      </c>
      <c r="F4712" t="s">
        <v>17</v>
      </c>
      <c r="G4712" t="str">
        <f>HYPERLINK("http://www.ncbi.nlm.nih.gov/Taxonomy/Browser/wwwtax.cgi?mode=Info&amp;id=496993&amp;lvl=3&amp;lin=f&amp;keep=1&amp;srchmode=1&amp;unlock","Rasbora borapetensis")</f>
        <v>Rasbora borapetensis</v>
      </c>
      <c r="H4712" t="s">
        <v>1359</v>
      </c>
      <c r="I4712" t="str">
        <f>HYPERLINK("http://www.ncbi.nlm.nih.gov/protein/ALX40495.1","ryanodine receptor 3-like protein, partial")</f>
        <v>ryanodine receptor 3-like protein, partial</v>
      </c>
      <c r="J4712">
        <v>431.02</v>
      </c>
      <c r="K4712" t="s">
        <v>22</v>
      </c>
      <c r="L4712">
        <v>76</v>
      </c>
      <c r="M4712">
        <v>12.58</v>
      </c>
      <c r="N4712">
        <v>4.24</v>
      </c>
      <c r="O4712" t="s">
        <v>19</v>
      </c>
      <c r="P4712" t="s">
        <v>1320</v>
      </c>
      <c r="Q4712" t="s">
        <v>19</v>
      </c>
      <c r="R4712" t="str">
        <f>HYPERLINK("https://cfpub.epa.gov/ecotox/explore.cfm?ncbi=496993","Explore in ECOTOX")</f>
        <v>Explore in ECOTOX</v>
      </c>
    </row>
    <row r="4713" spans="1:18" x14ac:dyDescent="0.45">
      <c r="A4713" t="s">
        <v>1265</v>
      </c>
      <c r="B4713">
        <v>8</v>
      </c>
      <c r="C4713" t="str">
        <f>HYPERLINK("http://www.ncbi.nlm.nih.gov/protein/AGN55073.1","AGN55073.1")</f>
        <v>AGN55073.1</v>
      </c>
      <c r="D4713">
        <v>67</v>
      </c>
      <c r="E4713" t="str">
        <f>HYPERLINK("http://www.ncbi.nlm.nih.gov/Taxonomy/Browser/wwwtax.cgi?mode=Info&amp;id=303724&amp;lvl=3&amp;lin=f&amp;keep=1&amp;srchmode=1&amp;unlock","303724")</f>
        <v>303724</v>
      </c>
      <c r="F4713" t="s">
        <v>17</v>
      </c>
      <c r="G4713" t="str">
        <f>HYPERLINK("http://www.ncbi.nlm.nih.gov/Taxonomy/Browser/wwwtax.cgi?mode=Info&amp;id=303724&amp;lvl=3&amp;lin=f&amp;keep=1&amp;srchmode=1&amp;unlock","Oxymonacanthus longirostris")</f>
        <v>Oxymonacanthus longirostris</v>
      </c>
      <c r="H4713" t="s">
        <v>1278</v>
      </c>
      <c r="I4713" t="str">
        <f>HYPERLINK("http://www.ncbi.nlm.nih.gov/protein/AGN55073.1","ryanodine receptor 3-like protein, partial")</f>
        <v>ryanodine receptor 3-like protein, partial</v>
      </c>
      <c r="J4713">
        <v>430.25</v>
      </c>
      <c r="K4713" t="s">
        <v>22</v>
      </c>
      <c r="L4713">
        <v>76</v>
      </c>
      <c r="M4713">
        <v>12.58</v>
      </c>
      <c r="N4713">
        <v>4.2300000000000004</v>
      </c>
      <c r="O4713" t="s">
        <v>19</v>
      </c>
      <c r="P4713" t="s">
        <v>1320</v>
      </c>
      <c r="Q4713" t="s">
        <v>19</v>
      </c>
      <c r="R4713" t="str">
        <f>HYPERLINK("https://cfpub.epa.gov/ecotox/explore.cfm?ncbi=303724","Explore in ECOTOX")</f>
        <v>Explore in ECOTOX</v>
      </c>
    </row>
    <row r="4714" spans="1:18" x14ac:dyDescent="0.45">
      <c r="A4714" t="s">
        <v>1265</v>
      </c>
      <c r="B4714">
        <v>8</v>
      </c>
      <c r="C4714" t="str">
        <f>HYPERLINK("http://www.ncbi.nlm.nih.gov/protein/ALX40460.1","ALX40460.1")</f>
        <v>ALX40460.1</v>
      </c>
      <c r="D4714">
        <v>12</v>
      </c>
      <c r="E4714" t="str">
        <f>HYPERLINK("http://www.ncbi.nlm.nih.gov/Taxonomy/Browser/wwwtax.cgi?mode=Info&amp;id=1778136&amp;lvl=3&amp;lin=f&amp;keep=1&amp;srchmode=1&amp;unlock","1778136")</f>
        <v>1778136</v>
      </c>
      <c r="F4714" t="s">
        <v>17</v>
      </c>
      <c r="G4714" t="str">
        <f>HYPERLINK("http://www.ncbi.nlm.nih.gov/Taxonomy/Browser/wwwtax.cgi?mode=Info&amp;id=1778136&amp;lvl=3&amp;lin=f&amp;keep=1&amp;srchmode=1&amp;unlock","Barilius sp. cypn6")</f>
        <v>Barilius sp. cypn6</v>
      </c>
      <c r="H4714" t="s">
        <v>21</v>
      </c>
      <c r="I4714" t="str">
        <f>HYPERLINK("http://www.ncbi.nlm.nih.gov/protein/ALX40460.1","ryanodine receptor 3-like protein, partial")</f>
        <v>ryanodine receptor 3-like protein, partial</v>
      </c>
      <c r="J4714">
        <v>429.87</v>
      </c>
      <c r="K4714" t="s">
        <v>22</v>
      </c>
      <c r="L4714">
        <v>76</v>
      </c>
      <c r="M4714">
        <v>12.58</v>
      </c>
      <c r="N4714">
        <v>4.2300000000000004</v>
      </c>
      <c r="O4714" t="s">
        <v>19</v>
      </c>
      <c r="P4714" t="s">
        <v>1320</v>
      </c>
      <c r="Q4714" t="s">
        <v>19</v>
      </c>
      <c r="R4714" t="str">
        <f>HYPERLINK("https://cfpub.epa.gov/ecotox/explore.cfm?ncbi=1778136","Explore in ECOTOX")</f>
        <v>Explore in ECOTOX</v>
      </c>
    </row>
    <row r="4715" spans="1:18" x14ac:dyDescent="0.45">
      <c r="A4715" t="s">
        <v>1265</v>
      </c>
      <c r="B4715">
        <v>8</v>
      </c>
      <c r="C4715" t="str">
        <f>HYPERLINK("http://www.ncbi.nlm.nih.gov/protein/ALX40475.1","ALX40475.1")</f>
        <v>ALX40475.1</v>
      </c>
      <c r="D4715">
        <v>48</v>
      </c>
      <c r="E4715" t="str">
        <f>HYPERLINK("http://www.ncbi.nlm.nih.gov/Taxonomy/Browser/wwwtax.cgi?mode=Info&amp;id=471640&amp;lvl=3&amp;lin=f&amp;keep=1&amp;srchmode=1&amp;unlock","471640")</f>
        <v>471640</v>
      </c>
      <c r="F4715" t="s">
        <v>17</v>
      </c>
      <c r="G4715" t="str">
        <f>HYPERLINK("http://www.ncbi.nlm.nih.gov/Taxonomy/Browser/wwwtax.cgi?mode=Info&amp;id=471640&amp;lvl=3&amp;lin=f&amp;keep=1&amp;srchmode=1&amp;unlock","Osteochilus melanopleurus")</f>
        <v>Osteochilus melanopleurus</v>
      </c>
      <c r="H4715" t="s">
        <v>21</v>
      </c>
      <c r="I4715" t="str">
        <f>HYPERLINK("http://www.ncbi.nlm.nih.gov/protein/ALX40475.1","ryanodine receptor 3-like protein, partial")</f>
        <v>ryanodine receptor 3-like protein, partial</v>
      </c>
      <c r="J4715">
        <v>429.87</v>
      </c>
      <c r="K4715" t="s">
        <v>22</v>
      </c>
      <c r="L4715">
        <v>76</v>
      </c>
      <c r="M4715">
        <v>12.58</v>
      </c>
      <c r="N4715">
        <v>4.2300000000000004</v>
      </c>
      <c r="O4715" t="s">
        <v>19</v>
      </c>
      <c r="P4715" t="s">
        <v>1320</v>
      </c>
      <c r="Q4715" t="s">
        <v>19</v>
      </c>
      <c r="R4715" t="str">
        <f>HYPERLINK("https://cfpub.epa.gov/ecotox/explore.cfm?ncbi=471640","Explore in ECOTOX")</f>
        <v>Explore in ECOTOX</v>
      </c>
    </row>
    <row r="4716" spans="1:18" x14ac:dyDescent="0.45">
      <c r="A4716" t="s">
        <v>1265</v>
      </c>
      <c r="B4716">
        <v>8</v>
      </c>
      <c r="C4716" t="str">
        <f>HYPERLINK("http://www.ncbi.nlm.nih.gov/protein/ALX40498.1","ALX40498.1")</f>
        <v>ALX40498.1</v>
      </c>
      <c r="D4716">
        <v>112</v>
      </c>
      <c r="E4716" t="str">
        <f>HYPERLINK("http://www.ncbi.nlm.nih.gov/Taxonomy/Browser/wwwtax.cgi?mode=Info&amp;id=154816&amp;lvl=3&amp;lin=f&amp;keep=1&amp;srchmode=1&amp;unlock","154816")</f>
        <v>154816</v>
      </c>
      <c r="F4716" t="s">
        <v>17</v>
      </c>
      <c r="G4716" t="str">
        <f>HYPERLINK("http://www.ncbi.nlm.nih.gov/Taxonomy/Browser/wwwtax.cgi?mode=Info&amp;id=154816&amp;lvl=3&amp;lin=f&amp;keep=1&amp;srchmode=1&amp;unlock","Gyrinocheilus aymonieri")</f>
        <v>Gyrinocheilus aymonieri</v>
      </c>
      <c r="H4716" t="s">
        <v>1360</v>
      </c>
      <c r="I4716" t="str">
        <f>HYPERLINK("http://www.ncbi.nlm.nih.gov/protein/ALX40498.1","ryanodine receptor 3-like protein, partial")</f>
        <v>ryanodine receptor 3-like protein, partial</v>
      </c>
      <c r="J4716">
        <v>429.48</v>
      </c>
      <c r="K4716" t="s">
        <v>22</v>
      </c>
      <c r="L4716">
        <v>76</v>
      </c>
      <c r="M4716">
        <v>12.58</v>
      </c>
      <c r="N4716">
        <v>4.2300000000000004</v>
      </c>
      <c r="O4716" t="s">
        <v>19</v>
      </c>
      <c r="P4716" t="s">
        <v>1320</v>
      </c>
      <c r="Q4716" t="s">
        <v>19</v>
      </c>
      <c r="R4716" t="str">
        <f>HYPERLINK("https://cfpub.epa.gov/ecotox/explore.cfm?ncbi=154816","Explore in ECOTOX")</f>
        <v>Explore in ECOTOX</v>
      </c>
    </row>
    <row r="4717" spans="1:18" x14ac:dyDescent="0.45">
      <c r="A4717" t="s">
        <v>1265</v>
      </c>
      <c r="B4717">
        <v>8</v>
      </c>
      <c r="C4717" t="str">
        <f>HYPERLINK("http://www.ncbi.nlm.nih.gov/protein/ABV64912.1","ABV64912.1")</f>
        <v>ABV64912.1</v>
      </c>
      <c r="D4717">
        <v>78</v>
      </c>
      <c r="E4717" t="str">
        <f>HYPERLINK("http://www.ncbi.nlm.nih.gov/Taxonomy/Browser/wwwtax.cgi?mode=Info&amp;id=221863&amp;lvl=3&amp;lin=f&amp;keep=1&amp;srchmode=1&amp;unlock","221863")</f>
        <v>221863</v>
      </c>
      <c r="F4717" t="s">
        <v>17</v>
      </c>
      <c r="G4717" t="str">
        <f>HYPERLINK("http://www.ncbi.nlm.nih.gov/Taxonomy/Browser/wwwtax.cgi?mode=Info&amp;id=221863&amp;lvl=3&amp;lin=f&amp;keep=1&amp;srchmode=1&amp;unlock","Chirocentrus dorab")</f>
        <v>Chirocentrus dorab</v>
      </c>
      <c r="H4717" t="s">
        <v>1361</v>
      </c>
      <c r="I4717" t="str">
        <f>HYPERLINK("http://www.ncbi.nlm.nih.gov/protein/ABV64912.1","ryanodine receptor 3-like protein, partial")</f>
        <v>ryanodine receptor 3-like protein, partial</v>
      </c>
      <c r="J4717">
        <v>428.71</v>
      </c>
      <c r="K4717" t="s">
        <v>22</v>
      </c>
      <c r="L4717">
        <v>76</v>
      </c>
      <c r="M4717">
        <v>12.58</v>
      </c>
      <c r="N4717">
        <v>4.22</v>
      </c>
      <c r="O4717" t="s">
        <v>19</v>
      </c>
      <c r="P4717" t="s">
        <v>1320</v>
      </c>
      <c r="Q4717" t="s">
        <v>19</v>
      </c>
      <c r="R4717" t="str">
        <f>HYPERLINK("https://cfpub.epa.gov/ecotox/explore.cfm?ncbi=221863","Explore in ECOTOX")</f>
        <v>Explore in ECOTOX</v>
      </c>
    </row>
    <row r="4718" spans="1:18" x14ac:dyDescent="0.45">
      <c r="A4718" t="s">
        <v>1265</v>
      </c>
      <c r="B4718">
        <v>8</v>
      </c>
      <c r="C4718" t="str">
        <f>HYPERLINK("http://www.ncbi.nlm.nih.gov/protein/ALX40503.1","ALX40503.1")</f>
        <v>ALX40503.1</v>
      </c>
      <c r="D4718">
        <v>9</v>
      </c>
      <c r="E4718" t="str">
        <f>HYPERLINK("http://www.ncbi.nlm.nih.gov/Taxonomy/Browser/wwwtax.cgi?mode=Info&amp;id=1764108&amp;lvl=3&amp;lin=f&amp;keep=1&amp;srchmode=1&amp;unlock","1764108")</f>
        <v>1764108</v>
      </c>
      <c r="F4718" t="s">
        <v>17</v>
      </c>
      <c r="G4718" t="str">
        <f>HYPERLINK("http://www.ncbi.nlm.nih.gov/Taxonomy/Browser/wwwtax.cgi?mode=Info&amp;id=1764108&amp;lvl=3&amp;lin=f&amp;keep=1&amp;srchmode=1&amp;unlock","Oreoleuciscus sp. 'fluviatilis'")</f>
        <v>Oreoleuciscus sp. 'fluviatilis'</v>
      </c>
      <c r="H4718" t="s">
        <v>21</v>
      </c>
      <c r="I4718" t="str">
        <f>HYPERLINK("http://www.ncbi.nlm.nih.gov/protein/ALX40503.1","ryanodine receptor 3-like protein, partial")</f>
        <v>ryanodine receptor 3-like protein, partial</v>
      </c>
      <c r="J4718">
        <v>428.71</v>
      </c>
      <c r="K4718" t="s">
        <v>22</v>
      </c>
      <c r="L4718">
        <v>76</v>
      </c>
      <c r="M4718">
        <v>12.58</v>
      </c>
      <c r="N4718">
        <v>4.22</v>
      </c>
      <c r="O4718" t="s">
        <v>19</v>
      </c>
      <c r="P4718" t="s">
        <v>1320</v>
      </c>
      <c r="Q4718" t="s">
        <v>19</v>
      </c>
      <c r="R4718" t="str">
        <f>HYPERLINK("https://cfpub.epa.gov/ecotox/explore.cfm?ncbi=1764108","Explore in ECOTOX")</f>
        <v>Explore in ECOTOX</v>
      </c>
    </row>
    <row r="4719" spans="1:18" x14ac:dyDescent="0.45">
      <c r="A4719" t="s">
        <v>1265</v>
      </c>
      <c r="B4719">
        <v>8</v>
      </c>
      <c r="C4719" t="str">
        <f>HYPERLINK("http://www.ncbi.nlm.nih.gov/protein/ABV64915.1","ABV64915.1")</f>
        <v>ABV64915.1</v>
      </c>
      <c r="D4719">
        <v>122</v>
      </c>
      <c r="E4719" t="str">
        <f>HYPERLINK("http://www.ncbi.nlm.nih.gov/Taxonomy/Browser/wwwtax.cgi?mode=Info&amp;id=336262&amp;lvl=3&amp;lin=f&amp;keep=1&amp;srchmode=1&amp;unlock","336262")</f>
        <v>336262</v>
      </c>
      <c r="F4719" t="s">
        <v>17</v>
      </c>
      <c r="G4719" t="str">
        <f>HYPERLINK("http://www.ncbi.nlm.nih.gov/Taxonomy/Browser/wwwtax.cgi?mode=Info&amp;id=336262&amp;lvl=3&amp;lin=f&amp;keep=1&amp;srchmode=1&amp;unlock","Dorosoma cepedianum")</f>
        <v>Dorosoma cepedianum</v>
      </c>
      <c r="H4719" t="s">
        <v>1362</v>
      </c>
      <c r="I4719" t="str">
        <f>HYPERLINK("http://www.ncbi.nlm.nih.gov/protein/ABV64915.1","ryanodine receptor 3-like protein, partial")</f>
        <v>ryanodine receptor 3-like protein, partial</v>
      </c>
      <c r="J4719">
        <v>428.71</v>
      </c>
      <c r="K4719" t="s">
        <v>22</v>
      </c>
      <c r="L4719">
        <v>76</v>
      </c>
      <c r="M4719">
        <v>12.58</v>
      </c>
      <c r="N4719">
        <v>4.22</v>
      </c>
      <c r="O4719" t="s">
        <v>19</v>
      </c>
      <c r="P4719" t="s">
        <v>1320</v>
      </c>
      <c r="Q4719" t="s">
        <v>19</v>
      </c>
      <c r="R4719" t="str">
        <f>HYPERLINK("https://cfpub.epa.gov/ecotox/explore.cfm?ncbi=336262","Explore in ECOTOX")</f>
        <v>Explore in ECOTOX</v>
      </c>
    </row>
    <row r="4720" spans="1:18" x14ac:dyDescent="0.45">
      <c r="A4720" t="s">
        <v>1265</v>
      </c>
      <c r="B4720">
        <v>8</v>
      </c>
      <c r="C4720" t="str">
        <f>HYPERLINK("http://www.ncbi.nlm.nih.gov/protein/ALX40442.1","ALX40442.1")</f>
        <v>ALX40442.1</v>
      </c>
      <c r="D4720">
        <v>63</v>
      </c>
      <c r="E4720" t="str">
        <f>HYPERLINK("http://www.ncbi.nlm.nih.gov/Taxonomy/Browser/wwwtax.cgi?mode=Info&amp;id=278176&amp;lvl=3&amp;lin=f&amp;keep=1&amp;srchmode=1&amp;unlock","278176")</f>
        <v>278176</v>
      </c>
      <c r="F4720" t="s">
        <v>17</v>
      </c>
      <c r="G4720" t="str">
        <f>HYPERLINK("http://www.ncbi.nlm.nih.gov/Taxonomy/Browser/wwwtax.cgi?mode=Info&amp;id=278176&amp;lvl=3&amp;lin=f&amp;keep=1&amp;srchmode=1&amp;unlock","Leptobotia taeniops")</f>
        <v>Leptobotia taeniops</v>
      </c>
      <c r="H4720" t="s">
        <v>21</v>
      </c>
      <c r="I4720" t="str">
        <f>HYPERLINK("http://www.ncbi.nlm.nih.gov/protein/ALX40442.1","ryanodine receptor 3-like protein, partial")</f>
        <v>ryanodine receptor 3-like protein, partial</v>
      </c>
      <c r="J4720">
        <v>428.33</v>
      </c>
      <c r="K4720" t="s">
        <v>22</v>
      </c>
      <c r="L4720">
        <v>76</v>
      </c>
      <c r="M4720">
        <v>12.58</v>
      </c>
      <c r="N4720">
        <v>4.22</v>
      </c>
      <c r="O4720" t="s">
        <v>19</v>
      </c>
      <c r="P4720" t="s">
        <v>1320</v>
      </c>
      <c r="Q4720" t="s">
        <v>19</v>
      </c>
      <c r="R4720" t="str">
        <f>HYPERLINK("https://cfpub.epa.gov/ecotox/explore.cfm?ncbi=278176","Explore in ECOTOX")</f>
        <v>Explore in ECOTOX</v>
      </c>
    </row>
    <row r="4721" spans="1:18" x14ac:dyDescent="0.45">
      <c r="A4721" t="s">
        <v>1265</v>
      </c>
      <c r="B4721">
        <v>8</v>
      </c>
      <c r="C4721" t="str">
        <f>HYPERLINK("http://www.ncbi.nlm.nih.gov/protein/ALX40421.1","ALX40421.1")</f>
        <v>ALX40421.1</v>
      </c>
      <c r="D4721">
        <v>57</v>
      </c>
      <c r="E4721" t="str">
        <f>HYPERLINK("http://www.ncbi.nlm.nih.gov/Taxonomy/Browser/wwwtax.cgi?mode=Info&amp;id=241451&amp;lvl=3&amp;lin=f&amp;keep=1&amp;srchmode=1&amp;unlock","241451")</f>
        <v>241451</v>
      </c>
      <c r="F4721" t="s">
        <v>17</v>
      </c>
      <c r="G4721" t="str">
        <f>HYPERLINK("http://www.ncbi.nlm.nih.gov/Taxonomy/Browser/wwwtax.cgi?mode=Info&amp;id=241451&amp;lvl=3&amp;lin=f&amp;keep=1&amp;srchmode=1&amp;unlock","Sinogastromyzon sichangensis")</f>
        <v>Sinogastromyzon sichangensis</v>
      </c>
      <c r="H4721" t="s">
        <v>1350</v>
      </c>
      <c r="I4721" t="str">
        <f>HYPERLINK("http://www.ncbi.nlm.nih.gov/protein/ALX40421.1","ryanodine receptor 3-like protein, partial")</f>
        <v>ryanodine receptor 3-like protein, partial</v>
      </c>
      <c r="J4721">
        <v>428.33</v>
      </c>
      <c r="K4721" t="s">
        <v>22</v>
      </c>
      <c r="L4721">
        <v>76</v>
      </c>
      <c r="M4721">
        <v>12.58</v>
      </c>
      <c r="N4721">
        <v>4.22</v>
      </c>
      <c r="O4721" t="s">
        <v>19</v>
      </c>
      <c r="P4721" t="s">
        <v>1320</v>
      </c>
      <c r="Q4721" t="s">
        <v>19</v>
      </c>
      <c r="R4721" t="str">
        <f>HYPERLINK("https://cfpub.epa.gov/ecotox/explore.cfm?ncbi=241451","Explore in ECOTOX")</f>
        <v>Explore in ECOTOX</v>
      </c>
    </row>
    <row r="4722" spans="1:18" x14ac:dyDescent="0.45">
      <c r="A4722" t="s">
        <v>1265</v>
      </c>
      <c r="B4722">
        <v>8</v>
      </c>
      <c r="C4722" t="str">
        <f>HYPERLINK("http://www.ncbi.nlm.nih.gov/protein/ALX40450.1","ALX40450.1")</f>
        <v>ALX40450.1</v>
      </c>
      <c r="D4722">
        <v>147</v>
      </c>
      <c r="E4722" t="str">
        <f>HYPERLINK("http://www.ncbi.nlm.nih.gov/Taxonomy/Browser/wwwtax.cgi?mode=Info&amp;id=425479&amp;lvl=3&amp;lin=f&amp;keep=1&amp;srchmode=1&amp;unlock","425479")</f>
        <v>425479</v>
      </c>
      <c r="F4722" t="s">
        <v>17</v>
      </c>
      <c r="G4722" t="str">
        <f>HYPERLINK("http://www.ncbi.nlm.nih.gov/Taxonomy/Browser/wwwtax.cgi?mode=Info&amp;id=425479&amp;lvl=3&amp;lin=f&amp;keep=1&amp;srchmode=1&amp;unlock","Lepidocephalichthys guntea")</f>
        <v>Lepidocephalichthys guntea</v>
      </c>
      <c r="H4722" t="s">
        <v>1363</v>
      </c>
      <c r="I4722" t="str">
        <f>HYPERLINK("http://www.ncbi.nlm.nih.gov/protein/ALX40450.1","ryanodine receptor 3-like protein, partial")</f>
        <v>ryanodine receptor 3-like protein, partial</v>
      </c>
      <c r="J4722">
        <v>427.94</v>
      </c>
      <c r="K4722" t="s">
        <v>22</v>
      </c>
      <c r="L4722">
        <v>76</v>
      </c>
      <c r="M4722">
        <v>12.58</v>
      </c>
      <c r="N4722">
        <v>4.21</v>
      </c>
      <c r="O4722" t="s">
        <v>19</v>
      </c>
      <c r="P4722" t="s">
        <v>1320</v>
      </c>
      <c r="Q4722" t="s">
        <v>19</v>
      </c>
      <c r="R4722" t="str">
        <f>HYPERLINK("https://cfpub.epa.gov/ecotox/explore.cfm?ncbi=425479","Explore in ECOTOX")</f>
        <v>Explore in ECOTOX</v>
      </c>
    </row>
    <row r="4723" spans="1:18" x14ac:dyDescent="0.45">
      <c r="A4723" t="s">
        <v>1265</v>
      </c>
      <c r="B4723">
        <v>8</v>
      </c>
      <c r="C4723" t="str">
        <f>HYPERLINK("http://www.ncbi.nlm.nih.gov/protein/ALX40496.1","ALX40496.1")</f>
        <v>ALX40496.1</v>
      </c>
      <c r="D4723">
        <v>66</v>
      </c>
      <c r="E4723" t="str">
        <f>HYPERLINK("http://www.ncbi.nlm.nih.gov/Taxonomy/Browser/wwwtax.cgi?mode=Info&amp;id=143608&amp;lvl=3&amp;lin=f&amp;keep=1&amp;srchmode=1&amp;unlock","143608")</f>
        <v>143608</v>
      </c>
      <c r="F4723" t="s">
        <v>17</v>
      </c>
      <c r="G4723" t="str">
        <f>HYPERLINK("http://www.ncbi.nlm.nih.gov/Taxonomy/Browser/wwwtax.cgi?mode=Info&amp;id=143608&amp;lvl=3&amp;lin=f&amp;keep=1&amp;srchmode=1&amp;unlock","Aphyocypris arcus")</f>
        <v>Aphyocypris arcus</v>
      </c>
      <c r="H4723" t="s">
        <v>1364</v>
      </c>
      <c r="I4723" t="str">
        <f>HYPERLINK("http://www.ncbi.nlm.nih.gov/protein/ALX40496.1","ryanodine receptor 3-like protein, partial")</f>
        <v>ryanodine receptor 3-like protein, partial</v>
      </c>
      <c r="J4723">
        <v>427.56</v>
      </c>
      <c r="K4723" t="s">
        <v>22</v>
      </c>
      <c r="L4723">
        <v>76</v>
      </c>
      <c r="M4723">
        <v>12.58</v>
      </c>
      <c r="N4723">
        <v>4.21</v>
      </c>
      <c r="O4723" t="s">
        <v>19</v>
      </c>
      <c r="P4723" t="s">
        <v>1320</v>
      </c>
      <c r="Q4723" t="s">
        <v>19</v>
      </c>
      <c r="R4723" t="str">
        <f>HYPERLINK("https://cfpub.epa.gov/ecotox/explore.cfm?ncbi=143608","Explore in ECOTOX")</f>
        <v>Explore in ECOTOX</v>
      </c>
    </row>
    <row r="4724" spans="1:18" x14ac:dyDescent="0.45">
      <c r="A4724" t="s">
        <v>1265</v>
      </c>
      <c r="B4724">
        <v>8</v>
      </c>
      <c r="C4724" t="str">
        <f>HYPERLINK("http://www.ncbi.nlm.nih.gov/protein/ALX40431.1","ALX40431.1")</f>
        <v>ALX40431.1</v>
      </c>
      <c r="D4724">
        <v>14</v>
      </c>
      <c r="E4724" t="str">
        <f>HYPERLINK("http://www.ncbi.nlm.nih.gov/Taxonomy/Browser/wwwtax.cgi?mode=Info&amp;id=1778182&amp;lvl=3&amp;lin=f&amp;keep=1&amp;srchmode=1&amp;unlock","1778182")</f>
        <v>1778182</v>
      </c>
      <c r="F4724" t="s">
        <v>17</v>
      </c>
      <c r="G4724" t="str">
        <f>HYPERLINK("http://www.ncbi.nlm.nih.gov/Taxonomy/Browser/wwwtax.cgi?mode=Info&amp;id=1778182&amp;lvl=3&amp;lin=f&amp;keep=1&amp;srchmode=1&amp;unlock","Triplophysa sp. cyp63")</f>
        <v>Triplophysa sp. cyp63</v>
      </c>
      <c r="H4724" t="s">
        <v>33</v>
      </c>
      <c r="I4724" t="str">
        <f>HYPERLINK("http://www.ncbi.nlm.nih.gov/protein/ALX40431.1","ryanodine receptor 3-like protein, partial")</f>
        <v>ryanodine receptor 3-like protein, partial</v>
      </c>
      <c r="J4724">
        <v>426.79</v>
      </c>
      <c r="K4724" t="s">
        <v>22</v>
      </c>
      <c r="L4724">
        <v>76</v>
      </c>
      <c r="M4724">
        <v>12.58</v>
      </c>
      <c r="N4724">
        <v>4.2</v>
      </c>
      <c r="O4724" t="s">
        <v>19</v>
      </c>
      <c r="P4724" t="s">
        <v>1320</v>
      </c>
      <c r="Q4724" t="s">
        <v>19</v>
      </c>
      <c r="R4724" t="str">
        <f>HYPERLINK("https://cfpub.epa.gov/ecotox/explore.cfm?ncbi=1778182","Explore in ECOTOX")</f>
        <v>Explore in ECOTOX</v>
      </c>
    </row>
    <row r="4725" spans="1:18" x14ac:dyDescent="0.45">
      <c r="A4725" t="s">
        <v>1265</v>
      </c>
      <c r="B4725">
        <v>8</v>
      </c>
      <c r="C4725" t="str">
        <f>HYPERLINK("http://www.ncbi.nlm.nih.gov/protein/ALX40464.1","ALX40464.1")</f>
        <v>ALX40464.1</v>
      </c>
      <c r="D4725">
        <v>47</v>
      </c>
      <c r="E4725" t="str">
        <f>HYPERLINK("http://www.ncbi.nlm.nih.gov/Taxonomy/Browser/wwwtax.cgi?mode=Info&amp;id=496974&amp;lvl=3&amp;lin=f&amp;keep=1&amp;srchmode=1&amp;unlock","496974")</f>
        <v>496974</v>
      </c>
      <c r="F4725" t="s">
        <v>17</v>
      </c>
      <c r="G4725" t="str">
        <f>HYPERLINK("http://www.ncbi.nlm.nih.gov/Taxonomy/Browser/wwwtax.cgi?mode=Info&amp;id=496974&amp;lvl=3&amp;lin=f&amp;keep=1&amp;srchmode=1&amp;unlock","Cyclocheilichthys janthochir")</f>
        <v>Cyclocheilichthys janthochir</v>
      </c>
      <c r="H4725" t="s">
        <v>21</v>
      </c>
      <c r="I4725" t="str">
        <f>HYPERLINK("http://www.ncbi.nlm.nih.gov/protein/ALX40464.1","ryanodine receptor 3-like protein, partial")</f>
        <v>ryanodine receptor 3-like protein, partial</v>
      </c>
      <c r="J4725">
        <v>426.4</v>
      </c>
      <c r="K4725" t="s">
        <v>22</v>
      </c>
      <c r="L4725">
        <v>76</v>
      </c>
      <c r="M4725">
        <v>12.58</v>
      </c>
      <c r="N4725">
        <v>4.2</v>
      </c>
      <c r="O4725" t="s">
        <v>19</v>
      </c>
      <c r="P4725" t="s">
        <v>1320</v>
      </c>
      <c r="Q4725" t="s">
        <v>19</v>
      </c>
      <c r="R4725" t="str">
        <f>HYPERLINK("https://cfpub.epa.gov/ecotox/explore.cfm?ncbi=496974","Explore in ECOTOX")</f>
        <v>Explore in ECOTOX</v>
      </c>
    </row>
    <row r="4726" spans="1:18" x14ac:dyDescent="0.45">
      <c r="A4726" t="s">
        <v>1265</v>
      </c>
      <c r="B4726">
        <v>8</v>
      </c>
      <c r="C4726" t="str">
        <f>HYPERLINK("http://www.ncbi.nlm.nih.gov/protein/AGN55095.1","AGN55095.1")</f>
        <v>AGN55095.1</v>
      </c>
      <c r="D4726">
        <v>25</v>
      </c>
      <c r="E4726" t="str">
        <f>HYPERLINK("http://www.ncbi.nlm.nih.gov/Taxonomy/Browser/wwwtax.cgi?mode=Info&amp;id=1311557&amp;lvl=3&amp;lin=f&amp;keep=1&amp;srchmode=1&amp;unlock","1311557")</f>
        <v>1311557</v>
      </c>
      <c r="F4726" t="s">
        <v>17</v>
      </c>
      <c r="G4726" t="str">
        <f>HYPERLINK("http://www.ncbi.nlm.nih.gov/Taxonomy/Browser/wwwtax.cgi?mode=Info&amp;id=1311557&amp;lvl=3&amp;lin=f&amp;keep=1&amp;srchmode=1&amp;unlock","Parahollardia lineata")</f>
        <v>Parahollardia lineata</v>
      </c>
      <c r="H4726" t="s">
        <v>1365</v>
      </c>
      <c r="I4726" t="str">
        <f>HYPERLINK("http://www.ncbi.nlm.nih.gov/protein/AGN55095.1","ryanodine receptor 3-like protein, partial")</f>
        <v>ryanodine receptor 3-like protein, partial</v>
      </c>
      <c r="J4726">
        <v>426.4</v>
      </c>
      <c r="K4726" t="s">
        <v>22</v>
      </c>
      <c r="L4726">
        <v>76</v>
      </c>
      <c r="M4726">
        <v>12.58</v>
      </c>
      <c r="N4726">
        <v>4.2</v>
      </c>
      <c r="O4726" t="s">
        <v>19</v>
      </c>
      <c r="P4726" t="s">
        <v>1320</v>
      </c>
      <c r="Q4726" t="s">
        <v>19</v>
      </c>
      <c r="R4726" t="str">
        <f>HYPERLINK("https://cfpub.epa.gov/ecotox/explore.cfm?ncbi=1311557","Explore in ECOTOX")</f>
        <v>Explore in ECOTOX</v>
      </c>
    </row>
    <row r="4727" spans="1:18" x14ac:dyDescent="0.45">
      <c r="A4727" t="s">
        <v>1265</v>
      </c>
      <c r="B4727">
        <v>8</v>
      </c>
      <c r="C4727" t="str">
        <f>HYPERLINK("http://www.ncbi.nlm.nih.gov/protein/ALX40436.1","ALX40436.1")</f>
        <v>ALX40436.1</v>
      </c>
      <c r="D4727">
        <v>104</v>
      </c>
      <c r="E4727" t="str">
        <f>HYPERLINK("http://www.ncbi.nlm.nih.gov/Taxonomy/Browser/wwwtax.cgi?mode=Info&amp;id=164605&amp;lvl=3&amp;lin=f&amp;keep=1&amp;srchmode=1&amp;unlock","164605")</f>
        <v>164605</v>
      </c>
      <c r="F4727" t="s">
        <v>17</v>
      </c>
      <c r="G4727" t="str">
        <f>HYPERLINK("http://www.ncbi.nlm.nih.gov/Taxonomy/Browser/wwwtax.cgi?mode=Info&amp;id=164605&amp;lvl=3&amp;lin=f&amp;keep=1&amp;srchmode=1&amp;unlock","Hesperoleucus symmetricus")</f>
        <v>Hesperoleucus symmetricus</v>
      </c>
      <c r="H4727" t="s">
        <v>1366</v>
      </c>
      <c r="I4727" t="str">
        <f>HYPERLINK("http://www.ncbi.nlm.nih.gov/protein/ALX40436.1","ryanodine receptor 3-like protein, partial")</f>
        <v>ryanodine receptor 3-like protein, partial</v>
      </c>
      <c r="J4727">
        <v>426.4</v>
      </c>
      <c r="K4727" t="s">
        <v>22</v>
      </c>
      <c r="L4727">
        <v>76</v>
      </c>
      <c r="M4727">
        <v>12.58</v>
      </c>
      <c r="N4727">
        <v>4.2</v>
      </c>
      <c r="O4727" t="s">
        <v>19</v>
      </c>
      <c r="P4727" t="s">
        <v>1320</v>
      </c>
      <c r="Q4727" t="s">
        <v>19</v>
      </c>
      <c r="R4727" t="str">
        <f>HYPERLINK("https://cfpub.epa.gov/ecotox/explore.cfm?ncbi=164605","Explore in ECOTOX")</f>
        <v>Explore in ECOTOX</v>
      </c>
    </row>
    <row r="4728" spans="1:18" x14ac:dyDescent="0.45">
      <c r="A4728" t="s">
        <v>1265</v>
      </c>
      <c r="B4728">
        <v>8</v>
      </c>
      <c r="C4728" t="str">
        <f>HYPERLINK("http://www.ncbi.nlm.nih.gov/protein/ALX40426.1","ALX40426.1")</f>
        <v>ALX40426.1</v>
      </c>
      <c r="D4728">
        <v>51</v>
      </c>
      <c r="E4728" t="str">
        <f>HYPERLINK("http://www.ncbi.nlm.nih.gov/Taxonomy/Browser/wwwtax.cgi?mode=Info&amp;id=670114&amp;lvl=3&amp;lin=f&amp;keep=1&amp;srchmode=1&amp;unlock","670114")</f>
        <v>670114</v>
      </c>
      <c r="F4728" t="s">
        <v>17</v>
      </c>
      <c r="G4728" t="str">
        <f>HYPERLINK("http://www.ncbi.nlm.nih.gov/Taxonomy/Browser/wwwtax.cgi?mode=Info&amp;id=670114&amp;lvl=3&amp;lin=f&amp;keep=1&amp;srchmode=1&amp;unlock","Schistura savona")</f>
        <v>Schistura savona</v>
      </c>
      <c r="H4728" t="s">
        <v>1367</v>
      </c>
      <c r="I4728" t="str">
        <f>HYPERLINK("http://www.ncbi.nlm.nih.gov/protein/ALX40426.1","ryanodine receptor 3-like protein, partial")</f>
        <v>ryanodine receptor 3-like protein, partial</v>
      </c>
      <c r="J4728">
        <v>426.02</v>
      </c>
      <c r="K4728" t="s">
        <v>22</v>
      </c>
      <c r="L4728">
        <v>76</v>
      </c>
      <c r="M4728">
        <v>12.58</v>
      </c>
      <c r="N4728">
        <v>4.1900000000000004</v>
      </c>
      <c r="O4728" t="s">
        <v>19</v>
      </c>
      <c r="P4728" t="s">
        <v>1320</v>
      </c>
      <c r="Q4728" t="s">
        <v>19</v>
      </c>
      <c r="R4728" t="str">
        <f>HYPERLINK("https://cfpub.epa.gov/ecotox/explore.cfm?ncbi=670114","Explore in ECOTOX")</f>
        <v>Explore in ECOTOX</v>
      </c>
    </row>
    <row r="4729" spans="1:18" x14ac:dyDescent="0.45">
      <c r="A4729" t="s">
        <v>1265</v>
      </c>
      <c r="B4729">
        <v>8</v>
      </c>
      <c r="C4729" t="str">
        <f>HYPERLINK("http://www.ncbi.nlm.nih.gov/protein/ALX40463.1","ALX40463.1")</f>
        <v>ALX40463.1</v>
      </c>
      <c r="D4729">
        <v>12</v>
      </c>
      <c r="E4729" t="str">
        <f>HYPERLINK("http://www.ncbi.nlm.nih.gov/Taxonomy/Browser/wwwtax.cgi?mode=Info&amp;id=1778142&amp;lvl=3&amp;lin=f&amp;keep=1&amp;srchmode=1&amp;unlock","1778142")</f>
        <v>1778142</v>
      </c>
      <c r="F4729" t="s">
        <v>17</v>
      </c>
      <c r="G4729" t="str">
        <f>HYPERLINK("http://www.ncbi.nlm.nih.gov/Taxonomy/Browser/wwwtax.cgi?mode=Info&amp;id=1778142&amp;lvl=3&amp;lin=f&amp;keep=1&amp;srchmode=1&amp;unlock","Crossocheilus sp. cypn26")</f>
        <v>Crossocheilus sp. cypn26</v>
      </c>
      <c r="H4729" t="s">
        <v>21</v>
      </c>
      <c r="I4729" t="str">
        <f>HYPERLINK("http://www.ncbi.nlm.nih.gov/protein/ALX40463.1","ryanodine receptor 3-like protein, partial")</f>
        <v>ryanodine receptor 3-like protein, partial</v>
      </c>
      <c r="J4729">
        <v>425.63</v>
      </c>
      <c r="K4729" t="s">
        <v>22</v>
      </c>
      <c r="L4729">
        <v>76</v>
      </c>
      <c r="M4729">
        <v>12.58</v>
      </c>
      <c r="N4729">
        <v>4.1900000000000004</v>
      </c>
      <c r="O4729" t="s">
        <v>19</v>
      </c>
      <c r="P4729" t="s">
        <v>1320</v>
      </c>
      <c r="Q4729" t="s">
        <v>19</v>
      </c>
      <c r="R4729" t="str">
        <f>HYPERLINK("https://cfpub.epa.gov/ecotox/explore.cfm?ncbi=1778142","Explore in ECOTOX")</f>
        <v>Explore in ECOTOX</v>
      </c>
    </row>
    <row r="4730" spans="1:18" x14ac:dyDescent="0.45">
      <c r="A4730" t="s">
        <v>1265</v>
      </c>
      <c r="B4730">
        <v>8</v>
      </c>
      <c r="C4730" t="str">
        <f>HYPERLINK("http://www.ncbi.nlm.nih.gov/protein/ALX40438.1","ALX40438.1")</f>
        <v>ALX40438.1</v>
      </c>
      <c r="D4730">
        <v>91</v>
      </c>
      <c r="E4730" t="str">
        <f>HYPERLINK("http://www.ncbi.nlm.nih.gov/Taxonomy/Browser/wwwtax.cgi?mode=Info&amp;id=154819&amp;lvl=3&amp;lin=f&amp;keep=1&amp;srchmode=1&amp;unlock","154819")</f>
        <v>154819</v>
      </c>
      <c r="F4730" t="s">
        <v>17</v>
      </c>
      <c r="G4730" t="str">
        <f>HYPERLINK("http://www.ncbi.nlm.nih.gov/Taxonomy/Browser/wwwtax.cgi?mode=Info&amp;id=154819&amp;lvl=3&amp;lin=f&amp;keep=1&amp;srchmode=1&amp;unlock","Minytrema melanops")</f>
        <v>Minytrema melanops</v>
      </c>
      <c r="H4730" t="s">
        <v>1368</v>
      </c>
      <c r="I4730" t="str">
        <f>HYPERLINK("http://www.ncbi.nlm.nih.gov/protein/ALX40438.1","ryanodine receptor 3-like protein, partial")</f>
        <v>ryanodine receptor 3-like protein, partial</v>
      </c>
      <c r="J4730">
        <v>425.25</v>
      </c>
      <c r="K4730" t="s">
        <v>22</v>
      </c>
      <c r="L4730">
        <v>76</v>
      </c>
      <c r="M4730">
        <v>12.58</v>
      </c>
      <c r="N4730">
        <v>4.1900000000000004</v>
      </c>
      <c r="O4730" t="s">
        <v>19</v>
      </c>
      <c r="P4730" t="s">
        <v>1320</v>
      </c>
      <c r="Q4730" t="s">
        <v>19</v>
      </c>
      <c r="R4730" t="str">
        <f>HYPERLINK("https://cfpub.epa.gov/ecotox/explore.cfm?ncbi=154819","Explore in ECOTOX")</f>
        <v>Explore in ECOTOX</v>
      </c>
    </row>
    <row r="4731" spans="1:18" x14ac:dyDescent="0.45">
      <c r="A4731" t="s">
        <v>1265</v>
      </c>
      <c r="B4731">
        <v>8</v>
      </c>
      <c r="C4731" t="str">
        <f>HYPERLINK("http://www.ncbi.nlm.nih.gov/protein/AGN55097.1","AGN55097.1")</f>
        <v>AGN55097.1</v>
      </c>
      <c r="D4731">
        <v>23</v>
      </c>
      <c r="E4731" t="str">
        <f>HYPERLINK("http://www.ncbi.nlm.nih.gov/Taxonomy/Browser/wwwtax.cgi?mode=Info&amp;id=1341873&amp;lvl=3&amp;lin=f&amp;keep=1&amp;srchmode=1&amp;unlock","1341873")</f>
        <v>1341873</v>
      </c>
      <c r="F4731" t="s">
        <v>17</v>
      </c>
      <c r="G4731" t="str">
        <f>HYPERLINK("http://www.ncbi.nlm.nih.gov/Taxonomy/Browser/wwwtax.cgi?mode=Info&amp;id=1341873&amp;lvl=3&amp;lin=f&amp;keep=1&amp;srchmode=1&amp;unlock","Tydemania navigatoris")</f>
        <v>Tydemania navigatoris</v>
      </c>
      <c r="H4731" t="s">
        <v>1369</v>
      </c>
      <c r="I4731" t="str">
        <f>HYPERLINK("http://www.ncbi.nlm.nih.gov/protein/AGN55097.1","ryanodine receptor 3-like protein, partial")</f>
        <v>ryanodine receptor 3-like protein, partial</v>
      </c>
      <c r="J4731">
        <v>425.25</v>
      </c>
      <c r="K4731" t="s">
        <v>22</v>
      </c>
      <c r="L4731">
        <v>76</v>
      </c>
      <c r="M4731">
        <v>12.58</v>
      </c>
      <c r="N4731">
        <v>4.1900000000000004</v>
      </c>
      <c r="O4731" t="s">
        <v>19</v>
      </c>
      <c r="P4731" t="s">
        <v>1320</v>
      </c>
      <c r="Q4731" t="s">
        <v>19</v>
      </c>
      <c r="R4731" t="str">
        <f>HYPERLINK("https://cfpub.epa.gov/ecotox/explore.cfm?ncbi=1341873","Explore in ECOTOX")</f>
        <v>Explore in ECOTOX</v>
      </c>
    </row>
    <row r="4732" spans="1:18" x14ac:dyDescent="0.45">
      <c r="A4732" t="s">
        <v>1265</v>
      </c>
      <c r="B4732">
        <v>8</v>
      </c>
      <c r="C4732" t="str">
        <f>HYPERLINK("http://www.ncbi.nlm.nih.gov/protein/ALX40469.1","ALX40469.1")</f>
        <v>ALX40469.1</v>
      </c>
      <c r="D4732">
        <v>117</v>
      </c>
      <c r="E4732" t="str">
        <f>HYPERLINK("http://www.ncbi.nlm.nih.gov/Taxonomy/Browser/wwwtax.cgi?mode=Info&amp;id=643380&amp;lvl=3&amp;lin=f&amp;keep=1&amp;srchmode=1&amp;unlock","643380")</f>
        <v>643380</v>
      </c>
      <c r="F4732" t="s">
        <v>17</v>
      </c>
      <c r="G4732" t="str">
        <f>HYPERLINK("http://www.ncbi.nlm.nih.gov/Taxonomy/Browser/wwwtax.cgi?mode=Info&amp;id=643380&amp;lvl=3&amp;lin=f&amp;keep=1&amp;srchmode=1&amp;unlock","Henicorhynchus siamensis")</f>
        <v>Henicorhynchus siamensis</v>
      </c>
      <c r="H4732" t="s">
        <v>1370</v>
      </c>
      <c r="I4732" t="str">
        <f>HYPERLINK("http://www.ncbi.nlm.nih.gov/protein/ALX40469.1","ryanodine receptor 3-like protein, partial")</f>
        <v>ryanodine receptor 3-like protein, partial</v>
      </c>
      <c r="J4732">
        <v>424.86</v>
      </c>
      <c r="K4732" t="s">
        <v>22</v>
      </c>
      <c r="L4732">
        <v>76</v>
      </c>
      <c r="M4732">
        <v>12.58</v>
      </c>
      <c r="N4732">
        <v>4.18</v>
      </c>
      <c r="O4732" t="s">
        <v>19</v>
      </c>
      <c r="P4732" t="s">
        <v>1320</v>
      </c>
      <c r="Q4732" t="s">
        <v>19</v>
      </c>
      <c r="R4732" t="str">
        <f>HYPERLINK("https://cfpub.epa.gov/ecotox/explore.cfm?ncbi=643380","Explore in ECOTOX")</f>
        <v>Explore in ECOTOX</v>
      </c>
    </row>
    <row r="4733" spans="1:18" x14ac:dyDescent="0.45">
      <c r="A4733" t="s">
        <v>1265</v>
      </c>
      <c r="B4733">
        <v>8</v>
      </c>
      <c r="C4733" t="str">
        <f>HYPERLINK("http://www.ncbi.nlm.nih.gov/protein/ALX40456.1","ALX40456.1")</f>
        <v>ALX40456.1</v>
      </c>
      <c r="D4733">
        <v>83</v>
      </c>
      <c r="E4733" t="str">
        <f>HYPERLINK("http://www.ncbi.nlm.nih.gov/Taxonomy/Browser/wwwtax.cgi?mode=Info&amp;id=481777&amp;lvl=3&amp;lin=f&amp;keep=1&amp;srchmode=1&amp;unlock","481777")</f>
        <v>481777</v>
      </c>
      <c r="F4733" t="s">
        <v>17</v>
      </c>
      <c r="G4733" t="str">
        <f>HYPERLINK("http://www.ncbi.nlm.nih.gov/Taxonomy/Browser/wwwtax.cgi?mode=Info&amp;id=481777&amp;lvl=3&amp;lin=f&amp;keep=1&amp;srchmode=1&amp;unlock","Tanakia himantegus")</f>
        <v>Tanakia himantegus</v>
      </c>
      <c r="H4733" t="s">
        <v>21</v>
      </c>
      <c r="I4733" t="str">
        <f>HYPERLINK("http://www.ncbi.nlm.nih.gov/protein/ALX40456.1","ryanodine receptor 3-like protein, partial")</f>
        <v>ryanodine receptor 3-like protein, partial</v>
      </c>
      <c r="J4733">
        <v>424.86</v>
      </c>
      <c r="K4733" t="s">
        <v>22</v>
      </c>
      <c r="L4733">
        <v>76</v>
      </c>
      <c r="M4733">
        <v>12.58</v>
      </c>
      <c r="N4733">
        <v>4.18</v>
      </c>
      <c r="O4733" t="s">
        <v>19</v>
      </c>
      <c r="P4733" t="s">
        <v>1320</v>
      </c>
      <c r="Q4733" t="s">
        <v>19</v>
      </c>
      <c r="R4733" t="str">
        <f>HYPERLINK("https://cfpub.epa.gov/ecotox/explore.cfm?ncbi=481777","Explore in ECOTOX")</f>
        <v>Explore in ECOTOX</v>
      </c>
    </row>
    <row r="4734" spans="1:18" x14ac:dyDescent="0.45">
      <c r="A4734" t="s">
        <v>1265</v>
      </c>
      <c r="B4734">
        <v>8</v>
      </c>
      <c r="C4734" t="str">
        <f>HYPERLINK("http://www.ncbi.nlm.nih.gov/protein/ALX40465.1","ALX40465.1")</f>
        <v>ALX40465.1</v>
      </c>
      <c r="D4734">
        <v>69</v>
      </c>
      <c r="E4734" t="str">
        <f>HYPERLINK("http://www.ncbi.nlm.nih.gov/Taxonomy/Browser/wwwtax.cgi?mode=Info&amp;id=643373&amp;lvl=3&amp;lin=f&amp;keep=1&amp;srchmode=1&amp;unlock","643373")</f>
        <v>643373</v>
      </c>
      <c r="F4734" t="s">
        <v>17</v>
      </c>
      <c r="G4734" t="str">
        <f>HYPERLINK("http://www.ncbi.nlm.nih.gov/Taxonomy/Browser/wwwtax.cgi?mode=Info&amp;id=643373&amp;lvl=3&amp;lin=f&amp;keep=1&amp;srchmode=1&amp;unlock","Cyclocheilichthys enoplos")</f>
        <v>Cyclocheilichthys enoplos</v>
      </c>
      <c r="H4734" t="s">
        <v>21</v>
      </c>
      <c r="I4734" t="str">
        <f>HYPERLINK("http://www.ncbi.nlm.nih.gov/protein/ALX40465.1","ryanodine receptor 3-like protein, partial")</f>
        <v>ryanodine receptor 3-like protein, partial</v>
      </c>
      <c r="J4734">
        <v>424.48</v>
      </c>
      <c r="K4734" t="s">
        <v>22</v>
      </c>
      <c r="L4734">
        <v>76</v>
      </c>
      <c r="M4734">
        <v>12.58</v>
      </c>
      <c r="N4734">
        <v>4.18</v>
      </c>
      <c r="O4734" t="s">
        <v>19</v>
      </c>
      <c r="P4734" t="s">
        <v>1320</v>
      </c>
      <c r="Q4734" t="s">
        <v>19</v>
      </c>
      <c r="R4734" t="str">
        <f>HYPERLINK("https://cfpub.epa.gov/ecotox/explore.cfm?ncbi=643373","Explore in ECOTOX")</f>
        <v>Explore in ECOTOX</v>
      </c>
    </row>
    <row r="4735" spans="1:18" x14ac:dyDescent="0.45">
      <c r="A4735" t="s">
        <v>1265</v>
      </c>
      <c r="B4735">
        <v>8</v>
      </c>
      <c r="C4735" t="str">
        <f>HYPERLINK("http://www.ncbi.nlm.nih.gov/protein/ALX40429.1","ALX40429.1")</f>
        <v>ALX40429.1</v>
      </c>
      <c r="D4735">
        <v>14</v>
      </c>
      <c r="E4735" t="str">
        <f>HYPERLINK("http://www.ncbi.nlm.nih.gov/Taxonomy/Browser/wwwtax.cgi?mode=Info&amp;id=1778169&amp;lvl=3&amp;lin=f&amp;keep=1&amp;srchmode=1&amp;unlock","1778169")</f>
        <v>1778169</v>
      </c>
      <c r="F4735" t="s">
        <v>17</v>
      </c>
      <c r="G4735" t="str">
        <f>HYPERLINK("http://www.ncbi.nlm.nih.gov/Taxonomy/Browser/wwwtax.cgi?mode=Info&amp;id=1778169&amp;lvl=3&amp;lin=f&amp;keep=1&amp;srchmode=1&amp;unlock","Triplophysa sp. cyp101")</f>
        <v>Triplophysa sp. cyp101</v>
      </c>
      <c r="H4735" t="s">
        <v>33</v>
      </c>
      <c r="I4735" t="str">
        <f>HYPERLINK("http://www.ncbi.nlm.nih.gov/protein/ALX40429.1","ryanodine receptor 3-like protein, partial")</f>
        <v>ryanodine receptor 3-like protein, partial</v>
      </c>
      <c r="J4735">
        <v>424.09</v>
      </c>
      <c r="K4735" t="s">
        <v>22</v>
      </c>
      <c r="L4735">
        <v>76</v>
      </c>
      <c r="M4735">
        <v>12.58</v>
      </c>
      <c r="N4735">
        <v>4.17</v>
      </c>
      <c r="O4735" t="s">
        <v>19</v>
      </c>
      <c r="P4735" t="s">
        <v>1320</v>
      </c>
      <c r="Q4735" t="s">
        <v>19</v>
      </c>
      <c r="R4735" t="str">
        <f>HYPERLINK("https://cfpub.epa.gov/ecotox/explore.cfm?ncbi=1778169","Explore in ECOTOX")</f>
        <v>Explore in ECOTOX</v>
      </c>
    </row>
    <row r="4736" spans="1:18" x14ac:dyDescent="0.45">
      <c r="A4736" t="s">
        <v>1265</v>
      </c>
      <c r="B4736">
        <v>8</v>
      </c>
      <c r="C4736" t="str">
        <f>HYPERLINK("http://www.ncbi.nlm.nih.gov/protein/ALX40440.1","ALX40440.1")</f>
        <v>ALX40440.1</v>
      </c>
      <c r="D4736">
        <v>121</v>
      </c>
      <c r="E4736" t="str">
        <f>HYPERLINK("http://www.ncbi.nlm.nih.gov/Taxonomy/Browser/wwwtax.cgi?mode=Info&amp;id=322133&amp;lvl=3&amp;lin=f&amp;keep=1&amp;srchmode=1&amp;unlock","322133")</f>
        <v>322133</v>
      </c>
      <c r="F4736" t="s">
        <v>17</v>
      </c>
      <c r="G4736" t="str">
        <f>HYPERLINK("http://www.ncbi.nlm.nih.gov/Taxonomy/Browser/wwwtax.cgi?mode=Info&amp;id=322133&amp;lvl=3&amp;lin=f&amp;keep=1&amp;srchmode=1&amp;unlock","Botia dario")</f>
        <v>Botia dario</v>
      </c>
      <c r="H4736" t="s">
        <v>1371</v>
      </c>
      <c r="I4736" t="str">
        <f>HYPERLINK("http://www.ncbi.nlm.nih.gov/protein/ALX40440.1","ryanodine receptor 3-like protein, partial")</f>
        <v>ryanodine receptor 3-like protein, partial</v>
      </c>
      <c r="J4736">
        <v>424.09</v>
      </c>
      <c r="K4736" t="s">
        <v>22</v>
      </c>
      <c r="L4736">
        <v>76</v>
      </c>
      <c r="M4736">
        <v>12.58</v>
      </c>
      <c r="N4736">
        <v>4.17</v>
      </c>
      <c r="O4736" t="s">
        <v>19</v>
      </c>
      <c r="P4736" t="s">
        <v>1320</v>
      </c>
      <c r="Q4736" t="s">
        <v>19</v>
      </c>
      <c r="R4736" t="str">
        <f>HYPERLINK("https://cfpub.epa.gov/ecotox/explore.cfm?ncbi=322133","Explore in ECOTOX")</f>
        <v>Explore in ECOTOX</v>
      </c>
    </row>
    <row r="4737" spans="1:18" x14ac:dyDescent="0.45">
      <c r="A4737" t="s">
        <v>1265</v>
      </c>
      <c r="B4737">
        <v>8</v>
      </c>
      <c r="C4737" t="str">
        <f>HYPERLINK("http://www.ncbi.nlm.nih.gov/protein/ALX40500.1","ALX40500.1")</f>
        <v>ALX40500.1</v>
      </c>
      <c r="D4737">
        <v>52</v>
      </c>
      <c r="E4737" t="str">
        <f>HYPERLINK("http://www.ncbi.nlm.nih.gov/Taxonomy/Browser/wwwtax.cgi?mode=Info&amp;id=516811&amp;lvl=3&amp;lin=f&amp;keep=1&amp;srchmode=1&amp;unlock","516811")</f>
        <v>516811</v>
      </c>
      <c r="F4737" t="s">
        <v>17</v>
      </c>
      <c r="G4737" t="str">
        <f>HYPERLINK("http://www.ncbi.nlm.nih.gov/Taxonomy/Browser/wwwtax.cgi?mode=Info&amp;id=516811&amp;lvl=3&amp;lin=f&amp;keep=1&amp;srchmode=1&amp;unlock","Raiamas senegalensis")</f>
        <v>Raiamas senegalensis</v>
      </c>
      <c r="H4737" t="s">
        <v>1372</v>
      </c>
      <c r="I4737" t="str">
        <f>HYPERLINK("http://www.ncbi.nlm.nih.gov/protein/ALX40500.1","ryanodine receptor 3-like protein, partial")</f>
        <v>ryanodine receptor 3-like protein, partial</v>
      </c>
      <c r="J4737">
        <v>422.94</v>
      </c>
      <c r="K4737" t="s">
        <v>22</v>
      </c>
      <c r="L4737">
        <v>76</v>
      </c>
      <c r="M4737">
        <v>12.58</v>
      </c>
      <c r="N4737">
        <v>4.16</v>
      </c>
      <c r="O4737" t="s">
        <v>19</v>
      </c>
      <c r="P4737" t="s">
        <v>1320</v>
      </c>
      <c r="Q4737" t="s">
        <v>19</v>
      </c>
      <c r="R4737" t="str">
        <f>HYPERLINK("https://cfpub.epa.gov/ecotox/explore.cfm?ncbi=516811","Explore in ECOTOX")</f>
        <v>Explore in ECOTOX</v>
      </c>
    </row>
    <row r="4738" spans="1:18" x14ac:dyDescent="0.45">
      <c r="A4738" t="s">
        <v>1265</v>
      </c>
      <c r="B4738">
        <v>8</v>
      </c>
      <c r="C4738" t="str">
        <f>HYPERLINK("http://www.ncbi.nlm.nih.gov/protein/ABM22427.1","ABM22427.1")</f>
        <v>ABM22427.1</v>
      </c>
      <c r="D4738">
        <v>42</v>
      </c>
      <c r="E4738" t="str">
        <f>HYPERLINK("http://www.ncbi.nlm.nih.gov/Taxonomy/Browser/wwwtax.cgi?mode=Info&amp;id=40497&amp;lvl=3&amp;lin=f&amp;keep=1&amp;srchmode=1&amp;unlock","40497")</f>
        <v>40497</v>
      </c>
      <c r="F4738" t="s">
        <v>17</v>
      </c>
      <c r="G4738" t="str">
        <f>HYPERLINK("http://www.ncbi.nlm.nih.gov/Taxonomy/Browser/wwwtax.cgi?mode=Info&amp;id=40497&amp;lvl=3&amp;lin=f&amp;keep=1&amp;srchmode=1&amp;unlock","Lutjanus mahogoni")</f>
        <v>Lutjanus mahogoni</v>
      </c>
      <c r="H4738" t="s">
        <v>1373</v>
      </c>
      <c r="I4738" t="str">
        <f>HYPERLINK("http://www.ncbi.nlm.nih.gov/protein/ABM22427.1","ryanodine receptor 3-like protein, partial")</f>
        <v>ryanodine receptor 3-like protein, partial</v>
      </c>
      <c r="J4738">
        <v>422.94</v>
      </c>
      <c r="K4738" t="s">
        <v>22</v>
      </c>
      <c r="L4738">
        <v>76</v>
      </c>
      <c r="M4738">
        <v>12.58</v>
      </c>
      <c r="N4738">
        <v>4.16</v>
      </c>
      <c r="O4738" t="s">
        <v>19</v>
      </c>
      <c r="P4738" t="s">
        <v>1320</v>
      </c>
      <c r="Q4738" t="s">
        <v>19</v>
      </c>
      <c r="R4738" t="str">
        <f>HYPERLINK("https://cfpub.epa.gov/ecotox/explore.cfm?ncbi=40497","Explore in ECOTOX")</f>
        <v>Explore in ECOTOX</v>
      </c>
    </row>
    <row r="4739" spans="1:18" x14ac:dyDescent="0.45">
      <c r="A4739" t="s">
        <v>1265</v>
      </c>
      <c r="B4739">
        <v>8</v>
      </c>
      <c r="C4739" t="str">
        <f>HYPERLINK("http://www.ncbi.nlm.nih.gov/protein/ATD13719.1","ATD13719.1")</f>
        <v>ATD13719.1</v>
      </c>
      <c r="D4739">
        <v>110</v>
      </c>
      <c r="E4739" t="str">
        <f>HYPERLINK("http://www.ncbi.nlm.nih.gov/Taxonomy/Browser/wwwtax.cgi?mode=Info&amp;id=160718&amp;lvl=3&amp;lin=f&amp;keep=1&amp;srchmode=1&amp;unlock","160718")</f>
        <v>160718</v>
      </c>
      <c r="F4739" t="s">
        <v>17</v>
      </c>
      <c r="G4739" t="str">
        <f>HYPERLINK("http://www.ncbi.nlm.nih.gov/Taxonomy/Browser/wwwtax.cgi?mode=Info&amp;id=160718&amp;lvl=3&amp;lin=f&amp;keep=1&amp;srchmode=1&amp;unlock","Epinephelus fasciatus")</f>
        <v>Epinephelus fasciatus</v>
      </c>
      <c r="H4739" t="s">
        <v>1286</v>
      </c>
      <c r="I4739" t="str">
        <f>HYPERLINK("http://www.ncbi.nlm.nih.gov/protein/ATD13719.1","ryanodine receptor 3-like protein, partial")</f>
        <v>ryanodine receptor 3-like protein, partial</v>
      </c>
      <c r="J4739">
        <v>422.55</v>
      </c>
      <c r="K4739" t="s">
        <v>22</v>
      </c>
      <c r="L4739">
        <v>76</v>
      </c>
      <c r="M4739">
        <v>12.58</v>
      </c>
      <c r="N4739">
        <v>4.16</v>
      </c>
      <c r="O4739" t="s">
        <v>19</v>
      </c>
      <c r="P4739" t="s">
        <v>1320</v>
      </c>
      <c r="Q4739" t="s">
        <v>19</v>
      </c>
      <c r="R4739" t="str">
        <f>HYPERLINK("https://cfpub.epa.gov/ecotox/explore.cfm?ncbi=160718","Explore in ECOTOX")</f>
        <v>Explore in ECOTOX</v>
      </c>
    </row>
    <row r="4740" spans="1:18" x14ac:dyDescent="0.45">
      <c r="A4740" t="s">
        <v>1265</v>
      </c>
      <c r="B4740">
        <v>8</v>
      </c>
      <c r="C4740" t="str">
        <f>HYPERLINK("http://www.ncbi.nlm.nih.gov/protein/AGN55085.1","AGN55085.1")</f>
        <v>AGN55085.1</v>
      </c>
      <c r="D4740">
        <v>117</v>
      </c>
      <c r="E4740" t="str">
        <f>HYPERLINK("http://www.ncbi.nlm.nih.gov/Taxonomy/Browser/wwwtax.cgi?mode=Info&amp;id=229059&amp;lvl=3&amp;lin=f&amp;keep=1&amp;srchmode=1&amp;unlock","229059")</f>
        <v>229059</v>
      </c>
      <c r="F4740" t="s">
        <v>17</v>
      </c>
      <c r="G4740" t="str">
        <f>HYPERLINK("http://www.ncbi.nlm.nih.gov/Taxonomy/Browser/wwwtax.cgi?mode=Info&amp;id=229059&amp;lvl=3&amp;lin=f&amp;keep=1&amp;srchmode=1&amp;unlock","Sphoeroides pachygaster")</f>
        <v>Sphoeroides pachygaster</v>
      </c>
      <c r="H4740" t="s">
        <v>1374</v>
      </c>
      <c r="I4740" t="str">
        <f>HYPERLINK("http://www.ncbi.nlm.nih.gov/protein/AGN55085.1","ryanodine receptor 3-like protein, partial")</f>
        <v>ryanodine receptor 3-like protein, partial</v>
      </c>
      <c r="J4740">
        <v>422.17</v>
      </c>
      <c r="K4740" t="s">
        <v>22</v>
      </c>
      <c r="L4740">
        <v>76</v>
      </c>
      <c r="M4740">
        <v>12.58</v>
      </c>
      <c r="N4740">
        <v>4.1500000000000004</v>
      </c>
      <c r="O4740" t="s">
        <v>19</v>
      </c>
      <c r="P4740" t="s">
        <v>1320</v>
      </c>
      <c r="Q4740" t="s">
        <v>19</v>
      </c>
      <c r="R4740" t="str">
        <f>HYPERLINK("https://cfpub.epa.gov/ecotox/explore.cfm?ncbi=229059","Explore in ECOTOX")</f>
        <v>Explore in ECOTOX</v>
      </c>
    </row>
    <row r="4741" spans="1:18" x14ac:dyDescent="0.45">
      <c r="A4741" t="s">
        <v>1265</v>
      </c>
      <c r="B4741">
        <v>8</v>
      </c>
      <c r="C4741" t="str">
        <f>HYPERLINK("http://www.ncbi.nlm.nih.gov/protein/ALX40433.1","ALX40433.1")</f>
        <v>ALX40433.1</v>
      </c>
      <c r="D4741">
        <v>11</v>
      </c>
      <c r="E4741" t="str">
        <f>HYPERLINK("http://www.ncbi.nlm.nih.gov/Taxonomy/Browser/wwwtax.cgi?mode=Info&amp;id=1764103&amp;lvl=3&amp;lin=f&amp;keep=1&amp;srchmode=1&amp;unlock","1764103")</f>
        <v>1764103</v>
      </c>
      <c r="F4741" t="s">
        <v>17</v>
      </c>
      <c r="G4741" t="str">
        <f>HYPERLINK("http://www.ncbi.nlm.nih.gov/Taxonomy/Browser/wwwtax.cgi?mode=Info&amp;id=1764103&amp;lvl=3&amp;lin=f&amp;keep=1&amp;srchmode=1&amp;unlock","Catostomus melanops")</f>
        <v>Catostomus melanops</v>
      </c>
      <c r="H4741" t="s">
        <v>1375</v>
      </c>
      <c r="I4741" t="str">
        <f>HYPERLINK("http://www.ncbi.nlm.nih.gov/protein/ALX40433.1","ryanodine receptor 3-like protein, partial")</f>
        <v>ryanodine receptor 3-like protein, partial</v>
      </c>
      <c r="J4741">
        <v>422.17</v>
      </c>
      <c r="K4741" t="s">
        <v>22</v>
      </c>
      <c r="L4741">
        <v>76</v>
      </c>
      <c r="M4741">
        <v>12.58</v>
      </c>
      <c r="N4741">
        <v>4.1500000000000004</v>
      </c>
      <c r="O4741" t="s">
        <v>19</v>
      </c>
      <c r="P4741" t="s">
        <v>1320</v>
      </c>
      <c r="Q4741" t="s">
        <v>19</v>
      </c>
      <c r="R4741" t="str">
        <f>HYPERLINK("https://cfpub.epa.gov/ecotox/explore.cfm?ncbi=1764103","Explore in ECOTOX")</f>
        <v>Explore in ECOTOX</v>
      </c>
    </row>
    <row r="4742" spans="1:18" x14ac:dyDescent="0.45">
      <c r="A4742" t="s">
        <v>1265</v>
      </c>
      <c r="B4742">
        <v>8</v>
      </c>
      <c r="C4742" t="str">
        <f>HYPERLINK("http://www.ncbi.nlm.nih.gov/protein/ABV64924.1","ABV64924.1")</f>
        <v>ABV64924.1</v>
      </c>
      <c r="D4742">
        <v>75</v>
      </c>
      <c r="E4742" t="str">
        <f>HYPERLINK("http://www.ncbi.nlm.nih.gov/Taxonomy/Browser/wwwtax.cgi?mode=Info&amp;id=300304&amp;lvl=3&amp;lin=f&amp;keep=1&amp;srchmode=1&amp;unlock","300304")</f>
        <v>300304</v>
      </c>
      <c r="F4742" t="s">
        <v>17</v>
      </c>
      <c r="G4742" t="str">
        <f>HYPERLINK("http://www.ncbi.nlm.nih.gov/Taxonomy/Browser/wwwtax.cgi?mode=Info&amp;id=300304&amp;lvl=3&amp;lin=f&amp;keep=1&amp;srchmode=1&amp;unlock","Labidesthes sicculus")</f>
        <v>Labidesthes sicculus</v>
      </c>
      <c r="H4742" t="s">
        <v>1376</v>
      </c>
      <c r="I4742" t="str">
        <f>HYPERLINK("http://www.ncbi.nlm.nih.gov/protein/ABV64924.1","ryanodine receptor 3-like protein, partial")</f>
        <v>ryanodine receptor 3-like protein, partial</v>
      </c>
      <c r="J4742">
        <v>421.78</v>
      </c>
      <c r="K4742" t="s">
        <v>22</v>
      </c>
      <c r="L4742">
        <v>76</v>
      </c>
      <c r="M4742">
        <v>12.58</v>
      </c>
      <c r="N4742">
        <v>4.1500000000000004</v>
      </c>
      <c r="O4742" t="s">
        <v>19</v>
      </c>
      <c r="P4742" t="s">
        <v>1320</v>
      </c>
      <c r="Q4742" t="s">
        <v>19</v>
      </c>
      <c r="R4742" t="str">
        <f>HYPERLINK("https://cfpub.epa.gov/ecotox/explore.cfm?ncbi=300304","Explore in ECOTOX")</f>
        <v>Explore in ECOTOX</v>
      </c>
    </row>
    <row r="4743" spans="1:18" x14ac:dyDescent="0.45">
      <c r="A4743" t="s">
        <v>1265</v>
      </c>
      <c r="B4743">
        <v>8</v>
      </c>
      <c r="C4743" t="str">
        <f>HYPERLINK("http://www.ncbi.nlm.nih.gov/protein/ALX40478.1","ALX40478.1")</f>
        <v>ALX40478.1</v>
      </c>
      <c r="D4743">
        <v>50</v>
      </c>
      <c r="E4743" t="str">
        <f>HYPERLINK("http://www.ncbi.nlm.nih.gov/Taxonomy/Browser/wwwtax.cgi?mode=Info&amp;id=381631&amp;lvl=3&amp;lin=f&amp;keep=1&amp;srchmode=1&amp;unlock","381631")</f>
        <v>381631</v>
      </c>
      <c r="F4743" t="s">
        <v>17</v>
      </c>
      <c r="G4743" t="str">
        <f>HYPERLINK("http://www.ncbi.nlm.nih.gov/Taxonomy/Browser/wwwtax.cgi?mode=Info&amp;id=381631&amp;lvl=3&amp;lin=f&amp;keep=1&amp;srchmode=1&amp;unlock","Puntioplites falcifer")</f>
        <v>Puntioplites falcifer</v>
      </c>
      <c r="H4743" t="s">
        <v>21</v>
      </c>
      <c r="I4743" t="str">
        <f>HYPERLINK("http://www.ncbi.nlm.nih.gov/protein/ALX40478.1","ryanodine receptor 3-like protein, partial")</f>
        <v>ryanodine receptor 3-like protein, partial</v>
      </c>
      <c r="J4743">
        <v>421.78</v>
      </c>
      <c r="K4743" t="s">
        <v>22</v>
      </c>
      <c r="L4743">
        <v>76</v>
      </c>
      <c r="M4743">
        <v>12.58</v>
      </c>
      <c r="N4743">
        <v>4.1500000000000004</v>
      </c>
      <c r="O4743" t="s">
        <v>19</v>
      </c>
      <c r="P4743" t="s">
        <v>1320</v>
      </c>
      <c r="Q4743" t="s">
        <v>19</v>
      </c>
      <c r="R4743" t="str">
        <f>HYPERLINK("https://cfpub.epa.gov/ecotox/explore.cfm?ncbi=381631","Explore in ECOTOX")</f>
        <v>Explore in ECOTOX</v>
      </c>
    </row>
    <row r="4744" spans="1:18" x14ac:dyDescent="0.45">
      <c r="A4744" t="s">
        <v>1265</v>
      </c>
      <c r="B4744">
        <v>8</v>
      </c>
      <c r="C4744" t="str">
        <f>HYPERLINK("http://www.ncbi.nlm.nih.gov/protein/ALX40435.1","ALX40435.1")</f>
        <v>ALX40435.1</v>
      </c>
      <c r="D4744">
        <v>89</v>
      </c>
      <c r="E4744" t="str">
        <f>HYPERLINK("http://www.ncbi.nlm.nih.gov/Taxonomy/Browser/wwwtax.cgi?mode=Info&amp;id=154815&amp;lvl=3&amp;lin=f&amp;keep=1&amp;srchmode=1&amp;unlock","154815")</f>
        <v>154815</v>
      </c>
      <c r="F4744" t="s">
        <v>17</v>
      </c>
      <c r="G4744" t="str">
        <f>HYPERLINK("http://www.ncbi.nlm.nih.gov/Taxonomy/Browser/wwwtax.cgi?mode=Info&amp;id=154815&amp;lvl=3&amp;lin=f&amp;keep=1&amp;srchmode=1&amp;unlock","Erimyzon oblongus")</f>
        <v>Erimyzon oblongus</v>
      </c>
      <c r="H4744" t="s">
        <v>1377</v>
      </c>
      <c r="I4744" t="str">
        <f>HYPERLINK("http://www.ncbi.nlm.nih.gov/protein/ALX40435.1","ryanodine receptor 3-like protein, partial")</f>
        <v>ryanodine receptor 3-like protein, partial</v>
      </c>
      <c r="J4744">
        <v>421.39</v>
      </c>
      <c r="K4744" t="s">
        <v>22</v>
      </c>
      <c r="L4744">
        <v>76</v>
      </c>
      <c r="M4744">
        <v>12.58</v>
      </c>
      <c r="N4744">
        <v>4.1500000000000004</v>
      </c>
      <c r="O4744" t="s">
        <v>19</v>
      </c>
      <c r="P4744" t="s">
        <v>1320</v>
      </c>
      <c r="Q4744" t="s">
        <v>19</v>
      </c>
      <c r="R4744" t="str">
        <f>HYPERLINK("https://cfpub.epa.gov/ecotox/explore.cfm?ncbi=154815","Explore in ECOTOX")</f>
        <v>Explore in ECOTOX</v>
      </c>
    </row>
    <row r="4745" spans="1:18" x14ac:dyDescent="0.45">
      <c r="A4745" t="s">
        <v>1265</v>
      </c>
      <c r="B4745">
        <v>8</v>
      </c>
      <c r="C4745" t="str">
        <f>HYPERLINK("http://www.ncbi.nlm.nih.gov/protein/ATD13819.1","ATD13819.1")</f>
        <v>ATD13819.1</v>
      </c>
      <c r="D4745">
        <v>26</v>
      </c>
      <c r="E4745" t="str">
        <f>HYPERLINK("http://www.ncbi.nlm.nih.gov/Taxonomy/Browser/wwwtax.cgi?mode=Info&amp;id=308560&amp;lvl=3&amp;lin=f&amp;keep=1&amp;srchmode=1&amp;unlock","308560")</f>
        <v>308560</v>
      </c>
      <c r="F4745" t="s">
        <v>17</v>
      </c>
      <c r="G4745" t="str">
        <f>HYPERLINK("http://www.ncbi.nlm.nih.gov/Taxonomy/Browser/wwwtax.cgi?mode=Info&amp;id=308560&amp;lvl=3&amp;lin=f&amp;keep=1&amp;srchmode=1&amp;unlock","Epinephelus spilotoceps")</f>
        <v>Epinephelus spilotoceps</v>
      </c>
      <c r="H4745" t="s">
        <v>1287</v>
      </c>
      <c r="I4745" t="str">
        <f>HYPERLINK("http://www.ncbi.nlm.nih.gov/protein/ATD13819.1","ryanodine receptor 3-like protein, partial")</f>
        <v>ryanodine receptor 3-like protein, partial</v>
      </c>
      <c r="J4745">
        <v>421.39</v>
      </c>
      <c r="K4745" t="s">
        <v>22</v>
      </c>
      <c r="L4745">
        <v>76</v>
      </c>
      <c r="M4745">
        <v>12.58</v>
      </c>
      <c r="N4745">
        <v>4.1500000000000004</v>
      </c>
      <c r="O4745" t="s">
        <v>19</v>
      </c>
      <c r="P4745" t="s">
        <v>1320</v>
      </c>
      <c r="Q4745" t="s">
        <v>19</v>
      </c>
      <c r="R4745" t="str">
        <f>HYPERLINK("https://cfpub.epa.gov/ecotox/explore.cfm?ncbi=308560","Explore in ECOTOX")</f>
        <v>Explore in ECOTOX</v>
      </c>
    </row>
    <row r="4746" spans="1:18" x14ac:dyDescent="0.45">
      <c r="A4746" t="s">
        <v>1265</v>
      </c>
      <c r="B4746">
        <v>8</v>
      </c>
      <c r="C4746" t="str">
        <f>HYPERLINK("http://www.ncbi.nlm.nih.gov/protein/ALX40493.1","ALX40493.1")</f>
        <v>ALX40493.1</v>
      </c>
      <c r="D4746">
        <v>42</v>
      </c>
      <c r="E4746" t="str">
        <f>HYPERLINK("http://www.ncbi.nlm.nih.gov/Taxonomy/Browser/wwwtax.cgi?mode=Info&amp;id=643386&amp;lvl=3&amp;lin=f&amp;keep=1&amp;srchmode=1&amp;unlock","643386")</f>
        <v>643386</v>
      </c>
      <c r="F4746" t="s">
        <v>17</v>
      </c>
      <c r="G4746" t="str">
        <f>HYPERLINK("http://www.ncbi.nlm.nih.gov/Taxonomy/Browser/wwwtax.cgi?mode=Info&amp;id=643386&amp;lvl=3&amp;lin=f&amp;keep=1&amp;srchmode=1&amp;unlock","Luciosoma bleekeri")</f>
        <v>Luciosoma bleekeri</v>
      </c>
      <c r="H4746" t="s">
        <v>1378</v>
      </c>
      <c r="I4746" t="str">
        <f>HYPERLINK("http://www.ncbi.nlm.nih.gov/protein/ALX40493.1","ryanodine receptor 3-like protein, partial")</f>
        <v>ryanodine receptor 3-like protein, partial</v>
      </c>
      <c r="J4746">
        <v>421.01</v>
      </c>
      <c r="K4746" t="s">
        <v>22</v>
      </c>
      <c r="L4746">
        <v>76</v>
      </c>
      <c r="M4746">
        <v>12.58</v>
      </c>
      <c r="N4746">
        <v>4.1399999999999997</v>
      </c>
      <c r="O4746" t="s">
        <v>19</v>
      </c>
      <c r="P4746" t="s">
        <v>1320</v>
      </c>
      <c r="Q4746" t="s">
        <v>19</v>
      </c>
      <c r="R4746" t="str">
        <f>HYPERLINK("https://cfpub.epa.gov/ecotox/explore.cfm?ncbi=643386","Explore in ECOTOX")</f>
        <v>Explore in ECOTOX</v>
      </c>
    </row>
    <row r="4747" spans="1:18" x14ac:dyDescent="0.45">
      <c r="A4747" t="s">
        <v>1265</v>
      </c>
      <c r="B4747">
        <v>8</v>
      </c>
      <c r="C4747" t="str">
        <f>HYPERLINK("http://www.ncbi.nlm.nih.gov/protein/ALX40476.1","ALX40476.1")</f>
        <v>ALX40476.1</v>
      </c>
      <c r="D4747">
        <v>63</v>
      </c>
      <c r="E4747" t="str">
        <f>HYPERLINK("http://www.ncbi.nlm.nih.gov/Taxonomy/Browser/wwwtax.cgi?mode=Info&amp;id=227288&amp;lvl=3&amp;lin=f&amp;keep=1&amp;srchmode=1&amp;unlock","227288")</f>
        <v>227288</v>
      </c>
      <c r="F4747" t="s">
        <v>17</v>
      </c>
      <c r="G4747" t="str">
        <f>HYPERLINK("http://www.ncbi.nlm.nih.gov/Taxonomy/Browser/wwwtax.cgi?mode=Info&amp;id=227288&amp;lvl=3&amp;lin=f&amp;keep=1&amp;srchmode=1&amp;unlock","Osteochilus hasseltii")</f>
        <v>Osteochilus hasseltii</v>
      </c>
      <c r="H4747" t="s">
        <v>1379</v>
      </c>
      <c r="I4747" t="str">
        <f>HYPERLINK("http://www.ncbi.nlm.nih.gov/protein/ALX40476.1","ryanodine receptor 3-like protein, partial")</f>
        <v>ryanodine receptor 3-like protein, partial</v>
      </c>
      <c r="J4747">
        <v>421.01</v>
      </c>
      <c r="K4747" t="s">
        <v>22</v>
      </c>
      <c r="L4747">
        <v>76</v>
      </c>
      <c r="M4747">
        <v>12.58</v>
      </c>
      <c r="N4747">
        <v>4.1399999999999997</v>
      </c>
      <c r="O4747" t="s">
        <v>19</v>
      </c>
      <c r="P4747" t="s">
        <v>1320</v>
      </c>
      <c r="Q4747" t="s">
        <v>19</v>
      </c>
      <c r="R4747" t="str">
        <f>HYPERLINK("https://cfpub.epa.gov/ecotox/explore.cfm?ncbi=227288","Explore in ECOTOX")</f>
        <v>Explore in ECOTOX</v>
      </c>
    </row>
    <row r="4748" spans="1:18" x14ac:dyDescent="0.45">
      <c r="A4748" t="s">
        <v>1265</v>
      </c>
      <c r="B4748">
        <v>8</v>
      </c>
      <c r="C4748" t="str">
        <f>HYPERLINK("http://www.ncbi.nlm.nih.gov/protein/ATD13592.1","ATD13592.1")</f>
        <v>ATD13592.1</v>
      </c>
      <c r="D4748">
        <v>34</v>
      </c>
      <c r="E4748" t="str">
        <f>HYPERLINK("http://www.ncbi.nlm.nih.gov/Taxonomy/Browser/wwwtax.cgi?mode=Info&amp;id=306585&amp;lvl=3&amp;lin=f&amp;keep=1&amp;srchmode=1&amp;unlock","306585")</f>
        <v>306585</v>
      </c>
      <c r="F4748" t="s">
        <v>17</v>
      </c>
      <c r="G4748" t="str">
        <f>HYPERLINK("http://www.ncbi.nlm.nih.gov/Taxonomy/Browser/wwwtax.cgi?mode=Info&amp;id=306585&amp;lvl=3&amp;lin=f&amp;keep=1&amp;srchmode=1&amp;unlock","Cephalopholis formosa")</f>
        <v>Cephalopholis formosa</v>
      </c>
      <c r="H4748" t="s">
        <v>1283</v>
      </c>
      <c r="I4748" t="str">
        <f>HYPERLINK("http://www.ncbi.nlm.nih.gov/protein/ATD13592.1","ryanodine receptor 3-like protein, partial")</f>
        <v>ryanodine receptor 3-like protein, partial</v>
      </c>
      <c r="J4748">
        <v>420.62</v>
      </c>
      <c r="K4748" t="s">
        <v>22</v>
      </c>
      <c r="L4748">
        <v>76</v>
      </c>
      <c r="M4748">
        <v>12.58</v>
      </c>
      <c r="N4748">
        <v>4.1399999999999997</v>
      </c>
      <c r="O4748" t="s">
        <v>19</v>
      </c>
      <c r="P4748" t="s">
        <v>1320</v>
      </c>
      <c r="Q4748" t="s">
        <v>19</v>
      </c>
      <c r="R4748" t="str">
        <f>HYPERLINK("https://cfpub.epa.gov/ecotox/explore.cfm?ncbi=306585","Explore in ECOTOX")</f>
        <v>Explore in ECOTOX</v>
      </c>
    </row>
    <row r="4749" spans="1:18" x14ac:dyDescent="0.45">
      <c r="A4749" t="s">
        <v>1265</v>
      </c>
      <c r="B4749">
        <v>8</v>
      </c>
      <c r="C4749" t="str">
        <f>HYPERLINK("http://www.ncbi.nlm.nih.gov/protein/AGN55087.1","AGN55087.1")</f>
        <v>AGN55087.1</v>
      </c>
      <c r="D4749">
        <v>58</v>
      </c>
      <c r="E4749" t="str">
        <f>HYPERLINK("http://www.ncbi.nlm.nih.gov/Taxonomy/Browser/wwwtax.cgi?mode=Info&amp;id=303753&amp;lvl=3&amp;lin=f&amp;keep=1&amp;srchmode=1&amp;unlock","303753")</f>
        <v>303753</v>
      </c>
      <c r="F4749" t="s">
        <v>17</v>
      </c>
      <c r="G4749" t="str">
        <f>HYPERLINK("http://www.ncbi.nlm.nih.gov/Taxonomy/Browser/wwwtax.cgi?mode=Info&amp;id=303753&amp;lvl=3&amp;lin=f&amp;keep=1&amp;srchmode=1&amp;unlock","Pao leiurus")</f>
        <v>Pao leiurus</v>
      </c>
      <c r="H4749" t="s">
        <v>755</v>
      </c>
      <c r="I4749" t="str">
        <f>HYPERLINK("http://www.ncbi.nlm.nih.gov/protein/AGN55087.1","ryanodine receptor 3-like protein, partial")</f>
        <v>ryanodine receptor 3-like protein, partial</v>
      </c>
      <c r="J4749">
        <v>420.62</v>
      </c>
      <c r="K4749" t="s">
        <v>22</v>
      </c>
      <c r="L4749">
        <v>76</v>
      </c>
      <c r="M4749">
        <v>12.58</v>
      </c>
      <c r="N4749">
        <v>4.1399999999999997</v>
      </c>
      <c r="O4749" t="s">
        <v>19</v>
      </c>
      <c r="P4749" t="s">
        <v>1320</v>
      </c>
      <c r="Q4749" t="s">
        <v>19</v>
      </c>
      <c r="R4749" t="str">
        <f>HYPERLINK("https://cfpub.epa.gov/ecotox/explore.cfm?ncbi=303753","Explore in ECOTOX")</f>
        <v>Explore in ECOTOX</v>
      </c>
    </row>
    <row r="4750" spans="1:18" x14ac:dyDescent="0.45">
      <c r="A4750" t="s">
        <v>1265</v>
      </c>
      <c r="B4750">
        <v>8</v>
      </c>
      <c r="C4750" t="str">
        <f>HYPERLINK("http://www.ncbi.nlm.nih.gov/protein/AGN55069.1","AGN55069.1")</f>
        <v>AGN55069.1</v>
      </c>
      <c r="D4750">
        <v>70</v>
      </c>
      <c r="E4750" t="str">
        <f>HYPERLINK("http://www.ncbi.nlm.nih.gov/Taxonomy/Browser/wwwtax.cgi?mode=Info&amp;id=303710&amp;lvl=3&amp;lin=f&amp;keep=1&amp;srchmode=1&amp;unlock","303710")</f>
        <v>303710</v>
      </c>
      <c r="F4750" t="s">
        <v>17</v>
      </c>
      <c r="G4750" t="str">
        <f>HYPERLINK("http://www.ncbi.nlm.nih.gov/Taxonomy/Browser/wwwtax.cgi?mode=Info&amp;id=303710&amp;lvl=3&amp;lin=f&amp;keep=1&amp;srchmode=1&amp;unlock","Aluterus scriptus")</f>
        <v>Aluterus scriptus</v>
      </c>
      <c r="H4750" t="s">
        <v>1280</v>
      </c>
      <c r="I4750" t="str">
        <f>HYPERLINK("http://www.ncbi.nlm.nih.gov/protein/AGN55069.1","ryanodine receptor 3-like protein, partial")</f>
        <v>ryanodine receptor 3-like protein, partial</v>
      </c>
      <c r="J4750">
        <v>419.85</v>
      </c>
      <c r="K4750" t="s">
        <v>22</v>
      </c>
      <c r="L4750">
        <v>76</v>
      </c>
      <c r="M4750">
        <v>12.58</v>
      </c>
      <c r="N4750">
        <v>4.13</v>
      </c>
      <c r="O4750" t="s">
        <v>19</v>
      </c>
      <c r="P4750" t="s">
        <v>1320</v>
      </c>
      <c r="Q4750" t="s">
        <v>19</v>
      </c>
      <c r="R4750" t="str">
        <f>HYPERLINK("https://cfpub.epa.gov/ecotox/explore.cfm?ncbi=303710","Explore in ECOTOX")</f>
        <v>Explore in ECOTOX</v>
      </c>
    </row>
    <row r="4751" spans="1:18" x14ac:dyDescent="0.45">
      <c r="A4751" t="s">
        <v>1265</v>
      </c>
      <c r="B4751">
        <v>8</v>
      </c>
      <c r="C4751" t="str">
        <f>HYPERLINK("http://www.ncbi.nlm.nih.gov/protein/ATD13771.1","ATD13771.1")</f>
        <v>ATD13771.1</v>
      </c>
      <c r="D4751">
        <v>120</v>
      </c>
      <c r="E4751" t="str">
        <f>HYPERLINK("http://www.ncbi.nlm.nih.gov/Taxonomy/Browser/wwwtax.cgi?mode=Info&amp;id=215346&amp;lvl=3&amp;lin=f&amp;keep=1&amp;srchmode=1&amp;unlock","215346")</f>
        <v>215346</v>
      </c>
      <c r="F4751" t="s">
        <v>17</v>
      </c>
      <c r="G4751" t="str">
        <f>HYPERLINK("http://www.ncbi.nlm.nih.gov/Taxonomy/Browser/wwwtax.cgi?mode=Info&amp;id=215346&amp;lvl=3&amp;lin=f&amp;keep=1&amp;srchmode=1&amp;unlock","Epinephelus merra")</f>
        <v>Epinephelus merra</v>
      </c>
      <c r="H4751" t="s">
        <v>1289</v>
      </c>
      <c r="I4751" t="str">
        <f>HYPERLINK("http://www.ncbi.nlm.nih.gov/protein/ATD13771.1","ryanodine receptor 3-like protein, partial")</f>
        <v>ryanodine receptor 3-like protein, partial</v>
      </c>
      <c r="J4751">
        <v>419.47</v>
      </c>
      <c r="K4751" t="s">
        <v>22</v>
      </c>
      <c r="L4751">
        <v>76</v>
      </c>
      <c r="M4751">
        <v>12.58</v>
      </c>
      <c r="N4751">
        <v>4.13</v>
      </c>
      <c r="O4751" t="s">
        <v>19</v>
      </c>
      <c r="P4751" t="s">
        <v>1320</v>
      </c>
      <c r="Q4751" t="s">
        <v>19</v>
      </c>
      <c r="R4751" t="str">
        <f>HYPERLINK("https://cfpub.epa.gov/ecotox/explore.cfm?ncbi=215346","Explore in ECOTOX")</f>
        <v>Explore in ECOTOX</v>
      </c>
    </row>
    <row r="4752" spans="1:18" x14ac:dyDescent="0.45">
      <c r="A4752" t="s">
        <v>1265</v>
      </c>
      <c r="B4752">
        <v>8</v>
      </c>
      <c r="C4752" t="str">
        <f>HYPERLINK("http://www.ncbi.nlm.nih.gov/protein/AGN55074.1","AGN55074.1")</f>
        <v>AGN55074.1</v>
      </c>
      <c r="D4752">
        <v>62</v>
      </c>
      <c r="E4752" t="str">
        <f>HYPERLINK("http://www.ncbi.nlm.nih.gov/Taxonomy/Browser/wwwtax.cgi?mode=Info&amp;id=303718&amp;lvl=3&amp;lin=f&amp;keep=1&amp;srchmode=1&amp;unlock","303718")</f>
        <v>303718</v>
      </c>
      <c r="F4752" t="s">
        <v>17</v>
      </c>
      <c r="G4752" t="str">
        <f>HYPERLINK("http://www.ncbi.nlm.nih.gov/Taxonomy/Browser/wwwtax.cgi?mode=Info&amp;id=303718&amp;lvl=3&amp;lin=f&amp;keep=1&amp;srchmode=1&amp;unlock","Paraluteres prionurus")</f>
        <v>Paraluteres prionurus</v>
      </c>
      <c r="H4752" t="s">
        <v>1277</v>
      </c>
      <c r="I4752" t="str">
        <f>HYPERLINK("http://www.ncbi.nlm.nih.gov/protein/AGN55074.1","ryanodine receptor 3-like protein, partial")</f>
        <v>ryanodine receptor 3-like protein, partial</v>
      </c>
      <c r="J4752">
        <v>419.47</v>
      </c>
      <c r="K4752" t="s">
        <v>22</v>
      </c>
      <c r="L4752">
        <v>76</v>
      </c>
      <c r="M4752">
        <v>12.58</v>
      </c>
      <c r="N4752">
        <v>4.13</v>
      </c>
      <c r="O4752" t="s">
        <v>19</v>
      </c>
      <c r="P4752" t="s">
        <v>1320</v>
      </c>
      <c r="Q4752" t="s">
        <v>19</v>
      </c>
      <c r="R4752" t="str">
        <f>HYPERLINK("https://cfpub.epa.gov/ecotox/explore.cfm?ncbi=303718","Explore in ECOTOX")</f>
        <v>Explore in ECOTOX</v>
      </c>
    </row>
    <row r="4753" spans="1:18" x14ac:dyDescent="0.45">
      <c r="A4753" t="s">
        <v>1265</v>
      </c>
      <c r="B4753">
        <v>8</v>
      </c>
      <c r="C4753" t="str">
        <f>HYPERLINK("http://www.ncbi.nlm.nih.gov/protein/ALX40428.1","ALX40428.1")</f>
        <v>ALX40428.1</v>
      </c>
      <c r="D4753">
        <v>14</v>
      </c>
      <c r="E4753" t="str">
        <f>HYPERLINK("http://www.ncbi.nlm.nih.gov/Taxonomy/Browser/wwwtax.cgi?mode=Info&amp;id=1778171&amp;lvl=3&amp;lin=f&amp;keep=1&amp;srchmode=1&amp;unlock","1778171")</f>
        <v>1778171</v>
      </c>
      <c r="F4753" t="s">
        <v>17</v>
      </c>
      <c r="G4753" t="str">
        <f>HYPERLINK("http://www.ncbi.nlm.nih.gov/Taxonomy/Browser/wwwtax.cgi?mode=Info&amp;id=1778171&amp;lvl=3&amp;lin=f&amp;keep=1&amp;srchmode=1&amp;unlock","Triplophysa sp. cyp44")</f>
        <v>Triplophysa sp. cyp44</v>
      </c>
      <c r="H4753" t="s">
        <v>33</v>
      </c>
      <c r="I4753" t="str">
        <f>HYPERLINK("http://www.ncbi.nlm.nih.gov/protein/ALX40428.1","ryanodine receptor 3-like protein, partial")</f>
        <v>ryanodine receptor 3-like protein, partial</v>
      </c>
      <c r="J4753">
        <v>419.47</v>
      </c>
      <c r="K4753" t="s">
        <v>22</v>
      </c>
      <c r="L4753">
        <v>76</v>
      </c>
      <c r="M4753">
        <v>12.58</v>
      </c>
      <c r="N4753">
        <v>4.13</v>
      </c>
      <c r="O4753" t="s">
        <v>19</v>
      </c>
      <c r="P4753" t="s">
        <v>1320</v>
      </c>
      <c r="Q4753" t="s">
        <v>19</v>
      </c>
      <c r="R4753" t="str">
        <f>HYPERLINK("https://cfpub.epa.gov/ecotox/explore.cfm?ncbi=1778171","Explore in ECOTOX")</f>
        <v>Explore in ECOTOX</v>
      </c>
    </row>
    <row r="4754" spans="1:18" x14ac:dyDescent="0.45">
      <c r="A4754" t="s">
        <v>1265</v>
      </c>
      <c r="B4754">
        <v>8</v>
      </c>
      <c r="C4754" t="str">
        <f>HYPERLINK("http://www.ncbi.nlm.nih.gov/protein/ABV64929.1","ABV64929.1")</f>
        <v>ABV64929.1</v>
      </c>
      <c r="D4754">
        <v>196</v>
      </c>
      <c r="E4754" t="str">
        <f>HYPERLINK("http://www.ncbi.nlm.nih.gov/Taxonomy/Browser/wwwtax.cgi?mode=Info&amp;id=64108&amp;lvl=3&amp;lin=f&amp;keep=1&amp;srchmode=1&amp;unlock","64108")</f>
        <v>64108</v>
      </c>
      <c r="F4754" t="s">
        <v>17</v>
      </c>
      <c r="G4754" t="str">
        <f>HYPERLINK("http://www.ncbi.nlm.nih.gov/Taxonomy/Browser/wwwtax.cgi?mode=Info&amp;id=64108&amp;lvl=3&amp;lin=f&amp;keep=1&amp;srchmode=1&amp;unlock","Zeus faber")</f>
        <v>Zeus faber</v>
      </c>
      <c r="H4754" t="s">
        <v>1380</v>
      </c>
      <c r="I4754" t="str">
        <f>HYPERLINK("http://www.ncbi.nlm.nih.gov/protein/ABV64929.1","ryanodine receptor 3-like protein, partial")</f>
        <v>ryanodine receptor 3-like protein, partial</v>
      </c>
      <c r="J4754">
        <v>419.08</v>
      </c>
      <c r="K4754" t="s">
        <v>22</v>
      </c>
      <c r="L4754">
        <v>76</v>
      </c>
      <c r="M4754">
        <v>12.58</v>
      </c>
      <c r="N4754">
        <v>4.12</v>
      </c>
      <c r="O4754" t="s">
        <v>19</v>
      </c>
      <c r="P4754" t="s">
        <v>1320</v>
      </c>
      <c r="Q4754" t="s">
        <v>19</v>
      </c>
      <c r="R4754" t="str">
        <f>HYPERLINK("https://cfpub.epa.gov/ecotox/explore.cfm?ncbi=64108","Explore in ECOTOX")</f>
        <v>Explore in ECOTOX</v>
      </c>
    </row>
    <row r="4755" spans="1:18" x14ac:dyDescent="0.45">
      <c r="A4755" t="s">
        <v>1265</v>
      </c>
      <c r="B4755">
        <v>8</v>
      </c>
      <c r="C4755" t="str">
        <f>HYPERLINK("http://www.ncbi.nlm.nih.gov/protein/ALX40483.1","ALX40483.1")</f>
        <v>ALX40483.1</v>
      </c>
      <c r="D4755">
        <v>122</v>
      </c>
      <c r="E4755" t="str">
        <f>HYPERLINK("http://www.ncbi.nlm.nih.gov/Taxonomy/Browser/wwwtax.cgi?mode=Info&amp;id=437758&amp;lvl=3&amp;lin=f&amp;keep=1&amp;srchmode=1&amp;unlock","437758")</f>
        <v>437758</v>
      </c>
      <c r="F4755" t="s">
        <v>17</v>
      </c>
      <c r="G4755" t="str">
        <f>HYPERLINK("http://www.ncbi.nlm.nih.gov/Taxonomy/Browser/wwwtax.cgi?mode=Info&amp;id=437758&amp;lvl=3&amp;lin=f&amp;keep=1&amp;srchmode=1&amp;unlock","Sarcocheilichthys parvus")</f>
        <v>Sarcocheilichthys parvus</v>
      </c>
      <c r="H4755" t="s">
        <v>1381</v>
      </c>
      <c r="I4755" t="str">
        <f>HYPERLINK("http://www.ncbi.nlm.nih.gov/protein/ALX40483.1","ryanodine receptor 3-like protein, partial")</f>
        <v>ryanodine receptor 3-like protein, partial</v>
      </c>
      <c r="J4755">
        <v>419.08</v>
      </c>
      <c r="K4755" t="s">
        <v>22</v>
      </c>
      <c r="L4755">
        <v>76</v>
      </c>
      <c r="M4755">
        <v>12.58</v>
      </c>
      <c r="N4755">
        <v>4.12</v>
      </c>
      <c r="O4755" t="s">
        <v>19</v>
      </c>
      <c r="P4755" t="s">
        <v>1320</v>
      </c>
      <c r="Q4755" t="s">
        <v>19</v>
      </c>
      <c r="R4755" t="str">
        <f>HYPERLINK("https://cfpub.epa.gov/ecotox/explore.cfm?ncbi=437758","Explore in ECOTOX")</f>
        <v>Explore in ECOTOX</v>
      </c>
    </row>
    <row r="4756" spans="1:18" x14ac:dyDescent="0.45">
      <c r="A4756" t="s">
        <v>1265</v>
      </c>
      <c r="B4756">
        <v>8</v>
      </c>
      <c r="C4756" t="str">
        <f>HYPERLINK("http://www.ncbi.nlm.nih.gov/protein/ALX40490.1","ALX40490.1")</f>
        <v>ALX40490.1</v>
      </c>
      <c r="D4756">
        <v>78</v>
      </c>
      <c r="E4756" t="str">
        <f>HYPERLINK("http://www.ncbi.nlm.nih.gov/Taxonomy/Browser/wwwtax.cgi?mode=Info&amp;id=140595&amp;lvl=3&amp;lin=f&amp;keep=1&amp;srchmode=1&amp;unlock","140595")</f>
        <v>140595</v>
      </c>
      <c r="F4756" t="s">
        <v>17</v>
      </c>
      <c r="G4756" t="str">
        <f>HYPERLINK("http://www.ncbi.nlm.nih.gov/Taxonomy/Browser/wwwtax.cgi?mode=Info&amp;id=140595&amp;lvl=3&amp;lin=f&amp;keep=1&amp;srchmode=1&amp;unlock","Aphyocypris chinensis")</f>
        <v>Aphyocypris chinensis</v>
      </c>
      <c r="H4756" t="s">
        <v>21</v>
      </c>
      <c r="I4756" t="str">
        <f>HYPERLINK("http://www.ncbi.nlm.nih.gov/protein/ALX40490.1","ryanodine receptor 3-like protein, partial")</f>
        <v>ryanodine receptor 3-like protein, partial</v>
      </c>
      <c r="J4756">
        <v>418.31</v>
      </c>
      <c r="K4756" t="s">
        <v>22</v>
      </c>
      <c r="L4756">
        <v>76</v>
      </c>
      <c r="M4756">
        <v>12.58</v>
      </c>
      <c r="N4756">
        <v>4.12</v>
      </c>
      <c r="O4756" t="s">
        <v>19</v>
      </c>
      <c r="P4756" t="s">
        <v>1320</v>
      </c>
      <c r="Q4756" t="s">
        <v>19</v>
      </c>
      <c r="R4756" t="str">
        <f>HYPERLINK("https://cfpub.epa.gov/ecotox/explore.cfm?ncbi=140595","Explore in ECOTOX")</f>
        <v>Explore in ECOTOX</v>
      </c>
    </row>
    <row r="4757" spans="1:18" x14ac:dyDescent="0.45">
      <c r="A4757" t="s">
        <v>1265</v>
      </c>
      <c r="B4757">
        <v>8</v>
      </c>
      <c r="C4757" t="str">
        <f>HYPERLINK("http://www.ncbi.nlm.nih.gov/protein/ALX40432.1","ALX40432.1")</f>
        <v>ALX40432.1</v>
      </c>
      <c r="D4757">
        <v>176</v>
      </c>
      <c r="E4757" t="str">
        <f>HYPERLINK("http://www.ncbi.nlm.nih.gov/Taxonomy/Browser/wwwtax.cgi?mode=Info&amp;id=43956&amp;lvl=3&amp;lin=f&amp;keep=1&amp;srchmode=1&amp;unlock","43956")</f>
        <v>43956</v>
      </c>
      <c r="F4757" t="s">
        <v>17</v>
      </c>
      <c r="G4757" t="str">
        <f>HYPERLINK("http://www.ncbi.nlm.nih.gov/Taxonomy/Browser/wwwtax.cgi?mode=Info&amp;id=43956&amp;lvl=3&amp;lin=f&amp;keep=1&amp;srchmode=1&amp;unlock","Catostomus catostomus")</f>
        <v>Catostomus catostomus</v>
      </c>
      <c r="H4757" t="s">
        <v>1382</v>
      </c>
      <c r="I4757" t="str">
        <f>HYPERLINK("http://www.ncbi.nlm.nih.gov/protein/ALX40432.1","ryanodine receptor 3-like protein, partial")</f>
        <v>ryanodine receptor 3-like protein, partial</v>
      </c>
      <c r="J4757">
        <v>418.31</v>
      </c>
      <c r="K4757" t="s">
        <v>22</v>
      </c>
      <c r="L4757">
        <v>76</v>
      </c>
      <c r="M4757">
        <v>12.58</v>
      </c>
      <c r="N4757">
        <v>4.12</v>
      </c>
      <c r="O4757" t="s">
        <v>19</v>
      </c>
      <c r="P4757" t="s">
        <v>1320</v>
      </c>
      <c r="Q4757" t="s">
        <v>19</v>
      </c>
      <c r="R4757" t="str">
        <f>HYPERLINK("https://cfpub.epa.gov/ecotox/explore.cfm?ncbi=43956","Explore in ECOTOX")</f>
        <v>Explore in ECOTOX</v>
      </c>
    </row>
    <row r="4758" spans="1:18" x14ac:dyDescent="0.45">
      <c r="A4758" t="s">
        <v>1265</v>
      </c>
      <c r="B4758">
        <v>8</v>
      </c>
      <c r="C4758" t="str">
        <f>HYPERLINK("http://www.ncbi.nlm.nih.gov/protein/ALX40501.1","ALX40501.1")</f>
        <v>ALX40501.1</v>
      </c>
      <c r="D4758">
        <v>20</v>
      </c>
      <c r="E4758" t="str">
        <f>HYPERLINK("http://www.ncbi.nlm.nih.gov/Taxonomy/Browser/wwwtax.cgi?mode=Info&amp;id=1204401&amp;lvl=3&amp;lin=f&amp;keep=1&amp;srchmode=1&amp;unlock","1204401")</f>
        <v>1204401</v>
      </c>
      <c r="F4758" t="s">
        <v>17</v>
      </c>
      <c r="G4758" t="str">
        <f>HYPERLINK("http://www.ncbi.nlm.nih.gov/Taxonomy/Browser/wwwtax.cgi?mode=Info&amp;id=1204401&amp;lvl=3&amp;lin=f&amp;keep=1&amp;srchmode=1&amp;unlock","Garra waterloti")</f>
        <v>Garra waterloti</v>
      </c>
      <c r="H4758" t="s">
        <v>21</v>
      </c>
      <c r="I4758" t="str">
        <f>HYPERLINK("http://www.ncbi.nlm.nih.gov/protein/ALX40501.1","ryanodine receptor 3-like protein, partial")</f>
        <v>ryanodine receptor 3-like protein, partial</v>
      </c>
      <c r="J4758">
        <v>418.31</v>
      </c>
      <c r="K4758" t="s">
        <v>22</v>
      </c>
      <c r="L4758">
        <v>76</v>
      </c>
      <c r="M4758">
        <v>12.58</v>
      </c>
      <c r="N4758">
        <v>4.12</v>
      </c>
      <c r="O4758" t="s">
        <v>19</v>
      </c>
      <c r="P4758" t="s">
        <v>1320</v>
      </c>
      <c r="Q4758" t="s">
        <v>19</v>
      </c>
      <c r="R4758" t="str">
        <f>HYPERLINK("https://cfpub.epa.gov/ecotox/explore.cfm?ncbi=1204401","Explore in ECOTOX")</f>
        <v>Explore in ECOTOX</v>
      </c>
    </row>
    <row r="4759" spans="1:18" x14ac:dyDescent="0.45">
      <c r="A4759" t="s">
        <v>1265</v>
      </c>
      <c r="B4759">
        <v>8</v>
      </c>
      <c r="C4759" t="str">
        <f>HYPERLINK("http://www.ncbi.nlm.nih.gov/protein/ALX40448.1","ALX40448.1")</f>
        <v>ALX40448.1</v>
      </c>
      <c r="D4759">
        <v>10</v>
      </c>
      <c r="E4759" t="str">
        <f>HYPERLINK("http://www.ncbi.nlm.nih.gov/Taxonomy/Browser/wwwtax.cgi?mode=Info&amp;id=1778139&amp;lvl=3&amp;lin=f&amp;keep=1&amp;srchmode=1&amp;unlock","1778139")</f>
        <v>1778139</v>
      </c>
      <c r="F4759" t="s">
        <v>17</v>
      </c>
      <c r="G4759" t="str">
        <f>HYPERLINK("http://www.ncbi.nlm.nih.gov/Taxonomy/Browser/wwwtax.cgi?mode=Info&amp;id=1778139&amp;lvl=3&amp;lin=f&amp;keep=1&amp;srchmode=1&amp;unlock","Cobitis sp. cyp889")</f>
        <v>Cobitis sp. cyp889</v>
      </c>
      <c r="H4759" t="s">
        <v>1353</v>
      </c>
      <c r="I4759" t="str">
        <f>HYPERLINK("http://www.ncbi.nlm.nih.gov/protein/ALX40448.1","ryanodine receptor 3-like protein, partial")</f>
        <v>ryanodine receptor 3-like protein, partial</v>
      </c>
      <c r="J4759">
        <v>418.31</v>
      </c>
      <c r="K4759" t="s">
        <v>22</v>
      </c>
      <c r="L4759">
        <v>76</v>
      </c>
      <c r="M4759">
        <v>12.58</v>
      </c>
      <c r="N4759">
        <v>4.12</v>
      </c>
      <c r="O4759" t="s">
        <v>19</v>
      </c>
      <c r="P4759" t="s">
        <v>1320</v>
      </c>
      <c r="Q4759" t="s">
        <v>19</v>
      </c>
      <c r="R4759" t="str">
        <f>HYPERLINK("https://cfpub.epa.gov/ecotox/explore.cfm?ncbi=1778139","Explore in ECOTOX")</f>
        <v>Explore in ECOTOX</v>
      </c>
    </row>
    <row r="4760" spans="1:18" x14ac:dyDescent="0.45">
      <c r="A4760" t="s">
        <v>1265</v>
      </c>
      <c r="B4760">
        <v>8</v>
      </c>
      <c r="C4760" t="str">
        <f>HYPERLINK("http://www.ncbi.nlm.nih.gov/protein/ALX40424.1","ALX40424.1")</f>
        <v>ALX40424.1</v>
      </c>
      <c r="D4760">
        <v>125</v>
      </c>
      <c r="E4760" t="str">
        <f>HYPERLINK("http://www.ncbi.nlm.nih.gov/Taxonomy/Browser/wwwtax.cgi?mode=Info&amp;id=357282&amp;lvl=3&amp;lin=f&amp;keep=1&amp;srchmode=1&amp;unlock","357282")</f>
        <v>357282</v>
      </c>
      <c r="F4760" t="s">
        <v>17</v>
      </c>
      <c r="G4760" t="str">
        <f>HYPERLINK("http://www.ncbi.nlm.nih.gov/Taxonomy/Browser/wwwtax.cgi?mode=Info&amp;id=357282&amp;lvl=3&amp;lin=f&amp;keep=1&amp;srchmode=1&amp;unlock","Barbatula toni")</f>
        <v>Barbatula toni</v>
      </c>
      <c r="H4760" t="s">
        <v>1383</v>
      </c>
      <c r="I4760" t="str">
        <f>HYPERLINK("http://www.ncbi.nlm.nih.gov/protein/ALX40424.1","ryanodine receptor 3-like protein, partial")</f>
        <v>ryanodine receptor 3-like protein, partial</v>
      </c>
      <c r="J4760">
        <v>418.31</v>
      </c>
      <c r="K4760" t="s">
        <v>22</v>
      </c>
      <c r="L4760">
        <v>76</v>
      </c>
      <c r="M4760">
        <v>12.58</v>
      </c>
      <c r="N4760">
        <v>4.12</v>
      </c>
      <c r="O4760" t="s">
        <v>19</v>
      </c>
      <c r="P4760" t="s">
        <v>1320</v>
      </c>
      <c r="Q4760" t="s">
        <v>19</v>
      </c>
      <c r="R4760" t="str">
        <f>HYPERLINK("https://cfpub.epa.gov/ecotox/explore.cfm?ncbi=357282","Explore in ECOTOX")</f>
        <v>Explore in ECOTOX</v>
      </c>
    </row>
    <row r="4761" spans="1:18" x14ac:dyDescent="0.45">
      <c r="A4761" t="s">
        <v>1265</v>
      </c>
      <c r="B4761">
        <v>8</v>
      </c>
      <c r="C4761" t="str">
        <f>HYPERLINK("http://www.ncbi.nlm.nih.gov/protein/ABV64922.1","ABV64922.1")</f>
        <v>ABV64922.1</v>
      </c>
      <c r="D4761">
        <v>52</v>
      </c>
      <c r="E4761" t="str">
        <f>HYPERLINK("http://www.ncbi.nlm.nih.gov/Taxonomy/Browser/wwwtax.cgi?mode=Info&amp;id=47701&amp;lvl=3&amp;lin=f&amp;keep=1&amp;srchmode=1&amp;unlock","47701")</f>
        <v>47701</v>
      </c>
      <c r="F4761" t="s">
        <v>17</v>
      </c>
      <c r="G4761" t="str">
        <f>HYPERLINK("http://www.ncbi.nlm.nih.gov/Taxonomy/Browser/wwwtax.cgi?mode=Info&amp;id=47701&amp;lvl=3&amp;lin=f&amp;keep=1&amp;srchmode=1&amp;unlock","Myripristis violacea")</f>
        <v>Myripristis violacea</v>
      </c>
      <c r="H4761" t="s">
        <v>1279</v>
      </c>
      <c r="I4761" t="str">
        <f>HYPERLINK("http://www.ncbi.nlm.nih.gov/protein/ABV64922.1","ryanodine receptor 3-like protein, partial")</f>
        <v>ryanodine receptor 3-like protein, partial</v>
      </c>
      <c r="J4761">
        <v>417.93</v>
      </c>
      <c r="K4761" t="s">
        <v>22</v>
      </c>
      <c r="L4761">
        <v>76</v>
      </c>
      <c r="M4761">
        <v>12.58</v>
      </c>
      <c r="N4761">
        <v>4.1100000000000003</v>
      </c>
      <c r="O4761" t="s">
        <v>19</v>
      </c>
      <c r="P4761" t="s">
        <v>1320</v>
      </c>
      <c r="Q4761" t="s">
        <v>19</v>
      </c>
      <c r="R4761" t="str">
        <f>HYPERLINK("https://cfpub.epa.gov/ecotox/explore.cfm?ncbi=47701","Explore in ECOTOX")</f>
        <v>Explore in ECOTOX</v>
      </c>
    </row>
    <row r="4762" spans="1:18" x14ac:dyDescent="0.45">
      <c r="A4762" t="s">
        <v>1265</v>
      </c>
      <c r="B4762">
        <v>8</v>
      </c>
      <c r="C4762" t="str">
        <f>HYPERLINK("http://www.ncbi.nlm.nih.gov/protein/ALX40512.1","ALX40512.1")</f>
        <v>ALX40512.1</v>
      </c>
      <c r="D4762">
        <v>2</v>
      </c>
      <c r="E4762" t="str">
        <f>HYPERLINK("http://www.ncbi.nlm.nih.gov/Taxonomy/Browser/wwwtax.cgi?mode=Info&amp;id=1778190&amp;lvl=3&amp;lin=f&amp;keep=1&amp;srchmode=1&amp;unlock","1778190")</f>
        <v>1778190</v>
      </c>
      <c r="F4762" t="s">
        <v>17</v>
      </c>
      <c r="G4762" t="str">
        <f>HYPERLINK("http://www.ncbi.nlm.nih.gov/Taxonomy/Browser/wwwtax.cgi?mode=Info&amp;id=1778190&amp;lvl=3&amp;lin=f&amp;keep=1&amp;srchmode=1&amp;unlock","Paedocypris sp. zzg6")</f>
        <v>Paedocypris sp. zzg6</v>
      </c>
      <c r="H4762" t="s">
        <v>21</v>
      </c>
      <c r="I4762" t="str">
        <f>HYPERLINK("http://www.ncbi.nlm.nih.gov/protein/ALX40512.1","ryanodine receptor 3-like protein, partial")</f>
        <v>ryanodine receptor 3-like protein, partial</v>
      </c>
      <c r="J4762">
        <v>417.93</v>
      </c>
      <c r="K4762" t="s">
        <v>22</v>
      </c>
      <c r="L4762">
        <v>76</v>
      </c>
      <c r="M4762">
        <v>12.58</v>
      </c>
      <c r="N4762">
        <v>4.1100000000000003</v>
      </c>
      <c r="O4762" t="s">
        <v>19</v>
      </c>
      <c r="P4762" t="s">
        <v>1320</v>
      </c>
      <c r="Q4762" t="s">
        <v>19</v>
      </c>
      <c r="R4762" t="str">
        <f>HYPERLINK("https://cfpub.epa.gov/ecotox/explore.cfm?ncbi=1778190","Explore in ECOTOX")</f>
        <v>Explore in ECOTOX</v>
      </c>
    </row>
    <row r="4763" spans="1:18" x14ac:dyDescent="0.45">
      <c r="A4763" t="s">
        <v>1265</v>
      </c>
      <c r="B4763">
        <v>8</v>
      </c>
      <c r="C4763" t="str">
        <f>HYPERLINK("http://www.ncbi.nlm.nih.gov/protein/ALX40443.1","ALX40443.1")</f>
        <v>ALX40443.1</v>
      </c>
      <c r="D4763">
        <v>136</v>
      </c>
      <c r="E4763" t="str">
        <f>HYPERLINK("http://www.ncbi.nlm.nih.gov/Taxonomy/Browser/wwwtax.cgi?mode=Info&amp;id=322126&amp;lvl=3&amp;lin=f&amp;keep=1&amp;srchmode=1&amp;unlock","322126")</f>
        <v>322126</v>
      </c>
      <c r="F4763" t="s">
        <v>17</v>
      </c>
      <c r="G4763" t="str">
        <f>HYPERLINK("http://www.ncbi.nlm.nih.gov/Taxonomy/Browser/wwwtax.cgi?mode=Info&amp;id=322126&amp;lvl=3&amp;lin=f&amp;keep=1&amp;srchmode=1&amp;unlock","Sinibotia robusta")</f>
        <v>Sinibotia robusta</v>
      </c>
      <c r="H4763" t="s">
        <v>21</v>
      </c>
      <c r="I4763" t="str">
        <f>HYPERLINK("http://www.ncbi.nlm.nih.gov/protein/ALX40443.1","ryanodine receptor 3-like protein, partial")</f>
        <v>ryanodine receptor 3-like protein, partial</v>
      </c>
      <c r="J4763">
        <v>417.54</v>
      </c>
      <c r="K4763" t="s">
        <v>22</v>
      </c>
      <c r="L4763">
        <v>76</v>
      </c>
      <c r="M4763">
        <v>12.58</v>
      </c>
      <c r="N4763">
        <v>4.1100000000000003</v>
      </c>
      <c r="O4763" t="s">
        <v>19</v>
      </c>
      <c r="P4763" t="s">
        <v>1320</v>
      </c>
      <c r="Q4763" t="s">
        <v>19</v>
      </c>
      <c r="R4763" t="str">
        <f>HYPERLINK("https://cfpub.epa.gov/ecotox/explore.cfm?ncbi=322126","Explore in ECOTOX")</f>
        <v>Explore in ECOTOX</v>
      </c>
    </row>
    <row r="4764" spans="1:18" x14ac:dyDescent="0.45">
      <c r="A4764" t="s">
        <v>1265</v>
      </c>
      <c r="B4764">
        <v>8</v>
      </c>
      <c r="C4764" t="str">
        <f>HYPERLINK("http://www.ncbi.nlm.nih.gov/protein/ABV64917.1","ABV64917.1")</f>
        <v>ABV64917.1</v>
      </c>
      <c r="D4764">
        <v>84</v>
      </c>
      <c r="E4764" t="str">
        <f>HYPERLINK("http://www.ncbi.nlm.nih.gov/Taxonomy/Browser/wwwtax.cgi?mode=Info&amp;id=7928&amp;lvl=3&amp;lin=f&amp;keep=1&amp;srchmode=1&amp;unlock","7928")</f>
        <v>7928</v>
      </c>
      <c r="F4764" t="s">
        <v>17</v>
      </c>
      <c r="G4764" t="str">
        <f>HYPERLINK("http://www.ncbi.nlm.nih.gov/Taxonomy/Browser/wwwtax.cgi?mode=Info&amp;id=7928&amp;lvl=3&amp;lin=f&amp;keep=1&amp;srchmode=1&amp;unlock","Elops saurus")</f>
        <v>Elops saurus</v>
      </c>
      <c r="H4764" t="s">
        <v>1282</v>
      </c>
      <c r="I4764" t="str">
        <f>HYPERLINK("http://www.ncbi.nlm.nih.gov/protein/ABV64917.1","ryanodine receptor 3-like protein, partial")</f>
        <v>ryanodine receptor 3-like protein, partial</v>
      </c>
      <c r="J4764">
        <v>416.77</v>
      </c>
      <c r="K4764" t="s">
        <v>22</v>
      </c>
      <c r="L4764">
        <v>76</v>
      </c>
      <c r="M4764">
        <v>12.58</v>
      </c>
      <c r="N4764">
        <v>4.0999999999999996</v>
      </c>
      <c r="O4764" t="s">
        <v>19</v>
      </c>
      <c r="P4764" t="s">
        <v>1320</v>
      </c>
      <c r="Q4764" t="s">
        <v>19</v>
      </c>
      <c r="R4764" t="str">
        <f>HYPERLINK("https://cfpub.epa.gov/ecotox/explore.cfm?ncbi=7928","Explore in ECOTOX")</f>
        <v>Explore in ECOTOX</v>
      </c>
    </row>
    <row r="4765" spans="1:18" x14ac:dyDescent="0.45">
      <c r="A4765" t="s">
        <v>1265</v>
      </c>
      <c r="B4765">
        <v>8</v>
      </c>
      <c r="C4765" t="str">
        <f>HYPERLINK("http://www.ncbi.nlm.nih.gov/protein/ABV64911.1","ABV64911.1")</f>
        <v>ABV64911.1</v>
      </c>
      <c r="D4765">
        <v>52</v>
      </c>
      <c r="E4765" t="str">
        <f>HYPERLINK("http://www.ncbi.nlm.nih.gov/Taxonomy/Browser/wwwtax.cgi?mode=Info&amp;id=260506&amp;lvl=3&amp;lin=f&amp;keep=1&amp;srchmode=1&amp;unlock","260506")</f>
        <v>260506</v>
      </c>
      <c r="F4765" t="s">
        <v>17</v>
      </c>
      <c r="G4765" t="str">
        <f>HYPERLINK("http://www.ncbi.nlm.nih.gov/Taxonomy/Browser/wwwtax.cgi?mode=Info&amp;id=260506&amp;lvl=3&amp;lin=f&amp;keep=1&amp;srchmode=1&amp;unlock","Pellona flavipinnis")</f>
        <v>Pellona flavipinnis</v>
      </c>
      <c r="H4765" t="s">
        <v>1384</v>
      </c>
      <c r="I4765" t="str">
        <f>HYPERLINK("http://www.ncbi.nlm.nih.gov/protein/ABV64911.1","ryanodine receptor 3-like protein, partial")</f>
        <v>ryanodine receptor 3-like protein, partial</v>
      </c>
      <c r="J4765">
        <v>416.77</v>
      </c>
      <c r="K4765" t="s">
        <v>22</v>
      </c>
      <c r="L4765">
        <v>76</v>
      </c>
      <c r="M4765">
        <v>12.58</v>
      </c>
      <c r="N4765">
        <v>4.0999999999999996</v>
      </c>
      <c r="O4765" t="s">
        <v>19</v>
      </c>
      <c r="P4765" t="s">
        <v>1320</v>
      </c>
      <c r="Q4765" t="s">
        <v>19</v>
      </c>
      <c r="R4765" t="str">
        <f>HYPERLINK("https://cfpub.epa.gov/ecotox/explore.cfm?ncbi=260506","Explore in ECOTOX")</f>
        <v>Explore in ECOTOX</v>
      </c>
    </row>
    <row r="4766" spans="1:18" x14ac:dyDescent="0.45">
      <c r="A4766" t="s">
        <v>1265</v>
      </c>
      <c r="B4766">
        <v>8</v>
      </c>
      <c r="C4766" t="str">
        <f>HYPERLINK("http://www.ncbi.nlm.nih.gov/protein/AGN55092.1","AGN55092.1")</f>
        <v>AGN55092.1</v>
      </c>
      <c r="D4766">
        <v>25</v>
      </c>
      <c r="E4766" t="str">
        <f>HYPERLINK("http://www.ncbi.nlm.nih.gov/Taxonomy/Browser/wwwtax.cgi?mode=Info&amp;id=428496&amp;lvl=3&amp;lin=f&amp;keep=1&amp;srchmode=1&amp;unlock","428496")</f>
        <v>428496</v>
      </c>
      <c r="F4766" t="s">
        <v>17</v>
      </c>
      <c r="G4766" t="str">
        <f>HYPERLINK("http://www.ncbi.nlm.nih.gov/Taxonomy/Browser/wwwtax.cgi?mode=Info&amp;id=428496&amp;lvl=3&amp;lin=f&amp;keep=1&amp;srchmode=1&amp;unlock","Pseudotriacanthus strigilifer")</f>
        <v>Pseudotriacanthus strigilifer</v>
      </c>
      <c r="H4766" t="s">
        <v>1385</v>
      </c>
      <c r="I4766" t="str">
        <f>HYPERLINK("http://www.ncbi.nlm.nih.gov/protein/AGN55092.1","ryanodine receptor 3-like protein, partial")</f>
        <v>ryanodine receptor 3-like protein, partial</v>
      </c>
      <c r="J4766">
        <v>416.39</v>
      </c>
      <c r="K4766" t="s">
        <v>22</v>
      </c>
      <c r="L4766">
        <v>76</v>
      </c>
      <c r="M4766">
        <v>12.58</v>
      </c>
      <c r="N4766">
        <v>4.0999999999999996</v>
      </c>
      <c r="O4766" t="s">
        <v>19</v>
      </c>
      <c r="P4766" t="s">
        <v>1320</v>
      </c>
      <c r="Q4766" t="s">
        <v>19</v>
      </c>
      <c r="R4766" t="str">
        <f>HYPERLINK("https://cfpub.epa.gov/ecotox/explore.cfm?ncbi=428496","Explore in ECOTOX")</f>
        <v>Explore in ECOTOX</v>
      </c>
    </row>
    <row r="4767" spans="1:18" x14ac:dyDescent="0.45">
      <c r="A4767" t="s">
        <v>1265</v>
      </c>
      <c r="B4767">
        <v>8</v>
      </c>
      <c r="C4767" t="str">
        <f>HYPERLINK("http://www.ncbi.nlm.nih.gov/protein/ALX40446.1","ALX40446.1")</f>
        <v>ALX40446.1</v>
      </c>
      <c r="D4767">
        <v>22</v>
      </c>
      <c r="E4767" t="str">
        <f>HYPERLINK("http://www.ncbi.nlm.nih.gov/Taxonomy/Browser/wwwtax.cgi?mode=Info&amp;id=322116&amp;lvl=3&amp;lin=f&amp;keep=1&amp;srchmode=1&amp;unlock","322116")</f>
        <v>322116</v>
      </c>
      <c r="F4767" t="s">
        <v>17</v>
      </c>
      <c r="G4767" t="str">
        <f>HYPERLINK("http://www.ncbi.nlm.nih.gov/Taxonomy/Browser/wwwtax.cgi?mode=Info&amp;id=322116&amp;lvl=3&amp;lin=f&amp;keep=1&amp;srchmode=1&amp;unlock","Yasuhikotakia lecontei")</f>
        <v>Yasuhikotakia lecontei</v>
      </c>
      <c r="H4767" t="s">
        <v>1386</v>
      </c>
      <c r="I4767" t="str">
        <f>HYPERLINK("http://www.ncbi.nlm.nih.gov/protein/ALX40446.1","ryanodine receptor 3-like protein, partial")</f>
        <v>ryanodine receptor 3-like protein, partial</v>
      </c>
      <c r="J4767">
        <v>416</v>
      </c>
      <c r="K4767" t="s">
        <v>22</v>
      </c>
      <c r="L4767">
        <v>76</v>
      </c>
      <c r="M4767">
        <v>12.58</v>
      </c>
      <c r="N4767">
        <v>4.09</v>
      </c>
      <c r="O4767" t="s">
        <v>19</v>
      </c>
      <c r="P4767" t="s">
        <v>1320</v>
      </c>
      <c r="Q4767" t="s">
        <v>19</v>
      </c>
      <c r="R4767" t="str">
        <f>HYPERLINK("https://cfpub.epa.gov/ecotox/explore.cfm?ncbi=322116","Explore in ECOTOX")</f>
        <v>Explore in ECOTOX</v>
      </c>
    </row>
    <row r="4768" spans="1:18" x14ac:dyDescent="0.45">
      <c r="A4768" t="s">
        <v>1265</v>
      </c>
      <c r="B4768">
        <v>8</v>
      </c>
      <c r="C4768" t="str">
        <f>HYPERLINK("http://www.ncbi.nlm.nih.gov/protein/ALX40439.1","ALX40439.1")</f>
        <v>ALX40439.1</v>
      </c>
      <c r="D4768">
        <v>22</v>
      </c>
      <c r="E4768" t="str">
        <f>HYPERLINK("http://www.ncbi.nlm.nih.gov/Taxonomy/Browser/wwwtax.cgi?mode=Info&amp;id=196767&amp;lvl=3&amp;lin=f&amp;keep=1&amp;srchmode=1&amp;unlock","196767")</f>
        <v>196767</v>
      </c>
      <c r="F4768" t="s">
        <v>17</v>
      </c>
      <c r="G4768" t="str">
        <f>HYPERLINK("http://www.ncbi.nlm.nih.gov/Taxonomy/Browser/wwwtax.cgi?mode=Info&amp;id=196767&amp;lvl=3&amp;lin=f&amp;keep=1&amp;srchmode=1&amp;unlock","Moxostoma collapsum")</f>
        <v>Moxostoma collapsum</v>
      </c>
      <c r="H4768" t="s">
        <v>1387</v>
      </c>
      <c r="I4768" t="str">
        <f>HYPERLINK("http://www.ncbi.nlm.nih.gov/protein/ALX40439.1","ryanodine receptor 3-like protein, partial")</f>
        <v>ryanodine receptor 3-like protein, partial</v>
      </c>
      <c r="J4768">
        <v>416</v>
      </c>
      <c r="K4768" t="s">
        <v>22</v>
      </c>
      <c r="L4768">
        <v>76</v>
      </c>
      <c r="M4768">
        <v>12.58</v>
      </c>
      <c r="N4768">
        <v>4.09</v>
      </c>
      <c r="O4768" t="s">
        <v>19</v>
      </c>
      <c r="P4768" t="s">
        <v>1320</v>
      </c>
      <c r="Q4768" t="s">
        <v>19</v>
      </c>
      <c r="R4768" t="str">
        <f>HYPERLINK("https://cfpub.epa.gov/ecotox/explore.cfm?ncbi=196767","Explore in ECOTOX")</f>
        <v>Explore in ECOTOX</v>
      </c>
    </row>
    <row r="4769" spans="1:18" x14ac:dyDescent="0.45">
      <c r="A4769" t="s">
        <v>1265</v>
      </c>
      <c r="B4769">
        <v>8</v>
      </c>
      <c r="C4769" t="str">
        <f>HYPERLINK("http://www.ncbi.nlm.nih.gov/protein/ALX40437.1","ALX40437.1")</f>
        <v>ALX40437.1</v>
      </c>
      <c r="D4769">
        <v>31</v>
      </c>
      <c r="E4769" t="str">
        <f>HYPERLINK("http://www.ncbi.nlm.nih.gov/Taxonomy/Browser/wwwtax.cgi?mode=Info&amp;id=359809&amp;lvl=3&amp;lin=f&amp;keep=1&amp;srchmode=1&amp;unlock","359809")</f>
        <v>359809</v>
      </c>
      <c r="F4769" t="s">
        <v>17</v>
      </c>
      <c r="G4769" t="str">
        <f>HYPERLINK("http://www.ncbi.nlm.nih.gov/Taxonomy/Browser/wwwtax.cgi?mode=Info&amp;id=359809&amp;lvl=3&amp;lin=f&amp;keep=1&amp;srchmode=1&amp;unlock","Lythrurus alegnotus")</f>
        <v>Lythrurus alegnotus</v>
      </c>
      <c r="H4769" t="s">
        <v>1388</v>
      </c>
      <c r="I4769" t="str">
        <f>HYPERLINK("http://www.ncbi.nlm.nih.gov/protein/ALX40437.1","ryanodine receptor 3-like protein, partial")</f>
        <v>ryanodine receptor 3-like protein, partial</v>
      </c>
      <c r="J4769">
        <v>415.62</v>
      </c>
      <c r="K4769" t="s">
        <v>22</v>
      </c>
      <c r="L4769">
        <v>76</v>
      </c>
      <c r="M4769">
        <v>12.58</v>
      </c>
      <c r="N4769">
        <v>4.09</v>
      </c>
      <c r="O4769" t="s">
        <v>19</v>
      </c>
      <c r="P4769" t="s">
        <v>1320</v>
      </c>
      <c r="Q4769" t="s">
        <v>19</v>
      </c>
      <c r="R4769" t="str">
        <f>HYPERLINK("https://cfpub.epa.gov/ecotox/explore.cfm?ncbi=359809","Explore in ECOTOX")</f>
        <v>Explore in ECOTOX</v>
      </c>
    </row>
    <row r="4770" spans="1:18" x14ac:dyDescent="0.45">
      <c r="A4770" t="s">
        <v>1265</v>
      </c>
      <c r="B4770">
        <v>8</v>
      </c>
      <c r="C4770" t="str">
        <f>HYPERLINK("http://www.ncbi.nlm.nih.gov/protein/ATD13583.1","ATD13583.1")</f>
        <v>ATD13583.1</v>
      </c>
      <c r="D4770">
        <v>92</v>
      </c>
      <c r="E4770" t="str">
        <f>HYPERLINK("http://www.ncbi.nlm.nih.gov/Taxonomy/Browser/wwwtax.cgi?mode=Info&amp;id=91743&amp;lvl=3&amp;lin=f&amp;keep=1&amp;srchmode=1&amp;unlock","91743")</f>
        <v>91743</v>
      </c>
      <c r="F4770" t="s">
        <v>17</v>
      </c>
      <c r="G4770" t="str">
        <f>HYPERLINK("http://www.ncbi.nlm.nih.gov/Taxonomy/Browser/wwwtax.cgi?mode=Info&amp;id=91743&amp;lvl=3&amp;lin=f&amp;keep=1&amp;srchmode=1&amp;unlock","Cephalopholis boenak")</f>
        <v>Cephalopholis boenak</v>
      </c>
      <c r="H4770" t="s">
        <v>1284</v>
      </c>
      <c r="I4770" t="str">
        <f>HYPERLINK("http://www.ncbi.nlm.nih.gov/protein/ATD13583.1","ryanodine receptor 3-like protein, partial")</f>
        <v>ryanodine receptor 3-like protein, partial</v>
      </c>
      <c r="J4770">
        <v>415.62</v>
      </c>
      <c r="K4770" t="s">
        <v>22</v>
      </c>
      <c r="L4770">
        <v>76</v>
      </c>
      <c r="M4770">
        <v>12.58</v>
      </c>
      <c r="N4770">
        <v>4.09</v>
      </c>
      <c r="O4770" t="s">
        <v>19</v>
      </c>
      <c r="P4770" t="s">
        <v>1320</v>
      </c>
      <c r="Q4770" t="s">
        <v>19</v>
      </c>
      <c r="R4770" t="str">
        <f>HYPERLINK("https://cfpub.epa.gov/ecotox/explore.cfm?ncbi=91743","Explore in ECOTOX")</f>
        <v>Explore in ECOTOX</v>
      </c>
    </row>
    <row r="4771" spans="1:18" x14ac:dyDescent="0.45">
      <c r="A4771" t="s">
        <v>1265</v>
      </c>
      <c r="B4771">
        <v>8</v>
      </c>
      <c r="C4771" t="str">
        <f>HYPERLINK("http://www.ncbi.nlm.nih.gov/protein/ALX40467.1","ALX40467.1")</f>
        <v>ALX40467.1</v>
      </c>
      <c r="D4771">
        <v>121</v>
      </c>
      <c r="E4771" t="str">
        <f>HYPERLINK("http://www.ncbi.nlm.nih.gov/Taxonomy/Browser/wwwtax.cgi?mode=Info&amp;id=227283&amp;lvl=3&amp;lin=f&amp;keep=1&amp;srchmode=1&amp;unlock","227283")</f>
        <v>227283</v>
      </c>
      <c r="F4771" t="s">
        <v>17</v>
      </c>
      <c r="G4771" t="str">
        <f>HYPERLINK("http://www.ncbi.nlm.nih.gov/Taxonomy/Browser/wwwtax.cgi?mode=Info&amp;id=227283&amp;lvl=3&amp;lin=f&amp;keep=1&amp;srchmode=1&amp;unlock","Hampala macrolepidota")</f>
        <v>Hampala macrolepidota</v>
      </c>
      <c r="H4771" t="s">
        <v>1389</v>
      </c>
      <c r="I4771" t="str">
        <f>HYPERLINK("http://www.ncbi.nlm.nih.gov/protein/ALX40467.1","ryanodine receptor 3-like protein, partial")</f>
        <v>ryanodine receptor 3-like protein, partial</v>
      </c>
      <c r="J4771">
        <v>415.23</v>
      </c>
      <c r="K4771" t="s">
        <v>22</v>
      </c>
      <c r="L4771">
        <v>76</v>
      </c>
      <c r="M4771">
        <v>12.58</v>
      </c>
      <c r="N4771">
        <v>4.09</v>
      </c>
      <c r="O4771" t="s">
        <v>19</v>
      </c>
      <c r="P4771" t="s">
        <v>1320</v>
      </c>
      <c r="Q4771" t="s">
        <v>19</v>
      </c>
      <c r="R4771" t="str">
        <f>HYPERLINK("https://cfpub.epa.gov/ecotox/explore.cfm?ncbi=227283","Explore in ECOTOX")</f>
        <v>Explore in ECOTOX</v>
      </c>
    </row>
    <row r="4772" spans="1:18" x14ac:dyDescent="0.45">
      <c r="A4772" t="s">
        <v>1265</v>
      </c>
      <c r="B4772">
        <v>8</v>
      </c>
      <c r="C4772" t="str">
        <f>HYPERLINK("http://www.ncbi.nlm.nih.gov/protein/ALX40451.1","ALX40451.1")</f>
        <v>ALX40451.1</v>
      </c>
      <c r="D4772">
        <v>105</v>
      </c>
      <c r="E4772" t="str">
        <f>HYPERLINK("http://www.ncbi.nlm.nih.gov/Taxonomy/Browser/wwwtax.cgi?mode=Info&amp;id=1325550&amp;lvl=3&amp;lin=f&amp;keep=1&amp;srchmode=1&amp;unlock","1325550")</f>
        <v>1325550</v>
      </c>
      <c r="F4772" t="s">
        <v>17</v>
      </c>
      <c r="G4772" t="str">
        <f>HYPERLINK("http://www.ncbi.nlm.nih.gov/Taxonomy/Browser/wwwtax.cgi?mode=Info&amp;id=1325550&amp;lvl=3&amp;lin=f&amp;keep=1&amp;srchmode=1&amp;unlock","Kichulchoia multifasciata")</f>
        <v>Kichulchoia multifasciata</v>
      </c>
      <c r="H4772" t="s">
        <v>1353</v>
      </c>
      <c r="I4772" t="str">
        <f>HYPERLINK("http://www.ncbi.nlm.nih.gov/protein/ALX40451.1","ryanodine receptor 3-like protein, partial")</f>
        <v>ryanodine receptor 3-like protein, partial</v>
      </c>
      <c r="J4772">
        <v>414.85</v>
      </c>
      <c r="K4772" t="s">
        <v>22</v>
      </c>
      <c r="L4772">
        <v>76</v>
      </c>
      <c r="M4772">
        <v>12.58</v>
      </c>
      <c r="N4772">
        <v>4.08</v>
      </c>
      <c r="O4772" t="s">
        <v>19</v>
      </c>
      <c r="P4772" t="s">
        <v>1320</v>
      </c>
      <c r="Q4772" t="s">
        <v>19</v>
      </c>
      <c r="R4772" t="str">
        <f>HYPERLINK("https://cfpub.epa.gov/ecotox/explore.cfm?ncbi=1325550","Explore in ECOTOX")</f>
        <v>Explore in ECOTOX</v>
      </c>
    </row>
    <row r="4773" spans="1:18" x14ac:dyDescent="0.45">
      <c r="A4773" t="s">
        <v>1265</v>
      </c>
      <c r="B4773">
        <v>8</v>
      </c>
      <c r="C4773" t="str">
        <f>HYPERLINK("http://www.ncbi.nlm.nih.gov/protein/ALX40414.1","ALX40414.1")</f>
        <v>ALX40414.1</v>
      </c>
      <c r="D4773">
        <v>10</v>
      </c>
      <c r="E4773" t="str">
        <f>HYPERLINK("http://www.ncbi.nlm.nih.gov/Taxonomy/Browser/wwwtax.cgi?mode=Info&amp;id=1778159&amp;lvl=3&amp;lin=f&amp;keep=1&amp;srchmode=1&amp;unlock","1778159")</f>
        <v>1778159</v>
      </c>
      <c r="F4773" t="s">
        <v>17</v>
      </c>
      <c r="G4773" t="str">
        <f>HYPERLINK("http://www.ncbi.nlm.nih.gov/Taxonomy/Browser/wwwtax.cgi?mode=Info&amp;id=1778159&amp;lvl=3&amp;lin=f&amp;keep=1&amp;srchmode=1&amp;unlock","Pseudogastromyzon sp. cyp834")</f>
        <v>Pseudogastromyzon sp. cyp834</v>
      </c>
      <c r="H4773" t="s">
        <v>21</v>
      </c>
      <c r="I4773" t="str">
        <f>HYPERLINK("http://www.ncbi.nlm.nih.gov/protein/ALX40414.1","ryanodine receptor 3-like protein, partial")</f>
        <v>ryanodine receptor 3-like protein, partial</v>
      </c>
      <c r="J4773">
        <v>414.07</v>
      </c>
      <c r="K4773" t="s">
        <v>22</v>
      </c>
      <c r="L4773">
        <v>76</v>
      </c>
      <c r="M4773">
        <v>12.58</v>
      </c>
      <c r="N4773">
        <v>4.08</v>
      </c>
      <c r="O4773" t="s">
        <v>19</v>
      </c>
      <c r="P4773" t="s">
        <v>1320</v>
      </c>
      <c r="Q4773" t="s">
        <v>19</v>
      </c>
      <c r="R4773" t="str">
        <f>HYPERLINK("https://cfpub.epa.gov/ecotox/explore.cfm?ncbi=1778159","Explore in ECOTOX")</f>
        <v>Explore in ECOTOX</v>
      </c>
    </row>
    <row r="4774" spans="1:18" x14ac:dyDescent="0.45">
      <c r="A4774" t="s">
        <v>1265</v>
      </c>
      <c r="B4774">
        <v>8</v>
      </c>
      <c r="C4774" t="str">
        <f>HYPERLINK("http://www.ncbi.nlm.nih.gov/protein/ALX40417.1","ALX40417.1")</f>
        <v>ALX40417.1</v>
      </c>
      <c r="D4774">
        <v>37</v>
      </c>
      <c r="E4774" t="str">
        <f>HYPERLINK("http://www.ncbi.nlm.nih.gov/Taxonomy/Browser/wwwtax.cgi?mode=Info&amp;id=1764039&amp;lvl=3&amp;lin=f&amp;keep=1&amp;srchmode=1&amp;unlock","1764039")</f>
        <v>1764039</v>
      </c>
      <c r="F4774" t="s">
        <v>17</v>
      </c>
      <c r="G4774" t="str">
        <f>HYPERLINK("http://www.ncbi.nlm.nih.gov/Taxonomy/Browser/wwwtax.cgi?mode=Info&amp;id=1764039&amp;lvl=3&amp;lin=f&amp;keep=1&amp;srchmode=1&amp;unlock","Pseudogastromyzon fasciatus fasciatus")</f>
        <v>Pseudogastromyzon fasciatus fasciatus</v>
      </c>
      <c r="H4774" t="s">
        <v>21</v>
      </c>
      <c r="I4774" t="str">
        <f>HYPERLINK("http://www.ncbi.nlm.nih.gov/protein/ALX40417.1","ryanodine receptor 3-like protein, partial")</f>
        <v>ryanodine receptor 3-like protein, partial</v>
      </c>
      <c r="J4774">
        <v>413.69</v>
      </c>
      <c r="K4774" t="s">
        <v>22</v>
      </c>
      <c r="L4774">
        <v>76</v>
      </c>
      <c r="M4774">
        <v>12.58</v>
      </c>
      <c r="N4774">
        <v>4.07</v>
      </c>
      <c r="O4774" t="s">
        <v>19</v>
      </c>
      <c r="P4774" t="s">
        <v>1320</v>
      </c>
      <c r="Q4774" t="s">
        <v>19</v>
      </c>
      <c r="R4774" t="str">
        <f>HYPERLINK("https://cfpub.epa.gov/ecotox/explore.cfm?ncbi=1764039","Explore in ECOTOX")</f>
        <v>Explore in ECOTOX</v>
      </c>
    </row>
    <row r="4775" spans="1:18" x14ac:dyDescent="0.45">
      <c r="A4775" t="s">
        <v>1265</v>
      </c>
      <c r="B4775">
        <v>8</v>
      </c>
      <c r="C4775" t="str">
        <f>HYPERLINK("http://www.ncbi.nlm.nih.gov/protein/ALX40457.1","ALX40457.1")</f>
        <v>ALX40457.1</v>
      </c>
      <c r="D4775">
        <v>13</v>
      </c>
      <c r="E4775" t="str">
        <f>HYPERLINK("http://www.ncbi.nlm.nih.gov/Taxonomy/Browser/wwwtax.cgi?mode=Info&amp;id=1778133&amp;lvl=3&amp;lin=f&amp;keep=1&amp;srchmode=1&amp;unlock","1778133")</f>
        <v>1778133</v>
      </c>
      <c r="F4775" t="s">
        <v>17</v>
      </c>
      <c r="G4775" t="str">
        <f>HYPERLINK("http://www.ncbi.nlm.nih.gov/Taxonomy/Browser/wwwtax.cgi?mode=Info&amp;id=1778133&amp;lvl=3&amp;lin=f&amp;keep=1&amp;srchmode=1&amp;unlock","Barbatula sp. cyp49")</f>
        <v>Barbatula sp. cyp49</v>
      </c>
      <c r="H4775" t="s">
        <v>21</v>
      </c>
      <c r="I4775" t="str">
        <f>HYPERLINK("http://www.ncbi.nlm.nih.gov/protein/ALX40457.1","ryanodine receptor 3-like protein, partial")</f>
        <v>ryanodine receptor 3-like protein, partial</v>
      </c>
      <c r="J4775">
        <v>413.69</v>
      </c>
      <c r="K4775" t="s">
        <v>22</v>
      </c>
      <c r="L4775">
        <v>76</v>
      </c>
      <c r="M4775">
        <v>12.58</v>
      </c>
      <c r="N4775">
        <v>4.07</v>
      </c>
      <c r="O4775" t="s">
        <v>19</v>
      </c>
      <c r="P4775" t="s">
        <v>1320</v>
      </c>
      <c r="Q4775" t="s">
        <v>19</v>
      </c>
      <c r="R4775" t="str">
        <f>HYPERLINK("https://cfpub.epa.gov/ecotox/explore.cfm?ncbi=1778133","Explore in ECOTOX")</f>
        <v>Explore in ECOTOX</v>
      </c>
    </row>
    <row r="4776" spans="1:18" x14ac:dyDescent="0.45">
      <c r="A4776" t="s">
        <v>1265</v>
      </c>
      <c r="B4776">
        <v>8</v>
      </c>
      <c r="C4776" t="str">
        <f>HYPERLINK("http://www.ncbi.nlm.nih.gov/protein/ALX40434.1","ALX40434.1")</f>
        <v>ALX40434.1</v>
      </c>
      <c r="D4776">
        <v>88</v>
      </c>
      <c r="E4776" t="str">
        <f>HYPERLINK("http://www.ncbi.nlm.nih.gov/Taxonomy/Browser/wwwtax.cgi?mode=Info&amp;id=67539&amp;lvl=3&amp;lin=f&amp;keep=1&amp;srchmode=1&amp;unlock","67539")</f>
        <v>67539</v>
      </c>
      <c r="F4776" t="s">
        <v>17</v>
      </c>
      <c r="G4776" t="str">
        <f>HYPERLINK("http://www.ncbi.nlm.nih.gov/Taxonomy/Browser/wwwtax.cgi?mode=Info&amp;id=67539&amp;lvl=3&amp;lin=f&amp;keep=1&amp;srchmode=1&amp;unlock","Couesius plumbeus")</f>
        <v>Couesius plumbeus</v>
      </c>
      <c r="H4776" t="s">
        <v>1390</v>
      </c>
      <c r="I4776" t="str">
        <f>HYPERLINK("http://www.ncbi.nlm.nih.gov/protein/ALX40434.1","ryanodine receptor 3-like protein, partial")</f>
        <v>ryanodine receptor 3-like protein, partial</v>
      </c>
      <c r="J4776">
        <v>413.69</v>
      </c>
      <c r="K4776" t="s">
        <v>22</v>
      </c>
      <c r="L4776">
        <v>76</v>
      </c>
      <c r="M4776">
        <v>12.58</v>
      </c>
      <c r="N4776">
        <v>4.07</v>
      </c>
      <c r="O4776" t="s">
        <v>19</v>
      </c>
      <c r="P4776" t="s">
        <v>1320</v>
      </c>
      <c r="Q4776" t="s">
        <v>19</v>
      </c>
      <c r="R4776" t="str">
        <f>HYPERLINK("https://cfpub.epa.gov/ecotox/explore.cfm?ncbi=67539","Explore in ECOTOX")</f>
        <v>Explore in ECOTOX</v>
      </c>
    </row>
    <row r="4777" spans="1:18" x14ac:dyDescent="0.45">
      <c r="A4777" t="s">
        <v>1265</v>
      </c>
      <c r="B4777">
        <v>8</v>
      </c>
      <c r="C4777" t="str">
        <f>HYPERLINK("http://www.ncbi.nlm.nih.gov/protein/ALX40497.1","ALX40497.1")</f>
        <v>ALX40497.1</v>
      </c>
      <c r="D4777">
        <v>45</v>
      </c>
      <c r="E4777" t="str">
        <f>HYPERLINK("http://www.ncbi.nlm.nih.gov/Taxonomy/Browser/wwwtax.cgi?mode=Info&amp;id=643330&amp;lvl=3&amp;lin=f&amp;keep=1&amp;srchmode=1&amp;unlock","643330")</f>
        <v>643330</v>
      </c>
      <c r="F4777" t="s">
        <v>17</v>
      </c>
      <c r="G4777" t="str">
        <f>HYPERLINK("http://www.ncbi.nlm.nih.gov/Taxonomy/Browser/wwwtax.cgi?mode=Info&amp;id=643330&amp;lvl=3&amp;lin=f&amp;keep=1&amp;srchmode=1&amp;unlock","Gyrinocheilus pennocki")</f>
        <v>Gyrinocheilus pennocki</v>
      </c>
      <c r="H4777" t="s">
        <v>1391</v>
      </c>
      <c r="I4777" t="str">
        <f>HYPERLINK("http://www.ncbi.nlm.nih.gov/protein/ALX40497.1","ryanodine receptor 3-like protein, partial")</f>
        <v>ryanodine receptor 3-like protein, partial</v>
      </c>
      <c r="J4777">
        <v>413.69</v>
      </c>
      <c r="K4777" t="s">
        <v>22</v>
      </c>
      <c r="L4777">
        <v>76</v>
      </c>
      <c r="M4777">
        <v>12.58</v>
      </c>
      <c r="N4777">
        <v>4.07</v>
      </c>
      <c r="O4777" t="s">
        <v>19</v>
      </c>
      <c r="P4777" t="s">
        <v>1320</v>
      </c>
      <c r="Q4777" t="s">
        <v>19</v>
      </c>
      <c r="R4777" t="str">
        <f>HYPERLINK("https://cfpub.epa.gov/ecotox/explore.cfm?ncbi=643330","Explore in ECOTOX")</f>
        <v>Explore in ECOTOX</v>
      </c>
    </row>
    <row r="4778" spans="1:18" x14ac:dyDescent="0.45">
      <c r="A4778" t="s">
        <v>1265</v>
      </c>
      <c r="B4778">
        <v>8</v>
      </c>
      <c r="C4778" t="str">
        <f>HYPERLINK("http://www.ncbi.nlm.nih.gov/protein/AFQ97661.1","AFQ97661.1")</f>
        <v>AFQ97661.1</v>
      </c>
      <c r="D4778">
        <v>111</v>
      </c>
      <c r="E4778" t="str">
        <f>HYPERLINK("http://www.ncbi.nlm.nih.gov/Taxonomy/Browser/wwwtax.cgi?mode=Info&amp;id=365054&amp;lvl=3&amp;lin=f&amp;keep=1&amp;srchmode=1&amp;unlock","365054")</f>
        <v>365054</v>
      </c>
      <c r="F4778" t="s">
        <v>17</v>
      </c>
      <c r="G4778" t="str">
        <f>HYPERLINK("http://www.ncbi.nlm.nih.gov/Taxonomy/Browser/wwwtax.cgi?mode=Info&amp;id=365054&amp;lvl=3&amp;lin=f&amp;keep=1&amp;srchmode=1&amp;unlock","Ilisha elongata")</f>
        <v>Ilisha elongata</v>
      </c>
      <c r="H4778" t="s">
        <v>1392</v>
      </c>
      <c r="I4778" t="str">
        <f>HYPERLINK("http://www.ncbi.nlm.nih.gov/protein/AFQ97661.1","ryanodine receptor 3-like protein, partial")</f>
        <v>ryanodine receptor 3-like protein, partial</v>
      </c>
      <c r="J4778">
        <v>413.31</v>
      </c>
      <c r="K4778" t="s">
        <v>22</v>
      </c>
      <c r="L4778">
        <v>76</v>
      </c>
      <c r="M4778">
        <v>12.58</v>
      </c>
      <c r="N4778">
        <v>4.07</v>
      </c>
      <c r="O4778" t="s">
        <v>19</v>
      </c>
      <c r="P4778" t="s">
        <v>1320</v>
      </c>
      <c r="Q4778" t="s">
        <v>19</v>
      </c>
      <c r="R4778" t="str">
        <f>HYPERLINK("https://cfpub.epa.gov/ecotox/explore.cfm?ncbi=365054","Explore in ECOTOX")</f>
        <v>Explore in ECOTOX</v>
      </c>
    </row>
    <row r="4779" spans="1:18" x14ac:dyDescent="0.45">
      <c r="A4779" t="s">
        <v>1265</v>
      </c>
      <c r="B4779">
        <v>8</v>
      </c>
      <c r="C4779" t="str">
        <f>HYPERLINK("http://www.ncbi.nlm.nih.gov/protein/ATD13571.1","ATD13571.1")</f>
        <v>ATD13571.1</v>
      </c>
      <c r="D4779">
        <v>68</v>
      </c>
      <c r="E4779" t="str">
        <f>HYPERLINK("http://www.ncbi.nlm.nih.gov/Taxonomy/Browser/wwwtax.cgi?mode=Info&amp;id=327776&amp;lvl=3&amp;lin=f&amp;keep=1&amp;srchmode=1&amp;unlock","327776")</f>
        <v>327776</v>
      </c>
      <c r="F4779" t="s">
        <v>17</v>
      </c>
      <c r="G4779" t="str">
        <f>HYPERLINK("http://www.ncbi.nlm.nih.gov/Taxonomy/Browser/wwwtax.cgi?mode=Info&amp;id=327776&amp;lvl=3&amp;lin=f&amp;keep=1&amp;srchmode=1&amp;unlock","Aethaloperca rogaa")</f>
        <v>Aethaloperca rogaa</v>
      </c>
      <c r="H4779" t="s">
        <v>1285</v>
      </c>
      <c r="I4779" t="str">
        <f>HYPERLINK("http://www.ncbi.nlm.nih.gov/protein/ATD13571.1","ryanodine receptor 3-like protein, partial")</f>
        <v>ryanodine receptor 3-like protein, partial</v>
      </c>
      <c r="J4779">
        <v>410.61</v>
      </c>
      <c r="K4779" t="s">
        <v>22</v>
      </c>
      <c r="L4779">
        <v>76</v>
      </c>
      <c r="M4779">
        <v>12.58</v>
      </c>
      <c r="N4779">
        <v>4.04</v>
      </c>
      <c r="O4779" t="s">
        <v>19</v>
      </c>
      <c r="P4779" t="s">
        <v>1320</v>
      </c>
      <c r="Q4779" t="s">
        <v>19</v>
      </c>
      <c r="R4779" t="str">
        <f>HYPERLINK("https://cfpub.epa.gov/ecotox/explore.cfm?ncbi=327776","Explore in ECOTOX")</f>
        <v>Explore in ECOTOX</v>
      </c>
    </row>
    <row r="4780" spans="1:18" x14ac:dyDescent="0.45">
      <c r="A4780" t="s">
        <v>1265</v>
      </c>
      <c r="B4780">
        <v>8</v>
      </c>
      <c r="C4780" t="str">
        <f>HYPERLINK("http://www.ncbi.nlm.nih.gov/protein/ATA63868.1","ATA63868.1")</f>
        <v>ATA63868.1</v>
      </c>
      <c r="D4780">
        <v>84</v>
      </c>
      <c r="E4780" t="str">
        <f>HYPERLINK("http://www.ncbi.nlm.nih.gov/Taxonomy/Browser/wwwtax.cgi?mode=Info&amp;id=198511&amp;lvl=3&amp;lin=f&amp;keep=1&amp;srchmode=1&amp;unlock","198511")</f>
        <v>198511</v>
      </c>
      <c r="F4780" t="s">
        <v>17</v>
      </c>
      <c r="G4780" t="str">
        <f>HYPERLINK("http://www.ncbi.nlm.nih.gov/Taxonomy/Browser/wwwtax.cgi?mode=Info&amp;id=198511&amp;lvl=3&amp;lin=f&amp;keep=1&amp;srchmode=1&amp;unlock","Hemiculter bleekeri")</f>
        <v>Hemiculter bleekeri</v>
      </c>
      <c r="H4780" t="s">
        <v>21</v>
      </c>
      <c r="I4780" t="str">
        <f>HYPERLINK("http://www.ncbi.nlm.nih.gov/protein/ATA63868.1","ryanodine receptor 3-like protein, partial")</f>
        <v>ryanodine receptor 3-like protein, partial</v>
      </c>
      <c r="J4780">
        <v>410.22</v>
      </c>
      <c r="K4780" t="s">
        <v>22</v>
      </c>
      <c r="L4780">
        <v>76</v>
      </c>
      <c r="M4780">
        <v>12.58</v>
      </c>
      <c r="N4780">
        <v>4.04</v>
      </c>
      <c r="O4780" t="s">
        <v>19</v>
      </c>
      <c r="P4780" t="s">
        <v>1320</v>
      </c>
      <c r="Q4780" t="s">
        <v>19</v>
      </c>
      <c r="R4780" t="str">
        <f>HYPERLINK("https://cfpub.epa.gov/ecotox/explore.cfm?ncbi=198511","Explore in ECOTOX")</f>
        <v>Explore in ECOTOX</v>
      </c>
    </row>
    <row r="4781" spans="1:18" x14ac:dyDescent="0.45">
      <c r="A4781" t="s">
        <v>1265</v>
      </c>
      <c r="B4781">
        <v>8</v>
      </c>
      <c r="C4781" t="str">
        <f>HYPERLINK("http://www.ncbi.nlm.nih.gov/protein/ALX40468.1","ALX40468.1")</f>
        <v>ALX40468.1</v>
      </c>
      <c r="D4781">
        <v>43</v>
      </c>
      <c r="E4781" t="str">
        <f>HYPERLINK("http://www.ncbi.nlm.nih.gov/Taxonomy/Browser/wwwtax.cgi?mode=Info&amp;id=643336&amp;lvl=3&amp;lin=f&amp;keep=1&amp;srchmode=1&amp;unlock","643336")</f>
        <v>643336</v>
      </c>
      <c r="F4781" t="s">
        <v>17</v>
      </c>
      <c r="G4781" t="str">
        <f>HYPERLINK("http://www.ncbi.nlm.nih.gov/Taxonomy/Browser/wwwtax.cgi?mode=Info&amp;id=643336&amp;lvl=3&amp;lin=f&amp;keep=1&amp;srchmode=1&amp;unlock","Hampala dispar")</f>
        <v>Hampala dispar</v>
      </c>
      <c r="H4781" t="s">
        <v>21</v>
      </c>
      <c r="I4781" t="str">
        <f>HYPERLINK("http://www.ncbi.nlm.nih.gov/protein/ALX40468.1","ryanodine receptor 3-like protein, partial")</f>
        <v>ryanodine receptor 3-like protein, partial</v>
      </c>
      <c r="J4781">
        <v>410.22</v>
      </c>
      <c r="K4781" t="s">
        <v>22</v>
      </c>
      <c r="L4781">
        <v>76</v>
      </c>
      <c r="M4781">
        <v>12.58</v>
      </c>
      <c r="N4781">
        <v>4.04</v>
      </c>
      <c r="O4781" t="s">
        <v>19</v>
      </c>
      <c r="P4781" t="s">
        <v>1320</v>
      </c>
      <c r="Q4781" t="s">
        <v>19</v>
      </c>
      <c r="R4781" t="str">
        <f>HYPERLINK("https://cfpub.epa.gov/ecotox/explore.cfm?ncbi=643336","Explore in ECOTOX")</f>
        <v>Explore in ECOTOX</v>
      </c>
    </row>
    <row r="4782" spans="1:18" x14ac:dyDescent="0.45">
      <c r="A4782" t="s">
        <v>1265</v>
      </c>
      <c r="B4782">
        <v>8</v>
      </c>
      <c r="C4782" t="str">
        <f>HYPERLINK("http://www.ncbi.nlm.nih.gov/protein/ATA63912.1","ATA63912.1")</f>
        <v>ATA63912.1</v>
      </c>
      <c r="D4782">
        <v>493</v>
      </c>
      <c r="E4782" t="str">
        <f>HYPERLINK("http://www.ncbi.nlm.nih.gov/Taxonomy/Browser/wwwtax.cgi?mode=Info&amp;id=75350&amp;lvl=3&amp;lin=f&amp;keep=1&amp;srchmode=1&amp;unlock","75350")</f>
        <v>75350</v>
      </c>
      <c r="F4782" t="s">
        <v>17</v>
      </c>
      <c r="G4782" t="str">
        <f>HYPERLINK("http://www.ncbi.nlm.nih.gov/Taxonomy/Browser/wwwtax.cgi?mode=Info&amp;id=75350&amp;lvl=3&amp;lin=f&amp;keep=1&amp;srchmode=1&amp;unlock","Hemiculter leucisculus")</f>
        <v>Hemiculter leucisculus</v>
      </c>
      <c r="H4782" t="s">
        <v>1393</v>
      </c>
      <c r="I4782" t="str">
        <f>HYPERLINK("http://www.ncbi.nlm.nih.gov/protein/ATA63912.1","ryanodine receptor 3-like protein, partial")</f>
        <v>ryanodine receptor 3-like protein, partial</v>
      </c>
      <c r="J4782">
        <v>410.22</v>
      </c>
      <c r="K4782" t="s">
        <v>22</v>
      </c>
      <c r="L4782">
        <v>76</v>
      </c>
      <c r="M4782">
        <v>12.58</v>
      </c>
      <c r="N4782">
        <v>4.04</v>
      </c>
      <c r="O4782" t="s">
        <v>19</v>
      </c>
      <c r="P4782" t="s">
        <v>1320</v>
      </c>
      <c r="Q4782" t="s">
        <v>19</v>
      </c>
      <c r="R4782" t="str">
        <f>HYPERLINK("https://cfpub.epa.gov/ecotox/explore.cfm?ncbi=75350","Explore in ECOTOX")</f>
        <v>Explore in ECOTOX</v>
      </c>
    </row>
    <row r="4783" spans="1:18" x14ac:dyDescent="0.45">
      <c r="A4783" t="s">
        <v>1265</v>
      </c>
      <c r="B4783">
        <v>8</v>
      </c>
      <c r="C4783" t="str">
        <f>HYPERLINK("http://www.ncbi.nlm.nih.gov/protein/ABV64928.1","ABV64928.1")</f>
        <v>ABV64928.1</v>
      </c>
      <c r="D4783">
        <v>117</v>
      </c>
      <c r="E4783" t="str">
        <f>HYPERLINK("http://www.ncbi.nlm.nih.gov/Taxonomy/Browser/wwwtax.cgi?mode=Info&amp;id=81385&amp;lvl=3&amp;lin=f&amp;keep=1&amp;srchmode=1&amp;unlock","81385")</f>
        <v>81385</v>
      </c>
      <c r="F4783" t="s">
        <v>17</v>
      </c>
      <c r="G4783" t="str">
        <f>HYPERLINK("http://www.ncbi.nlm.nih.gov/Taxonomy/Browser/wwwtax.cgi?mode=Info&amp;id=81385&amp;lvl=3&amp;lin=f&amp;keep=1&amp;srchmode=1&amp;unlock","Polymixia japonica")</f>
        <v>Polymixia japonica</v>
      </c>
      <c r="H4783" t="s">
        <v>1394</v>
      </c>
      <c r="I4783" t="str">
        <f>HYPERLINK("http://www.ncbi.nlm.nih.gov/protein/ABV64928.1","ryanodine receptor 3-like protein, partial")</f>
        <v>ryanodine receptor 3-like protein, partial</v>
      </c>
      <c r="J4783">
        <v>409.84</v>
      </c>
      <c r="K4783" t="s">
        <v>22</v>
      </c>
      <c r="L4783">
        <v>76</v>
      </c>
      <c r="M4783">
        <v>12.58</v>
      </c>
      <c r="N4783">
        <v>4.03</v>
      </c>
      <c r="O4783" t="s">
        <v>19</v>
      </c>
      <c r="P4783" t="s">
        <v>1320</v>
      </c>
      <c r="Q4783" t="s">
        <v>19</v>
      </c>
      <c r="R4783" t="str">
        <f>HYPERLINK("https://cfpub.epa.gov/ecotox/explore.cfm?ncbi=81385","Explore in ECOTOX")</f>
        <v>Explore in ECOTOX</v>
      </c>
    </row>
    <row r="4784" spans="1:18" x14ac:dyDescent="0.45">
      <c r="A4784" t="s">
        <v>1265</v>
      </c>
      <c r="B4784">
        <v>8</v>
      </c>
      <c r="C4784" t="str">
        <f>HYPERLINK("http://www.ncbi.nlm.nih.gov/protein/ATD13578.1","ATD13578.1")</f>
        <v>ATD13578.1</v>
      </c>
      <c r="D4784">
        <v>116</v>
      </c>
      <c r="E4784" t="str">
        <f>HYPERLINK("http://www.ncbi.nlm.nih.gov/Taxonomy/Browser/wwwtax.cgi?mode=Info&amp;id=309930&amp;lvl=3&amp;lin=f&amp;keep=1&amp;srchmode=1&amp;unlock","309930")</f>
        <v>309930</v>
      </c>
      <c r="F4784" t="s">
        <v>17</v>
      </c>
      <c r="G4784" t="str">
        <f>HYPERLINK("http://www.ncbi.nlm.nih.gov/Taxonomy/Browser/wwwtax.cgi?mode=Info&amp;id=309930&amp;lvl=3&amp;lin=f&amp;keep=1&amp;srchmode=1&amp;unlock","Cephalopholis argus")</f>
        <v>Cephalopholis argus</v>
      </c>
      <c r="H4784" t="s">
        <v>1290</v>
      </c>
      <c r="I4784" t="str">
        <f>HYPERLINK("http://www.ncbi.nlm.nih.gov/protein/ATD13578.1","ryanodine receptor 3-like protein, partial")</f>
        <v>ryanodine receptor 3-like protein, partial</v>
      </c>
      <c r="J4784">
        <v>409.84</v>
      </c>
      <c r="K4784" t="s">
        <v>22</v>
      </c>
      <c r="L4784">
        <v>76</v>
      </c>
      <c r="M4784">
        <v>12.58</v>
      </c>
      <c r="N4784">
        <v>4.03</v>
      </c>
      <c r="O4784" t="s">
        <v>19</v>
      </c>
      <c r="P4784" t="s">
        <v>1320</v>
      </c>
      <c r="Q4784" t="s">
        <v>19</v>
      </c>
      <c r="R4784" t="str">
        <f>HYPERLINK("https://cfpub.epa.gov/ecotox/explore.cfm?ncbi=309930","Explore in ECOTOX")</f>
        <v>Explore in ECOTOX</v>
      </c>
    </row>
    <row r="4785" spans="1:18" x14ac:dyDescent="0.45">
      <c r="A4785" t="s">
        <v>1265</v>
      </c>
      <c r="B4785">
        <v>8</v>
      </c>
      <c r="C4785" t="str">
        <f>HYPERLINK("http://www.ncbi.nlm.nih.gov/protein/ALX40445.1","ALX40445.1")</f>
        <v>ALX40445.1</v>
      </c>
      <c r="D4785">
        <v>60</v>
      </c>
      <c r="E4785" t="str">
        <f>HYPERLINK("http://www.ncbi.nlm.nih.gov/Taxonomy/Browser/wwwtax.cgi?mode=Info&amp;id=322115&amp;lvl=3&amp;lin=f&amp;keep=1&amp;srchmode=1&amp;unlock","322115")</f>
        <v>322115</v>
      </c>
      <c r="F4785" t="s">
        <v>17</v>
      </c>
      <c r="G4785" t="str">
        <f>HYPERLINK("http://www.ncbi.nlm.nih.gov/Taxonomy/Browser/wwwtax.cgi?mode=Info&amp;id=322115&amp;lvl=3&amp;lin=f&amp;keep=1&amp;srchmode=1&amp;unlock","Yasuhikotakia modesta")</f>
        <v>Yasuhikotakia modesta</v>
      </c>
      <c r="H4785" t="s">
        <v>1395</v>
      </c>
      <c r="I4785" t="str">
        <f>HYPERLINK("http://www.ncbi.nlm.nih.gov/protein/ALX40445.1","ryanodine receptor 3-like protein, partial")</f>
        <v>ryanodine receptor 3-like protein, partial</v>
      </c>
      <c r="J4785">
        <v>409.45</v>
      </c>
      <c r="K4785" t="s">
        <v>22</v>
      </c>
      <c r="L4785">
        <v>76</v>
      </c>
      <c r="M4785">
        <v>12.58</v>
      </c>
      <c r="N4785">
        <v>4.03</v>
      </c>
      <c r="O4785" t="s">
        <v>19</v>
      </c>
      <c r="P4785" t="s">
        <v>1320</v>
      </c>
      <c r="Q4785" t="s">
        <v>19</v>
      </c>
      <c r="R4785" t="str">
        <f>HYPERLINK("https://cfpub.epa.gov/ecotox/explore.cfm?ncbi=322115","Explore in ECOTOX")</f>
        <v>Explore in ECOTOX</v>
      </c>
    </row>
    <row r="4786" spans="1:18" x14ac:dyDescent="0.45">
      <c r="A4786" t="s">
        <v>1265</v>
      </c>
      <c r="B4786">
        <v>8</v>
      </c>
      <c r="C4786" t="str">
        <f>HYPERLINK("http://www.ncbi.nlm.nih.gov/protein/AGN55068.1","AGN55068.1")</f>
        <v>AGN55068.1</v>
      </c>
      <c r="D4786">
        <v>76</v>
      </c>
      <c r="E4786" t="str">
        <f>HYPERLINK("http://www.ncbi.nlm.nih.gov/Taxonomy/Browser/wwwtax.cgi?mode=Info&amp;id=215407&amp;lvl=3&amp;lin=f&amp;keep=1&amp;srchmode=1&amp;unlock","215407")</f>
        <v>215407</v>
      </c>
      <c r="F4786" t="s">
        <v>17</v>
      </c>
      <c r="G4786" t="str">
        <f>HYPERLINK("http://www.ncbi.nlm.nih.gov/Taxonomy/Browser/wwwtax.cgi?mode=Info&amp;id=215407&amp;lvl=3&amp;lin=f&amp;keep=1&amp;srchmode=1&amp;unlock","Ranzania laevis")</f>
        <v>Ranzania laevis</v>
      </c>
      <c r="H4786" t="s">
        <v>1396</v>
      </c>
      <c r="I4786" t="str">
        <f>HYPERLINK("http://www.ncbi.nlm.nih.gov/protein/AGN55068.1","ryanodine receptor 3-like protein, partial")</f>
        <v>ryanodine receptor 3-like protein, partial</v>
      </c>
      <c r="J4786">
        <v>409.07</v>
      </c>
      <c r="K4786" t="s">
        <v>22</v>
      </c>
      <c r="L4786">
        <v>76</v>
      </c>
      <c r="M4786">
        <v>12.58</v>
      </c>
      <c r="N4786">
        <v>4.03</v>
      </c>
      <c r="O4786" t="s">
        <v>19</v>
      </c>
      <c r="P4786" t="s">
        <v>1320</v>
      </c>
      <c r="Q4786" t="s">
        <v>19</v>
      </c>
      <c r="R4786" t="str">
        <f>HYPERLINK("https://cfpub.epa.gov/ecotox/explore.cfm?ncbi=215407","Explore in ECOTOX")</f>
        <v>Explore in ECOTOX</v>
      </c>
    </row>
    <row r="4787" spans="1:18" x14ac:dyDescent="0.45">
      <c r="A4787" t="s">
        <v>1265</v>
      </c>
      <c r="B4787">
        <v>8</v>
      </c>
      <c r="C4787" t="str">
        <f>HYPERLINK("http://www.ncbi.nlm.nih.gov/protein/ALX40506.1","ALX40506.1")</f>
        <v>ALX40506.1</v>
      </c>
      <c r="D4787">
        <v>11</v>
      </c>
      <c r="E4787" t="str">
        <f>HYPERLINK("http://www.ncbi.nlm.nih.gov/Taxonomy/Browser/wwwtax.cgi?mode=Info&amp;id=1778140&amp;lvl=3&amp;lin=f&amp;keep=1&amp;srchmode=1&amp;unlock","1778140")</f>
        <v>1778140</v>
      </c>
      <c r="F4787" t="s">
        <v>17</v>
      </c>
      <c r="G4787" t="str">
        <f>HYPERLINK("http://www.ncbi.nlm.nih.gov/Taxonomy/Browser/wwwtax.cgi?mode=Info&amp;id=1778140&amp;lvl=3&amp;lin=f&amp;keep=1&amp;srchmode=1&amp;unlock","Cobitis sp. cyp992")</f>
        <v>Cobitis sp. cyp992</v>
      </c>
      <c r="H4787" t="s">
        <v>1353</v>
      </c>
      <c r="I4787" t="str">
        <f>HYPERLINK("http://www.ncbi.nlm.nih.gov/protein/ALX40506.1","ryanodine receptor 3-like protein, partial")</f>
        <v>ryanodine receptor 3-like protein, partial</v>
      </c>
      <c r="J4787">
        <v>408.3</v>
      </c>
      <c r="K4787" t="s">
        <v>22</v>
      </c>
      <c r="L4787">
        <v>76</v>
      </c>
      <c r="M4787">
        <v>12.58</v>
      </c>
      <c r="N4787">
        <v>4.0199999999999996</v>
      </c>
      <c r="O4787" t="s">
        <v>19</v>
      </c>
      <c r="P4787" t="s">
        <v>1320</v>
      </c>
      <c r="Q4787" t="s">
        <v>19</v>
      </c>
      <c r="R4787" t="str">
        <f>HYPERLINK("https://cfpub.epa.gov/ecotox/explore.cfm?ncbi=1778140","Explore in ECOTOX")</f>
        <v>Explore in ECOTOX</v>
      </c>
    </row>
    <row r="4788" spans="1:18" x14ac:dyDescent="0.45">
      <c r="A4788" t="s">
        <v>1265</v>
      </c>
      <c r="B4788">
        <v>8</v>
      </c>
      <c r="C4788" t="str">
        <f>HYPERLINK("http://www.ncbi.nlm.nih.gov/protein/ALX40461.1","ALX40461.1")</f>
        <v>ALX40461.1</v>
      </c>
      <c r="D4788">
        <v>255</v>
      </c>
      <c r="E4788" t="str">
        <f>HYPERLINK("http://www.ncbi.nlm.nih.gov/Taxonomy/Browser/wwwtax.cgi?mode=Info&amp;id=683832&amp;lvl=3&amp;lin=f&amp;keep=1&amp;srchmode=1&amp;unlock","683832")</f>
        <v>683832</v>
      </c>
      <c r="F4788" t="s">
        <v>17</v>
      </c>
      <c r="G4788" t="str">
        <f>HYPERLINK("http://www.ncbi.nlm.nih.gov/Taxonomy/Browser/wwwtax.cgi?mode=Info&amp;id=683832&amp;lvl=3&amp;lin=f&amp;keep=1&amp;srchmode=1&amp;unlock","Cirrhinus mrigala")</f>
        <v>Cirrhinus mrigala</v>
      </c>
      <c r="H4788" t="s">
        <v>1397</v>
      </c>
      <c r="I4788" t="str">
        <f>HYPERLINK("http://www.ncbi.nlm.nih.gov/protein/ALX40461.1","ryanodine receptor 3-like protein, partial")</f>
        <v>ryanodine receptor 3-like protein, partial</v>
      </c>
      <c r="J4788">
        <v>407.91</v>
      </c>
      <c r="K4788" t="s">
        <v>22</v>
      </c>
      <c r="L4788">
        <v>76</v>
      </c>
      <c r="M4788">
        <v>12.58</v>
      </c>
      <c r="N4788">
        <v>4.01</v>
      </c>
      <c r="O4788" t="s">
        <v>19</v>
      </c>
      <c r="P4788" t="s">
        <v>1320</v>
      </c>
      <c r="Q4788" t="s">
        <v>19</v>
      </c>
      <c r="R4788" t="str">
        <f>HYPERLINK("https://cfpub.epa.gov/ecotox/explore.cfm?ncbi=683832","Explore in ECOTOX")</f>
        <v>Explore in ECOTOX</v>
      </c>
    </row>
    <row r="4789" spans="1:18" x14ac:dyDescent="0.45">
      <c r="A4789" t="s">
        <v>1265</v>
      </c>
      <c r="B4789">
        <v>8</v>
      </c>
      <c r="C4789" t="str">
        <f>HYPERLINK("http://www.ncbi.nlm.nih.gov/protein/AGN55083.1","AGN55083.1")</f>
        <v>AGN55083.1</v>
      </c>
      <c r="D4789">
        <v>82</v>
      </c>
      <c r="E4789" t="str">
        <f>HYPERLINK("http://www.ncbi.nlm.nih.gov/Taxonomy/Browser/wwwtax.cgi?mode=Info&amp;id=206128&amp;lvl=3&amp;lin=f&amp;keep=1&amp;srchmode=1&amp;unlock","206128")</f>
        <v>206128</v>
      </c>
      <c r="F4789" t="s">
        <v>17</v>
      </c>
      <c r="G4789" t="str">
        <f>HYPERLINK("http://www.ncbi.nlm.nih.gov/Taxonomy/Browser/wwwtax.cgi?mode=Info&amp;id=206128&amp;lvl=3&amp;lin=f&amp;keep=1&amp;srchmode=1&amp;unlock","Lagocephalus laevigatus")</f>
        <v>Lagocephalus laevigatus</v>
      </c>
      <c r="H4789" t="s">
        <v>1398</v>
      </c>
      <c r="I4789" t="str">
        <f>HYPERLINK("http://www.ncbi.nlm.nih.gov/protein/AGN55083.1","ryanodine receptor 3-like protein, partial")</f>
        <v>ryanodine receptor 3-like protein, partial</v>
      </c>
      <c r="J4789">
        <v>407.53</v>
      </c>
      <c r="K4789" t="s">
        <v>22</v>
      </c>
      <c r="L4789">
        <v>76</v>
      </c>
      <c r="M4789">
        <v>12.58</v>
      </c>
      <c r="N4789">
        <v>4.01</v>
      </c>
      <c r="O4789" t="s">
        <v>19</v>
      </c>
      <c r="P4789" t="s">
        <v>1320</v>
      </c>
      <c r="Q4789" t="s">
        <v>19</v>
      </c>
      <c r="R4789" t="str">
        <f>HYPERLINK("https://cfpub.epa.gov/ecotox/explore.cfm?ncbi=206128","Explore in ECOTOX")</f>
        <v>Explore in ECOTOX</v>
      </c>
    </row>
    <row r="4790" spans="1:18" x14ac:dyDescent="0.45">
      <c r="A4790" t="s">
        <v>1265</v>
      </c>
      <c r="B4790">
        <v>8</v>
      </c>
      <c r="C4790" t="str">
        <f>HYPERLINK("http://www.ncbi.nlm.nih.gov/protein/ALX40502.1","ALX40502.1")</f>
        <v>ALX40502.1</v>
      </c>
      <c r="D4790">
        <v>46</v>
      </c>
      <c r="E4790" t="str">
        <f>HYPERLINK("http://www.ncbi.nlm.nih.gov/Taxonomy/Browser/wwwtax.cgi?mode=Info&amp;id=198507&amp;lvl=3&amp;lin=f&amp;keep=1&amp;srchmode=1&amp;unlock","198507")</f>
        <v>198507</v>
      </c>
      <c r="F4790" t="s">
        <v>17</v>
      </c>
      <c r="G4790" t="str">
        <f>HYPERLINK("http://www.ncbi.nlm.nih.gov/Taxonomy/Browser/wwwtax.cgi?mode=Info&amp;id=198507&amp;lvl=3&amp;lin=f&amp;keep=1&amp;srchmode=1&amp;unlock","Labeo senegalensis")</f>
        <v>Labeo senegalensis</v>
      </c>
      <c r="H4790" t="s">
        <v>21</v>
      </c>
      <c r="I4790" t="str">
        <f>HYPERLINK("http://www.ncbi.nlm.nih.gov/protein/ALX40502.1","ryanodine receptor 3-like protein, partial")</f>
        <v>ryanodine receptor 3-like protein, partial</v>
      </c>
      <c r="J4790">
        <v>407.14</v>
      </c>
      <c r="K4790" t="s">
        <v>22</v>
      </c>
      <c r="L4790">
        <v>76</v>
      </c>
      <c r="M4790">
        <v>12.58</v>
      </c>
      <c r="N4790">
        <v>4.01</v>
      </c>
      <c r="O4790" t="s">
        <v>19</v>
      </c>
      <c r="P4790" t="s">
        <v>1320</v>
      </c>
      <c r="Q4790" t="s">
        <v>19</v>
      </c>
      <c r="R4790" t="str">
        <f>HYPERLINK("https://cfpub.epa.gov/ecotox/explore.cfm?ncbi=198507","Explore in ECOTOX")</f>
        <v>Explore in ECOTOX</v>
      </c>
    </row>
    <row r="4791" spans="1:18" x14ac:dyDescent="0.45">
      <c r="A4791" t="s">
        <v>1265</v>
      </c>
      <c r="B4791">
        <v>8</v>
      </c>
      <c r="C4791" t="str">
        <f>HYPERLINK("http://www.ncbi.nlm.nih.gov/protein/ALX40459.1","ALX40459.1")</f>
        <v>ALX40459.1</v>
      </c>
      <c r="D4791">
        <v>130</v>
      </c>
      <c r="E4791" t="str">
        <f>HYPERLINK("http://www.ncbi.nlm.nih.gov/Taxonomy/Browser/wwwtax.cgi?mode=Info&amp;id=1906136&amp;lvl=3&amp;lin=f&amp;keep=1&amp;srchmode=1&amp;unlock","1906136")</f>
        <v>1906136</v>
      </c>
      <c r="F4791" t="s">
        <v>17</v>
      </c>
      <c r="G4791" t="str">
        <f>HYPERLINK("http://www.ncbi.nlm.nih.gov/Taxonomy/Browser/wwwtax.cgi?mode=Info&amp;id=1906136&amp;lvl=3&amp;lin=f&amp;keep=1&amp;srchmode=1&amp;unlock","Barbonymus schwanefeldii")</f>
        <v>Barbonymus schwanefeldii</v>
      </c>
      <c r="H4791" t="s">
        <v>1399</v>
      </c>
      <c r="I4791" t="str">
        <f>HYPERLINK("http://www.ncbi.nlm.nih.gov/protein/ALX40459.1","ryanodine receptor 3-like protein, partial")</f>
        <v>ryanodine receptor 3-like protein, partial</v>
      </c>
      <c r="J4791">
        <v>406.76</v>
      </c>
      <c r="K4791" t="s">
        <v>22</v>
      </c>
      <c r="L4791">
        <v>76</v>
      </c>
      <c r="M4791">
        <v>12.58</v>
      </c>
      <c r="N4791">
        <v>4</v>
      </c>
      <c r="O4791" t="s">
        <v>19</v>
      </c>
      <c r="P4791" t="s">
        <v>1320</v>
      </c>
      <c r="Q4791" t="s">
        <v>19</v>
      </c>
      <c r="R4791" t="str">
        <f>HYPERLINK("https://cfpub.epa.gov/ecotox/explore.cfm?ncbi=1906136","Explore in ECOTOX")</f>
        <v>Explore in ECOTOX</v>
      </c>
    </row>
    <row r="4792" spans="1:18" x14ac:dyDescent="0.45">
      <c r="A4792" t="s">
        <v>1265</v>
      </c>
      <c r="B4792">
        <v>8</v>
      </c>
      <c r="C4792" t="str">
        <f>HYPERLINK("http://www.ncbi.nlm.nih.gov/protein/ALX40505.1","ALX40505.1")</f>
        <v>ALX40505.1</v>
      </c>
      <c r="D4792">
        <v>10</v>
      </c>
      <c r="E4792" t="str">
        <f>HYPERLINK("http://www.ncbi.nlm.nih.gov/Taxonomy/Browser/wwwtax.cgi?mode=Info&amp;id=1778183&amp;lvl=3&amp;lin=f&amp;keep=1&amp;srchmode=1&amp;unlock","1778183")</f>
        <v>1778183</v>
      </c>
      <c r="F4792" t="s">
        <v>17</v>
      </c>
      <c r="G4792" t="str">
        <f>HYPERLINK("http://www.ncbi.nlm.nih.gov/Taxonomy/Browser/wwwtax.cgi?mode=Info&amp;id=1778183&amp;lvl=3&amp;lin=f&amp;keep=1&amp;srchmode=1&amp;unlock","Triplophysa sp. cyp990")</f>
        <v>Triplophysa sp. cyp990</v>
      </c>
      <c r="H4792" t="s">
        <v>33</v>
      </c>
      <c r="I4792" t="str">
        <f>HYPERLINK("http://www.ncbi.nlm.nih.gov/protein/ALX40505.1","ryanodine receptor 3-like protein, partial")</f>
        <v>ryanodine receptor 3-like protein, partial</v>
      </c>
      <c r="J4792">
        <v>406.37</v>
      </c>
      <c r="K4792" t="s">
        <v>22</v>
      </c>
      <c r="L4792">
        <v>76</v>
      </c>
      <c r="M4792">
        <v>12.58</v>
      </c>
      <c r="N4792">
        <v>4</v>
      </c>
      <c r="O4792" t="s">
        <v>19</v>
      </c>
      <c r="P4792" t="s">
        <v>1320</v>
      </c>
      <c r="Q4792" t="s">
        <v>19</v>
      </c>
      <c r="R4792" t="str">
        <f>HYPERLINK("https://cfpub.epa.gov/ecotox/explore.cfm?ncbi=1778183","Explore in ECOTOX")</f>
        <v>Explore in ECOTOX</v>
      </c>
    </row>
    <row r="4793" spans="1:18" x14ac:dyDescent="0.45">
      <c r="A4793" t="s">
        <v>1265</v>
      </c>
      <c r="B4793">
        <v>8</v>
      </c>
      <c r="C4793" t="str">
        <f>HYPERLINK("http://www.ncbi.nlm.nih.gov/protein/ALX40452.1","ALX40452.1")</f>
        <v>ALX40452.1</v>
      </c>
      <c r="D4793">
        <v>315</v>
      </c>
      <c r="E4793" t="str">
        <f>HYPERLINK("http://www.ncbi.nlm.nih.gov/Taxonomy/Browser/wwwtax.cgi?mode=Info&amp;id=90735&amp;lvl=3&amp;lin=f&amp;keep=1&amp;srchmode=1&amp;unlock","90735")</f>
        <v>90735</v>
      </c>
      <c r="F4793" t="s">
        <v>17</v>
      </c>
      <c r="G4793" t="str">
        <f>HYPERLINK("http://www.ncbi.nlm.nih.gov/Taxonomy/Browser/wwwtax.cgi?mode=Info&amp;id=90735&amp;lvl=3&amp;lin=f&amp;keep=1&amp;srchmode=1&amp;unlock","Paramisgurnus dabryanus")</f>
        <v>Paramisgurnus dabryanus</v>
      </c>
      <c r="H4793" t="s">
        <v>1353</v>
      </c>
      <c r="I4793" t="str">
        <f>HYPERLINK("http://www.ncbi.nlm.nih.gov/protein/ALX40452.1","ryanodine receptor 3-like protein, partial")</f>
        <v>ryanodine receptor 3-like protein, partial</v>
      </c>
      <c r="J4793">
        <v>405.99</v>
      </c>
      <c r="K4793" t="s">
        <v>22</v>
      </c>
      <c r="L4793">
        <v>76</v>
      </c>
      <c r="M4793">
        <v>12.58</v>
      </c>
      <c r="N4793">
        <v>4</v>
      </c>
      <c r="O4793" t="s">
        <v>19</v>
      </c>
      <c r="P4793" t="s">
        <v>1320</v>
      </c>
      <c r="Q4793" t="s">
        <v>19</v>
      </c>
      <c r="R4793" t="str">
        <f>HYPERLINK("https://cfpub.epa.gov/ecotox/explore.cfm?ncbi=90735","Explore in ECOTOX")</f>
        <v>Explore in ECOTOX</v>
      </c>
    </row>
    <row r="4794" spans="1:18" x14ac:dyDescent="0.45">
      <c r="A4794" t="s">
        <v>1265</v>
      </c>
      <c r="B4794">
        <v>8</v>
      </c>
      <c r="C4794" t="str">
        <f>HYPERLINK("http://www.ncbi.nlm.nih.gov/protein/ALX40499.1","ALX40499.1")</f>
        <v>ALX40499.1</v>
      </c>
      <c r="D4794">
        <v>30</v>
      </c>
      <c r="E4794" t="str">
        <f>HYPERLINK("http://www.ncbi.nlm.nih.gov/Taxonomy/Browser/wwwtax.cgi?mode=Info&amp;id=137034&amp;lvl=3&amp;lin=f&amp;keep=1&amp;srchmode=1&amp;unlock","137034")</f>
        <v>137034</v>
      </c>
      <c r="F4794" t="s">
        <v>17</v>
      </c>
      <c r="G4794" t="str">
        <f>HYPERLINK("http://www.ncbi.nlm.nih.gov/Taxonomy/Browser/wwwtax.cgi?mode=Info&amp;id=137034&amp;lvl=3&amp;lin=f&amp;keep=1&amp;srchmode=1&amp;unlock","Enteromius macrops")</f>
        <v>Enteromius macrops</v>
      </c>
      <c r="H4794" t="s">
        <v>1400</v>
      </c>
      <c r="I4794" t="str">
        <f>HYPERLINK("http://www.ncbi.nlm.nih.gov/protein/ALX40499.1","ryanodine receptor 3-like protein, partial")</f>
        <v>ryanodine receptor 3-like protein, partial</v>
      </c>
      <c r="J4794">
        <v>405.6</v>
      </c>
      <c r="K4794" t="s">
        <v>22</v>
      </c>
      <c r="L4794">
        <v>76</v>
      </c>
      <c r="M4794">
        <v>12.58</v>
      </c>
      <c r="N4794">
        <v>3.99</v>
      </c>
      <c r="O4794" t="s">
        <v>19</v>
      </c>
      <c r="P4794" t="s">
        <v>1320</v>
      </c>
      <c r="Q4794" t="s">
        <v>19</v>
      </c>
      <c r="R4794" t="str">
        <f>HYPERLINK("https://cfpub.epa.gov/ecotox/explore.cfm?ncbi=137034","Explore in ECOTOX")</f>
        <v>Explore in ECOTOX</v>
      </c>
    </row>
    <row r="4795" spans="1:18" x14ac:dyDescent="0.45">
      <c r="A4795" t="s">
        <v>1265</v>
      </c>
      <c r="B4795">
        <v>8</v>
      </c>
      <c r="C4795" t="str">
        <f>HYPERLINK("http://www.ncbi.nlm.nih.gov/protein/ALX40487.1","ALX40487.1")</f>
        <v>ALX40487.1</v>
      </c>
      <c r="D4795">
        <v>122</v>
      </c>
      <c r="E4795" t="str">
        <f>HYPERLINK("http://www.ncbi.nlm.nih.gov/Taxonomy/Browser/wwwtax.cgi?mode=Info&amp;id=58319&amp;lvl=3&amp;lin=f&amp;keep=1&amp;srchmode=1&amp;unlock","58319")</f>
        <v>58319</v>
      </c>
      <c r="F4795" t="s">
        <v>17</v>
      </c>
      <c r="G4795" t="str">
        <f>HYPERLINK("http://www.ncbi.nlm.nih.gov/Taxonomy/Browser/wwwtax.cgi?mode=Info&amp;id=58319&amp;lvl=3&amp;lin=f&amp;keep=1&amp;srchmode=1&amp;unlock","Scardinius erythrophthalmus")</f>
        <v>Scardinius erythrophthalmus</v>
      </c>
      <c r="H4795" t="s">
        <v>1401</v>
      </c>
      <c r="I4795" t="str">
        <f>HYPERLINK("http://www.ncbi.nlm.nih.gov/protein/ALX40487.1","ryanodine receptor 3-like protein, partial")</f>
        <v>ryanodine receptor 3-like protein, partial</v>
      </c>
      <c r="J4795">
        <v>405.6</v>
      </c>
      <c r="K4795" t="s">
        <v>22</v>
      </c>
      <c r="L4795">
        <v>76</v>
      </c>
      <c r="M4795">
        <v>12.58</v>
      </c>
      <c r="N4795">
        <v>3.99</v>
      </c>
      <c r="O4795" t="s">
        <v>19</v>
      </c>
      <c r="P4795" t="s">
        <v>1320</v>
      </c>
      <c r="Q4795" t="s">
        <v>19</v>
      </c>
      <c r="R4795" t="str">
        <f>HYPERLINK("https://cfpub.epa.gov/ecotox/explore.cfm?ncbi=58319","Explore in ECOTOX")</f>
        <v>Explore in ECOTOX</v>
      </c>
    </row>
    <row r="4796" spans="1:18" x14ac:dyDescent="0.45">
      <c r="A4796" t="s">
        <v>1265</v>
      </c>
      <c r="B4796">
        <v>8</v>
      </c>
      <c r="C4796" t="str">
        <f>HYPERLINK("http://www.ncbi.nlm.nih.gov/protein/AFQ97659.1","AFQ97659.1")</f>
        <v>AFQ97659.1</v>
      </c>
      <c r="D4796">
        <v>43</v>
      </c>
      <c r="E4796" t="str">
        <f>HYPERLINK("http://www.ncbi.nlm.nih.gov/Taxonomy/Browser/wwwtax.cgi?mode=Info&amp;id=89578&amp;lvl=3&amp;lin=f&amp;keep=1&amp;srchmode=1&amp;unlock","89578")</f>
        <v>89578</v>
      </c>
      <c r="F4796" t="s">
        <v>17</v>
      </c>
      <c r="G4796" t="str">
        <f>HYPERLINK("http://www.ncbi.nlm.nih.gov/Taxonomy/Browser/wwwtax.cgi?mode=Info&amp;id=89578&amp;lvl=3&amp;lin=f&amp;keep=1&amp;srchmode=1&amp;unlock","Lepidogalaxias salamandroides")</f>
        <v>Lepidogalaxias salamandroides</v>
      </c>
      <c r="H4796" t="s">
        <v>1281</v>
      </c>
      <c r="I4796" t="str">
        <f>HYPERLINK("http://www.ncbi.nlm.nih.gov/protein/AFQ97659.1","ryanodine receptor 3-like protein, partial")</f>
        <v>ryanodine receptor 3-like protein, partial</v>
      </c>
      <c r="J4796">
        <v>405.6</v>
      </c>
      <c r="K4796" t="s">
        <v>22</v>
      </c>
      <c r="L4796">
        <v>76</v>
      </c>
      <c r="M4796">
        <v>12.58</v>
      </c>
      <c r="N4796">
        <v>3.99</v>
      </c>
      <c r="O4796" t="s">
        <v>19</v>
      </c>
      <c r="P4796" t="s">
        <v>1320</v>
      </c>
      <c r="Q4796" t="s">
        <v>19</v>
      </c>
      <c r="R4796" t="str">
        <f>HYPERLINK("https://cfpub.epa.gov/ecotox/explore.cfm?ncbi=89578","Explore in ECOTOX")</f>
        <v>Explore in ECOTOX</v>
      </c>
    </row>
    <row r="4797" spans="1:18" x14ac:dyDescent="0.45">
      <c r="A4797" t="s">
        <v>1265</v>
      </c>
      <c r="B4797">
        <v>8</v>
      </c>
      <c r="C4797" t="str">
        <f>HYPERLINK("http://www.ncbi.nlm.nih.gov/protein/ALX40466.1","ALX40466.1")</f>
        <v>ALX40466.1</v>
      </c>
      <c r="D4797">
        <v>95</v>
      </c>
      <c r="E4797" t="str">
        <f>HYPERLINK("http://www.ncbi.nlm.nih.gov/Taxonomy/Browser/wwwtax.cgi?mode=Info&amp;id=643339&amp;lvl=3&amp;lin=f&amp;keep=1&amp;srchmode=1&amp;unlock","643339")</f>
        <v>643339</v>
      </c>
      <c r="F4797" t="s">
        <v>17</v>
      </c>
      <c r="G4797" t="str">
        <f>HYPERLINK("http://www.ncbi.nlm.nih.gov/Taxonomy/Browser/wwwtax.cgi?mode=Info&amp;id=643339&amp;lvl=3&amp;lin=f&amp;keep=1&amp;srchmode=1&amp;unlock","Cyprinion semiplotum")</f>
        <v>Cyprinion semiplotum</v>
      </c>
      <c r="H4797" t="s">
        <v>1402</v>
      </c>
      <c r="I4797" t="str">
        <f>HYPERLINK("http://www.ncbi.nlm.nih.gov/protein/ALX40466.1","ryanodine receptor 3-like protein, partial")</f>
        <v>ryanodine receptor 3-like protein, partial</v>
      </c>
      <c r="J4797">
        <v>405.6</v>
      </c>
      <c r="K4797" t="s">
        <v>22</v>
      </c>
      <c r="L4797">
        <v>76</v>
      </c>
      <c r="M4797">
        <v>12.58</v>
      </c>
      <c r="N4797">
        <v>3.99</v>
      </c>
      <c r="O4797" t="s">
        <v>19</v>
      </c>
      <c r="P4797" t="s">
        <v>1320</v>
      </c>
      <c r="Q4797" t="s">
        <v>19</v>
      </c>
      <c r="R4797" t="str">
        <f>HYPERLINK("https://cfpub.epa.gov/ecotox/explore.cfm?ncbi=643339","Explore in ECOTOX")</f>
        <v>Explore in ECOTOX</v>
      </c>
    </row>
    <row r="4798" spans="1:18" x14ac:dyDescent="0.45">
      <c r="A4798" t="s">
        <v>1265</v>
      </c>
      <c r="B4798">
        <v>8</v>
      </c>
      <c r="C4798" t="str">
        <f>HYPERLINK("http://www.ncbi.nlm.nih.gov/protein/AGN55088.1","AGN55088.1")</f>
        <v>AGN55088.1</v>
      </c>
      <c r="D4798">
        <v>57</v>
      </c>
      <c r="E4798" t="str">
        <f>HYPERLINK("http://www.ncbi.nlm.nih.gov/Taxonomy/Browser/wwwtax.cgi?mode=Info&amp;id=544680&amp;lvl=3&amp;lin=f&amp;keep=1&amp;srchmode=1&amp;unlock","544680")</f>
        <v>544680</v>
      </c>
      <c r="F4798" t="s">
        <v>17</v>
      </c>
      <c r="G4798" t="str">
        <f>HYPERLINK("http://www.ncbi.nlm.nih.gov/Taxonomy/Browser/wwwtax.cgi?mode=Info&amp;id=544680&amp;lvl=3&amp;lin=f&amp;keep=1&amp;srchmode=1&amp;unlock","Tetraodon mbu")</f>
        <v>Tetraodon mbu</v>
      </c>
      <c r="H4798" t="s">
        <v>1403</v>
      </c>
      <c r="I4798" t="str">
        <f>HYPERLINK("http://www.ncbi.nlm.nih.gov/protein/AGN55088.1","ryanodine receptor 3-like protein, partial")</f>
        <v>ryanodine receptor 3-like protein, partial</v>
      </c>
      <c r="J4798">
        <v>405.6</v>
      </c>
      <c r="K4798" t="s">
        <v>22</v>
      </c>
      <c r="L4798">
        <v>76</v>
      </c>
      <c r="M4798">
        <v>12.58</v>
      </c>
      <c r="N4798">
        <v>3.99</v>
      </c>
      <c r="O4798" t="s">
        <v>19</v>
      </c>
      <c r="P4798" t="s">
        <v>1320</v>
      </c>
      <c r="Q4798" t="s">
        <v>19</v>
      </c>
      <c r="R4798" t="str">
        <f>HYPERLINK("https://cfpub.epa.gov/ecotox/explore.cfm?ncbi=544680","Explore in ECOTOX")</f>
        <v>Explore in ECOTOX</v>
      </c>
    </row>
    <row r="4799" spans="1:18" x14ac:dyDescent="0.45">
      <c r="A4799" t="s">
        <v>1265</v>
      </c>
      <c r="B4799">
        <v>8</v>
      </c>
      <c r="C4799" t="str">
        <f>HYPERLINK("http://www.ncbi.nlm.nih.gov/protein/ALX40504.1","ALX40504.1")</f>
        <v>ALX40504.1</v>
      </c>
      <c r="D4799">
        <v>10</v>
      </c>
      <c r="E4799" t="str">
        <f>HYPERLINK("http://www.ncbi.nlm.nih.gov/Taxonomy/Browser/wwwtax.cgi?mode=Info&amp;id=1764040&amp;lvl=3&amp;lin=f&amp;keep=1&amp;srchmode=1&amp;unlock","1764040")</f>
        <v>1764040</v>
      </c>
      <c r="F4799" t="s">
        <v>17</v>
      </c>
      <c r="G4799" t="str">
        <f>HYPERLINK("http://www.ncbi.nlm.nih.gov/Taxonomy/Browser/wwwtax.cgi?mode=Info&amp;id=1764040&amp;lvl=3&amp;lin=f&amp;keep=1&amp;srchmode=1&amp;unlock","Oreoleuciscus sp. 'large-mouth'")</f>
        <v>Oreoleuciscus sp. 'large-mouth'</v>
      </c>
      <c r="H4799" t="s">
        <v>21</v>
      </c>
      <c r="I4799" t="str">
        <f>HYPERLINK("http://www.ncbi.nlm.nih.gov/protein/ALX40504.1","ryanodine receptor 3-like protein, partial")</f>
        <v>ryanodine receptor 3-like protein, partial</v>
      </c>
      <c r="J4799">
        <v>405.22</v>
      </c>
      <c r="K4799" t="s">
        <v>22</v>
      </c>
      <c r="L4799">
        <v>76</v>
      </c>
      <c r="M4799">
        <v>12.58</v>
      </c>
      <c r="N4799">
        <v>3.99</v>
      </c>
      <c r="O4799" t="s">
        <v>19</v>
      </c>
      <c r="P4799" t="s">
        <v>1320</v>
      </c>
      <c r="Q4799" t="s">
        <v>19</v>
      </c>
      <c r="R4799" t="str">
        <f>HYPERLINK("https://cfpub.epa.gov/ecotox/explore.cfm?ncbi=1764040","Explore in ECOTOX")</f>
        <v>Explore in ECOTOX</v>
      </c>
    </row>
    <row r="4800" spans="1:18" x14ac:dyDescent="0.45">
      <c r="A4800" t="s">
        <v>1265</v>
      </c>
      <c r="B4800">
        <v>8</v>
      </c>
      <c r="C4800" t="str">
        <f>HYPERLINK("http://www.ncbi.nlm.nih.gov/protein/ALX40508.1","ALX40508.1")</f>
        <v>ALX40508.1</v>
      </c>
      <c r="D4800">
        <v>14</v>
      </c>
      <c r="E4800" t="str">
        <f>HYPERLINK("http://www.ncbi.nlm.nih.gov/Taxonomy/Browser/wwwtax.cgi?mode=Info&amp;id=857689&amp;lvl=3&amp;lin=f&amp;keep=1&amp;srchmode=1&amp;unlock","857689")</f>
        <v>857689</v>
      </c>
      <c r="F4800" t="s">
        <v>17</v>
      </c>
      <c r="G4800" t="str">
        <f>HYPERLINK("http://www.ncbi.nlm.nih.gov/Taxonomy/Browser/wwwtax.cgi?mode=Info&amp;id=857689&amp;lvl=3&amp;lin=f&amp;keep=1&amp;srchmode=1&amp;unlock","Chelaethiops bibie")</f>
        <v>Chelaethiops bibie</v>
      </c>
      <c r="H4800" t="s">
        <v>1404</v>
      </c>
      <c r="I4800" t="str">
        <f>HYPERLINK("http://www.ncbi.nlm.nih.gov/protein/ALX40508.1","ryanodine receptor 3-like protein, partial")</f>
        <v>ryanodine receptor 3-like protein, partial</v>
      </c>
      <c r="J4800">
        <v>405.22</v>
      </c>
      <c r="K4800" t="s">
        <v>22</v>
      </c>
      <c r="L4800">
        <v>76</v>
      </c>
      <c r="M4800">
        <v>12.58</v>
      </c>
      <c r="N4800">
        <v>3.99</v>
      </c>
      <c r="O4800" t="s">
        <v>19</v>
      </c>
      <c r="P4800" t="s">
        <v>1320</v>
      </c>
      <c r="Q4800" t="s">
        <v>19</v>
      </c>
      <c r="R4800" t="str">
        <f>HYPERLINK("https://cfpub.epa.gov/ecotox/explore.cfm?ncbi=857689","Explore in ECOTOX")</f>
        <v>Explore in ECOTOX</v>
      </c>
    </row>
    <row r="4801" spans="1:18" x14ac:dyDescent="0.45">
      <c r="A4801" t="s">
        <v>1265</v>
      </c>
      <c r="B4801">
        <v>8</v>
      </c>
      <c r="C4801" t="str">
        <f>HYPERLINK("http://www.ncbi.nlm.nih.gov/protein/ATD13739.1","ATD13739.1")</f>
        <v>ATD13739.1</v>
      </c>
      <c r="D4801">
        <v>72</v>
      </c>
      <c r="E4801" t="str">
        <f>HYPERLINK("http://www.ncbi.nlm.nih.gov/Taxonomy/Browser/wwwtax.cgi?mode=Info&amp;id=163121&amp;lvl=3&amp;lin=f&amp;keep=1&amp;srchmode=1&amp;unlock","163121")</f>
        <v>163121</v>
      </c>
      <c r="F4801" t="s">
        <v>17</v>
      </c>
      <c r="G4801" t="str">
        <f>HYPERLINK("http://www.ncbi.nlm.nih.gov/Taxonomy/Browser/wwwtax.cgi?mode=Info&amp;id=163121&amp;lvl=3&amp;lin=f&amp;keep=1&amp;srchmode=1&amp;unlock","Epinephelus hexagonatus")</f>
        <v>Epinephelus hexagonatus</v>
      </c>
      <c r="H4801" t="s">
        <v>1405</v>
      </c>
      <c r="I4801" t="str">
        <f>HYPERLINK("http://www.ncbi.nlm.nih.gov/protein/ATD13739.1","ryanodine receptor 3-like protein, partial")</f>
        <v>ryanodine receptor 3-like protein, partial</v>
      </c>
      <c r="J4801">
        <v>404.83</v>
      </c>
      <c r="K4801" t="s">
        <v>22</v>
      </c>
      <c r="L4801">
        <v>76</v>
      </c>
      <c r="M4801">
        <v>12.58</v>
      </c>
      <c r="N4801">
        <v>3.98</v>
      </c>
      <c r="O4801" t="s">
        <v>19</v>
      </c>
      <c r="P4801" t="s">
        <v>1320</v>
      </c>
      <c r="Q4801" t="s">
        <v>19</v>
      </c>
      <c r="R4801" t="str">
        <f>HYPERLINK("https://cfpub.epa.gov/ecotox/explore.cfm?ncbi=163121","Explore in ECOTOX")</f>
        <v>Explore in ECOTOX</v>
      </c>
    </row>
    <row r="4802" spans="1:18" x14ac:dyDescent="0.45">
      <c r="A4802" t="s">
        <v>1265</v>
      </c>
      <c r="B4802">
        <v>8</v>
      </c>
      <c r="C4802" t="str">
        <f>HYPERLINK("http://www.ncbi.nlm.nih.gov/protein/AUC66698.1","AUC66698.1")</f>
        <v>AUC66698.1</v>
      </c>
      <c r="D4802">
        <v>376</v>
      </c>
      <c r="E4802" t="str">
        <f>HYPERLINK("http://www.ncbi.nlm.nih.gov/Taxonomy/Browser/wwwtax.cgi?mode=Info&amp;id=86224&amp;lvl=3&amp;lin=f&amp;keep=1&amp;srchmode=1&amp;unlock","86224")</f>
        <v>86224</v>
      </c>
      <c r="F4802" t="s">
        <v>17</v>
      </c>
      <c r="G4802" t="str">
        <f>HYPERLINK("http://www.ncbi.nlm.nih.gov/Taxonomy/Browser/wwwtax.cgi?mode=Info&amp;id=86224&amp;lvl=3&amp;lin=f&amp;keep=1&amp;srchmode=1&amp;unlock","Bostrychus sinensis")</f>
        <v>Bostrychus sinensis</v>
      </c>
      <c r="H4802" t="s">
        <v>1406</v>
      </c>
      <c r="I4802" t="str">
        <f>HYPERLINK("http://www.ncbi.nlm.nih.gov/protein/AUC66698.1","ryanodine receptor 3, partial")</f>
        <v>ryanodine receptor 3, partial</v>
      </c>
      <c r="J4802">
        <v>403.68</v>
      </c>
      <c r="K4802" t="s">
        <v>22</v>
      </c>
      <c r="L4802">
        <v>76</v>
      </c>
      <c r="M4802">
        <v>12.58</v>
      </c>
      <c r="N4802">
        <v>3.97</v>
      </c>
      <c r="O4802" t="s">
        <v>19</v>
      </c>
      <c r="P4802" t="s">
        <v>1320</v>
      </c>
      <c r="Q4802" t="s">
        <v>19</v>
      </c>
      <c r="R4802" t="str">
        <f>HYPERLINK("https://cfpub.epa.gov/ecotox/explore.cfm?ncbi=86224","Explore in ECOTOX")</f>
        <v>Explore in ECOTOX</v>
      </c>
    </row>
    <row r="4803" spans="1:18" x14ac:dyDescent="0.45">
      <c r="A4803" t="s">
        <v>1265</v>
      </c>
      <c r="B4803">
        <v>8</v>
      </c>
      <c r="C4803" t="str">
        <f>HYPERLINK("http://www.ncbi.nlm.nih.gov/protein/ABV64927.1","ABV64927.1")</f>
        <v>ABV64927.1</v>
      </c>
      <c r="D4803">
        <v>19</v>
      </c>
      <c r="E4803" t="str">
        <f>HYPERLINK("http://www.ncbi.nlm.nih.gov/Taxonomy/Browser/wwwtax.cgi?mode=Info&amp;id=260512&amp;lvl=3&amp;lin=f&amp;keep=1&amp;srchmode=1&amp;unlock","260512")</f>
        <v>260512</v>
      </c>
      <c r="F4803" t="s">
        <v>17</v>
      </c>
      <c r="G4803" t="str">
        <f>HYPERLINK("http://www.ncbi.nlm.nih.gov/Taxonomy/Browser/wwwtax.cgi?mode=Info&amp;id=260512&amp;lvl=3&amp;lin=f&amp;keep=1&amp;srchmode=1&amp;unlock","Argentina sialis")</f>
        <v>Argentina sialis</v>
      </c>
      <c r="H4803" t="s">
        <v>1407</v>
      </c>
      <c r="I4803" t="str">
        <f>HYPERLINK("http://www.ncbi.nlm.nih.gov/protein/ABV64927.1","ryanodine receptor 3-like protein, partial")</f>
        <v>ryanodine receptor 3-like protein, partial</v>
      </c>
      <c r="J4803">
        <v>403.68</v>
      </c>
      <c r="K4803" t="s">
        <v>22</v>
      </c>
      <c r="L4803">
        <v>76</v>
      </c>
      <c r="M4803">
        <v>12.58</v>
      </c>
      <c r="N4803">
        <v>3.97</v>
      </c>
      <c r="O4803" t="s">
        <v>19</v>
      </c>
      <c r="P4803" t="s">
        <v>1320</v>
      </c>
      <c r="Q4803" t="s">
        <v>19</v>
      </c>
      <c r="R4803" t="str">
        <f>HYPERLINK("https://cfpub.epa.gov/ecotox/explore.cfm?ncbi=260512","Explore in ECOTOX")</f>
        <v>Explore in ECOTOX</v>
      </c>
    </row>
    <row r="4804" spans="1:18" x14ac:dyDescent="0.45">
      <c r="A4804" t="s">
        <v>1265</v>
      </c>
      <c r="B4804">
        <v>8</v>
      </c>
      <c r="C4804" t="str">
        <f>HYPERLINK("http://www.ncbi.nlm.nih.gov/protein/BAR80254.1","BAR80254.1")</f>
        <v>BAR80254.1</v>
      </c>
      <c r="D4804">
        <v>209</v>
      </c>
      <c r="E4804" t="str">
        <f>HYPERLINK("http://www.ncbi.nlm.nih.gov/Taxonomy/Browser/wwwtax.cgi?mode=Info&amp;id=1263952&amp;lvl=3&amp;lin=f&amp;keep=1&amp;srchmode=1&amp;unlock","1263952")</f>
        <v>1263952</v>
      </c>
      <c r="F4804" t="s">
        <v>17</v>
      </c>
      <c r="G4804" t="str">
        <f>HYPERLINK("http://www.ncbi.nlm.nih.gov/Taxonomy/Browser/wwwtax.cgi?mode=Info&amp;id=1263952&amp;lvl=3&amp;lin=f&amp;keep=1&amp;srchmode=1&amp;unlock","Rhinogobius similis")</f>
        <v>Rhinogobius similis</v>
      </c>
      <c r="H4804" t="s">
        <v>1408</v>
      </c>
      <c r="I4804" t="str">
        <f>HYPERLINK("http://www.ncbi.nlm.nih.gov/protein/BAR80254.1","novel protein similar to vertebrate ryanodine receptor 3, partial")</f>
        <v>novel protein similar to vertebrate ryanodine receptor 3, partial</v>
      </c>
      <c r="J4804">
        <v>402.9</v>
      </c>
      <c r="K4804" t="s">
        <v>22</v>
      </c>
      <c r="L4804">
        <v>76</v>
      </c>
      <c r="M4804">
        <v>12.58</v>
      </c>
      <c r="N4804">
        <v>3.97</v>
      </c>
      <c r="O4804" t="s">
        <v>19</v>
      </c>
      <c r="P4804" t="s">
        <v>1320</v>
      </c>
      <c r="Q4804" t="s">
        <v>19</v>
      </c>
      <c r="R4804" t="str">
        <f>HYPERLINK("https://cfpub.epa.gov/ecotox/explore.cfm?ncbi=1263952","Explore in ECOTOX")</f>
        <v>Explore in ECOTOX</v>
      </c>
    </row>
    <row r="4805" spans="1:18" x14ac:dyDescent="0.45">
      <c r="A4805" t="s">
        <v>1265</v>
      </c>
      <c r="B4805">
        <v>8</v>
      </c>
      <c r="C4805" t="str">
        <f>HYPERLINK("http://www.ncbi.nlm.nih.gov/protein/VBB34786.1","VBB34786.1")</f>
        <v>VBB34786.1</v>
      </c>
      <c r="D4805">
        <v>10212</v>
      </c>
      <c r="E4805" t="str">
        <f>HYPERLINK("http://www.ncbi.nlm.nih.gov/Taxonomy/Browser/wwwtax.cgi?mode=Info&amp;id=6277&amp;lvl=3&amp;lin=f&amp;keep=1&amp;srchmode=1&amp;unlock","6277")</f>
        <v>6277</v>
      </c>
      <c r="F4805" t="s">
        <v>1024</v>
      </c>
      <c r="G4805" t="str">
        <f>HYPERLINK("http://www.ncbi.nlm.nih.gov/Taxonomy/Browser/wwwtax.cgi?mode=Info&amp;id=6277&amp;lvl=3&amp;lin=f&amp;keep=1&amp;srchmode=1&amp;unlock","Acanthocheilonema viteae")</f>
        <v>Acanthocheilonema viteae</v>
      </c>
      <c r="H4805" t="s">
        <v>1027</v>
      </c>
      <c r="I4805" t="str">
        <f>HYPERLINK("http://www.ncbi.nlm.nih.gov/protein/VBB34786.1","unnamed protein product, partial")</f>
        <v>unnamed protein product, partial</v>
      </c>
      <c r="J4805">
        <v>402.13</v>
      </c>
      <c r="K4805" t="s">
        <v>22</v>
      </c>
      <c r="L4805">
        <v>76</v>
      </c>
      <c r="M4805">
        <v>12.58</v>
      </c>
      <c r="N4805">
        <v>3.96</v>
      </c>
      <c r="O4805" t="s">
        <v>19</v>
      </c>
      <c r="P4805" t="s">
        <v>1320</v>
      </c>
      <c r="Q4805" t="s">
        <v>19</v>
      </c>
      <c r="R4805" t="str">
        <f>HYPERLINK("https://cfpub.epa.gov/ecotox/explore.cfm?ncbi=6277","Explore in ECOTOX")</f>
        <v>Explore in ECOTOX</v>
      </c>
    </row>
    <row r="4806" spans="1:18" x14ac:dyDescent="0.45">
      <c r="A4806" t="s">
        <v>1265</v>
      </c>
      <c r="B4806">
        <v>8</v>
      </c>
      <c r="C4806" t="str">
        <f>HYPERLINK("http://www.ncbi.nlm.nih.gov/protein/AGN55075.1","AGN55075.1")</f>
        <v>AGN55075.1</v>
      </c>
      <c r="D4806">
        <v>72</v>
      </c>
      <c r="E4806" t="str">
        <f>HYPERLINK("http://www.ncbi.nlm.nih.gov/Taxonomy/Browser/wwwtax.cgi?mode=Info&amp;id=143348&amp;lvl=3&amp;lin=f&amp;keep=1&amp;srchmode=1&amp;unlock","143348")</f>
        <v>143348</v>
      </c>
      <c r="F4806" t="s">
        <v>17</v>
      </c>
      <c r="G4806" t="str">
        <f>HYPERLINK("http://www.ncbi.nlm.nih.gov/Taxonomy/Browser/wwwtax.cgi?mode=Info&amp;id=143348&amp;lvl=3&amp;lin=f&amp;keep=1&amp;srchmode=1&amp;unlock","Stephanolepis cirrhifer")</f>
        <v>Stephanolepis cirrhifer</v>
      </c>
      <c r="H4806" t="s">
        <v>1291</v>
      </c>
      <c r="I4806" t="str">
        <f>HYPERLINK("http://www.ncbi.nlm.nih.gov/protein/AGN55075.1","ryanodine receptor 3-like protein, partial")</f>
        <v>ryanodine receptor 3-like protein, partial</v>
      </c>
      <c r="J4806">
        <v>401.36</v>
      </c>
      <c r="K4806" t="s">
        <v>22</v>
      </c>
      <c r="L4806">
        <v>76</v>
      </c>
      <c r="M4806">
        <v>12.58</v>
      </c>
      <c r="N4806">
        <v>3.95</v>
      </c>
      <c r="O4806" t="s">
        <v>19</v>
      </c>
      <c r="P4806" t="s">
        <v>1320</v>
      </c>
      <c r="Q4806" t="s">
        <v>19</v>
      </c>
      <c r="R4806" t="str">
        <f>HYPERLINK("https://cfpub.epa.gov/ecotox/explore.cfm?ncbi=143348","Explore in ECOTOX")</f>
        <v>Explore in ECOTOX</v>
      </c>
    </row>
    <row r="4807" spans="1:18" x14ac:dyDescent="0.45">
      <c r="A4807" t="s">
        <v>1265</v>
      </c>
      <c r="B4807">
        <v>8</v>
      </c>
      <c r="C4807" t="str">
        <f>HYPERLINK("http://www.ncbi.nlm.nih.gov/protein/ALX40510.1","ALX40510.1")</f>
        <v>ALX40510.1</v>
      </c>
      <c r="D4807">
        <v>58</v>
      </c>
      <c r="E4807" t="str">
        <f>HYPERLINK("http://www.ncbi.nlm.nih.gov/Taxonomy/Browser/wwwtax.cgi?mode=Info&amp;id=1027347&amp;lvl=3&amp;lin=f&amp;keep=1&amp;srchmode=1&amp;unlock","1027347")</f>
        <v>1027347</v>
      </c>
      <c r="F4807" t="s">
        <v>17</v>
      </c>
      <c r="G4807" t="str">
        <f>HYPERLINK("http://www.ncbi.nlm.nih.gov/Taxonomy/Browser/wwwtax.cgi?mode=Info&amp;id=1027347&amp;lvl=3&amp;lin=f&amp;keep=1&amp;srchmode=1&amp;unlock","Labeo parvus")</f>
        <v>Labeo parvus</v>
      </c>
      <c r="H4807" t="s">
        <v>21</v>
      </c>
      <c r="I4807" t="str">
        <f>HYPERLINK("http://www.ncbi.nlm.nih.gov/protein/ALX40510.1","ryanodine receptor 3-like protein, partial")</f>
        <v>ryanodine receptor 3-like protein, partial</v>
      </c>
      <c r="J4807">
        <v>400.59</v>
      </c>
      <c r="K4807" t="s">
        <v>22</v>
      </c>
      <c r="L4807">
        <v>76</v>
      </c>
      <c r="M4807">
        <v>12.58</v>
      </c>
      <c r="N4807">
        <v>3.94</v>
      </c>
      <c r="O4807" t="s">
        <v>19</v>
      </c>
      <c r="P4807" t="s">
        <v>1320</v>
      </c>
      <c r="Q4807" t="s">
        <v>19</v>
      </c>
      <c r="R4807" t="str">
        <f>HYPERLINK("https://cfpub.epa.gov/ecotox/explore.cfm?ncbi=1027347","Explore in ECOTOX")</f>
        <v>Explore in ECOTOX</v>
      </c>
    </row>
    <row r="4808" spans="1:18" x14ac:dyDescent="0.45">
      <c r="A4808" t="s">
        <v>1265</v>
      </c>
      <c r="B4808">
        <v>8</v>
      </c>
      <c r="C4808" t="str">
        <f>HYPERLINK("http://www.ncbi.nlm.nih.gov/protein/ALX40416.1","ALX40416.1")</f>
        <v>ALX40416.1</v>
      </c>
      <c r="D4808">
        <v>65</v>
      </c>
      <c r="E4808" t="str">
        <f>HYPERLINK("http://www.ncbi.nlm.nih.gov/Taxonomy/Browser/wwwtax.cgi?mode=Info&amp;id=241442&amp;lvl=3&amp;lin=f&amp;keep=1&amp;srchmode=1&amp;unlock","241442")</f>
        <v>241442</v>
      </c>
      <c r="F4808" t="s">
        <v>17</v>
      </c>
      <c r="G4808" t="str">
        <f>HYPERLINK("http://www.ncbi.nlm.nih.gov/Taxonomy/Browser/wwwtax.cgi?mode=Info&amp;id=241442&amp;lvl=3&amp;lin=f&amp;keep=1&amp;srchmode=1&amp;unlock","Beaufortia kweichowensis")</f>
        <v>Beaufortia kweichowensis</v>
      </c>
      <c r="H4808" t="s">
        <v>21</v>
      </c>
      <c r="I4808" t="str">
        <f>HYPERLINK("http://www.ncbi.nlm.nih.gov/protein/ALX40416.1","ryanodine receptor 3-like protein, partial")</f>
        <v>ryanodine receptor 3-like protein, partial</v>
      </c>
      <c r="J4808">
        <v>399.44</v>
      </c>
      <c r="K4808" t="s">
        <v>22</v>
      </c>
      <c r="L4808">
        <v>76</v>
      </c>
      <c r="M4808">
        <v>12.58</v>
      </c>
      <c r="N4808">
        <v>3.93</v>
      </c>
      <c r="O4808" t="s">
        <v>19</v>
      </c>
      <c r="P4808" t="s">
        <v>1320</v>
      </c>
      <c r="Q4808" t="s">
        <v>19</v>
      </c>
      <c r="R4808" t="str">
        <f>HYPERLINK("https://cfpub.epa.gov/ecotox/explore.cfm?ncbi=241442","Explore in ECOTOX")</f>
        <v>Explore in ECOTOX</v>
      </c>
    </row>
    <row r="4809" spans="1:18" x14ac:dyDescent="0.45">
      <c r="A4809" t="s">
        <v>1265</v>
      </c>
      <c r="B4809">
        <v>8</v>
      </c>
      <c r="C4809" t="str">
        <f>HYPERLINK("http://www.ncbi.nlm.nih.gov/protein/AGN55093.1","AGN55093.1")</f>
        <v>AGN55093.1</v>
      </c>
      <c r="D4809">
        <v>41</v>
      </c>
      <c r="E4809" t="str">
        <f>HYPERLINK("http://www.ncbi.nlm.nih.gov/Taxonomy/Browser/wwwtax.cgi?mode=Info&amp;id=1341869&amp;lvl=3&amp;lin=f&amp;keep=1&amp;srchmode=1&amp;unlock","1341869")</f>
        <v>1341869</v>
      </c>
      <c r="F4809" t="s">
        <v>17</v>
      </c>
      <c r="G4809" t="str">
        <f>HYPERLINK("http://www.ncbi.nlm.nih.gov/Taxonomy/Browser/wwwtax.cgi?mode=Info&amp;id=1341869&amp;lvl=3&amp;lin=f&amp;keep=1&amp;srchmode=1&amp;unlock","Triacanthus nieuhofii")</f>
        <v>Triacanthus nieuhofii</v>
      </c>
      <c r="H4809" t="s">
        <v>1288</v>
      </c>
      <c r="I4809" t="str">
        <f>HYPERLINK("http://www.ncbi.nlm.nih.gov/protein/AGN55093.1","ryanodine receptor 3-like protein, partial")</f>
        <v>ryanodine receptor 3-like protein, partial</v>
      </c>
      <c r="J4809">
        <v>397.9</v>
      </c>
      <c r="K4809" t="s">
        <v>22</v>
      </c>
      <c r="L4809">
        <v>76</v>
      </c>
      <c r="M4809">
        <v>12.58</v>
      </c>
      <c r="N4809">
        <v>3.92</v>
      </c>
      <c r="O4809" t="s">
        <v>19</v>
      </c>
      <c r="P4809" t="s">
        <v>1320</v>
      </c>
      <c r="Q4809" t="s">
        <v>19</v>
      </c>
      <c r="R4809" t="str">
        <f>HYPERLINK("https://cfpub.epa.gov/ecotox/explore.cfm?ncbi=1341869","Explore in ECOTOX")</f>
        <v>Explore in ECOTOX</v>
      </c>
    </row>
    <row r="4810" spans="1:18" x14ac:dyDescent="0.45">
      <c r="A4810" t="s">
        <v>1265</v>
      </c>
      <c r="B4810">
        <v>8</v>
      </c>
      <c r="C4810" t="str">
        <f>HYPERLINK("http://www.ncbi.nlm.nih.gov/protein/ALX40509.1","ALX40509.1")</f>
        <v>ALX40509.1</v>
      </c>
      <c r="D4810">
        <v>20</v>
      </c>
      <c r="E4810" t="str">
        <f>HYPERLINK("http://www.ncbi.nlm.nih.gov/Taxonomy/Browser/wwwtax.cgi?mode=Info&amp;id=699552&amp;lvl=3&amp;lin=f&amp;keep=1&amp;srchmode=1&amp;unlock","699552")</f>
        <v>699552</v>
      </c>
      <c r="F4810" t="s">
        <v>17</v>
      </c>
      <c r="G4810" t="str">
        <f>HYPERLINK("http://www.ncbi.nlm.nih.gov/Taxonomy/Browser/wwwtax.cgi?mode=Info&amp;id=699552&amp;lvl=3&amp;lin=f&amp;keep=1&amp;srchmode=1&amp;unlock","Enteromius leonensis")</f>
        <v>Enteromius leonensis</v>
      </c>
      <c r="H4810" t="s">
        <v>21</v>
      </c>
      <c r="I4810" t="str">
        <f>HYPERLINK("http://www.ncbi.nlm.nih.gov/protein/ALX40509.1","ryanodine receptor 3-like protein, partial")</f>
        <v>ryanodine receptor 3-like protein, partial</v>
      </c>
      <c r="J4810">
        <v>396.74</v>
      </c>
      <c r="K4810" t="s">
        <v>22</v>
      </c>
      <c r="L4810">
        <v>76</v>
      </c>
      <c r="M4810">
        <v>12.58</v>
      </c>
      <c r="N4810">
        <v>3.9</v>
      </c>
      <c r="O4810" t="s">
        <v>19</v>
      </c>
      <c r="P4810" t="s">
        <v>1320</v>
      </c>
      <c r="Q4810" t="s">
        <v>19</v>
      </c>
      <c r="R4810" t="str">
        <f>HYPERLINK("https://cfpub.epa.gov/ecotox/explore.cfm?ncbi=699552","Explore in ECOTOX")</f>
        <v>Explore in ECOTOX</v>
      </c>
    </row>
    <row r="4811" spans="1:18" x14ac:dyDescent="0.45">
      <c r="A4811" t="s">
        <v>1265</v>
      </c>
      <c r="B4811">
        <v>8</v>
      </c>
      <c r="C4811" t="str">
        <f>HYPERLINK("http://www.ncbi.nlm.nih.gov/protein/ALX40462.1","ALX40462.1")</f>
        <v>ALX40462.1</v>
      </c>
      <c r="D4811">
        <v>50</v>
      </c>
      <c r="E4811" t="str">
        <f>HYPERLINK("http://www.ncbi.nlm.nih.gov/Taxonomy/Browser/wwwtax.cgi?mode=Info&amp;id=643457&amp;lvl=3&amp;lin=f&amp;keep=1&amp;srchmode=1&amp;unlock","643457")</f>
        <v>643457</v>
      </c>
      <c r="F4811" t="s">
        <v>17</v>
      </c>
      <c r="G4811" t="str">
        <f>HYPERLINK("http://www.ncbi.nlm.nih.gov/Taxonomy/Browser/wwwtax.cgi?mode=Info&amp;id=643457&amp;lvl=3&amp;lin=f&amp;keep=1&amp;srchmode=1&amp;unlock","Cosmochilus harmandi")</f>
        <v>Cosmochilus harmandi</v>
      </c>
      <c r="H4811" t="s">
        <v>21</v>
      </c>
      <c r="I4811" t="str">
        <f>HYPERLINK("http://www.ncbi.nlm.nih.gov/protein/ALX40462.1","ryanodine receptor 3-like protein, partial")</f>
        <v>ryanodine receptor 3-like protein, partial</v>
      </c>
      <c r="J4811">
        <v>396.36</v>
      </c>
      <c r="K4811" t="s">
        <v>22</v>
      </c>
      <c r="L4811">
        <v>76</v>
      </c>
      <c r="M4811">
        <v>12.58</v>
      </c>
      <c r="N4811">
        <v>3.9</v>
      </c>
      <c r="O4811" t="s">
        <v>19</v>
      </c>
      <c r="P4811" t="s">
        <v>1320</v>
      </c>
      <c r="Q4811" t="s">
        <v>19</v>
      </c>
      <c r="R4811" t="str">
        <f>HYPERLINK("https://cfpub.epa.gov/ecotox/explore.cfm?ncbi=643457","Explore in ECOTOX")</f>
        <v>Explore in ECOTOX</v>
      </c>
    </row>
    <row r="4812" spans="1:18" x14ac:dyDescent="0.45">
      <c r="A4812" t="s">
        <v>1265</v>
      </c>
      <c r="B4812">
        <v>8</v>
      </c>
      <c r="C4812" t="str">
        <f>HYPERLINK("http://www.ncbi.nlm.nih.gov/protein/BAR80228.1","BAR80228.1")</f>
        <v>BAR80228.1</v>
      </c>
      <c r="D4812">
        <v>25</v>
      </c>
      <c r="E4812" t="str">
        <f>HYPERLINK("http://www.ncbi.nlm.nih.gov/Taxonomy/Browser/wwwtax.cgi?mode=Info&amp;id=1544526&amp;lvl=3&amp;lin=f&amp;keep=1&amp;srchmode=1&amp;unlock","1544526")</f>
        <v>1544526</v>
      </c>
      <c r="F4812" t="s">
        <v>17</v>
      </c>
      <c r="G4812" t="str">
        <f>HYPERLINK("http://www.ncbi.nlm.nih.gov/Taxonomy/Browser/wwwtax.cgi?mode=Info&amp;id=1544526&amp;lvl=3&amp;lin=f&amp;keep=1&amp;srchmode=1&amp;unlock","Rhinogobius fluviatilis")</f>
        <v>Rhinogobius fluviatilis</v>
      </c>
      <c r="H4812" t="s">
        <v>94</v>
      </c>
      <c r="I4812" t="str">
        <f>HYPERLINK("http://www.ncbi.nlm.nih.gov/protein/BAR80228.1","novel protein similar to vertebrate ryanodine receptor 3, partial")</f>
        <v>novel protein similar to vertebrate ryanodine receptor 3, partial</v>
      </c>
      <c r="J4812">
        <v>395.2</v>
      </c>
      <c r="K4812" t="s">
        <v>22</v>
      </c>
      <c r="L4812">
        <v>76</v>
      </c>
      <c r="M4812">
        <v>12.58</v>
      </c>
      <c r="N4812">
        <v>3.89</v>
      </c>
      <c r="O4812" t="s">
        <v>19</v>
      </c>
      <c r="P4812" t="s">
        <v>1320</v>
      </c>
      <c r="Q4812" t="s">
        <v>19</v>
      </c>
      <c r="R4812" t="str">
        <f>HYPERLINK("https://cfpub.epa.gov/ecotox/explore.cfm?ncbi=1544526","Explore in ECOTOX")</f>
        <v>Explore in ECOTOX</v>
      </c>
    </row>
    <row r="4813" spans="1:18" x14ac:dyDescent="0.45">
      <c r="A4813" t="s">
        <v>1265</v>
      </c>
      <c r="B4813">
        <v>8</v>
      </c>
      <c r="C4813" t="str">
        <f>HYPERLINK("http://www.ncbi.nlm.nih.gov/protein/AEY82567.1","AEY82567.1")</f>
        <v>AEY82567.1</v>
      </c>
      <c r="D4813">
        <v>4</v>
      </c>
      <c r="E4813" t="str">
        <f>HYPERLINK("http://www.ncbi.nlm.nih.gov/Taxonomy/Browser/wwwtax.cgi?mode=Info&amp;id=309929&amp;lvl=3&amp;lin=f&amp;keep=1&amp;srchmode=1&amp;unlock","309929")</f>
        <v>309929</v>
      </c>
      <c r="F4813" t="s">
        <v>17</v>
      </c>
      <c r="G4813" t="str">
        <f>HYPERLINK("http://www.ncbi.nlm.nih.gov/Taxonomy/Browser/wwwtax.cgi?mode=Info&amp;id=309929&amp;lvl=3&amp;lin=f&amp;keep=1&amp;srchmode=1&amp;unlock","Cephalopholis pachycentron")</f>
        <v>Cephalopholis pachycentron</v>
      </c>
      <c r="H4813" t="s">
        <v>1285</v>
      </c>
      <c r="I4813" t="str">
        <f>HYPERLINK("http://www.ncbi.nlm.nih.gov/protein/AEY82567.1","ryanodine receptor 3-like protein, partial")</f>
        <v>ryanodine receptor 3-like protein, partial</v>
      </c>
      <c r="J4813">
        <v>394.81</v>
      </c>
      <c r="K4813" t="s">
        <v>22</v>
      </c>
      <c r="L4813">
        <v>76</v>
      </c>
      <c r="M4813">
        <v>12.58</v>
      </c>
      <c r="N4813">
        <v>3.89</v>
      </c>
      <c r="O4813" t="s">
        <v>19</v>
      </c>
      <c r="P4813" t="s">
        <v>1320</v>
      </c>
      <c r="Q4813" t="s">
        <v>19</v>
      </c>
      <c r="R4813" t="str">
        <f>HYPERLINK("https://cfpub.epa.gov/ecotox/explore.cfm?ncbi=309929","Explore in ECOTOX")</f>
        <v>Explore in ECOTOX</v>
      </c>
    </row>
    <row r="4814" spans="1:18" x14ac:dyDescent="0.45">
      <c r="A4814" t="s">
        <v>1265</v>
      </c>
      <c r="B4814">
        <v>8</v>
      </c>
      <c r="C4814" t="str">
        <f>HYPERLINK("http://www.ncbi.nlm.nih.gov/protein/BAR80262.1","BAR80262.1")</f>
        <v>BAR80262.1</v>
      </c>
      <c r="D4814">
        <v>58</v>
      </c>
      <c r="E4814" t="str">
        <f>HYPERLINK("http://www.ncbi.nlm.nih.gov/Taxonomy/Browser/wwwtax.cgi?mode=Info&amp;id=1544528&amp;lvl=3&amp;lin=f&amp;keep=1&amp;srchmode=1&amp;unlock","1544528")</f>
        <v>1544528</v>
      </c>
      <c r="F4814" t="s">
        <v>17</v>
      </c>
      <c r="G4814" t="str">
        <f>HYPERLINK("http://www.ncbi.nlm.nih.gov/Taxonomy/Browser/wwwtax.cgi?mode=Info&amp;id=1544528&amp;lvl=3&amp;lin=f&amp;keep=1&amp;srchmode=1&amp;unlock","Rhinogobius nagoyae")</f>
        <v>Rhinogobius nagoyae</v>
      </c>
      <c r="H4814" t="s">
        <v>94</v>
      </c>
      <c r="I4814" t="str">
        <f>HYPERLINK("http://www.ncbi.nlm.nih.gov/protein/BAR80262.1","novel protein similar to vertebrate ryanodine receptor 3, partial")</f>
        <v>novel protein similar to vertebrate ryanodine receptor 3, partial</v>
      </c>
      <c r="J4814">
        <v>394.43</v>
      </c>
      <c r="K4814" t="s">
        <v>22</v>
      </c>
      <c r="L4814">
        <v>76</v>
      </c>
      <c r="M4814">
        <v>12.58</v>
      </c>
      <c r="N4814">
        <v>3.88</v>
      </c>
      <c r="O4814" t="s">
        <v>19</v>
      </c>
      <c r="P4814" t="s">
        <v>1320</v>
      </c>
      <c r="Q4814" t="s">
        <v>19</v>
      </c>
      <c r="R4814" t="str">
        <f>HYPERLINK("https://cfpub.epa.gov/ecotox/explore.cfm?ncbi=1544528","Explore in ECOTOX")</f>
        <v>Explore in ECOTOX</v>
      </c>
    </row>
    <row r="4815" spans="1:18" x14ac:dyDescent="0.45">
      <c r="A4815" t="s">
        <v>1265</v>
      </c>
      <c r="B4815">
        <v>8</v>
      </c>
      <c r="C4815" t="str">
        <f>HYPERLINK("http://www.ncbi.nlm.nih.gov/protein/BAR80300.1","BAR80300.1")</f>
        <v>BAR80300.1</v>
      </c>
      <c r="D4815">
        <v>32</v>
      </c>
      <c r="E4815" t="str">
        <f>HYPERLINK("http://www.ncbi.nlm.nih.gov/Taxonomy/Browser/wwwtax.cgi?mode=Info&amp;id=1247121&amp;lvl=3&amp;lin=f&amp;keep=1&amp;srchmode=1&amp;unlock","1247121")</f>
        <v>1247121</v>
      </c>
      <c r="F4815" t="s">
        <v>17</v>
      </c>
      <c r="G4815" t="str">
        <f>HYPERLINK("http://www.ncbi.nlm.nih.gov/Taxonomy/Browser/wwwtax.cgi?mode=Info&amp;id=1247121&amp;lvl=3&amp;lin=f&amp;keep=1&amp;srchmode=1&amp;unlock","Rhinogobius sp. BW")</f>
        <v>Rhinogobius sp. BW</v>
      </c>
      <c r="H4815" t="s">
        <v>94</v>
      </c>
      <c r="I4815" t="str">
        <f>HYPERLINK("http://www.ncbi.nlm.nih.gov/protein/BAR80300.1","novel protein similar to vertebrate ryanodine receptor 3, partial")</f>
        <v>novel protein similar to vertebrate ryanodine receptor 3, partial</v>
      </c>
      <c r="J4815">
        <v>393.66</v>
      </c>
      <c r="K4815" t="s">
        <v>22</v>
      </c>
      <c r="L4815">
        <v>76</v>
      </c>
      <c r="M4815">
        <v>12.58</v>
      </c>
      <c r="N4815">
        <v>3.87</v>
      </c>
      <c r="O4815" t="s">
        <v>19</v>
      </c>
      <c r="P4815" t="s">
        <v>1320</v>
      </c>
      <c r="Q4815" t="s">
        <v>19</v>
      </c>
      <c r="R4815" t="str">
        <f>HYPERLINK("https://cfpub.epa.gov/ecotox/explore.cfm?ncbi=1247121","Explore in ECOTOX")</f>
        <v>Explore in ECOTOX</v>
      </c>
    </row>
    <row r="4816" spans="1:18" x14ac:dyDescent="0.45">
      <c r="A4816" t="s">
        <v>1265</v>
      </c>
      <c r="B4816">
        <v>8</v>
      </c>
      <c r="C4816" t="str">
        <f>HYPERLINK("http://www.ncbi.nlm.nih.gov/protein/BAR80253.1","BAR80253.1")</f>
        <v>BAR80253.1</v>
      </c>
      <c r="D4816">
        <v>21</v>
      </c>
      <c r="E4816" t="str">
        <f>HYPERLINK("http://www.ncbi.nlm.nih.gov/Taxonomy/Browser/wwwtax.cgi?mode=Info&amp;id=291304&amp;lvl=3&amp;lin=f&amp;keep=1&amp;srchmode=1&amp;unlock","291304")</f>
        <v>291304</v>
      </c>
      <c r="F4816" t="s">
        <v>17</v>
      </c>
      <c r="G4816" t="str">
        <f>HYPERLINK("http://www.ncbi.nlm.nih.gov/Taxonomy/Browser/wwwtax.cgi?mode=Info&amp;id=291304&amp;lvl=3&amp;lin=f&amp;keep=1&amp;srchmode=1&amp;unlock","Rhinogobius sp. BB")</f>
        <v>Rhinogobius sp. BB</v>
      </c>
      <c r="H4816" t="s">
        <v>94</v>
      </c>
      <c r="I4816" t="str">
        <f>HYPERLINK("http://www.ncbi.nlm.nih.gov/protein/BAR80253.1","novel protein similar to vertebrate ryanodine receptor 3, partial")</f>
        <v>novel protein similar to vertebrate ryanodine receptor 3, partial</v>
      </c>
      <c r="J4816">
        <v>393.66</v>
      </c>
      <c r="K4816" t="s">
        <v>22</v>
      </c>
      <c r="L4816">
        <v>76</v>
      </c>
      <c r="M4816">
        <v>12.58</v>
      </c>
      <c r="N4816">
        <v>3.87</v>
      </c>
      <c r="O4816" t="s">
        <v>19</v>
      </c>
      <c r="P4816" t="s">
        <v>1320</v>
      </c>
      <c r="Q4816" t="s">
        <v>19</v>
      </c>
      <c r="R4816" t="str">
        <f>HYPERLINK("https://cfpub.epa.gov/ecotox/explore.cfm?ncbi=291304","Explore in ECOTOX")</f>
        <v>Explore in ECOTOX</v>
      </c>
    </row>
    <row r="4817" spans="1:18" x14ac:dyDescent="0.45">
      <c r="A4817" t="s">
        <v>1265</v>
      </c>
      <c r="B4817">
        <v>8</v>
      </c>
      <c r="C4817" t="str">
        <f>HYPERLINK("http://www.ncbi.nlm.nih.gov/protein/BAR80233.1","BAR80233.1")</f>
        <v>BAR80233.1</v>
      </c>
      <c r="D4817">
        <v>35</v>
      </c>
      <c r="E4817" t="str">
        <f>HYPERLINK("http://www.ncbi.nlm.nih.gov/Taxonomy/Browser/wwwtax.cgi?mode=Info&amp;id=261199&amp;lvl=3&amp;lin=f&amp;keep=1&amp;srchmode=1&amp;unlock","261199")</f>
        <v>261199</v>
      </c>
      <c r="F4817" t="s">
        <v>17</v>
      </c>
      <c r="G4817" t="str">
        <f>HYPERLINK("http://www.ncbi.nlm.nih.gov/Taxonomy/Browser/wwwtax.cgi?mode=Info&amp;id=261199&amp;lvl=3&amp;lin=f&amp;keep=1&amp;srchmode=1&amp;unlock","Rhinogobius sp. OR")</f>
        <v>Rhinogobius sp. OR</v>
      </c>
      <c r="H4817" t="s">
        <v>94</v>
      </c>
      <c r="I4817" t="str">
        <f>HYPERLINK("http://www.ncbi.nlm.nih.gov/protein/BAR80233.1","novel protein similar to vertebrate ryanodine receptor 3, partial")</f>
        <v>novel protein similar to vertebrate ryanodine receptor 3, partial</v>
      </c>
      <c r="J4817">
        <v>393.66</v>
      </c>
      <c r="K4817" t="s">
        <v>22</v>
      </c>
      <c r="L4817">
        <v>76</v>
      </c>
      <c r="M4817">
        <v>12.58</v>
      </c>
      <c r="N4817">
        <v>3.87</v>
      </c>
      <c r="O4817" t="s">
        <v>19</v>
      </c>
      <c r="P4817" t="s">
        <v>1320</v>
      </c>
      <c r="Q4817" t="s">
        <v>19</v>
      </c>
      <c r="R4817" t="str">
        <f>HYPERLINK("https://cfpub.epa.gov/ecotox/explore.cfm?ncbi=261199","Explore in ECOTOX")</f>
        <v>Explore in ECOTOX</v>
      </c>
    </row>
    <row r="4818" spans="1:18" x14ac:dyDescent="0.45">
      <c r="A4818" t="s">
        <v>1265</v>
      </c>
      <c r="B4818">
        <v>8</v>
      </c>
      <c r="C4818" t="str">
        <f>HYPERLINK("http://www.ncbi.nlm.nih.gov/protein/BAR80227.1","BAR80227.1")</f>
        <v>BAR80227.1</v>
      </c>
      <c r="D4818">
        <v>13</v>
      </c>
      <c r="E4818" t="str">
        <f>HYPERLINK("http://www.ncbi.nlm.nih.gov/Taxonomy/Browser/wwwtax.cgi?mode=Info&amp;id=1247119&amp;lvl=3&amp;lin=f&amp;keep=1&amp;srchmode=1&amp;unlock","1247119")</f>
        <v>1247119</v>
      </c>
      <c r="F4818" t="s">
        <v>17</v>
      </c>
      <c r="G4818" t="str">
        <f>HYPERLINK("http://www.ncbi.nlm.nih.gov/Taxonomy/Browser/wwwtax.cgi?mode=Info&amp;id=1247119&amp;lvl=3&amp;lin=f&amp;keep=1&amp;srchmode=1&amp;unlock","Rhinogobius sp. BF")</f>
        <v>Rhinogobius sp. BF</v>
      </c>
      <c r="H4818" t="s">
        <v>94</v>
      </c>
      <c r="I4818" t="str">
        <f>HYPERLINK("http://www.ncbi.nlm.nih.gov/protein/BAR80227.1","novel protein similar to vertebrate ryanodine receptor 3, partial")</f>
        <v>novel protein similar to vertebrate ryanodine receptor 3, partial</v>
      </c>
      <c r="J4818">
        <v>393.66</v>
      </c>
      <c r="K4818" t="s">
        <v>22</v>
      </c>
      <c r="L4818">
        <v>76</v>
      </c>
      <c r="M4818">
        <v>12.58</v>
      </c>
      <c r="N4818">
        <v>3.87</v>
      </c>
      <c r="O4818" t="s">
        <v>19</v>
      </c>
      <c r="P4818" t="s">
        <v>1320</v>
      </c>
      <c r="Q4818" t="s">
        <v>19</v>
      </c>
      <c r="R4818" t="str">
        <f>HYPERLINK("https://cfpub.epa.gov/ecotox/explore.cfm?ncbi=1247119","Explore in ECOTOX")</f>
        <v>Explore in ECOTOX</v>
      </c>
    </row>
    <row r="4819" spans="1:18" x14ac:dyDescent="0.45">
      <c r="A4819" t="s">
        <v>1265</v>
      </c>
      <c r="B4819">
        <v>8</v>
      </c>
      <c r="C4819" t="str">
        <f>HYPERLINK("http://www.ncbi.nlm.nih.gov/protein/BAR80241.1","BAR80241.1")</f>
        <v>BAR80241.1</v>
      </c>
      <c r="D4819">
        <v>19</v>
      </c>
      <c r="E4819" t="str">
        <f>HYPERLINK("http://www.ncbi.nlm.nih.gov/Taxonomy/Browser/wwwtax.cgi?mode=Info&amp;id=293151&amp;lvl=3&amp;lin=f&amp;keep=1&amp;srchmode=1&amp;unlock","293151")</f>
        <v>293151</v>
      </c>
      <c r="F4819" t="s">
        <v>17</v>
      </c>
      <c r="G4819" t="str">
        <f>HYPERLINK("http://www.ncbi.nlm.nih.gov/Taxonomy/Browser/wwwtax.cgi?mode=Info&amp;id=293151&amp;lvl=3&amp;lin=f&amp;keep=1&amp;srchmode=1&amp;unlock","Rhinogobius sp. CO")</f>
        <v>Rhinogobius sp. CO</v>
      </c>
      <c r="H4819" t="s">
        <v>94</v>
      </c>
      <c r="I4819" t="str">
        <f>HYPERLINK("http://www.ncbi.nlm.nih.gov/protein/BAR80241.1","novel protein similar to vertebrate ryanodine receptor 3, partial")</f>
        <v>novel protein similar to vertebrate ryanodine receptor 3, partial</v>
      </c>
      <c r="J4819">
        <v>393.66</v>
      </c>
      <c r="K4819" t="s">
        <v>22</v>
      </c>
      <c r="L4819">
        <v>76</v>
      </c>
      <c r="M4819">
        <v>12.58</v>
      </c>
      <c r="N4819">
        <v>3.87</v>
      </c>
      <c r="O4819" t="s">
        <v>19</v>
      </c>
      <c r="P4819" t="s">
        <v>1320</v>
      </c>
      <c r="Q4819" t="s">
        <v>19</v>
      </c>
      <c r="R4819" t="str">
        <f>HYPERLINK("https://cfpub.epa.gov/ecotox/explore.cfm?ncbi=293151","Explore in ECOTOX")</f>
        <v>Explore in ECOTOX</v>
      </c>
    </row>
    <row r="4820" spans="1:18" x14ac:dyDescent="0.45">
      <c r="A4820" t="s">
        <v>1265</v>
      </c>
      <c r="B4820">
        <v>8</v>
      </c>
      <c r="C4820" t="str">
        <f>HYPERLINK("http://www.ncbi.nlm.nih.gov/protein/BAR80268.1","BAR80268.1")</f>
        <v>BAR80268.1</v>
      </c>
      <c r="D4820">
        <v>58</v>
      </c>
      <c r="E4820" t="str">
        <f>HYPERLINK("http://www.ncbi.nlm.nih.gov/Taxonomy/Browser/wwwtax.cgi?mode=Info&amp;id=291303&amp;lvl=3&amp;lin=f&amp;keep=1&amp;srchmode=1&amp;unlock","291303")</f>
        <v>291303</v>
      </c>
      <c r="F4820" t="s">
        <v>17</v>
      </c>
      <c r="G4820" t="str">
        <f>HYPERLINK("http://www.ncbi.nlm.nih.gov/Taxonomy/Browser/wwwtax.cgi?mode=Info&amp;id=291303&amp;lvl=3&amp;lin=f&amp;keep=1&amp;srchmode=1&amp;unlock","Rhinogobius sp. YB")</f>
        <v>Rhinogobius sp. YB</v>
      </c>
      <c r="H4820" t="s">
        <v>94</v>
      </c>
      <c r="I4820" t="str">
        <f>HYPERLINK("http://www.ncbi.nlm.nih.gov/protein/BAR80268.1","novel protein similar to vertebrate ryanodine receptor 3, partial")</f>
        <v>novel protein similar to vertebrate ryanodine receptor 3, partial</v>
      </c>
      <c r="J4820">
        <v>393.66</v>
      </c>
      <c r="K4820" t="s">
        <v>22</v>
      </c>
      <c r="L4820">
        <v>76</v>
      </c>
      <c r="M4820">
        <v>12.58</v>
      </c>
      <c r="N4820">
        <v>3.87</v>
      </c>
      <c r="O4820" t="s">
        <v>19</v>
      </c>
      <c r="P4820" t="s">
        <v>1320</v>
      </c>
      <c r="Q4820" t="s">
        <v>19</v>
      </c>
      <c r="R4820" t="str">
        <f>HYPERLINK("https://cfpub.epa.gov/ecotox/explore.cfm?ncbi=291303","Explore in ECOTOX")</f>
        <v>Explore in ECOTOX</v>
      </c>
    </row>
    <row r="4821" spans="1:18" x14ac:dyDescent="0.45">
      <c r="A4821" t="s">
        <v>1265</v>
      </c>
      <c r="B4821">
        <v>8</v>
      </c>
      <c r="C4821" t="str">
        <f>HYPERLINK("http://www.ncbi.nlm.nih.gov/protein/BAR80257.1","BAR80257.1")</f>
        <v>BAR80257.1</v>
      </c>
      <c r="D4821">
        <v>17</v>
      </c>
      <c r="E4821" t="str">
        <f>HYPERLINK("http://www.ncbi.nlm.nih.gov/Taxonomy/Browser/wwwtax.cgi?mode=Info&amp;id=1544530&amp;lvl=3&amp;lin=f&amp;keep=1&amp;srchmode=1&amp;unlock","1544530")</f>
        <v>1544530</v>
      </c>
      <c r="F4821" t="s">
        <v>17</v>
      </c>
      <c r="G4821" t="str">
        <f>HYPERLINK("http://www.ncbi.nlm.nih.gov/Taxonomy/Browser/wwwtax.cgi?mode=Info&amp;id=1544530&amp;lvl=3&amp;lin=f&amp;keep=1&amp;srchmode=1&amp;unlock","Rhinogobius ogasawaraensis")</f>
        <v>Rhinogobius ogasawaraensis</v>
      </c>
      <c r="H4821" t="s">
        <v>94</v>
      </c>
      <c r="I4821" t="str">
        <f>HYPERLINK("http://www.ncbi.nlm.nih.gov/protein/BAR80257.1","novel protein similar to vertebrate ryanodine receptor 3, partial")</f>
        <v>novel protein similar to vertebrate ryanodine receptor 3, partial</v>
      </c>
      <c r="J4821">
        <v>393.66</v>
      </c>
      <c r="K4821" t="s">
        <v>22</v>
      </c>
      <c r="L4821">
        <v>76</v>
      </c>
      <c r="M4821">
        <v>12.58</v>
      </c>
      <c r="N4821">
        <v>3.87</v>
      </c>
      <c r="O4821" t="s">
        <v>19</v>
      </c>
      <c r="P4821" t="s">
        <v>1320</v>
      </c>
      <c r="Q4821" t="s">
        <v>19</v>
      </c>
      <c r="R4821" t="str">
        <f>HYPERLINK("https://cfpub.epa.gov/ecotox/explore.cfm?ncbi=1544530","Explore in ECOTOX")</f>
        <v>Explore in ECOTOX</v>
      </c>
    </row>
    <row r="4822" spans="1:18" x14ac:dyDescent="0.45">
      <c r="A4822" t="s">
        <v>1265</v>
      </c>
      <c r="B4822">
        <v>8</v>
      </c>
      <c r="C4822" t="str">
        <f>HYPERLINK("http://www.ncbi.nlm.nih.gov/protein/BAR80297.1","BAR80297.1")</f>
        <v>BAR80297.1</v>
      </c>
      <c r="D4822">
        <v>16</v>
      </c>
      <c r="E4822" t="str">
        <f>HYPERLINK("http://www.ncbi.nlm.nih.gov/Taxonomy/Browser/wwwtax.cgi?mode=Info&amp;id=1247118&amp;lvl=3&amp;lin=f&amp;keep=1&amp;srchmode=1&amp;unlock","1247118")</f>
        <v>1247118</v>
      </c>
      <c r="F4822" t="s">
        <v>17</v>
      </c>
      <c r="G4822" t="str">
        <f>HYPERLINK("http://www.ncbi.nlm.nih.gov/Taxonomy/Browser/wwwtax.cgi?mode=Info&amp;id=1247118&amp;lvl=3&amp;lin=f&amp;keep=1&amp;srchmode=1&amp;unlock","Rhinogobius kurodai")</f>
        <v>Rhinogobius kurodai</v>
      </c>
      <c r="H4822" t="s">
        <v>94</v>
      </c>
      <c r="I4822" t="str">
        <f>HYPERLINK("http://www.ncbi.nlm.nih.gov/protein/BAR80297.1","novel protein similar to vertebrate ryanodine receptor 3, partial")</f>
        <v>novel protein similar to vertebrate ryanodine receptor 3, partial</v>
      </c>
      <c r="J4822">
        <v>393.66</v>
      </c>
      <c r="K4822" t="s">
        <v>22</v>
      </c>
      <c r="L4822">
        <v>76</v>
      </c>
      <c r="M4822">
        <v>12.58</v>
      </c>
      <c r="N4822">
        <v>3.87</v>
      </c>
      <c r="O4822" t="s">
        <v>19</v>
      </c>
      <c r="P4822" t="s">
        <v>1320</v>
      </c>
      <c r="Q4822" t="s">
        <v>19</v>
      </c>
      <c r="R4822" t="str">
        <f>HYPERLINK("https://cfpub.epa.gov/ecotox/explore.cfm?ncbi=1247118","Explore in ECOTOX")</f>
        <v>Explore in ECOTOX</v>
      </c>
    </row>
    <row r="4823" spans="1:18" x14ac:dyDescent="0.45">
      <c r="A4823" t="s">
        <v>1265</v>
      </c>
      <c r="B4823">
        <v>8</v>
      </c>
      <c r="C4823" t="str">
        <f>HYPERLINK("http://www.ncbi.nlm.nih.gov/protein/BAR80232.1","BAR80232.1")</f>
        <v>BAR80232.1</v>
      </c>
      <c r="D4823">
        <v>9</v>
      </c>
      <c r="E4823" t="str">
        <f>HYPERLINK("http://www.ncbi.nlm.nih.gov/Taxonomy/Browser/wwwtax.cgi?mode=Info&amp;id=1544527&amp;lvl=3&amp;lin=f&amp;keep=1&amp;srchmode=1&amp;unlock","1544527")</f>
        <v>1544527</v>
      </c>
      <c r="F4823" t="s">
        <v>17</v>
      </c>
      <c r="G4823" t="str">
        <f>HYPERLINK("http://www.ncbi.nlm.nih.gov/Taxonomy/Browser/wwwtax.cgi?mode=Info&amp;id=1544527&amp;lvl=3&amp;lin=f&amp;keep=1&amp;srchmode=1&amp;unlock","Rhinogobius sp. OM")</f>
        <v>Rhinogobius sp. OM</v>
      </c>
      <c r="H4823" t="s">
        <v>94</v>
      </c>
      <c r="I4823" t="str">
        <f>HYPERLINK("http://www.ncbi.nlm.nih.gov/protein/BAR80232.1","novel protein similar to vertebrate ryanodine receptor 3, partial")</f>
        <v>novel protein similar to vertebrate ryanodine receptor 3, partial</v>
      </c>
      <c r="J4823">
        <v>393.66</v>
      </c>
      <c r="K4823" t="s">
        <v>22</v>
      </c>
      <c r="L4823">
        <v>76</v>
      </c>
      <c r="M4823">
        <v>12.58</v>
      </c>
      <c r="N4823">
        <v>3.87</v>
      </c>
      <c r="O4823" t="s">
        <v>19</v>
      </c>
      <c r="P4823" t="s">
        <v>1320</v>
      </c>
      <c r="Q4823" t="s">
        <v>19</v>
      </c>
      <c r="R4823" t="str">
        <f>HYPERLINK("https://cfpub.epa.gov/ecotox/explore.cfm?ncbi=1544527","Explore in ECOTOX")</f>
        <v>Explore in ECOTOX</v>
      </c>
    </row>
    <row r="4824" spans="1:18" x14ac:dyDescent="0.45">
      <c r="A4824" t="s">
        <v>1265</v>
      </c>
      <c r="B4824">
        <v>8</v>
      </c>
      <c r="C4824" t="str">
        <f>HYPERLINK("http://www.ncbi.nlm.nih.gov/protein/BAR80252.1","BAR80252.1")</f>
        <v>BAR80252.1</v>
      </c>
      <c r="D4824">
        <v>36</v>
      </c>
      <c r="E4824" t="str">
        <f>HYPERLINK("http://www.ncbi.nlm.nih.gov/Taxonomy/Browser/wwwtax.cgi?mode=Info&amp;id=1544529&amp;lvl=3&amp;lin=f&amp;keep=1&amp;srchmode=1&amp;unlock","1544529")</f>
        <v>1544529</v>
      </c>
      <c r="F4824" t="s">
        <v>17</v>
      </c>
      <c r="G4824" t="str">
        <f>HYPERLINK("http://www.ncbi.nlm.nih.gov/Taxonomy/Browser/wwwtax.cgi?mode=Info&amp;id=1544529&amp;lvl=3&amp;lin=f&amp;keep=1&amp;srchmode=1&amp;unlock","Rhinogobius sp. MO")</f>
        <v>Rhinogobius sp. MO</v>
      </c>
      <c r="H4824" t="s">
        <v>94</v>
      </c>
      <c r="I4824" t="str">
        <f>HYPERLINK("http://www.ncbi.nlm.nih.gov/protein/BAR80252.1","novel protein similar to vertebrate ryanodine receptor 3, partial")</f>
        <v>novel protein similar to vertebrate ryanodine receptor 3, partial</v>
      </c>
      <c r="J4824">
        <v>393.66</v>
      </c>
      <c r="K4824" t="s">
        <v>22</v>
      </c>
      <c r="L4824">
        <v>76</v>
      </c>
      <c r="M4824">
        <v>12.58</v>
      </c>
      <c r="N4824">
        <v>3.87</v>
      </c>
      <c r="O4824" t="s">
        <v>19</v>
      </c>
      <c r="P4824" t="s">
        <v>1320</v>
      </c>
      <c r="Q4824" t="s">
        <v>19</v>
      </c>
      <c r="R4824" t="str">
        <f>HYPERLINK("https://cfpub.epa.gov/ecotox/explore.cfm?ncbi=1544529","Explore in ECOTOX")</f>
        <v>Explore in ECOTOX</v>
      </c>
    </row>
    <row r="4825" spans="1:18" x14ac:dyDescent="0.45">
      <c r="A4825" t="s">
        <v>1265</v>
      </c>
      <c r="B4825">
        <v>8</v>
      </c>
      <c r="C4825" t="str">
        <f>HYPERLINK("http://www.ncbi.nlm.nih.gov/protein/BAR80226.1","BAR80226.1")</f>
        <v>BAR80226.1</v>
      </c>
      <c r="D4825">
        <v>77</v>
      </c>
      <c r="E4825" t="str">
        <f>HYPERLINK("http://www.ncbi.nlm.nih.gov/Taxonomy/Browser/wwwtax.cgi?mode=Info&amp;id=293145&amp;lvl=3&amp;lin=f&amp;keep=1&amp;srchmode=1&amp;unlock","293145")</f>
        <v>293145</v>
      </c>
      <c r="F4825" t="s">
        <v>17</v>
      </c>
      <c r="G4825" t="str">
        <f>HYPERLINK("http://www.ncbi.nlm.nih.gov/Taxonomy/Browser/wwwtax.cgi?mode=Info&amp;id=293145&amp;lvl=3&amp;lin=f&amp;keep=1&amp;srchmode=1&amp;unlock","Rhinogobius flumineus")</f>
        <v>Rhinogobius flumineus</v>
      </c>
      <c r="H4825" t="s">
        <v>94</v>
      </c>
      <c r="I4825" t="str">
        <f>HYPERLINK("http://www.ncbi.nlm.nih.gov/protein/BAR80226.1","novel protein similar to vertebrate ryanodine receptor 3, partial")</f>
        <v>novel protein similar to vertebrate ryanodine receptor 3, partial</v>
      </c>
      <c r="J4825">
        <v>393.66</v>
      </c>
      <c r="K4825" t="s">
        <v>22</v>
      </c>
      <c r="L4825">
        <v>76</v>
      </c>
      <c r="M4825">
        <v>12.58</v>
      </c>
      <c r="N4825">
        <v>3.87</v>
      </c>
      <c r="O4825" t="s">
        <v>19</v>
      </c>
      <c r="P4825" t="s">
        <v>1320</v>
      </c>
      <c r="Q4825" t="s">
        <v>19</v>
      </c>
      <c r="R4825" t="str">
        <f>HYPERLINK("https://cfpub.epa.gov/ecotox/explore.cfm?ncbi=293145","Explore in ECOTOX")</f>
        <v>Explore in ECOTOX</v>
      </c>
    </row>
    <row r="4826" spans="1:18" x14ac:dyDescent="0.45">
      <c r="A4826" t="s">
        <v>1265</v>
      </c>
      <c r="B4826">
        <v>8</v>
      </c>
      <c r="C4826" t="str">
        <f>HYPERLINK("http://www.ncbi.nlm.nih.gov/protein/BAR80239.1","BAR80239.1")</f>
        <v>BAR80239.1</v>
      </c>
      <c r="D4826">
        <v>22</v>
      </c>
      <c r="E4826" t="str">
        <f>HYPERLINK("http://www.ncbi.nlm.nih.gov/Taxonomy/Browser/wwwtax.cgi?mode=Info&amp;id=1247120&amp;lvl=3&amp;lin=f&amp;keep=1&amp;srchmode=1&amp;unlock","1247120")</f>
        <v>1247120</v>
      </c>
      <c r="F4826" t="s">
        <v>17</v>
      </c>
      <c r="G4826" t="str">
        <f>HYPERLINK("http://www.ncbi.nlm.nih.gov/Taxonomy/Browser/wwwtax.cgi?mode=Info&amp;id=1247120&amp;lvl=3&amp;lin=f&amp;keep=1&amp;srchmode=1&amp;unlock","Rhinogobius sp. TO")</f>
        <v>Rhinogobius sp. TO</v>
      </c>
      <c r="H4826" t="s">
        <v>94</v>
      </c>
      <c r="I4826" t="str">
        <f>HYPERLINK("http://www.ncbi.nlm.nih.gov/protein/BAR80239.1","novel protein similar to vertebrate ryanodine receptor 3, partial")</f>
        <v>novel protein similar to vertebrate ryanodine receptor 3, partial</v>
      </c>
      <c r="J4826">
        <v>393.66</v>
      </c>
      <c r="K4826" t="s">
        <v>22</v>
      </c>
      <c r="L4826">
        <v>76</v>
      </c>
      <c r="M4826">
        <v>12.58</v>
      </c>
      <c r="N4826">
        <v>3.87</v>
      </c>
      <c r="O4826" t="s">
        <v>19</v>
      </c>
      <c r="P4826" t="s">
        <v>1320</v>
      </c>
      <c r="Q4826" t="s">
        <v>19</v>
      </c>
      <c r="R4826" t="str">
        <f>HYPERLINK("https://cfpub.epa.gov/ecotox/explore.cfm?ncbi=1247120","Explore in ECOTOX")</f>
        <v>Explore in ECOTOX</v>
      </c>
    </row>
    <row r="4827" spans="1:18" x14ac:dyDescent="0.45">
      <c r="A4827" t="s">
        <v>1265</v>
      </c>
      <c r="B4827">
        <v>8</v>
      </c>
      <c r="C4827" t="str">
        <f>HYPERLINK("http://www.ncbi.nlm.nih.gov/protein/BAR80305.1","BAR80305.1")</f>
        <v>BAR80305.1</v>
      </c>
      <c r="D4827">
        <v>13</v>
      </c>
      <c r="E4827" t="str">
        <f>HYPERLINK("http://www.ncbi.nlm.nih.gov/Taxonomy/Browser/wwwtax.cgi?mode=Info&amp;id=1544533&amp;lvl=3&amp;lin=f&amp;keep=1&amp;srchmode=1&amp;unlock","1544533")</f>
        <v>1544533</v>
      </c>
      <c r="F4827" t="s">
        <v>17</v>
      </c>
      <c r="G4827" t="str">
        <f>HYPERLINK("http://www.ncbi.nlm.nih.gov/Taxonomy/Browser/wwwtax.cgi?mode=Info&amp;id=1544533&amp;lvl=3&amp;lin=f&amp;keep=1&amp;srchmode=1&amp;unlock","Rhinogobius sp. KZ")</f>
        <v>Rhinogobius sp. KZ</v>
      </c>
      <c r="H4827" t="s">
        <v>94</v>
      </c>
      <c r="I4827" t="str">
        <f>HYPERLINK("http://www.ncbi.nlm.nih.gov/protein/BAR80305.1","novel protein similar to vertebrate ryanodine receptor 3, partial")</f>
        <v>novel protein similar to vertebrate ryanodine receptor 3, partial</v>
      </c>
      <c r="J4827">
        <v>393.66</v>
      </c>
      <c r="K4827" t="s">
        <v>22</v>
      </c>
      <c r="L4827">
        <v>76</v>
      </c>
      <c r="M4827">
        <v>12.58</v>
      </c>
      <c r="N4827">
        <v>3.87</v>
      </c>
      <c r="O4827" t="s">
        <v>19</v>
      </c>
      <c r="P4827" t="s">
        <v>1320</v>
      </c>
      <c r="Q4827" t="s">
        <v>19</v>
      </c>
      <c r="R4827" t="str">
        <f>HYPERLINK("https://cfpub.epa.gov/ecotox/explore.cfm?ncbi=1544533","Explore in ECOTOX")</f>
        <v>Explore in ECOTOX</v>
      </c>
    </row>
    <row r="4828" spans="1:18" x14ac:dyDescent="0.45">
      <c r="A4828" t="s">
        <v>1265</v>
      </c>
      <c r="B4828">
        <v>8</v>
      </c>
      <c r="C4828" t="str">
        <f>HYPERLINK("http://www.ncbi.nlm.nih.gov/protein/BAR80267.1","BAR80267.1")</f>
        <v>BAR80267.1</v>
      </c>
      <c r="D4828">
        <v>19</v>
      </c>
      <c r="E4828" t="str">
        <f>HYPERLINK("http://www.ncbi.nlm.nih.gov/Taxonomy/Browser/wwwtax.cgi?mode=Info&amp;id=293148&amp;lvl=3&amp;lin=f&amp;keep=1&amp;srchmode=1&amp;unlock","293148")</f>
        <v>293148</v>
      </c>
      <c r="F4828" t="s">
        <v>17</v>
      </c>
      <c r="G4828" t="str">
        <f>HYPERLINK("http://www.ncbi.nlm.nih.gov/Taxonomy/Browser/wwwtax.cgi?mode=Info&amp;id=293148&amp;lvl=3&amp;lin=f&amp;keep=1&amp;srchmode=1&amp;unlock","Rhinogobius sp. DL")</f>
        <v>Rhinogobius sp. DL</v>
      </c>
      <c r="H4828" t="s">
        <v>94</v>
      </c>
      <c r="I4828" t="str">
        <f>HYPERLINK("http://www.ncbi.nlm.nih.gov/protein/BAR80267.1","novel protein similar to vertebrate ryanodine receptor 3, partial")</f>
        <v>novel protein similar to vertebrate ryanodine receptor 3, partial</v>
      </c>
      <c r="J4828">
        <v>393.66</v>
      </c>
      <c r="K4828" t="s">
        <v>22</v>
      </c>
      <c r="L4828">
        <v>76</v>
      </c>
      <c r="M4828">
        <v>12.58</v>
      </c>
      <c r="N4828">
        <v>3.87</v>
      </c>
      <c r="O4828" t="s">
        <v>19</v>
      </c>
      <c r="P4828" t="s">
        <v>1320</v>
      </c>
      <c r="Q4828" t="s">
        <v>19</v>
      </c>
      <c r="R4828" t="str">
        <f>HYPERLINK("https://cfpub.epa.gov/ecotox/explore.cfm?ncbi=293148","Explore in ECOTOX")</f>
        <v>Explore in ECOTOX</v>
      </c>
    </row>
    <row r="4829" spans="1:18" x14ac:dyDescent="0.45">
      <c r="A4829" t="s">
        <v>1265</v>
      </c>
      <c r="B4829">
        <v>8</v>
      </c>
      <c r="C4829" t="str">
        <f>HYPERLINK("http://www.ncbi.nlm.nih.gov/protein/BAR80235.1","BAR80235.1")</f>
        <v>BAR80235.1</v>
      </c>
      <c r="D4829">
        <v>16</v>
      </c>
      <c r="E4829" t="str">
        <f>HYPERLINK("http://www.ncbi.nlm.nih.gov/Taxonomy/Browser/wwwtax.cgi?mode=Info&amp;id=293150&amp;lvl=3&amp;lin=f&amp;keep=1&amp;srchmode=1&amp;unlock","293150")</f>
        <v>293150</v>
      </c>
      <c r="F4829" t="s">
        <v>17</v>
      </c>
      <c r="G4829" t="str">
        <f>HYPERLINK("http://www.ncbi.nlm.nih.gov/Taxonomy/Browser/wwwtax.cgi?mode=Info&amp;id=293150&amp;lvl=3&amp;lin=f&amp;keep=1&amp;srchmode=1&amp;unlock","Rhinogobius sp. CB")</f>
        <v>Rhinogobius sp. CB</v>
      </c>
      <c r="H4829" t="s">
        <v>94</v>
      </c>
      <c r="I4829" t="str">
        <f>HYPERLINK("http://www.ncbi.nlm.nih.gov/protein/BAR80235.1","novel protein similar to vertebrate ryanodine receptor 3, partial")</f>
        <v>novel protein similar to vertebrate ryanodine receptor 3, partial</v>
      </c>
      <c r="J4829">
        <v>393.66</v>
      </c>
      <c r="K4829" t="s">
        <v>22</v>
      </c>
      <c r="L4829">
        <v>76</v>
      </c>
      <c r="M4829">
        <v>12.58</v>
      </c>
      <c r="N4829">
        <v>3.87</v>
      </c>
      <c r="O4829" t="s">
        <v>19</v>
      </c>
      <c r="P4829" t="s">
        <v>1320</v>
      </c>
      <c r="Q4829" t="s">
        <v>19</v>
      </c>
      <c r="R4829" t="str">
        <f>HYPERLINK("https://cfpub.epa.gov/ecotox/explore.cfm?ncbi=293150","Explore in ECOTOX")</f>
        <v>Explore in ECOTOX</v>
      </c>
    </row>
    <row r="4830" spans="1:18" x14ac:dyDescent="0.45">
      <c r="A4830" t="s">
        <v>1265</v>
      </c>
      <c r="B4830">
        <v>8</v>
      </c>
      <c r="C4830" t="str">
        <f>HYPERLINK("http://www.ncbi.nlm.nih.gov/protein/BAR80287.1","BAR80287.1")</f>
        <v>BAR80287.1</v>
      </c>
      <c r="D4830">
        <v>9</v>
      </c>
      <c r="E4830" t="str">
        <f>HYPERLINK("http://www.ncbi.nlm.nih.gov/Taxonomy/Browser/wwwtax.cgi?mode=Info&amp;id=1544532&amp;lvl=3&amp;lin=f&amp;keep=1&amp;srchmode=1&amp;unlock","1544532")</f>
        <v>1544532</v>
      </c>
      <c r="F4830" t="s">
        <v>17</v>
      </c>
      <c r="G4830" t="str">
        <f>HYPERLINK("http://www.ncbi.nlm.nih.gov/Taxonomy/Browser/wwwtax.cgi?mode=Info&amp;id=1544532&amp;lvl=3&amp;lin=f&amp;keep=1&amp;srchmode=1&amp;unlock","Rhinogobius virgigena")</f>
        <v>Rhinogobius virgigena</v>
      </c>
      <c r="H4830" t="s">
        <v>94</v>
      </c>
      <c r="I4830" t="str">
        <f>HYPERLINK("http://www.ncbi.nlm.nih.gov/protein/BAR80287.1","novel protein similar to vertebrate ryanodine receptor 3, partial")</f>
        <v>novel protein similar to vertebrate ryanodine receptor 3, partial</v>
      </c>
      <c r="J4830">
        <v>393.66</v>
      </c>
      <c r="K4830" t="s">
        <v>22</v>
      </c>
      <c r="L4830">
        <v>76</v>
      </c>
      <c r="M4830">
        <v>12.58</v>
      </c>
      <c r="N4830">
        <v>3.87</v>
      </c>
      <c r="O4830" t="s">
        <v>19</v>
      </c>
      <c r="P4830" t="s">
        <v>1320</v>
      </c>
      <c r="Q4830" t="s">
        <v>19</v>
      </c>
      <c r="R4830" t="str">
        <f>HYPERLINK("https://cfpub.epa.gov/ecotox/explore.cfm?ncbi=1544532","Explore in ECOTOX")</f>
        <v>Explore in ECOTOX</v>
      </c>
    </row>
    <row r="4831" spans="1:18" x14ac:dyDescent="0.45">
      <c r="A4831" t="s">
        <v>1265</v>
      </c>
      <c r="B4831">
        <v>8</v>
      </c>
      <c r="C4831" t="str">
        <f>HYPERLINK("http://www.ncbi.nlm.nih.gov/protein/BAR80243.1","BAR80243.1")</f>
        <v>BAR80243.1</v>
      </c>
      <c r="D4831">
        <v>127</v>
      </c>
      <c r="E4831" t="str">
        <f>HYPERLINK("http://www.ncbi.nlm.nih.gov/Taxonomy/Browser/wwwtax.cgi?mode=Info&amp;id=933223&amp;lvl=3&amp;lin=f&amp;keep=1&amp;srchmode=1&amp;unlock","933223")</f>
        <v>933223</v>
      </c>
      <c r="F4831" t="s">
        <v>17</v>
      </c>
      <c r="G4831" t="str">
        <f>HYPERLINK("http://www.ncbi.nlm.nih.gov/Taxonomy/Browser/wwwtax.cgi?mode=Info&amp;id=933223&amp;lvl=3&amp;lin=f&amp;keep=1&amp;srchmode=1&amp;unlock","Rhinogobius brunneus")</f>
        <v>Rhinogobius brunneus</v>
      </c>
      <c r="H4831" t="s">
        <v>1409</v>
      </c>
      <c r="I4831" t="str">
        <f>HYPERLINK("http://www.ncbi.nlm.nih.gov/protein/BAR80243.1","novel protein similar to vertebrate ryanodine receptor 3, partial")</f>
        <v>novel protein similar to vertebrate ryanodine receptor 3, partial</v>
      </c>
      <c r="J4831">
        <v>393.66</v>
      </c>
      <c r="K4831" t="s">
        <v>22</v>
      </c>
      <c r="L4831">
        <v>76</v>
      </c>
      <c r="M4831">
        <v>12.58</v>
      </c>
      <c r="N4831">
        <v>3.87</v>
      </c>
      <c r="O4831" t="s">
        <v>19</v>
      </c>
      <c r="P4831" t="s">
        <v>1320</v>
      </c>
      <c r="Q4831" t="s">
        <v>19</v>
      </c>
      <c r="R4831" t="str">
        <f>HYPERLINK("https://cfpub.epa.gov/ecotox/explore.cfm?ncbi=933223","Explore in ECOTOX")</f>
        <v>Explore in ECOTOX</v>
      </c>
    </row>
    <row r="4832" spans="1:18" x14ac:dyDescent="0.45">
      <c r="A4832" t="s">
        <v>1265</v>
      </c>
      <c r="B4832">
        <v>8</v>
      </c>
      <c r="C4832" t="str">
        <f>HYPERLINK("http://www.ncbi.nlm.nih.gov/protein/BAR80286.1","BAR80286.1")</f>
        <v>BAR80286.1</v>
      </c>
      <c r="D4832">
        <v>40</v>
      </c>
      <c r="E4832" t="str">
        <f>HYPERLINK("http://www.ncbi.nlm.nih.gov/Taxonomy/Browser/wwwtax.cgi?mode=Info&amp;id=1544531&amp;lvl=3&amp;lin=f&amp;keep=1&amp;srchmode=1&amp;unlock","1544531")</f>
        <v>1544531</v>
      </c>
      <c r="F4832" t="s">
        <v>17</v>
      </c>
      <c r="G4832" t="str">
        <f>HYPERLINK("http://www.ncbi.nlm.nih.gov/Taxonomy/Browser/wwwtax.cgi?mode=Info&amp;id=1544531&amp;lvl=3&amp;lin=f&amp;keep=1&amp;srchmode=1&amp;unlock","Rhinogobius leavelli")</f>
        <v>Rhinogobius leavelli</v>
      </c>
      <c r="H4832" t="s">
        <v>94</v>
      </c>
      <c r="I4832" t="str">
        <f>HYPERLINK("http://www.ncbi.nlm.nih.gov/protein/BAR80286.1","novel protein similar to vertebrate ryanodine receptor 3, partial")</f>
        <v>novel protein similar to vertebrate ryanodine receptor 3, partial</v>
      </c>
      <c r="J4832">
        <v>392.5</v>
      </c>
      <c r="K4832" t="s">
        <v>22</v>
      </c>
      <c r="L4832">
        <v>76</v>
      </c>
      <c r="M4832">
        <v>12.58</v>
      </c>
      <c r="N4832">
        <v>3.86</v>
      </c>
      <c r="O4832" t="s">
        <v>19</v>
      </c>
      <c r="P4832" t="s">
        <v>1320</v>
      </c>
      <c r="Q4832" t="s">
        <v>19</v>
      </c>
      <c r="R4832" t="str">
        <f>HYPERLINK("https://cfpub.epa.gov/ecotox/explore.cfm?ncbi=1544531","Explore in ECOTOX")</f>
        <v>Explore in ECOTOX</v>
      </c>
    </row>
    <row r="4833" spans="1:18" x14ac:dyDescent="0.45">
      <c r="A4833" t="s">
        <v>1265</v>
      </c>
      <c r="B4833">
        <v>8</v>
      </c>
      <c r="C4833" t="str">
        <f>HYPERLINK("http://www.ncbi.nlm.nih.gov/protein/AFQ97658.1","AFQ97658.1")</f>
        <v>AFQ97658.1</v>
      </c>
      <c r="D4833">
        <v>126</v>
      </c>
      <c r="E4833" t="str">
        <f>HYPERLINK("http://www.ncbi.nlm.nih.gov/Taxonomy/Browser/wwwtax.cgi?mode=Info&amp;id=62067&amp;lvl=3&amp;lin=f&amp;keep=1&amp;srchmode=1&amp;unlock","62067")</f>
        <v>62067</v>
      </c>
      <c r="F4833" t="s">
        <v>17</v>
      </c>
      <c r="G4833" t="str">
        <f>HYPERLINK("http://www.ncbi.nlm.nih.gov/Taxonomy/Browser/wwwtax.cgi?mode=Info&amp;id=62067&amp;lvl=3&amp;lin=f&amp;keep=1&amp;srchmode=1&amp;unlock","Brachymystax lenok")</f>
        <v>Brachymystax lenok</v>
      </c>
      <c r="H4833" t="s">
        <v>1410</v>
      </c>
      <c r="I4833" t="str">
        <f>HYPERLINK("http://www.ncbi.nlm.nih.gov/protein/AFQ97658.1","ryanodine receptor 3-like protein, partial")</f>
        <v>ryanodine receptor 3-like protein, partial</v>
      </c>
      <c r="J4833">
        <v>392.5</v>
      </c>
      <c r="K4833" t="s">
        <v>22</v>
      </c>
      <c r="L4833">
        <v>76</v>
      </c>
      <c r="M4833">
        <v>12.58</v>
      </c>
      <c r="N4833">
        <v>3.86</v>
      </c>
      <c r="O4833" t="s">
        <v>19</v>
      </c>
      <c r="P4833" t="s">
        <v>1320</v>
      </c>
      <c r="Q4833" t="s">
        <v>19</v>
      </c>
      <c r="R4833" t="str">
        <f>HYPERLINK("https://cfpub.epa.gov/ecotox/explore.cfm?ncbi=62067","Explore in ECOTOX")</f>
        <v>Explore in ECOTOX</v>
      </c>
    </row>
    <row r="4834" spans="1:18" x14ac:dyDescent="0.45">
      <c r="A4834" t="s">
        <v>1265</v>
      </c>
      <c r="B4834">
        <v>8</v>
      </c>
      <c r="C4834" t="str">
        <f>HYPERLINK("http://www.ncbi.nlm.nih.gov/protein/AEY80783.1","AEY80783.1")</f>
        <v>AEY80783.1</v>
      </c>
      <c r="D4834">
        <v>72</v>
      </c>
      <c r="E4834" t="str">
        <f>HYPERLINK("http://www.ncbi.nlm.nih.gov/Taxonomy/Browser/wwwtax.cgi?mode=Info&amp;id=182227&amp;lvl=3&amp;lin=f&amp;keep=1&amp;srchmode=1&amp;unlock","182227")</f>
        <v>182227</v>
      </c>
      <c r="F4834" t="s">
        <v>17</v>
      </c>
      <c r="G4834" t="str">
        <f>HYPERLINK("http://www.ncbi.nlm.nih.gov/Taxonomy/Browser/wwwtax.cgi?mode=Info&amp;id=182227&amp;lvl=3&amp;lin=f&amp;keep=1&amp;srchmode=1&amp;unlock","Prototroctes maraena")</f>
        <v>Prototroctes maraena</v>
      </c>
      <c r="H4834" t="s">
        <v>1411</v>
      </c>
      <c r="I4834" t="str">
        <f>HYPERLINK("http://www.ncbi.nlm.nih.gov/protein/AEY80783.1","ryanodine receptor 3-like protein, partial")</f>
        <v>ryanodine receptor 3-like protein, partial</v>
      </c>
      <c r="J4834">
        <v>392.5</v>
      </c>
      <c r="K4834" t="s">
        <v>22</v>
      </c>
      <c r="L4834">
        <v>76</v>
      </c>
      <c r="M4834">
        <v>12.58</v>
      </c>
      <c r="N4834">
        <v>3.86</v>
      </c>
      <c r="O4834" t="s">
        <v>19</v>
      </c>
      <c r="P4834" t="s">
        <v>1320</v>
      </c>
      <c r="Q4834" t="s">
        <v>19</v>
      </c>
      <c r="R4834" t="str">
        <f>HYPERLINK("https://cfpub.epa.gov/ecotox/explore.cfm?ncbi=182227","Explore in ECOTOX")</f>
        <v>Explore in ECOTOX</v>
      </c>
    </row>
    <row r="4835" spans="1:18" x14ac:dyDescent="0.45">
      <c r="A4835" t="s">
        <v>1265</v>
      </c>
      <c r="B4835">
        <v>8</v>
      </c>
      <c r="C4835" t="str">
        <f>HYPERLINK("http://www.ncbi.nlm.nih.gov/protein/AHB79018.1","AHB79018.1")</f>
        <v>AHB79018.1</v>
      </c>
      <c r="D4835">
        <v>83</v>
      </c>
      <c r="E4835" t="str">
        <f>HYPERLINK("http://www.ncbi.nlm.nih.gov/Taxonomy/Browser/wwwtax.cgi?mode=Info&amp;id=55557&amp;lvl=3&amp;lin=f&amp;keep=1&amp;srchmode=1&amp;unlock","55557")</f>
        <v>55557</v>
      </c>
      <c r="F4835" t="s">
        <v>17</v>
      </c>
      <c r="G4835" t="str">
        <f>HYPERLINK("http://www.ncbi.nlm.nih.gov/Taxonomy/Browser/wwwtax.cgi?mode=Info&amp;id=55557&amp;lvl=3&amp;lin=f&amp;keep=1&amp;srchmode=1&amp;unlock","Tridentiger trigonocephalus")</f>
        <v>Tridentiger trigonocephalus</v>
      </c>
      <c r="H4835" t="s">
        <v>94</v>
      </c>
      <c r="I4835" t="str">
        <f>HYPERLINK("http://www.ncbi.nlm.nih.gov/protein/AHB79018.1","ryanodine receptor 3, partial")</f>
        <v>ryanodine receptor 3, partial</v>
      </c>
      <c r="J4835">
        <v>392.12</v>
      </c>
      <c r="K4835" t="s">
        <v>22</v>
      </c>
      <c r="L4835">
        <v>76</v>
      </c>
      <c r="M4835">
        <v>12.58</v>
      </c>
      <c r="N4835">
        <v>3.86</v>
      </c>
      <c r="O4835" t="s">
        <v>19</v>
      </c>
      <c r="P4835" t="s">
        <v>1320</v>
      </c>
      <c r="Q4835" t="s">
        <v>19</v>
      </c>
      <c r="R4835" t="str">
        <f>HYPERLINK("https://cfpub.epa.gov/ecotox/explore.cfm?ncbi=55557","Explore in ECOTOX")</f>
        <v>Explore in ECOTOX</v>
      </c>
    </row>
    <row r="4836" spans="1:18" x14ac:dyDescent="0.45">
      <c r="A4836" t="s">
        <v>1265</v>
      </c>
      <c r="B4836">
        <v>8</v>
      </c>
      <c r="C4836" t="str">
        <f>HYPERLINK("http://www.ncbi.nlm.nih.gov/protein/AEY80787.1","AEY80787.1")</f>
        <v>AEY80787.1</v>
      </c>
      <c r="D4836">
        <v>42</v>
      </c>
      <c r="E4836" t="str">
        <f>HYPERLINK("http://www.ncbi.nlm.nih.gov/Taxonomy/Browser/wwwtax.cgi?mode=Info&amp;id=66453&amp;lvl=3&amp;lin=f&amp;keep=1&amp;srchmode=1&amp;unlock","66453")</f>
        <v>66453</v>
      </c>
      <c r="F4836" t="s">
        <v>17</v>
      </c>
      <c r="G4836" t="str">
        <f>HYPERLINK("http://www.ncbi.nlm.nih.gov/Taxonomy/Browser/wwwtax.cgi?mode=Info&amp;id=66453&amp;lvl=3&amp;lin=f&amp;keep=1&amp;srchmode=1&amp;unlock","Aplochiton zebra")</f>
        <v>Aplochiton zebra</v>
      </c>
      <c r="H4836" t="s">
        <v>1302</v>
      </c>
      <c r="I4836" t="str">
        <f>HYPERLINK("http://www.ncbi.nlm.nih.gov/protein/AEY80787.1","ryanodine receptor 3-like protein, partial")</f>
        <v>ryanodine receptor 3-like protein, partial</v>
      </c>
      <c r="J4836">
        <v>391.35</v>
      </c>
      <c r="K4836" t="s">
        <v>22</v>
      </c>
      <c r="L4836">
        <v>76</v>
      </c>
      <c r="M4836">
        <v>12.58</v>
      </c>
      <c r="N4836">
        <v>3.85</v>
      </c>
      <c r="O4836" t="s">
        <v>19</v>
      </c>
      <c r="P4836" t="s">
        <v>1320</v>
      </c>
      <c r="Q4836" t="s">
        <v>19</v>
      </c>
      <c r="R4836" t="str">
        <f>HYPERLINK("https://cfpub.epa.gov/ecotox/explore.cfm?ncbi=66453","Explore in ECOTOX")</f>
        <v>Explore in ECOTOX</v>
      </c>
    </row>
    <row r="4837" spans="1:18" x14ac:dyDescent="0.45">
      <c r="A4837" t="s">
        <v>1265</v>
      </c>
      <c r="B4837">
        <v>8</v>
      </c>
      <c r="C4837" t="str">
        <f>HYPERLINK("http://www.ncbi.nlm.nih.gov/protein/AGN55096.1","AGN55096.1")</f>
        <v>AGN55096.1</v>
      </c>
      <c r="D4837">
        <v>32</v>
      </c>
      <c r="E4837" t="str">
        <f>HYPERLINK("http://www.ncbi.nlm.nih.gov/Taxonomy/Browser/wwwtax.cgi?mode=Info&amp;id=1240564&amp;lvl=3&amp;lin=f&amp;keep=1&amp;srchmode=1&amp;unlock","1240564")</f>
        <v>1240564</v>
      </c>
      <c r="F4837" t="s">
        <v>17</v>
      </c>
      <c r="G4837" t="str">
        <f>HYPERLINK("http://www.ncbi.nlm.nih.gov/Taxonomy/Browser/wwwtax.cgi?mode=Info&amp;id=1240564&amp;lvl=3&amp;lin=f&amp;keep=1&amp;srchmode=1&amp;unlock","Triacanthodes ethiops")</f>
        <v>Triacanthodes ethiops</v>
      </c>
      <c r="H4837" t="s">
        <v>1412</v>
      </c>
      <c r="I4837" t="str">
        <f>HYPERLINK("http://www.ncbi.nlm.nih.gov/protein/AGN55096.1","ryanodine receptor 3-like protein, partial")</f>
        <v>ryanodine receptor 3-like protein, partial</v>
      </c>
      <c r="J4837">
        <v>389.81</v>
      </c>
      <c r="K4837" t="s">
        <v>22</v>
      </c>
      <c r="L4837">
        <v>76</v>
      </c>
      <c r="M4837">
        <v>12.58</v>
      </c>
      <c r="N4837">
        <v>3.84</v>
      </c>
      <c r="O4837" t="s">
        <v>19</v>
      </c>
      <c r="P4837" t="s">
        <v>1320</v>
      </c>
      <c r="Q4837" t="s">
        <v>19</v>
      </c>
      <c r="R4837" t="str">
        <f>HYPERLINK("https://cfpub.epa.gov/ecotox/explore.cfm?ncbi=1240564","Explore in ECOTOX")</f>
        <v>Explore in ECOTOX</v>
      </c>
    </row>
    <row r="4838" spans="1:18" x14ac:dyDescent="0.45">
      <c r="A4838" t="s">
        <v>1265</v>
      </c>
      <c r="B4838">
        <v>8</v>
      </c>
      <c r="C4838" t="str">
        <f>HYPERLINK("http://www.ncbi.nlm.nih.gov/protein/AGN55065.1","AGN55065.1")</f>
        <v>AGN55065.1</v>
      </c>
      <c r="D4838">
        <v>81</v>
      </c>
      <c r="E4838" t="str">
        <f>HYPERLINK("http://www.ncbi.nlm.nih.gov/Taxonomy/Browser/wwwtax.cgi?mode=Info&amp;id=303687&amp;lvl=3&amp;lin=f&amp;keep=1&amp;srchmode=1&amp;unlock","303687")</f>
        <v>303687</v>
      </c>
      <c r="F4838" t="s">
        <v>17</v>
      </c>
      <c r="G4838" t="str">
        <f>HYPERLINK("http://www.ncbi.nlm.nih.gov/Taxonomy/Browser/wwwtax.cgi?mode=Info&amp;id=303687&amp;lvl=3&amp;lin=f&amp;keep=1&amp;srchmode=1&amp;unlock","Balistes vetula")</f>
        <v>Balistes vetula</v>
      </c>
      <c r="H4838" t="s">
        <v>1413</v>
      </c>
      <c r="I4838" t="str">
        <f>HYPERLINK("http://www.ncbi.nlm.nih.gov/protein/AGN55065.1","ryanodine receptor 3-like protein, partial")</f>
        <v>ryanodine receptor 3-like protein, partial</v>
      </c>
      <c r="J4838">
        <v>389.81</v>
      </c>
      <c r="K4838" t="s">
        <v>22</v>
      </c>
      <c r="L4838">
        <v>76</v>
      </c>
      <c r="M4838">
        <v>12.58</v>
      </c>
      <c r="N4838">
        <v>3.84</v>
      </c>
      <c r="O4838" t="s">
        <v>19</v>
      </c>
      <c r="P4838" t="s">
        <v>1320</v>
      </c>
      <c r="Q4838" t="s">
        <v>19</v>
      </c>
      <c r="R4838" t="str">
        <f>HYPERLINK("https://cfpub.epa.gov/ecotox/explore.cfm?ncbi=303687","Explore in ECOTOX")</f>
        <v>Explore in ECOTOX</v>
      </c>
    </row>
    <row r="4839" spans="1:18" x14ac:dyDescent="0.45">
      <c r="A4839" t="s">
        <v>1265</v>
      </c>
      <c r="B4839">
        <v>8</v>
      </c>
      <c r="C4839" t="str">
        <f>HYPERLINK("http://www.ncbi.nlm.nih.gov/protein/AGN55094.1","AGN55094.1")</f>
        <v>AGN55094.1</v>
      </c>
      <c r="D4839">
        <v>55</v>
      </c>
      <c r="E4839" t="str">
        <f>HYPERLINK("http://www.ncbi.nlm.nih.gov/Taxonomy/Browser/wwwtax.cgi?mode=Info&amp;id=245703&amp;lvl=3&amp;lin=f&amp;keep=1&amp;srchmode=1&amp;unlock","245703")</f>
        <v>245703</v>
      </c>
      <c r="F4839" t="s">
        <v>17</v>
      </c>
      <c r="G4839" t="str">
        <f>HYPERLINK("http://www.ncbi.nlm.nih.gov/Taxonomy/Browser/wwwtax.cgi?mode=Info&amp;id=245703&amp;lvl=3&amp;lin=f&amp;keep=1&amp;srchmode=1&amp;unlock","Trixiphichthys weberi")</f>
        <v>Trixiphichthys weberi</v>
      </c>
      <c r="H4839" t="s">
        <v>1414</v>
      </c>
      <c r="I4839" t="str">
        <f>HYPERLINK("http://www.ncbi.nlm.nih.gov/protein/AGN55094.1","ryanodine receptor 3-like protein, partial")</f>
        <v>ryanodine receptor 3-like protein, partial</v>
      </c>
      <c r="J4839">
        <v>387.88</v>
      </c>
      <c r="K4839" t="s">
        <v>22</v>
      </c>
      <c r="L4839">
        <v>76</v>
      </c>
      <c r="M4839">
        <v>12.58</v>
      </c>
      <c r="N4839">
        <v>3.82</v>
      </c>
      <c r="O4839" t="s">
        <v>19</v>
      </c>
      <c r="P4839" t="s">
        <v>1320</v>
      </c>
      <c r="Q4839" t="s">
        <v>19</v>
      </c>
      <c r="R4839" t="str">
        <f>HYPERLINK("https://cfpub.epa.gov/ecotox/explore.cfm?ncbi=245703","Explore in ECOTOX")</f>
        <v>Explore in ECOTOX</v>
      </c>
    </row>
    <row r="4840" spans="1:18" x14ac:dyDescent="0.45">
      <c r="A4840" t="s">
        <v>1265</v>
      </c>
      <c r="B4840">
        <v>8</v>
      </c>
      <c r="C4840" t="str">
        <f>HYPERLINK("http://www.ncbi.nlm.nih.gov/protein/AEY82563.1","AEY82563.1")</f>
        <v>AEY82563.1</v>
      </c>
      <c r="D4840">
        <v>10</v>
      </c>
      <c r="E4840" t="str">
        <f>HYPERLINK("http://www.ncbi.nlm.nih.gov/Taxonomy/Browser/wwwtax.cgi?mode=Info&amp;id=327942&amp;lvl=3&amp;lin=f&amp;keep=1&amp;srchmode=1&amp;unlock","327942")</f>
        <v>327942</v>
      </c>
      <c r="F4840" t="s">
        <v>17</v>
      </c>
      <c r="G4840" t="str">
        <f>HYPERLINK("http://www.ncbi.nlm.nih.gov/Taxonomy/Browser/wwwtax.cgi?mode=Info&amp;id=327942&amp;lvl=3&amp;lin=f&amp;keep=1&amp;srchmode=1&amp;unlock","Epinephelus melanostigma")</f>
        <v>Epinephelus melanostigma</v>
      </c>
      <c r="H4840" t="s">
        <v>1292</v>
      </c>
      <c r="I4840" t="str">
        <f>HYPERLINK("http://www.ncbi.nlm.nih.gov/protein/AEY82563.1","ryanodine receptor 3-like protein, partial")</f>
        <v>ryanodine receptor 3-like protein, partial</v>
      </c>
      <c r="J4840">
        <v>386.34</v>
      </c>
      <c r="K4840" t="s">
        <v>22</v>
      </c>
      <c r="L4840">
        <v>76</v>
      </c>
      <c r="M4840">
        <v>12.58</v>
      </c>
      <c r="N4840">
        <v>3.8</v>
      </c>
      <c r="O4840" t="s">
        <v>19</v>
      </c>
      <c r="P4840" t="s">
        <v>1320</v>
      </c>
      <c r="Q4840" t="s">
        <v>19</v>
      </c>
      <c r="R4840" t="str">
        <f>HYPERLINK("https://cfpub.epa.gov/ecotox/explore.cfm?ncbi=327942","Explore in ECOTOX")</f>
        <v>Explore in ECOTOX</v>
      </c>
    </row>
    <row r="4841" spans="1:18" x14ac:dyDescent="0.45">
      <c r="A4841" t="s">
        <v>1265</v>
      </c>
      <c r="B4841">
        <v>8</v>
      </c>
      <c r="C4841" t="str">
        <f>HYPERLINK("http://www.ncbi.nlm.nih.gov/protein/AEY80784.1","AEY80784.1")</f>
        <v>AEY80784.1</v>
      </c>
      <c r="D4841">
        <v>26</v>
      </c>
      <c r="E4841" t="str">
        <f>HYPERLINK("http://www.ncbi.nlm.nih.gov/Taxonomy/Browser/wwwtax.cgi?mode=Info&amp;id=182225&amp;lvl=3&amp;lin=f&amp;keep=1&amp;srchmode=1&amp;unlock","182225")</f>
        <v>182225</v>
      </c>
      <c r="F4841" t="s">
        <v>17</v>
      </c>
      <c r="G4841" t="str">
        <f>HYPERLINK("http://www.ncbi.nlm.nih.gov/Taxonomy/Browser/wwwtax.cgi?mode=Info&amp;id=182225&amp;lvl=3&amp;lin=f&amp;keep=1&amp;srchmode=1&amp;unlock","Stokellia anisodon")</f>
        <v>Stokellia anisodon</v>
      </c>
      <c r="H4841" t="s">
        <v>1415</v>
      </c>
      <c r="I4841" t="str">
        <f>HYPERLINK("http://www.ncbi.nlm.nih.gov/protein/AEY80784.1","ryanodine receptor 3-like protein, partial")</f>
        <v>ryanodine receptor 3-like protein, partial</v>
      </c>
      <c r="J4841">
        <v>385.96</v>
      </c>
      <c r="K4841" t="s">
        <v>22</v>
      </c>
      <c r="L4841">
        <v>76</v>
      </c>
      <c r="M4841">
        <v>12.58</v>
      </c>
      <c r="N4841">
        <v>3.8</v>
      </c>
      <c r="O4841" t="s">
        <v>19</v>
      </c>
      <c r="P4841" t="s">
        <v>1320</v>
      </c>
      <c r="Q4841" t="s">
        <v>19</v>
      </c>
      <c r="R4841" t="str">
        <f>HYPERLINK("https://cfpub.epa.gov/ecotox/explore.cfm?ncbi=182225","Explore in ECOTOX")</f>
        <v>Explore in ECOTOX</v>
      </c>
    </row>
    <row r="4842" spans="1:18" x14ac:dyDescent="0.45">
      <c r="A4842" t="s">
        <v>1265</v>
      </c>
      <c r="B4842">
        <v>8</v>
      </c>
      <c r="C4842" t="str">
        <f>HYPERLINK("http://www.ncbi.nlm.nih.gov/protein/AEY80782.1","AEY80782.1")</f>
        <v>AEY80782.1</v>
      </c>
      <c r="D4842">
        <v>128</v>
      </c>
      <c r="E4842" t="str">
        <f>HYPERLINK("http://www.ncbi.nlm.nih.gov/Taxonomy/Browser/wwwtax.cgi?mode=Info&amp;id=476919&amp;lvl=3&amp;lin=f&amp;keep=1&amp;srchmode=1&amp;unlock","476919")</f>
        <v>476919</v>
      </c>
      <c r="F4842" t="s">
        <v>17</v>
      </c>
      <c r="G4842" t="str">
        <f>HYPERLINK("http://www.ncbi.nlm.nih.gov/Taxonomy/Browser/wwwtax.cgi?mode=Info&amp;id=476919&amp;lvl=3&amp;lin=f&amp;keep=1&amp;srchmode=1&amp;unlock","Osmerus mordax dentex")</f>
        <v>Osmerus mordax dentex</v>
      </c>
      <c r="H4842" t="s">
        <v>1416</v>
      </c>
      <c r="I4842" t="str">
        <f>HYPERLINK("http://www.ncbi.nlm.nih.gov/protein/AEY80782.1","ryanodine receptor 3-like protein, partial")</f>
        <v>ryanodine receptor 3-like protein, partial</v>
      </c>
      <c r="J4842">
        <v>385.57</v>
      </c>
      <c r="K4842" t="s">
        <v>22</v>
      </c>
      <c r="L4842">
        <v>76</v>
      </c>
      <c r="M4842">
        <v>12.58</v>
      </c>
      <c r="N4842">
        <v>3.79</v>
      </c>
      <c r="O4842" t="s">
        <v>19</v>
      </c>
      <c r="P4842" t="s">
        <v>1320</v>
      </c>
      <c r="Q4842" t="s">
        <v>19</v>
      </c>
      <c r="R4842" t="str">
        <f>HYPERLINK("https://cfpub.epa.gov/ecotox/explore.cfm?ncbi=476919","Explore in ECOTOX")</f>
        <v>Explore in ECOTOX</v>
      </c>
    </row>
    <row r="4843" spans="1:18" x14ac:dyDescent="0.45">
      <c r="A4843" t="s">
        <v>1265</v>
      </c>
      <c r="B4843">
        <v>8</v>
      </c>
      <c r="C4843" t="str">
        <f>HYPERLINK("http://www.ncbi.nlm.nih.gov/protein/ALX40430.1","ALX40430.1")</f>
        <v>ALX40430.1</v>
      </c>
      <c r="D4843">
        <v>14</v>
      </c>
      <c r="E4843" t="str">
        <f>HYPERLINK("http://www.ncbi.nlm.nih.gov/Taxonomy/Browser/wwwtax.cgi?mode=Info&amp;id=1778180&amp;lvl=3&amp;lin=f&amp;keep=1&amp;srchmode=1&amp;unlock","1778180")</f>
        <v>1778180</v>
      </c>
      <c r="F4843" t="s">
        <v>17</v>
      </c>
      <c r="G4843" t="str">
        <f>HYPERLINK("http://www.ncbi.nlm.nih.gov/Taxonomy/Browser/wwwtax.cgi?mode=Info&amp;id=1778180&amp;lvl=3&amp;lin=f&amp;keep=1&amp;srchmode=1&amp;unlock","Triplophysa sp. cyp58")</f>
        <v>Triplophysa sp. cyp58</v>
      </c>
      <c r="H4843" t="s">
        <v>33</v>
      </c>
      <c r="I4843" t="str">
        <f>HYPERLINK("http://www.ncbi.nlm.nih.gov/protein/ALX40430.1","ryanodine receptor 3-like protein, partial")</f>
        <v>ryanodine receptor 3-like protein, partial</v>
      </c>
      <c r="J4843">
        <v>385.19</v>
      </c>
      <c r="K4843" t="s">
        <v>22</v>
      </c>
      <c r="L4843">
        <v>76</v>
      </c>
      <c r="M4843">
        <v>12.58</v>
      </c>
      <c r="N4843">
        <v>3.79</v>
      </c>
      <c r="O4843" t="s">
        <v>19</v>
      </c>
      <c r="P4843" t="s">
        <v>1320</v>
      </c>
      <c r="Q4843" t="s">
        <v>19</v>
      </c>
      <c r="R4843" t="str">
        <f>HYPERLINK("https://cfpub.epa.gov/ecotox/explore.cfm?ncbi=1778180","Explore in ECOTOX")</f>
        <v>Explore in ECOTOX</v>
      </c>
    </row>
    <row r="4844" spans="1:18" x14ac:dyDescent="0.45">
      <c r="A4844" t="s">
        <v>1265</v>
      </c>
      <c r="B4844">
        <v>8</v>
      </c>
      <c r="C4844" t="str">
        <f>HYPERLINK("http://www.ncbi.nlm.nih.gov/protein/AEY80794.1","AEY80794.1")</f>
        <v>AEY80794.1</v>
      </c>
      <c r="D4844">
        <v>48</v>
      </c>
      <c r="E4844" t="str">
        <f>HYPERLINK("http://www.ncbi.nlm.nih.gov/Taxonomy/Browser/wwwtax.cgi?mode=Info&amp;id=477781&amp;lvl=3&amp;lin=f&amp;keep=1&amp;srchmode=1&amp;unlock","477781")</f>
        <v>477781</v>
      </c>
      <c r="F4844" t="s">
        <v>17</v>
      </c>
      <c r="G4844" t="str">
        <f>HYPERLINK("http://www.ncbi.nlm.nih.gov/Taxonomy/Browser/wwwtax.cgi?mode=Info&amp;id=477781&amp;lvl=3&amp;lin=f&amp;keep=1&amp;srchmode=1&amp;unlock","Galaxias platei")</f>
        <v>Galaxias platei</v>
      </c>
      <c r="H4844" t="s">
        <v>1302</v>
      </c>
      <c r="I4844" t="str">
        <f>HYPERLINK("http://www.ncbi.nlm.nih.gov/protein/AEY80794.1","ryanodine receptor 3-like protein, partial")</f>
        <v>ryanodine receptor 3-like protein, partial</v>
      </c>
      <c r="J4844">
        <v>383.26</v>
      </c>
      <c r="K4844" t="s">
        <v>22</v>
      </c>
      <c r="L4844">
        <v>76</v>
      </c>
      <c r="M4844">
        <v>12.58</v>
      </c>
      <c r="N4844">
        <v>3.77</v>
      </c>
      <c r="O4844" t="s">
        <v>19</v>
      </c>
      <c r="P4844" t="s">
        <v>1320</v>
      </c>
      <c r="Q4844" t="s">
        <v>19</v>
      </c>
      <c r="R4844" t="str">
        <f>HYPERLINK("https://cfpub.epa.gov/ecotox/explore.cfm?ncbi=477781","Explore in ECOTOX")</f>
        <v>Explore in ECOTOX</v>
      </c>
    </row>
    <row r="4845" spans="1:18" x14ac:dyDescent="0.45">
      <c r="A4845" t="s">
        <v>1265</v>
      </c>
      <c r="B4845">
        <v>8</v>
      </c>
      <c r="C4845" t="str">
        <f>HYPERLINK("http://www.ncbi.nlm.nih.gov/protein/AEY80812.1","AEY80812.1")</f>
        <v>AEY80812.1</v>
      </c>
      <c r="D4845">
        <v>11</v>
      </c>
      <c r="E4845" t="str">
        <f>HYPERLINK("http://www.ncbi.nlm.nih.gov/Taxonomy/Browser/wwwtax.cgi?mode=Info&amp;id=1137108&amp;lvl=3&amp;lin=f&amp;keep=1&amp;srchmode=1&amp;unlock","1137108")</f>
        <v>1137108</v>
      </c>
      <c r="F4845" t="s">
        <v>17</v>
      </c>
      <c r="G4845" t="str">
        <f>HYPERLINK("http://www.ncbi.nlm.nih.gov/Taxonomy/Browser/wwwtax.cgi?mode=Info&amp;id=1137108&amp;lvl=3&amp;lin=f&amp;keep=1&amp;srchmode=1&amp;unlock","Talismania longifilis")</f>
        <v>Talismania longifilis</v>
      </c>
      <c r="H4845" t="s">
        <v>1417</v>
      </c>
      <c r="I4845" t="str">
        <f>HYPERLINK("http://www.ncbi.nlm.nih.gov/protein/AEY80812.1","ryanodine receptor 3-like protein, partial")</f>
        <v>ryanodine receptor 3-like protein, partial</v>
      </c>
      <c r="J4845">
        <v>383.26</v>
      </c>
      <c r="K4845" t="s">
        <v>22</v>
      </c>
      <c r="L4845">
        <v>76</v>
      </c>
      <c r="M4845">
        <v>12.58</v>
      </c>
      <c r="N4845">
        <v>3.77</v>
      </c>
      <c r="O4845" t="s">
        <v>19</v>
      </c>
      <c r="P4845" t="s">
        <v>1320</v>
      </c>
      <c r="Q4845" t="s">
        <v>19</v>
      </c>
      <c r="R4845" t="str">
        <f>HYPERLINK("https://cfpub.epa.gov/ecotox/explore.cfm?ncbi=1137108","Explore in ECOTOX")</f>
        <v>Explore in ECOTOX</v>
      </c>
    </row>
    <row r="4846" spans="1:18" x14ac:dyDescent="0.45">
      <c r="A4846" t="s">
        <v>1265</v>
      </c>
      <c r="B4846">
        <v>8</v>
      </c>
      <c r="C4846" t="str">
        <f>HYPERLINK("http://www.ncbi.nlm.nih.gov/protein/ALX40507.1","ALX40507.1")</f>
        <v>ALX40507.1</v>
      </c>
      <c r="D4846">
        <v>9</v>
      </c>
      <c r="E4846" t="str">
        <f>HYPERLINK("http://www.ncbi.nlm.nih.gov/Taxonomy/Browser/wwwtax.cgi?mode=Info&amp;id=1778156&amp;lvl=3&amp;lin=f&amp;keep=1&amp;srchmode=1&amp;unlock","1778156")</f>
        <v>1778156</v>
      </c>
      <c r="F4846" t="s">
        <v>17</v>
      </c>
      <c r="G4846" t="str">
        <f>HYPERLINK("http://www.ncbi.nlm.nih.gov/Taxonomy/Browser/wwwtax.cgi?mode=Info&amp;id=1778156&amp;lvl=3&amp;lin=f&amp;keep=1&amp;srchmode=1&amp;unlock","Opsaridium sp. cyp1023")</f>
        <v>Opsaridium sp. cyp1023</v>
      </c>
      <c r="H4846" t="s">
        <v>21</v>
      </c>
      <c r="I4846" t="str">
        <f>HYPERLINK("http://www.ncbi.nlm.nih.gov/protein/ALX40507.1","ryanodine receptor 3-like protein, partial")</f>
        <v>ryanodine receptor 3-like protein, partial</v>
      </c>
      <c r="J4846">
        <v>382.1</v>
      </c>
      <c r="K4846" t="s">
        <v>22</v>
      </c>
      <c r="L4846">
        <v>76</v>
      </c>
      <c r="M4846">
        <v>12.58</v>
      </c>
      <c r="N4846">
        <v>3.76</v>
      </c>
      <c r="O4846" t="s">
        <v>19</v>
      </c>
      <c r="P4846" t="s">
        <v>1320</v>
      </c>
      <c r="Q4846" t="s">
        <v>19</v>
      </c>
      <c r="R4846" t="str">
        <f>HYPERLINK("https://cfpub.epa.gov/ecotox/explore.cfm?ncbi=1778156","Explore in ECOTOX")</f>
        <v>Explore in ECOTOX</v>
      </c>
    </row>
    <row r="4847" spans="1:18" x14ac:dyDescent="0.45">
      <c r="A4847" t="s">
        <v>1265</v>
      </c>
      <c r="B4847">
        <v>8</v>
      </c>
      <c r="C4847" t="str">
        <f>HYPERLINK("http://www.ncbi.nlm.nih.gov/protein/AEY80785.1","AEY80785.1")</f>
        <v>AEY80785.1</v>
      </c>
      <c r="D4847">
        <v>59</v>
      </c>
      <c r="E4847" t="str">
        <f>HYPERLINK("http://www.ncbi.nlm.nih.gov/Taxonomy/Browser/wwwtax.cgi?mode=Info&amp;id=350769&amp;lvl=3&amp;lin=f&amp;keep=1&amp;srchmode=1&amp;unlock","350769")</f>
        <v>350769</v>
      </c>
      <c r="F4847" t="s">
        <v>17</v>
      </c>
      <c r="G4847" t="str">
        <f>HYPERLINK("http://www.ncbi.nlm.nih.gov/Taxonomy/Browser/wwwtax.cgi?mode=Info&amp;id=350769&amp;lvl=3&amp;lin=f&amp;keep=1&amp;srchmode=1&amp;unlock","Neosalanx anderssoni")</f>
        <v>Neosalanx anderssoni</v>
      </c>
      <c r="H4847" t="s">
        <v>1418</v>
      </c>
      <c r="I4847" t="str">
        <f>HYPERLINK("http://www.ncbi.nlm.nih.gov/protein/AEY80785.1","ryanodine receptor 3-like protein, partial")</f>
        <v>ryanodine receptor 3-like protein, partial</v>
      </c>
      <c r="J4847">
        <v>380.95</v>
      </c>
      <c r="K4847" t="s">
        <v>22</v>
      </c>
      <c r="L4847">
        <v>76</v>
      </c>
      <c r="M4847">
        <v>12.58</v>
      </c>
      <c r="N4847">
        <v>3.75</v>
      </c>
      <c r="O4847" t="s">
        <v>19</v>
      </c>
      <c r="P4847" t="s">
        <v>1320</v>
      </c>
      <c r="Q4847" t="s">
        <v>19</v>
      </c>
      <c r="R4847" t="str">
        <f>HYPERLINK("https://cfpub.epa.gov/ecotox/explore.cfm?ncbi=350769","Explore in ECOTOX")</f>
        <v>Explore in ECOTOX</v>
      </c>
    </row>
    <row r="4848" spans="1:18" x14ac:dyDescent="0.45">
      <c r="A4848" t="s">
        <v>1265</v>
      </c>
      <c r="B4848">
        <v>8</v>
      </c>
      <c r="C4848" t="str">
        <f>HYPERLINK("http://www.ncbi.nlm.nih.gov/protein/AGN55072.1","AGN55072.1")</f>
        <v>AGN55072.1</v>
      </c>
      <c r="D4848">
        <v>71</v>
      </c>
      <c r="E4848" t="str">
        <f>HYPERLINK("http://www.ncbi.nlm.nih.gov/Taxonomy/Browser/wwwtax.cgi?mode=Info&amp;id=392921&amp;lvl=3&amp;lin=f&amp;keep=1&amp;srchmode=1&amp;unlock","392921")</f>
        <v>392921</v>
      </c>
      <c r="F4848" t="s">
        <v>17</v>
      </c>
      <c r="G4848" t="str">
        <f>HYPERLINK("http://www.ncbi.nlm.nih.gov/Taxonomy/Browser/wwwtax.cgi?mode=Info&amp;id=392921&amp;lvl=3&amp;lin=f&amp;keep=1&amp;srchmode=1&amp;unlock","Monacanthus chinensis")</f>
        <v>Monacanthus chinensis</v>
      </c>
      <c r="H4848" t="s">
        <v>1304</v>
      </c>
      <c r="I4848" t="str">
        <f>HYPERLINK("http://www.ncbi.nlm.nih.gov/protein/AGN55072.1","ryanodine receptor 3-like protein, partial")</f>
        <v>ryanodine receptor 3-like protein, partial</v>
      </c>
      <c r="J4848">
        <v>380.18</v>
      </c>
      <c r="K4848" t="s">
        <v>22</v>
      </c>
      <c r="L4848">
        <v>76</v>
      </c>
      <c r="M4848">
        <v>12.58</v>
      </c>
      <c r="N4848">
        <v>3.74</v>
      </c>
      <c r="O4848" t="s">
        <v>19</v>
      </c>
      <c r="P4848" t="s">
        <v>1320</v>
      </c>
      <c r="Q4848" t="s">
        <v>19</v>
      </c>
      <c r="R4848" t="str">
        <f>HYPERLINK("https://cfpub.epa.gov/ecotox/explore.cfm?ncbi=392921","Explore in ECOTOX")</f>
        <v>Explore in ECOTOX</v>
      </c>
    </row>
    <row r="4849" spans="1:18" x14ac:dyDescent="0.45">
      <c r="A4849" t="s">
        <v>1265</v>
      </c>
      <c r="B4849">
        <v>8</v>
      </c>
      <c r="C4849" t="str">
        <f>HYPERLINK("http://www.ncbi.nlm.nih.gov/protein/KAF7629905.1","KAF7629905.1")</f>
        <v>KAF7629905.1</v>
      </c>
      <c r="D4849">
        <v>10390</v>
      </c>
      <c r="E4849" t="str">
        <f>HYPERLINK("http://www.ncbi.nlm.nih.gov/Taxonomy/Browser/wwwtax.cgi?mode=Info&amp;id=189291&amp;lvl=3&amp;lin=f&amp;keep=1&amp;srchmode=1&amp;unlock","189291")</f>
        <v>189291</v>
      </c>
      <c r="F4849" t="s">
        <v>1024</v>
      </c>
      <c r="G4849" t="str">
        <f>HYPERLINK("http://www.ncbi.nlm.nih.gov/Taxonomy/Browser/wwwtax.cgi?mode=Info&amp;id=189291&amp;lvl=3&amp;lin=f&amp;keep=1&amp;srchmode=1&amp;unlock","Meloidogyne graminicola")</f>
        <v>Meloidogyne graminicola</v>
      </c>
      <c r="H4849" t="s">
        <v>1027</v>
      </c>
      <c r="I4849" t="str">
        <f>HYPERLINK("http://www.ncbi.nlm.nih.gov/protein/KAF7629905.1","hypothetical protein Mgra_00009094")</f>
        <v>hypothetical protein Mgra_00009094</v>
      </c>
      <c r="J4849">
        <v>380.18</v>
      </c>
      <c r="K4849" t="s">
        <v>22</v>
      </c>
      <c r="L4849">
        <v>76</v>
      </c>
      <c r="M4849">
        <v>12.58</v>
      </c>
      <c r="N4849">
        <v>3.74</v>
      </c>
      <c r="O4849" t="s">
        <v>19</v>
      </c>
      <c r="P4849" t="s">
        <v>1320</v>
      </c>
      <c r="Q4849" t="s">
        <v>19</v>
      </c>
      <c r="R4849" t="str">
        <f>HYPERLINK("https://cfpub.epa.gov/ecotox/explore.cfm?ncbi=189291","Explore in ECOTOX")</f>
        <v>Explore in ECOTOX</v>
      </c>
    </row>
    <row r="4850" spans="1:18" x14ac:dyDescent="0.45">
      <c r="A4850" t="s">
        <v>1265</v>
      </c>
      <c r="B4850">
        <v>8</v>
      </c>
      <c r="C4850" t="str">
        <f>HYPERLINK("http://www.ncbi.nlm.nih.gov/protein/BCK60125.1","BCK60125.1")</f>
        <v>BCK60125.1</v>
      </c>
      <c r="D4850">
        <v>91</v>
      </c>
      <c r="E4850" t="str">
        <f>HYPERLINK("http://www.ncbi.nlm.nih.gov/Taxonomy/Browser/wwwtax.cgi?mode=Info&amp;id=262098&amp;lvl=3&amp;lin=f&amp;keep=1&amp;srchmode=1&amp;unlock","262098")</f>
        <v>262098</v>
      </c>
      <c r="F4850" t="s">
        <v>17</v>
      </c>
      <c r="G4850" t="str">
        <f>HYPERLINK("http://www.ncbi.nlm.nih.gov/Taxonomy/Browser/wwwtax.cgi?mode=Info&amp;id=262098&amp;lvl=3&amp;lin=f&amp;keep=1&amp;srchmode=1&amp;unlock","Gymnogobius petschiliensis")</f>
        <v>Gymnogobius petschiliensis</v>
      </c>
      <c r="H4850" t="s">
        <v>94</v>
      </c>
      <c r="I4850" t="str">
        <f>HYPERLINK("http://www.ncbi.nlm.nih.gov/protein/BCK60125.1","ryanodine receptor 3-like protein, partial")</f>
        <v>ryanodine receptor 3-like protein, partial</v>
      </c>
      <c r="J4850">
        <v>379.02</v>
      </c>
      <c r="K4850" t="s">
        <v>22</v>
      </c>
      <c r="L4850">
        <v>76</v>
      </c>
      <c r="M4850">
        <v>12.58</v>
      </c>
      <c r="N4850">
        <v>3.73</v>
      </c>
      <c r="O4850" t="s">
        <v>19</v>
      </c>
      <c r="P4850" t="s">
        <v>1320</v>
      </c>
      <c r="Q4850" t="s">
        <v>19</v>
      </c>
      <c r="R4850" t="str">
        <f>HYPERLINK("https://cfpub.epa.gov/ecotox/explore.cfm?ncbi=262098","Explore in ECOTOX")</f>
        <v>Explore in ECOTOX</v>
      </c>
    </row>
    <row r="4851" spans="1:18" x14ac:dyDescent="0.45">
      <c r="A4851" t="s">
        <v>1265</v>
      </c>
      <c r="B4851">
        <v>8</v>
      </c>
      <c r="C4851" t="str">
        <f>HYPERLINK("http://www.ncbi.nlm.nih.gov/protein/AEY80781.1","AEY80781.1")</f>
        <v>AEY80781.1</v>
      </c>
      <c r="D4851">
        <v>116</v>
      </c>
      <c r="E4851" t="str">
        <f>HYPERLINK("http://www.ncbi.nlm.nih.gov/Taxonomy/Browser/wwwtax.cgi?mode=Info&amp;id=30960&amp;lvl=3&amp;lin=f&amp;keep=1&amp;srchmode=1&amp;unlock","30960")</f>
        <v>30960</v>
      </c>
      <c r="F4851" t="s">
        <v>17</v>
      </c>
      <c r="G4851" t="str">
        <f>HYPERLINK("http://www.ncbi.nlm.nih.gov/Taxonomy/Browser/wwwtax.cgi?mode=Info&amp;id=30960&amp;lvl=3&amp;lin=f&amp;keep=1&amp;srchmode=1&amp;unlock","Mallotus villosus")</f>
        <v>Mallotus villosus</v>
      </c>
      <c r="H4851" t="s">
        <v>1419</v>
      </c>
      <c r="I4851" t="str">
        <f>HYPERLINK("http://www.ncbi.nlm.nih.gov/protein/AEY80781.1","ryanodine receptor 3-like protein, partial")</f>
        <v>ryanodine receptor 3-like protein, partial</v>
      </c>
      <c r="J4851">
        <v>378.64</v>
      </c>
      <c r="K4851" t="s">
        <v>22</v>
      </c>
      <c r="L4851">
        <v>76</v>
      </c>
      <c r="M4851">
        <v>12.58</v>
      </c>
      <c r="N4851">
        <v>3.73</v>
      </c>
      <c r="O4851" t="s">
        <v>19</v>
      </c>
      <c r="P4851" t="s">
        <v>1320</v>
      </c>
      <c r="Q4851" t="s">
        <v>19</v>
      </c>
      <c r="R4851" t="str">
        <f>HYPERLINK("https://cfpub.epa.gov/ecotox/explore.cfm?ncbi=30960","Explore in ECOTOX")</f>
        <v>Explore in ECOTOX</v>
      </c>
    </row>
    <row r="4852" spans="1:18" x14ac:dyDescent="0.45">
      <c r="A4852" t="s">
        <v>1265</v>
      </c>
      <c r="B4852">
        <v>8</v>
      </c>
      <c r="C4852" t="str">
        <f>HYPERLINK("http://www.ncbi.nlm.nih.gov/protein/ALX40485.1","ALX40485.1")</f>
        <v>ALX40485.1</v>
      </c>
      <c r="D4852">
        <v>64</v>
      </c>
      <c r="E4852" t="str">
        <f>HYPERLINK("http://www.ncbi.nlm.nih.gov/Taxonomy/Browser/wwwtax.cgi?mode=Info&amp;id=572044&amp;lvl=3&amp;lin=f&amp;keep=1&amp;srchmode=1&amp;unlock","572044")</f>
        <v>572044</v>
      </c>
      <c r="F4852" t="s">
        <v>17</v>
      </c>
      <c r="G4852" t="str">
        <f>HYPERLINK("http://www.ncbi.nlm.nih.gov/Taxonomy/Browser/wwwtax.cgi?mode=Info&amp;id=572044&amp;lvl=3&amp;lin=f&amp;keep=1&amp;srchmode=1&amp;unlock","Squalidus chankaensis")</f>
        <v>Squalidus chankaensis</v>
      </c>
      <c r="H4852" t="s">
        <v>1420</v>
      </c>
      <c r="I4852" t="str">
        <f>HYPERLINK("http://www.ncbi.nlm.nih.gov/protein/ALX40485.1","ryanodine receptor 3-like protein, partial")</f>
        <v>ryanodine receptor 3-like protein, partial</v>
      </c>
      <c r="J4852">
        <v>377.48</v>
      </c>
      <c r="K4852" t="s">
        <v>22</v>
      </c>
      <c r="L4852">
        <v>76</v>
      </c>
      <c r="M4852">
        <v>12.58</v>
      </c>
      <c r="N4852">
        <v>3.72</v>
      </c>
      <c r="O4852" t="s">
        <v>19</v>
      </c>
      <c r="P4852" t="s">
        <v>1320</v>
      </c>
      <c r="Q4852" t="s">
        <v>19</v>
      </c>
      <c r="R4852" t="str">
        <f>HYPERLINK("https://cfpub.epa.gov/ecotox/explore.cfm?ncbi=572044","Explore in ECOTOX")</f>
        <v>Explore in ECOTOX</v>
      </c>
    </row>
    <row r="4853" spans="1:18" x14ac:dyDescent="0.45">
      <c r="A4853" t="s">
        <v>1265</v>
      </c>
      <c r="B4853">
        <v>8</v>
      </c>
      <c r="C4853" t="str">
        <f>HYPERLINK("http://www.ncbi.nlm.nih.gov/protein/BCK60153.1","BCK60153.1")</f>
        <v>BCK60153.1</v>
      </c>
      <c r="D4853">
        <v>25</v>
      </c>
      <c r="E4853" t="str">
        <f>HYPERLINK("http://www.ncbi.nlm.nih.gov/Taxonomy/Browser/wwwtax.cgi?mode=Info&amp;id=1756095&amp;lvl=3&amp;lin=f&amp;keep=1&amp;srchmode=1&amp;unlock","1756095")</f>
        <v>1756095</v>
      </c>
      <c r="F4853" t="s">
        <v>17</v>
      </c>
      <c r="G4853" t="str">
        <f>HYPERLINK("http://www.ncbi.nlm.nih.gov/Taxonomy/Browser/wwwtax.cgi?mode=Info&amp;id=1756095&amp;lvl=3&amp;lin=f&amp;keep=1&amp;srchmode=1&amp;unlock","Gymnogobius cf. castaneus 'Musashino'")</f>
        <v>Gymnogobius cf. castaneus 'Musashino'</v>
      </c>
      <c r="H4853" t="s">
        <v>94</v>
      </c>
      <c r="I4853" t="str">
        <f>HYPERLINK("http://www.ncbi.nlm.nih.gov/protein/BCK60153.1","ryanodine receptor 3-like protein, partial")</f>
        <v>ryanodine receptor 3-like protein, partial</v>
      </c>
      <c r="J4853">
        <v>377.1</v>
      </c>
      <c r="K4853" t="s">
        <v>22</v>
      </c>
      <c r="L4853">
        <v>76</v>
      </c>
      <c r="M4853">
        <v>12.58</v>
      </c>
      <c r="N4853">
        <v>3.71</v>
      </c>
      <c r="O4853" t="s">
        <v>19</v>
      </c>
      <c r="P4853" t="s">
        <v>1320</v>
      </c>
      <c r="Q4853" t="s">
        <v>19</v>
      </c>
      <c r="R4853" t="str">
        <f>HYPERLINK("https://cfpub.epa.gov/ecotox/explore.cfm?ncbi=1756095","Explore in ECOTOX")</f>
        <v>Explore in ECOTOX</v>
      </c>
    </row>
    <row r="4854" spans="1:18" x14ac:dyDescent="0.45">
      <c r="A4854" t="s">
        <v>1265</v>
      </c>
      <c r="B4854">
        <v>8</v>
      </c>
      <c r="C4854" t="str">
        <f>HYPERLINK("http://www.ncbi.nlm.nih.gov/protein/BCK60163.1","BCK60163.1")</f>
        <v>BCK60163.1</v>
      </c>
      <c r="D4854">
        <v>84</v>
      </c>
      <c r="E4854" t="str">
        <f>HYPERLINK("http://www.ncbi.nlm.nih.gov/Taxonomy/Browser/wwwtax.cgi?mode=Info&amp;id=228541&amp;lvl=3&amp;lin=f&amp;keep=1&amp;srchmode=1&amp;unlock","228541")</f>
        <v>228541</v>
      </c>
      <c r="F4854" t="s">
        <v>17</v>
      </c>
      <c r="G4854" t="str">
        <f>HYPERLINK("http://www.ncbi.nlm.nih.gov/Taxonomy/Browser/wwwtax.cgi?mode=Info&amp;id=228541&amp;lvl=3&amp;lin=f&amp;keep=1&amp;srchmode=1&amp;unlock","Luciogobius guttatus")</f>
        <v>Luciogobius guttatus</v>
      </c>
      <c r="H4854" t="s">
        <v>1421</v>
      </c>
      <c r="I4854" t="str">
        <f>HYPERLINK("http://www.ncbi.nlm.nih.gov/protein/BCK60163.1","ryanodine receptor 3-like protein, partial")</f>
        <v>ryanodine receptor 3-like protein, partial</v>
      </c>
      <c r="J4854">
        <v>375.94</v>
      </c>
      <c r="K4854" t="s">
        <v>22</v>
      </c>
      <c r="L4854">
        <v>76</v>
      </c>
      <c r="M4854">
        <v>12.58</v>
      </c>
      <c r="N4854">
        <v>3.7</v>
      </c>
      <c r="O4854" t="s">
        <v>19</v>
      </c>
      <c r="P4854" t="s">
        <v>1320</v>
      </c>
      <c r="Q4854" t="s">
        <v>19</v>
      </c>
      <c r="R4854" t="str">
        <f>HYPERLINK("https://cfpub.epa.gov/ecotox/explore.cfm?ncbi=228541","Explore in ECOTOX")</f>
        <v>Explore in ECOTOX</v>
      </c>
    </row>
    <row r="4855" spans="1:18" x14ac:dyDescent="0.45">
      <c r="A4855" t="s">
        <v>1265</v>
      </c>
      <c r="B4855">
        <v>8</v>
      </c>
      <c r="C4855" t="str">
        <f>HYPERLINK("http://www.ncbi.nlm.nih.gov/protein/BCK60118.1","BCK60118.1")</f>
        <v>BCK60118.1</v>
      </c>
      <c r="D4855">
        <v>108</v>
      </c>
      <c r="E4855" t="str">
        <f>HYPERLINK("http://www.ncbi.nlm.nih.gov/Taxonomy/Browser/wwwtax.cgi?mode=Info&amp;id=178221&amp;lvl=3&amp;lin=f&amp;keep=1&amp;srchmode=1&amp;unlock","178221")</f>
        <v>178221</v>
      </c>
      <c r="F4855" t="s">
        <v>17</v>
      </c>
      <c r="G4855" t="str">
        <f>HYPERLINK("http://www.ncbi.nlm.nih.gov/Taxonomy/Browser/wwwtax.cgi?mode=Info&amp;id=178221&amp;lvl=3&amp;lin=f&amp;keep=1&amp;srchmode=1&amp;unlock","Gymnogobius urotaenia")</f>
        <v>Gymnogobius urotaenia</v>
      </c>
      <c r="H4855" t="s">
        <v>94</v>
      </c>
      <c r="I4855" t="str">
        <f>HYPERLINK("http://www.ncbi.nlm.nih.gov/protein/BCK60118.1","ryanodine receptor 3-like protein, partial")</f>
        <v>ryanodine receptor 3-like protein, partial</v>
      </c>
      <c r="J4855">
        <v>375.94</v>
      </c>
      <c r="K4855" t="s">
        <v>22</v>
      </c>
      <c r="L4855">
        <v>76</v>
      </c>
      <c r="M4855">
        <v>12.58</v>
      </c>
      <c r="N4855">
        <v>3.7</v>
      </c>
      <c r="O4855" t="s">
        <v>19</v>
      </c>
      <c r="P4855" t="s">
        <v>1320</v>
      </c>
      <c r="Q4855" t="s">
        <v>19</v>
      </c>
      <c r="R4855" t="str">
        <f>HYPERLINK("https://cfpub.epa.gov/ecotox/explore.cfm?ncbi=178221","Explore in ECOTOX")</f>
        <v>Explore in ECOTOX</v>
      </c>
    </row>
    <row r="4856" spans="1:18" x14ac:dyDescent="0.45">
      <c r="A4856" t="s">
        <v>1265</v>
      </c>
      <c r="B4856">
        <v>8</v>
      </c>
      <c r="C4856" t="str">
        <f>HYPERLINK("http://www.ncbi.nlm.nih.gov/protein/AEY80795.1","AEY80795.1")</f>
        <v>AEY80795.1</v>
      </c>
      <c r="D4856">
        <v>99</v>
      </c>
      <c r="E4856" t="str">
        <f>HYPERLINK("http://www.ncbi.nlm.nih.gov/Taxonomy/Browser/wwwtax.cgi?mode=Info&amp;id=126308&amp;lvl=3&amp;lin=f&amp;keep=1&amp;srchmode=1&amp;unlock","126308")</f>
        <v>126308</v>
      </c>
      <c r="F4856" t="s">
        <v>17</v>
      </c>
      <c r="G4856" t="str">
        <f>HYPERLINK("http://www.ncbi.nlm.nih.gov/Taxonomy/Browser/wwwtax.cgi?mode=Info&amp;id=126308&amp;lvl=3&amp;lin=f&amp;keep=1&amp;srchmode=1&amp;unlock","Galaxias sp. 'southern'")</f>
        <v>Galaxias sp. 'southern'</v>
      </c>
      <c r="H4856" t="s">
        <v>1307</v>
      </c>
      <c r="I4856" t="str">
        <f>HYPERLINK("http://www.ncbi.nlm.nih.gov/protein/AEY80795.1","ryanodine receptor 3-like protein, partial")</f>
        <v>ryanodine receptor 3-like protein, partial</v>
      </c>
      <c r="J4856">
        <v>375.56</v>
      </c>
      <c r="K4856" t="s">
        <v>22</v>
      </c>
      <c r="L4856">
        <v>76</v>
      </c>
      <c r="M4856">
        <v>12.58</v>
      </c>
      <c r="N4856">
        <v>3.7</v>
      </c>
      <c r="O4856" t="s">
        <v>19</v>
      </c>
      <c r="P4856" t="s">
        <v>1320</v>
      </c>
      <c r="Q4856" t="s">
        <v>19</v>
      </c>
      <c r="R4856" t="str">
        <f>HYPERLINK("https://cfpub.epa.gov/ecotox/explore.cfm?ncbi=126308","Explore in ECOTOX")</f>
        <v>Explore in ECOTOX</v>
      </c>
    </row>
    <row r="4857" spans="1:18" x14ac:dyDescent="0.45">
      <c r="A4857" t="s">
        <v>1265</v>
      </c>
      <c r="B4857">
        <v>8</v>
      </c>
      <c r="C4857" t="str">
        <f>HYPERLINK("http://www.ncbi.nlm.nih.gov/protein/AEY80791.1","AEY80791.1")</f>
        <v>AEY80791.1</v>
      </c>
      <c r="D4857">
        <v>148</v>
      </c>
      <c r="E4857" t="str">
        <f>HYPERLINK("http://www.ncbi.nlm.nih.gov/Taxonomy/Browser/wwwtax.cgi?mode=Info&amp;id=126305&amp;lvl=3&amp;lin=f&amp;keep=1&amp;srchmode=1&amp;unlock","126305")</f>
        <v>126305</v>
      </c>
      <c r="F4857" t="s">
        <v>17</v>
      </c>
      <c r="G4857" t="str">
        <f>HYPERLINK("http://www.ncbi.nlm.nih.gov/Taxonomy/Browser/wwwtax.cgi?mode=Info&amp;id=126305&amp;lvl=3&amp;lin=f&amp;keep=1&amp;srchmode=1&amp;unlock","Galaxias gollumoides")</f>
        <v>Galaxias gollumoides</v>
      </c>
      <c r="H4857" t="s">
        <v>1308</v>
      </c>
      <c r="I4857" t="str">
        <f>HYPERLINK("http://www.ncbi.nlm.nih.gov/protein/AEY80791.1","ryanodine receptor 3-like protein, partial")</f>
        <v>ryanodine receptor 3-like protein, partial</v>
      </c>
      <c r="J4857">
        <v>375.56</v>
      </c>
      <c r="K4857" t="s">
        <v>22</v>
      </c>
      <c r="L4857">
        <v>76</v>
      </c>
      <c r="M4857">
        <v>12.58</v>
      </c>
      <c r="N4857">
        <v>3.7</v>
      </c>
      <c r="O4857" t="s">
        <v>19</v>
      </c>
      <c r="P4857" t="s">
        <v>1320</v>
      </c>
      <c r="Q4857" t="s">
        <v>19</v>
      </c>
      <c r="R4857" t="str">
        <f>HYPERLINK("https://cfpub.epa.gov/ecotox/explore.cfm?ncbi=126305","Explore in ECOTOX")</f>
        <v>Explore in ECOTOX</v>
      </c>
    </row>
    <row r="4858" spans="1:18" x14ac:dyDescent="0.45">
      <c r="A4858" t="s">
        <v>1265</v>
      </c>
      <c r="B4858">
        <v>8</v>
      </c>
      <c r="C4858" t="str">
        <f>HYPERLINK("http://www.ncbi.nlm.nih.gov/protein/AEY80797.1","AEY80797.1")</f>
        <v>AEY80797.1</v>
      </c>
      <c r="D4858">
        <v>35</v>
      </c>
      <c r="E4858" t="str">
        <f>HYPERLINK("http://www.ncbi.nlm.nih.gov/Taxonomy/Browser/wwwtax.cgi?mode=Info&amp;id=66451&amp;lvl=3&amp;lin=f&amp;keep=1&amp;srchmode=1&amp;unlock","66451")</f>
        <v>66451</v>
      </c>
      <c r="F4858" t="s">
        <v>17</v>
      </c>
      <c r="G4858" t="str">
        <f>HYPERLINK("http://www.ncbi.nlm.nih.gov/Taxonomy/Browser/wwwtax.cgi?mode=Info&amp;id=66451&amp;lvl=3&amp;lin=f&amp;keep=1&amp;srchmode=1&amp;unlock","Neochanna burrowsius")</f>
        <v>Neochanna burrowsius</v>
      </c>
      <c r="H4858" t="s">
        <v>1302</v>
      </c>
      <c r="I4858" t="str">
        <f>HYPERLINK("http://www.ncbi.nlm.nih.gov/protein/AEY80797.1","ryanodine receptor 3-like protein, partial")</f>
        <v>ryanodine receptor 3-like protein, partial</v>
      </c>
      <c r="J4858">
        <v>375.56</v>
      </c>
      <c r="K4858" t="s">
        <v>22</v>
      </c>
      <c r="L4858">
        <v>76</v>
      </c>
      <c r="M4858">
        <v>12.58</v>
      </c>
      <c r="N4858">
        <v>3.7</v>
      </c>
      <c r="O4858" t="s">
        <v>19</v>
      </c>
      <c r="P4858" t="s">
        <v>1320</v>
      </c>
      <c r="Q4858" t="s">
        <v>19</v>
      </c>
      <c r="R4858" t="str">
        <f>HYPERLINK("https://cfpub.epa.gov/ecotox/explore.cfm?ncbi=66451","Explore in ECOTOX")</f>
        <v>Explore in ECOTOX</v>
      </c>
    </row>
    <row r="4859" spans="1:18" x14ac:dyDescent="0.45">
      <c r="A4859" t="s">
        <v>1265</v>
      </c>
      <c r="B4859">
        <v>8</v>
      </c>
      <c r="C4859" t="str">
        <f>HYPERLINK("http://www.ncbi.nlm.nih.gov/protein/AEY80793.1","AEY80793.1")</f>
        <v>AEY80793.1</v>
      </c>
      <c r="D4859">
        <v>73</v>
      </c>
      <c r="E4859" t="str">
        <f>HYPERLINK("http://www.ncbi.nlm.nih.gov/Taxonomy/Browser/wwwtax.cgi?mode=Info&amp;id=89560&amp;lvl=3&amp;lin=f&amp;keep=1&amp;srchmode=1&amp;unlock","89560")</f>
        <v>89560</v>
      </c>
      <c r="F4859" t="s">
        <v>17</v>
      </c>
      <c r="G4859" t="str">
        <f>HYPERLINK("http://www.ncbi.nlm.nih.gov/Taxonomy/Browser/wwwtax.cgi?mode=Info&amp;id=89560&amp;lvl=3&amp;lin=f&amp;keep=1&amp;srchmode=1&amp;unlock","Galaxias paucispondylus")</f>
        <v>Galaxias paucispondylus</v>
      </c>
      <c r="H4859" t="s">
        <v>1306</v>
      </c>
      <c r="I4859" t="str">
        <f>HYPERLINK("http://www.ncbi.nlm.nih.gov/protein/AEY80793.1","ryanodine receptor 3-like protein, partial")</f>
        <v>ryanodine receptor 3-like protein, partial</v>
      </c>
      <c r="J4859">
        <v>375.56</v>
      </c>
      <c r="K4859" t="s">
        <v>22</v>
      </c>
      <c r="L4859">
        <v>76</v>
      </c>
      <c r="M4859">
        <v>12.58</v>
      </c>
      <c r="N4859">
        <v>3.7</v>
      </c>
      <c r="O4859" t="s">
        <v>19</v>
      </c>
      <c r="P4859" t="s">
        <v>1320</v>
      </c>
      <c r="Q4859" t="s">
        <v>19</v>
      </c>
      <c r="R4859" t="str">
        <f>HYPERLINK("https://cfpub.epa.gov/ecotox/explore.cfm?ncbi=89560","Explore in ECOTOX")</f>
        <v>Explore in ECOTOX</v>
      </c>
    </row>
    <row r="4860" spans="1:18" x14ac:dyDescent="0.45">
      <c r="A4860" t="s">
        <v>1265</v>
      </c>
      <c r="B4860">
        <v>8</v>
      </c>
      <c r="C4860" t="str">
        <f>HYPERLINK("http://www.ncbi.nlm.nih.gov/protein/AEY80790.1","AEY80790.1")</f>
        <v>AEY80790.1</v>
      </c>
      <c r="D4860">
        <v>189</v>
      </c>
      <c r="E4860" t="str">
        <f>HYPERLINK("http://www.ncbi.nlm.nih.gov/Taxonomy/Browser/wwwtax.cgi?mode=Info&amp;id=66447&amp;lvl=3&amp;lin=f&amp;keep=1&amp;srchmode=1&amp;unlock","66447")</f>
        <v>66447</v>
      </c>
      <c r="F4860" t="s">
        <v>17</v>
      </c>
      <c r="G4860" t="str">
        <f>HYPERLINK("http://www.ncbi.nlm.nih.gov/Taxonomy/Browser/wwwtax.cgi?mode=Info&amp;id=66447&amp;lvl=3&amp;lin=f&amp;keep=1&amp;srchmode=1&amp;unlock","Galaxias brevipinnis")</f>
        <v>Galaxias brevipinnis</v>
      </c>
      <c r="H4860" t="s">
        <v>1305</v>
      </c>
      <c r="I4860" t="str">
        <f>HYPERLINK("http://www.ncbi.nlm.nih.gov/protein/AEY80790.1","ryanodine receptor 3-like protein, partial")</f>
        <v>ryanodine receptor 3-like protein, partial</v>
      </c>
      <c r="J4860">
        <v>375.56</v>
      </c>
      <c r="K4860" t="s">
        <v>22</v>
      </c>
      <c r="L4860">
        <v>76</v>
      </c>
      <c r="M4860">
        <v>12.58</v>
      </c>
      <c r="N4860">
        <v>3.7</v>
      </c>
      <c r="O4860" t="s">
        <v>19</v>
      </c>
      <c r="P4860" t="s">
        <v>1320</v>
      </c>
      <c r="Q4860" t="s">
        <v>19</v>
      </c>
      <c r="R4860" t="str">
        <f>HYPERLINK("https://cfpub.epa.gov/ecotox/explore.cfm?ncbi=66447","Explore in ECOTOX")</f>
        <v>Explore in ECOTOX</v>
      </c>
    </row>
    <row r="4861" spans="1:18" x14ac:dyDescent="0.45">
      <c r="A4861" t="s">
        <v>1265</v>
      </c>
      <c r="B4861">
        <v>8</v>
      </c>
      <c r="C4861" t="str">
        <f>HYPERLINK("http://www.ncbi.nlm.nih.gov/protein/BCK60132.1","BCK60132.1")</f>
        <v>BCK60132.1</v>
      </c>
      <c r="D4861">
        <v>12</v>
      </c>
      <c r="E4861" t="str">
        <f>HYPERLINK("http://www.ncbi.nlm.nih.gov/Taxonomy/Browser/wwwtax.cgi?mode=Info&amp;id=178222&amp;lvl=3&amp;lin=f&amp;keep=1&amp;srchmode=1&amp;unlock","178222")</f>
        <v>178222</v>
      </c>
      <c r="F4861" t="s">
        <v>17</v>
      </c>
      <c r="G4861" t="str">
        <f>HYPERLINK("http://www.ncbi.nlm.nih.gov/Taxonomy/Browser/wwwtax.cgi?mode=Info&amp;id=178222&amp;lvl=3&amp;lin=f&amp;keep=1&amp;srchmode=1&amp;unlock","Gymnogobius macrognathos")</f>
        <v>Gymnogobius macrognathos</v>
      </c>
      <c r="H4861" t="s">
        <v>94</v>
      </c>
      <c r="I4861" t="str">
        <f>HYPERLINK("http://www.ncbi.nlm.nih.gov/protein/BCK60132.1","ryanodine receptor 3-like protein, partial")</f>
        <v>ryanodine receptor 3-like protein, partial</v>
      </c>
      <c r="J4861">
        <v>375.17</v>
      </c>
      <c r="K4861" t="s">
        <v>22</v>
      </c>
      <c r="L4861">
        <v>76</v>
      </c>
      <c r="M4861">
        <v>12.58</v>
      </c>
      <c r="N4861">
        <v>3.69</v>
      </c>
      <c r="O4861" t="s">
        <v>19</v>
      </c>
      <c r="P4861" t="s">
        <v>1320</v>
      </c>
      <c r="Q4861" t="s">
        <v>19</v>
      </c>
      <c r="R4861" t="str">
        <f>HYPERLINK("https://cfpub.epa.gov/ecotox/explore.cfm?ncbi=178222","Explore in ECOTOX")</f>
        <v>Explore in ECOTOX</v>
      </c>
    </row>
    <row r="4862" spans="1:18" x14ac:dyDescent="0.45">
      <c r="A4862" t="s">
        <v>1265</v>
      </c>
      <c r="B4862">
        <v>8</v>
      </c>
      <c r="C4862" t="str">
        <f>HYPERLINK("http://www.ncbi.nlm.nih.gov/protein/BCK60130.1","BCK60130.1")</f>
        <v>BCK60130.1</v>
      </c>
      <c r="D4862">
        <v>16</v>
      </c>
      <c r="E4862" t="str">
        <f>HYPERLINK("http://www.ncbi.nlm.nih.gov/Taxonomy/Browser/wwwtax.cgi?mode=Info&amp;id=178216&amp;lvl=3&amp;lin=f&amp;keep=1&amp;srchmode=1&amp;unlock","178216")</f>
        <v>178216</v>
      </c>
      <c r="F4862" t="s">
        <v>17</v>
      </c>
      <c r="G4862" t="str">
        <f>HYPERLINK("http://www.ncbi.nlm.nih.gov/Taxonomy/Browser/wwwtax.cgi?mode=Info&amp;id=178216&amp;lvl=3&amp;lin=f&amp;keep=1&amp;srchmode=1&amp;unlock","Gymnogobius uchidai")</f>
        <v>Gymnogobius uchidai</v>
      </c>
      <c r="H4862" t="s">
        <v>94</v>
      </c>
      <c r="I4862" t="str">
        <f>HYPERLINK("http://www.ncbi.nlm.nih.gov/protein/BCK60130.1","ryanodine receptor 3-like protein, partial")</f>
        <v>ryanodine receptor 3-like protein, partial</v>
      </c>
      <c r="J4862">
        <v>375.17</v>
      </c>
      <c r="K4862" t="s">
        <v>22</v>
      </c>
      <c r="L4862">
        <v>76</v>
      </c>
      <c r="M4862">
        <v>12.58</v>
      </c>
      <c r="N4862">
        <v>3.69</v>
      </c>
      <c r="O4862" t="s">
        <v>19</v>
      </c>
      <c r="P4862" t="s">
        <v>1320</v>
      </c>
      <c r="Q4862" t="s">
        <v>19</v>
      </c>
      <c r="R4862" t="str">
        <f>HYPERLINK("https://cfpub.epa.gov/ecotox/explore.cfm?ncbi=178216","Explore in ECOTOX")</f>
        <v>Explore in ECOTOX</v>
      </c>
    </row>
    <row r="4863" spans="1:18" x14ac:dyDescent="0.45">
      <c r="A4863" t="s">
        <v>1265</v>
      </c>
      <c r="B4863">
        <v>8</v>
      </c>
      <c r="C4863" t="str">
        <f>HYPERLINK("http://www.ncbi.nlm.nih.gov/protein/BCK60134.1","BCK60134.1")</f>
        <v>BCK60134.1</v>
      </c>
      <c r="D4863">
        <v>18</v>
      </c>
      <c r="E4863" t="str">
        <f>HYPERLINK("http://www.ncbi.nlm.nih.gov/Taxonomy/Browser/wwwtax.cgi?mode=Info&amp;id=1231920&amp;lvl=3&amp;lin=f&amp;keep=1&amp;srchmode=1&amp;unlock","1231920")</f>
        <v>1231920</v>
      </c>
      <c r="F4863" t="s">
        <v>17</v>
      </c>
      <c r="G4863" t="str">
        <f>HYPERLINK("http://www.ncbi.nlm.nih.gov/Taxonomy/Browser/wwwtax.cgi?mode=Info&amp;id=1231920&amp;lvl=3&amp;lin=f&amp;keep=1&amp;srchmode=1&amp;unlock","Gymnogobius mororanus")</f>
        <v>Gymnogobius mororanus</v>
      </c>
      <c r="H4863" t="s">
        <v>94</v>
      </c>
      <c r="I4863" t="str">
        <f>HYPERLINK("http://www.ncbi.nlm.nih.gov/protein/BCK60134.1","ryanodine receptor 3-like protein, partial")</f>
        <v>ryanodine receptor 3-like protein, partial</v>
      </c>
      <c r="J4863">
        <v>375.17</v>
      </c>
      <c r="K4863" t="s">
        <v>22</v>
      </c>
      <c r="L4863">
        <v>76</v>
      </c>
      <c r="M4863">
        <v>12.58</v>
      </c>
      <c r="N4863">
        <v>3.69</v>
      </c>
      <c r="O4863" t="s">
        <v>19</v>
      </c>
      <c r="P4863" t="s">
        <v>1320</v>
      </c>
      <c r="Q4863" t="s">
        <v>19</v>
      </c>
      <c r="R4863" t="str">
        <f>HYPERLINK("https://cfpub.epa.gov/ecotox/explore.cfm?ncbi=1231920","Explore in ECOTOX")</f>
        <v>Explore in ECOTOX</v>
      </c>
    </row>
    <row r="4864" spans="1:18" x14ac:dyDescent="0.45">
      <c r="A4864" t="s">
        <v>1265</v>
      </c>
      <c r="B4864">
        <v>8</v>
      </c>
      <c r="C4864" t="str">
        <f>HYPERLINK("http://www.ncbi.nlm.nih.gov/protein/AEY80796.1","AEY80796.1")</f>
        <v>AEY80796.1</v>
      </c>
      <c r="D4864">
        <v>112</v>
      </c>
      <c r="E4864" t="str">
        <f>HYPERLINK("http://www.ncbi.nlm.nih.gov/Taxonomy/Browser/wwwtax.cgi?mode=Info&amp;id=51243&amp;lvl=3&amp;lin=f&amp;keep=1&amp;srchmode=1&amp;unlock","51243")</f>
        <v>51243</v>
      </c>
      <c r="F4864" t="s">
        <v>17</v>
      </c>
      <c r="G4864" t="str">
        <f>HYPERLINK("http://www.ncbi.nlm.nih.gov/Taxonomy/Browser/wwwtax.cgi?mode=Info&amp;id=51243&amp;lvl=3&amp;lin=f&amp;keep=1&amp;srchmode=1&amp;unlock","Galaxias zebratus")</f>
        <v>Galaxias zebratus</v>
      </c>
      <c r="H4864" t="s">
        <v>1309</v>
      </c>
      <c r="I4864" t="str">
        <f>HYPERLINK("http://www.ncbi.nlm.nih.gov/protein/AEY80796.1","ryanodine receptor 3-like protein, partial")</f>
        <v>ryanodine receptor 3-like protein, partial</v>
      </c>
      <c r="J4864">
        <v>375.17</v>
      </c>
      <c r="K4864" t="s">
        <v>22</v>
      </c>
      <c r="L4864">
        <v>76</v>
      </c>
      <c r="M4864">
        <v>12.58</v>
      </c>
      <c r="N4864">
        <v>3.69</v>
      </c>
      <c r="O4864" t="s">
        <v>19</v>
      </c>
      <c r="P4864" t="s">
        <v>1320</v>
      </c>
      <c r="Q4864" t="s">
        <v>19</v>
      </c>
      <c r="R4864" t="str">
        <f>HYPERLINK("https://cfpub.epa.gov/ecotox/explore.cfm?ncbi=51243","Explore in ECOTOX")</f>
        <v>Explore in ECOTOX</v>
      </c>
    </row>
    <row r="4865" spans="1:18" x14ac:dyDescent="0.45">
      <c r="A4865" t="s">
        <v>1265</v>
      </c>
      <c r="B4865">
        <v>8</v>
      </c>
      <c r="C4865" t="str">
        <f>HYPERLINK("http://www.ncbi.nlm.nih.gov/protein/AHB79002.1","AHB79002.1")</f>
        <v>AHB79002.1</v>
      </c>
      <c r="D4865">
        <v>139</v>
      </c>
      <c r="E4865" t="str">
        <f>HYPERLINK("http://www.ncbi.nlm.nih.gov/Taxonomy/Browser/wwwtax.cgi?mode=Info&amp;id=88147&amp;lvl=3&amp;lin=f&amp;keep=1&amp;srchmode=1&amp;unlock","88147")</f>
        <v>88147</v>
      </c>
      <c r="F4865" t="s">
        <v>17</v>
      </c>
      <c r="G4865" t="str">
        <f>HYPERLINK("http://www.ncbi.nlm.nih.gov/Taxonomy/Browser/wwwtax.cgi?mode=Info&amp;id=88147&amp;lvl=3&amp;lin=f&amp;keep=1&amp;srchmode=1&amp;unlock","Tridentiger barbatus")</f>
        <v>Tridentiger barbatus</v>
      </c>
      <c r="H4865" t="s">
        <v>1422</v>
      </c>
      <c r="I4865" t="str">
        <f>HYPERLINK("http://www.ncbi.nlm.nih.gov/protein/AHB79002.1","ryanodine receptor 3, partial")</f>
        <v>ryanodine receptor 3, partial</v>
      </c>
      <c r="J4865">
        <v>375.17</v>
      </c>
      <c r="K4865" t="s">
        <v>22</v>
      </c>
      <c r="L4865">
        <v>76</v>
      </c>
      <c r="M4865">
        <v>12.58</v>
      </c>
      <c r="N4865">
        <v>3.69</v>
      </c>
      <c r="O4865" t="s">
        <v>19</v>
      </c>
      <c r="P4865" t="s">
        <v>1320</v>
      </c>
      <c r="Q4865" t="s">
        <v>19</v>
      </c>
      <c r="R4865" t="str">
        <f>HYPERLINK("https://cfpub.epa.gov/ecotox/explore.cfm?ncbi=88147","Explore in ECOTOX")</f>
        <v>Explore in ECOTOX</v>
      </c>
    </row>
    <row r="4866" spans="1:18" x14ac:dyDescent="0.45">
      <c r="A4866" t="s">
        <v>1265</v>
      </c>
      <c r="B4866">
        <v>8</v>
      </c>
      <c r="C4866" t="str">
        <f>HYPERLINK("http://www.ncbi.nlm.nih.gov/protein/BCK60113.1","BCK60113.1")</f>
        <v>BCK60113.1</v>
      </c>
      <c r="D4866">
        <v>146</v>
      </c>
      <c r="E4866" t="str">
        <f>HYPERLINK("http://www.ncbi.nlm.nih.gov/Taxonomy/Browser/wwwtax.cgi?mode=Info&amp;id=178220&amp;lvl=3&amp;lin=f&amp;keep=1&amp;srchmode=1&amp;unlock","178220")</f>
        <v>178220</v>
      </c>
      <c r="F4866" t="s">
        <v>17</v>
      </c>
      <c r="G4866" t="str">
        <f>HYPERLINK("http://www.ncbi.nlm.nih.gov/Taxonomy/Browser/wwwtax.cgi?mode=Info&amp;id=178220&amp;lvl=3&amp;lin=f&amp;keep=1&amp;srchmode=1&amp;unlock","Gymnogobius isaza")</f>
        <v>Gymnogobius isaza</v>
      </c>
      <c r="H4866" t="s">
        <v>94</v>
      </c>
      <c r="I4866" t="str">
        <f>HYPERLINK("http://www.ncbi.nlm.nih.gov/protein/BCK60113.1","ryanodine receptor 3-like protein, partial")</f>
        <v>ryanodine receptor 3-like protein, partial</v>
      </c>
      <c r="J4866">
        <v>374.79</v>
      </c>
      <c r="K4866" t="s">
        <v>22</v>
      </c>
      <c r="L4866">
        <v>76</v>
      </c>
      <c r="M4866">
        <v>12.58</v>
      </c>
      <c r="N4866">
        <v>3.69</v>
      </c>
      <c r="O4866" t="s">
        <v>19</v>
      </c>
      <c r="P4866" t="s">
        <v>1320</v>
      </c>
      <c r="Q4866" t="s">
        <v>19</v>
      </c>
      <c r="R4866" t="str">
        <f>HYPERLINK("https://cfpub.epa.gov/ecotox/explore.cfm?ncbi=178220","Explore in ECOTOX")</f>
        <v>Explore in ECOTOX</v>
      </c>
    </row>
    <row r="4867" spans="1:18" x14ac:dyDescent="0.45">
      <c r="A4867" t="s">
        <v>1265</v>
      </c>
      <c r="B4867">
        <v>8</v>
      </c>
      <c r="C4867" t="str">
        <f>HYPERLINK("http://www.ncbi.nlm.nih.gov/protein/BCK60091.1","BCK60091.1")</f>
        <v>BCK60091.1</v>
      </c>
      <c r="D4867">
        <v>25</v>
      </c>
      <c r="E4867" t="str">
        <f>HYPERLINK("http://www.ncbi.nlm.nih.gov/Taxonomy/Browser/wwwtax.cgi?mode=Info&amp;id=1604517&amp;lvl=3&amp;lin=f&amp;keep=1&amp;srchmode=1&amp;unlock","1604517")</f>
        <v>1604517</v>
      </c>
      <c r="F4867" t="s">
        <v>17</v>
      </c>
      <c r="G4867" t="str">
        <f>HYPERLINK("http://www.ncbi.nlm.nih.gov/Taxonomy/Browser/wwwtax.cgi?mode=Info&amp;id=1604517&amp;lvl=3&amp;lin=f&amp;keep=1&amp;srchmode=1&amp;unlock","Gymnogobius scrobiculatus")</f>
        <v>Gymnogobius scrobiculatus</v>
      </c>
      <c r="H4867" t="s">
        <v>94</v>
      </c>
      <c r="I4867" t="str">
        <f>HYPERLINK("http://www.ncbi.nlm.nih.gov/protein/BCK60091.1","ryanodine receptor 3-like protein, partial")</f>
        <v>ryanodine receptor 3-like protein, partial</v>
      </c>
      <c r="J4867">
        <v>374.4</v>
      </c>
      <c r="K4867" t="s">
        <v>22</v>
      </c>
      <c r="L4867">
        <v>76</v>
      </c>
      <c r="M4867">
        <v>12.58</v>
      </c>
      <c r="N4867">
        <v>3.68</v>
      </c>
      <c r="O4867" t="s">
        <v>19</v>
      </c>
      <c r="P4867" t="s">
        <v>1320</v>
      </c>
      <c r="Q4867" t="s">
        <v>19</v>
      </c>
      <c r="R4867" t="str">
        <f>HYPERLINK("https://cfpub.epa.gov/ecotox/explore.cfm?ncbi=1604517","Explore in ECOTOX")</f>
        <v>Explore in ECOTOX</v>
      </c>
    </row>
    <row r="4868" spans="1:18" x14ac:dyDescent="0.45">
      <c r="A4868" t="s">
        <v>1265</v>
      </c>
      <c r="B4868">
        <v>8</v>
      </c>
      <c r="C4868" t="str">
        <f>HYPERLINK("http://www.ncbi.nlm.nih.gov/protein/BCK60098.1","BCK60098.1")</f>
        <v>BCK60098.1</v>
      </c>
      <c r="D4868">
        <v>20</v>
      </c>
      <c r="E4868" t="str">
        <f>HYPERLINK("http://www.ncbi.nlm.nih.gov/Taxonomy/Browser/wwwtax.cgi?mode=Info&amp;id=2608440&amp;lvl=3&amp;lin=f&amp;keep=1&amp;srchmode=1&amp;unlock","2608440")</f>
        <v>2608440</v>
      </c>
      <c r="F4868" t="s">
        <v>17</v>
      </c>
      <c r="G4868" t="str">
        <f>HYPERLINK("http://www.ncbi.nlm.nih.gov/Taxonomy/Browser/wwwtax.cgi?mode=Info&amp;id=2608440&amp;lvl=3&amp;lin=f&amp;keep=1&amp;srchmode=1&amp;unlock","Gymnogobius cylindricus")</f>
        <v>Gymnogobius cylindricus</v>
      </c>
      <c r="H4868" t="s">
        <v>94</v>
      </c>
      <c r="I4868" t="str">
        <f>HYPERLINK("http://www.ncbi.nlm.nih.gov/protein/BCK60098.1","ryanodine receptor 3-like protein, partial")</f>
        <v>ryanodine receptor 3-like protein, partial</v>
      </c>
      <c r="J4868">
        <v>373.24</v>
      </c>
      <c r="K4868" t="s">
        <v>22</v>
      </c>
      <c r="L4868">
        <v>76</v>
      </c>
      <c r="M4868">
        <v>12.58</v>
      </c>
      <c r="N4868">
        <v>3.67</v>
      </c>
      <c r="O4868" t="s">
        <v>19</v>
      </c>
      <c r="P4868" t="s">
        <v>1320</v>
      </c>
      <c r="Q4868" t="s">
        <v>19</v>
      </c>
      <c r="R4868" t="str">
        <f>HYPERLINK("https://cfpub.epa.gov/ecotox/explore.cfm?ncbi=2608440","Explore in ECOTOX")</f>
        <v>Explore in ECOTOX</v>
      </c>
    </row>
    <row r="4869" spans="1:18" x14ac:dyDescent="0.45">
      <c r="A4869" t="s">
        <v>1265</v>
      </c>
      <c r="B4869">
        <v>8</v>
      </c>
      <c r="C4869" t="str">
        <f>HYPERLINK("http://www.ncbi.nlm.nih.gov/protein/AHI54480.1","AHI54480.1")</f>
        <v>AHI54480.1</v>
      </c>
      <c r="D4869">
        <v>3</v>
      </c>
      <c r="E4869" t="str">
        <f>HYPERLINK("http://www.ncbi.nlm.nih.gov/Taxonomy/Browser/wwwtax.cgi?mode=Info&amp;id=1458935&amp;lvl=3&amp;lin=f&amp;keep=1&amp;srchmode=1&amp;unlock","1458935")</f>
        <v>1458935</v>
      </c>
      <c r="F4869" t="s">
        <v>17</v>
      </c>
      <c r="G4869" t="str">
        <f>HYPERLINK("http://www.ncbi.nlm.nih.gov/Taxonomy/Browser/wwwtax.cgi?mode=Info&amp;id=1458935&amp;lvl=3&amp;lin=f&amp;keep=1&amp;srchmode=1&amp;unlock","Awaous sp. TDS1")</f>
        <v>Awaous sp. TDS1</v>
      </c>
      <c r="H4869" t="s">
        <v>94</v>
      </c>
      <c r="I4869" t="str">
        <f>HYPERLINK("http://www.ncbi.nlm.nih.gov/protein/AHI54480.1","ryanodine receptor 3-like protein, partial")</f>
        <v>ryanodine receptor 3-like protein, partial</v>
      </c>
      <c r="J4869">
        <v>372.86</v>
      </c>
      <c r="K4869" t="s">
        <v>22</v>
      </c>
      <c r="L4869">
        <v>76</v>
      </c>
      <c r="M4869">
        <v>12.58</v>
      </c>
      <c r="N4869">
        <v>3.67</v>
      </c>
      <c r="O4869" t="s">
        <v>19</v>
      </c>
      <c r="P4869" t="s">
        <v>1320</v>
      </c>
      <c r="Q4869" t="s">
        <v>19</v>
      </c>
      <c r="R4869" t="str">
        <f>HYPERLINK("https://cfpub.epa.gov/ecotox/explore.cfm?ncbi=1458935","Explore in ECOTOX")</f>
        <v>Explore in ECOTOX</v>
      </c>
    </row>
    <row r="4870" spans="1:18" x14ac:dyDescent="0.45">
      <c r="A4870" t="s">
        <v>1265</v>
      </c>
      <c r="B4870">
        <v>8</v>
      </c>
      <c r="C4870" t="str">
        <f>HYPERLINK("http://www.ncbi.nlm.nih.gov/protein/AEY80788.1","AEY80788.1")</f>
        <v>AEY80788.1</v>
      </c>
      <c r="D4870">
        <v>63</v>
      </c>
      <c r="E4870" t="str">
        <f>HYPERLINK("http://www.ncbi.nlm.nih.gov/Taxonomy/Browser/wwwtax.cgi?mode=Info&amp;id=1120762&amp;lvl=3&amp;lin=f&amp;keep=1&amp;srchmode=1&amp;unlock","1120762")</f>
        <v>1120762</v>
      </c>
      <c r="F4870" t="s">
        <v>17</v>
      </c>
      <c r="G4870" t="str">
        <f>HYPERLINK("http://www.ncbi.nlm.nih.gov/Taxonomy/Browser/wwwtax.cgi?mode=Info&amp;id=1120762&amp;lvl=3&amp;lin=f&amp;keep=1&amp;srchmode=1&amp;unlock","Lovettia sealii")</f>
        <v>Lovettia sealii</v>
      </c>
      <c r="H4870" t="s">
        <v>1310</v>
      </c>
      <c r="I4870" t="str">
        <f>HYPERLINK("http://www.ncbi.nlm.nih.gov/protein/AEY80788.1","ryanodine receptor 3-like protein, partial")</f>
        <v>ryanodine receptor 3-like protein, partial</v>
      </c>
      <c r="J4870">
        <v>372.09</v>
      </c>
      <c r="K4870" t="s">
        <v>22</v>
      </c>
      <c r="L4870">
        <v>76</v>
      </c>
      <c r="M4870">
        <v>12.58</v>
      </c>
      <c r="N4870">
        <v>3.66</v>
      </c>
      <c r="O4870" t="s">
        <v>19</v>
      </c>
      <c r="P4870" t="s">
        <v>1320</v>
      </c>
      <c r="Q4870" t="s">
        <v>19</v>
      </c>
      <c r="R4870" t="str">
        <f>HYPERLINK("https://cfpub.epa.gov/ecotox/explore.cfm?ncbi=1120762","Explore in ECOTOX")</f>
        <v>Explore in ECOTOX</v>
      </c>
    </row>
    <row r="4871" spans="1:18" x14ac:dyDescent="0.45">
      <c r="A4871" t="s">
        <v>1265</v>
      </c>
      <c r="B4871">
        <v>8</v>
      </c>
      <c r="C4871" t="str">
        <f>HYPERLINK("http://www.ncbi.nlm.nih.gov/protein/AHI54509.1","AHI54509.1")</f>
        <v>AHI54509.1</v>
      </c>
      <c r="D4871">
        <v>5</v>
      </c>
      <c r="E4871" t="str">
        <f>HYPERLINK("http://www.ncbi.nlm.nih.gov/Taxonomy/Browser/wwwtax.cgi?mode=Info&amp;id=1458937&amp;lvl=3&amp;lin=f&amp;keep=1&amp;srchmode=1&amp;unlock","1458937")</f>
        <v>1458937</v>
      </c>
      <c r="F4871" t="s">
        <v>17</v>
      </c>
      <c r="G4871" t="str">
        <f>HYPERLINK("http://www.ncbi.nlm.nih.gov/Taxonomy/Browser/wwwtax.cgi?mode=Info&amp;id=1458937&amp;lvl=3&amp;lin=f&amp;keep=1&amp;srchmode=1&amp;unlock","Ilypnus cf. luculentus ILA1")</f>
        <v>Ilypnus cf. luculentus ILA1</v>
      </c>
      <c r="H4871" t="s">
        <v>94</v>
      </c>
      <c r="I4871" t="str">
        <f>HYPERLINK("http://www.ncbi.nlm.nih.gov/protein/AHI54509.1","ryanodine receptor 3-like protein, partial")</f>
        <v>ryanodine receptor 3-like protein, partial</v>
      </c>
      <c r="J4871">
        <v>371.32</v>
      </c>
      <c r="K4871" t="s">
        <v>22</v>
      </c>
      <c r="L4871">
        <v>76</v>
      </c>
      <c r="M4871">
        <v>12.58</v>
      </c>
      <c r="N4871">
        <v>3.65</v>
      </c>
      <c r="O4871" t="s">
        <v>19</v>
      </c>
      <c r="P4871" t="s">
        <v>1320</v>
      </c>
      <c r="Q4871" t="s">
        <v>19</v>
      </c>
      <c r="R4871" t="str">
        <f>HYPERLINK("https://cfpub.epa.gov/ecotox/explore.cfm?ncbi=1458937","Explore in ECOTOX")</f>
        <v>Explore in ECOTOX</v>
      </c>
    </row>
    <row r="4872" spans="1:18" x14ac:dyDescent="0.45">
      <c r="A4872" t="s">
        <v>1265</v>
      </c>
      <c r="B4872">
        <v>8</v>
      </c>
      <c r="C4872" t="str">
        <f>HYPERLINK("http://www.ncbi.nlm.nih.gov/protein/BCK60100.1","BCK60100.1")</f>
        <v>BCK60100.1</v>
      </c>
      <c r="D4872">
        <v>60</v>
      </c>
      <c r="E4872" t="str">
        <f>HYPERLINK("http://www.ncbi.nlm.nih.gov/Taxonomy/Browser/wwwtax.cgi?mode=Info&amp;id=255714&amp;lvl=3&amp;lin=f&amp;keep=1&amp;srchmode=1&amp;unlock","255714")</f>
        <v>255714</v>
      </c>
      <c r="F4872" t="s">
        <v>17</v>
      </c>
      <c r="G4872" t="str">
        <f>HYPERLINK("http://www.ncbi.nlm.nih.gov/Taxonomy/Browser/wwwtax.cgi?mode=Info&amp;id=255714&amp;lvl=3&amp;lin=f&amp;keep=1&amp;srchmode=1&amp;unlock","Gymnogobius opperiens")</f>
        <v>Gymnogobius opperiens</v>
      </c>
      <c r="H4872" t="s">
        <v>94</v>
      </c>
      <c r="I4872" t="str">
        <f>HYPERLINK("http://www.ncbi.nlm.nih.gov/protein/BCK60100.1","ryanodine receptor 3-like protein, partial")</f>
        <v>ryanodine receptor 3-like protein, partial</v>
      </c>
      <c r="J4872">
        <v>371.32</v>
      </c>
      <c r="K4872" t="s">
        <v>22</v>
      </c>
      <c r="L4872">
        <v>76</v>
      </c>
      <c r="M4872">
        <v>12.58</v>
      </c>
      <c r="N4872">
        <v>3.65</v>
      </c>
      <c r="O4872" t="s">
        <v>19</v>
      </c>
      <c r="P4872" t="s">
        <v>1320</v>
      </c>
      <c r="Q4872" t="s">
        <v>19</v>
      </c>
      <c r="R4872" t="str">
        <f>HYPERLINK("https://cfpub.epa.gov/ecotox/explore.cfm?ncbi=255714","Explore in ECOTOX")</f>
        <v>Explore in ECOTOX</v>
      </c>
    </row>
    <row r="4873" spans="1:18" x14ac:dyDescent="0.45">
      <c r="A4873" t="s">
        <v>1265</v>
      </c>
      <c r="B4873">
        <v>8</v>
      </c>
      <c r="C4873" t="str">
        <f>HYPERLINK("http://www.ncbi.nlm.nih.gov/protein/AEY80792.1","AEY80792.1")</f>
        <v>AEY80792.1</v>
      </c>
      <c r="D4873">
        <v>131</v>
      </c>
      <c r="E4873" t="str">
        <f>HYPERLINK("http://www.ncbi.nlm.nih.gov/Taxonomy/Browser/wwwtax.cgi?mode=Info&amp;id=61620&amp;lvl=3&amp;lin=f&amp;keep=1&amp;srchmode=1&amp;unlock","61620")</f>
        <v>61620</v>
      </c>
      <c r="F4873" t="s">
        <v>17</v>
      </c>
      <c r="G4873" t="str">
        <f>HYPERLINK("http://www.ncbi.nlm.nih.gov/Taxonomy/Browser/wwwtax.cgi?mode=Info&amp;id=61620&amp;lvl=3&amp;lin=f&amp;keep=1&amp;srchmode=1&amp;unlock","Galaxias maculatus")</f>
        <v>Galaxias maculatus</v>
      </c>
      <c r="H4873" t="s">
        <v>1311</v>
      </c>
      <c r="I4873" t="str">
        <f>HYPERLINK("http://www.ncbi.nlm.nih.gov/protein/AEY80792.1","ryanodine receptor 3-like protein, partial")</f>
        <v>ryanodine receptor 3-like protein, partial</v>
      </c>
      <c r="J4873">
        <v>370.93</v>
      </c>
      <c r="K4873" t="s">
        <v>22</v>
      </c>
      <c r="L4873">
        <v>76</v>
      </c>
      <c r="M4873">
        <v>12.58</v>
      </c>
      <c r="N4873">
        <v>3.65</v>
      </c>
      <c r="O4873" t="s">
        <v>19</v>
      </c>
      <c r="P4873" t="s">
        <v>1320</v>
      </c>
      <c r="Q4873" t="s">
        <v>19</v>
      </c>
      <c r="R4873" t="str">
        <f>HYPERLINK("https://cfpub.epa.gov/ecotox/explore.cfm?ncbi=61620","Explore in ECOTOX")</f>
        <v>Explore in ECOTOX</v>
      </c>
    </row>
    <row r="4874" spans="1:18" x14ac:dyDescent="0.45">
      <c r="A4874" t="s">
        <v>1265</v>
      </c>
      <c r="B4874">
        <v>8</v>
      </c>
      <c r="C4874" t="str">
        <f>HYPERLINK("http://www.ncbi.nlm.nih.gov/protein/BCK60140.1","BCK60140.1")</f>
        <v>BCK60140.1</v>
      </c>
      <c r="D4874">
        <v>43</v>
      </c>
      <c r="E4874" t="str">
        <f>HYPERLINK("http://www.ncbi.nlm.nih.gov/Taxonomy/Browser/wwwtax.cgi?mode=Info&amp;id=255295&amp;lvl=3&amp;lin=f&amp;keep=1&amp;srchmode=1&amp;unlock","255295")</f>
        <v>255295</v>
      </c>
      <c r="F4874" t="s">
        <v>17</v>
      </c>
      <c r="G4874" t="str">
        <f>HYPERLINK("http://www.ncbi.nlm.nih.gov/Taxonomy/Browser/wwwtax.cgi?mode=Info&amp;id=255295&amp;lvl=3&amp;lin=f&amp;keep=1&amp;srchmode=1&amp;unlock","Gymnogobius heptacanthus")</f>
        <v>Gymnogobius heptacanthus</v>
      </c>
      <c r="H4874" t="s">
        <v>94</v>
      </c>
      <c r="I4874" t="str">
        <f>HYPERLINK("http://www.ncbi.nlm.nih.gov/protein/BCK60140.1","ryanodine receptor 3-like protein, partial")</f>
        <v>ryanodine receptor 3-like protein, partial</v>
      </c>
      <c r="J4874">
        <v>370.93</v>
      </c>
      <c r="K4874" t="s">
        <v>22</v>
      </c>
      <c r="L4874">
        <v>76</v>
      </c>
      <c r="M4874">
        <v>12.58</v>
      </c>
      <c r="N4874">
        <v>3.65</v>
      </c>
      <c r="O4874" t="s">
        <v>19</v>
      </c>
      <c r="P4874" t="s">
        <v>1320</v>
      </c>
      <c r="Q4874" t="s">
        <v>19</v>
      </c>
      <c r="R4874" t="str">
        <f>HYPERLINK("https://cfpub.epa.gov/ecotox/explore.cfm?ncbi=255295","Explore in ECOTOX")</f>
        <v>Explore in ECOTOX</v>
      </c>
    </row>
    <row r="4875" spans="1:18" x14ac:dyDescent="0.45">
      <c r="A4875" t="s">
        <v>1265</v>
      </c>
      <c r="B4875">
        <v>8</v>
      </c>
      <c r="C4875" t="str">
        <f>HYPERLINK("http://www.ncbi.nlm.nih.gov/protein/AHI54511.1","AHI54511.1")</f>
        <v>AHI54511.1</v>
      </c>
      <c r="D4875">
        <v>12</v>
      </c>
      <c r="E4875" t="str">
        <f>HYPERLINK("http://www.ncbi.nlm.nih.gov/Taxonomy/Browser/wwwtax.cgi?mode=Info&amp;id=314005&amp;lvl=3&amp;lin=f&amp;keep=1&amp;srchmode=1&amp;unlock","314005")</f>
        <v>314005</v>
      </c>
      <c r="F4875" t="s">
        <v>17</v>
      </c>
      <c r="G4875" t="str">
        <f>HYPERLINK("http://www.ncbi.nlm.nih.gov/Taxonomy/Browser/wwwtax.cgi?mode=Info&amp;id=314005&amp;lvl=3&amp;lin=f&amp;keep=1&amp;srchmode=1&amp;unlock","Lethops connectens")</f>
        <v>Lethops connectens</v>
      </c>
      <c r="H4875" t="s">
        <v>94</v>
      </c>
      <c r="I4875" t="str">
        <f>HYPERLINK("http://www.ncbi.nlm.nih.gov/protein/AHI54511.1","ryanodine receptor 3-like protein, partial")</f>
        <v>ryanodine receptor 3-like protein, partial</v>
      </c>
      <c r="J4875">
        <v>370.16</v>
      </c>
      <c r="K4875" t="s">
        <v>22</v>
      </c>
      <c r="L4875">
        <v>76</v>
      </c>
      <c r="M4875">
        <v>12.58</v>
      </c>
      <c r="N4875">
        <v>3.64</v>
      </c>
      <c r="O4875" t="s">
        <v>19</v>
      </c>
      <c r="P4875" t="s">
        <v>1320</v>
      </c>
      <c r="Q4875" t="s">
        <v>19</v>
      </c>
      <c r="R4875" t="str">
        <f>HYPERLINK("https://cfpub.epa.gov/ecotox/explore.cfm?ncbi=314005","Explore in ECOTOX")</f>
        <v>Explore in ECOTOX</v>
      </c>
    </row>
    <row r="4876" spans="1:18" x14ac:dyDescent="0.45">
      <c r="A4876" t="s">
        <v>1265</v>
      </c>
      <c r="B4876">
        <v>8</v>
      </c>
      <c r="C4876" t="str">
        <f>HYPERLINK("http://www.ncbi.nlm.nih.gov/protein/AHI54481.1","AHI54481.1")</f>
        <v>AHI54481.1</v>
      </c>
      <c r="D4876">
        <v>8</v>
      </c>
      <c r="E4876" t="str">
        <f>HYPERLINK("http://www.ncbi.nlm.nih.gov/Taxonomy/Browser/wwwtax.cgi?mode=Info&amp;id=314006&amp;lvl=3&amp;lin=f&amp;keep=1&amp;srchmode=1&amp;unlock","314006")</f>
        <v>314006</v>
      </c>
      <c r="F4876" t="s">
        <v>17</v>
      </c>
      <c r="G4876" t="str">
        <f>HYPERLINK("http://www.ncbi.nlm.nih.gov/Taxonomy/Browser/wwwtax.cgi?mode=Info&amp;id=314006&amp;lvl=3&amp;lin=f&amp;keep=1&amp;srchmode=1&amp;unlock","Ctenogobius sagittula")</f>
        <v>Ctenogobius sagittula</v>
      </c>
      <c r="H4876" t="s">
        <v>94</v>
      </c>
      <c r="I4876" t="str">
        <f>HYPERLINK("http://www.ncbi.nlm.nih.gov/protein/AHI54481.1","ryanodine receptor 3-like protein, partial")</f>
        <v>ryanodine receptor 3-like protein, partial</v>
      </c>
      <c r="J4876">
        <v>369.78</v>
      </c>
      <c r="K4876" t="s">
        <v>22</v>
      </c>
      <c r="L4876">
        <v>76</v>
      </c>
      <c r="M4876">
        <v>12.58</v>
      </c>
      <c r="N4876">
        <v>3.64</v>
      </c>
      <c r="O4876" t="s">
        <v>19</v>
      </c>
      <c r="P4876" t="s">
        <v>1320</v>
      </c>
      <c r="Q4876" t="s">
        <v>19</v>
      </c>
      <c r="R4876" t="str">
        <f>HYPERLINK("https://cfpub.epa.gov/ecotox/explore.cfm?ncbi=314006","Explore in ECOTOX")</f>
        <v>Explore in ECOTOX</v>
      </c>
    </row>
    <row r="4877" spans="1:18" x14ac:dyDescent="0.45">
      <c r="A4877" t="s">
        <v>1265</v>
      </c>
      <c r="B4877">
        <v>8</v>
      </c>
      <c r="C4877" t="str">
        <f>HYPERLINK("http://www.ncbi.nlm.nih.gov/protein/AEY80808.1","AEY80808.1")</f>
        <v>AEY80808.1</v>
      </c>
      <c r="D4877">
        <v>44</v>
      </c>
      <c r="E4877" t="str">
        <f>HYPERLINK("http://www.ncbi.nlm.nih.gov/Taxonomy/Browser/wwwtax.cgi?mode=Info&amp;id=700623&amp;lvl=3&amp;lin=f&amp;keep=1&amp;srchmode=1&amp;unlock","700623")</f>
        <v>700623</v>
      </c>
      <c r="F4877" t="s">
        <v>17</v>
      </c>
      <c r="G4877" t="str">
        <f>HYPERLINK("http://www.ncbi.nlm.nih.gov/Taxonomy/Browser/wwwtax.cgi?mode=Info&amp;id=700623&amp;lvl=3&amp;lin=f&amp;keep=1&amp;srchmode=1&amp;unlock","Argentina striata")</f>
        <v>Argentina striata</v>
      </c>
      <c r="H4877" t="s">
        <v>1423</v>
      </c>
      <c r="I4877" t="str">
        <f>HYPERLINK("http://www.ncbi.nlm.nih.gov/protein/AEY80808.1","ryanodine receptor 3-like protein, partial")</f>
        <v>ryanodine receptor 3-like protein, partial</v>
      </c>
      <c r="J4877">
        <v>368.24</v>
      </c>
      <c r="K4877" t="s">
        <v>22</v>
      </c>
      <c r="L4877">
        <v>76</v>
      </c>
      <c r="M4877">
        <v>12.58</v>
      </c>
      <c r="N4877">
        <v>3.62</v>
      </c>
      <c r="O4877" t="s">
        <v>19</v>
      </c>
      <c r="P4877" t="s">
        <v>1320</v>
      </c>
      <c r="Q4877" t="s">
        <v>19</v>
      </c>
      <c r="R4877" t="str">
        <f>HYPERLINK("https://cfpub.epa.gov/ecotox/explore.cfm?ncbi=700623","Explore in ECOTOX")</f>
        <v>Explore in ECOTOX</v>
      </c>
    </row>
    <row r="4878" spans="1:18" x14ac:dyDescent="0.45">
      <c r="A4878" t="s">
        <v>1265</v>
      </c>
      <c r="B4878">
        <v>8</v>
      </c>
      <c r="C4878" t="str">
        <f>HYPERLINK("http://www.ncbi.nlm.nih.gov/protein/BCK60149.1","BCK60149.1")</f>
        <v>BCK60149.1</v>
      </c>
      <c r="D4878">
        <v>66</v>
      </c>
      <c r="E4878" t="str">
        <f>HYPERLINK("http://www.ncbi.nlm.nih.gov/Taxonomy/Browser/wwwtax.cgi?mode=Info&amp;id=262095&amp;lvl=3&amp;lin=f&amp;keep=1&amp;srchmode=1&amp;unlock","262095")</f>
        <v>262095</v>
      </c>
      <c r="F4878" t="s">
        <v>17</v>
      </c>
      <c r="G4878" t="str">
        <f>HYPERLINK("http://www.ncbi.nlm.nih.gov/Taxonomy/Browser/wwwtax.cgi?mode=Info&amp;id=262095&amp;lvl=3&amp;lin=f&amp;keep=1&amp;srchmode=1&amp;unlock","Gymnogobius breunigii")</f>
        <v>Gymnogobius breunigii</v>
      </c>
      <c r="H4878" t="s">
        <v>94</v>
      </c>
      <c r="I4878" t="str">
        <f>HYPERLINK("http://www.ncbi.nlm.nih.gov/protein/BCK60149.1","ryanodine receptor 3-like protein, partial")</f>
        <v>ryanodine receptor 3-like protein, partial</v>
      </c>
      <c r="J4878">
        <v>367.85</v>
      </c>
      <c r="K4878" t="s">
        <v>22</v>
      </c>
      <c r="L4878">
        <v>76</v>
      </c>
      <c r="M4878">
        <v>12.58</v>
      </c>
      <c r="N4878">
        <v>3.62</v>
      </c>
      <c r="O4878" t="s">
        <v>19</v>
      </c>
      <c r="P4878" t="s">
        <v>1320</v>
      </c>
      <c r="Q4878" t="s">
        <v>19</v>
      </c>
      <c r="R4878" t="str">
        <f>HYPERLINK("https://cfpub.epa.gov/ecotox/explore.cfm?ncbi=262095","Explore in ECOTOX")</f>
        <v>Explore in ECOTOX</v>
      </c>
    </row>
    <row r="4879" spans="1:18" x14ac:dyDescent="0.45">
      <c r="A4879" t="s">
        <v>1265</v>
      </c>
      <c r="B4879">
        <v>8</v>
      </c>
      <c r="C4879" t="str">
        <f>HYPERLINK("http://www.ncbi.nlm.nih.gov/protein/BCK60158.1","BCK60158.1")</f>
        <v>BCK60158.1</v>
      </c>
      <c r="D4879">
        <v>27</v>
      </c>
      <c r="E4879" t="str">
        <f>HYPERLINK("http://www.ncbi.nlm.nih.gov/Taxonomy/Browser/wwwtax.cgi?mode=Info&amp;id=255296&amp;lvl=3&amp;lin=f&amp;keep=1&amp;srchmode=1&amp;unlock","255296")</f>
        <v>255296</v>
      </c>
      <c r="F4879" t="s">
        <v>17</v>
      </c>
      <c r="G4879" t="str">
        <f>HYPERLINK("http://www.ncbi.nlm.nih.gov/Taxonomy/Browser/wwwtax.cgi?mode=Info&amp;id=255296&amp;lvl=3&amp;lin=f&amp;keep=1&amp;srchmode=1&amp;unlock","Gymnogobius castaneus")</f>
        <v>Gymnogobius castaneus</v>
      </c>
      <c r="H4879" t="s">
        <v>94</v>
      </c>
      <c r="I4879" t="str">
        <f>HYPERLINK("http://www.ncbi.nlm.nih.gov/protein/BCK60158.1","ryanodine receptor 3-like protein, partial")</f>
        <v>ryanodine receptor 3-like protein, partial</v>
      </c>
      <c r="J4879">
        <v>367.85</v>
      </c>
      <c r="K4879" t="s">
        <v>22</v>
      </c>
      <c r="L4879">
        <v>76</v>
      </c>
      <c r="M4879">
        <v>12.58</v>
      </c>
      <c r="N4879">
        <v>3.62</v>
      </c>
      <c r="O4879" t="s">
        <v>19</v>
      </c>
      <c r="P4879" t="s">
        <v>1320</v>
      </c>
      <c r="Q4879" t="s">
        <v>19</v>
      </c>
      <c r="R4879" t="str">
        <f>HYPERLINK("https://cfpub.epa.gov/ecotox/explore.cfm?ncbi=255296","Explore in ECOTOX")</f>
        <v>Explore in ECOTOX</v>
      </c>
    </row>
    <row r="4880" spans="1:18" x14ac:dyDescent="0.45">
      <c r="A4880" t="s">
        <v>1265</v>
      </c>
      <c r="B4880">
        <v>8</v>
      </c>
      <c r="C4880" t="str">
        <f>HYPERLINK("http://www.ncbi.nlm.nih.gov/protein/AHI54512.1","AHI54512.1")</f>
        <v>AHI54512.1</v>
      </c>
      <c r="D4880">
        <v>110</v>
      </c>
      <c r="E4880" t="str">
        <f>HYPERLINK("http://www.ncbi.nlm.nih.gov/Taxonomy/Browser/wwwtax.cgi?mode=Info&amp;id=167318&amp;lvl=3&amp;lin=f&amp;keep=1&amp;srchmode=1&amp;unlock","167318")</f>
        <v>167318</v>
      </c>
      <c r="F4880" t="s">
        <v>17</v>
      </c>
      <c r="G4880" t="str">
        <f>HYPERLINK("http://www.ncbi.nlm.nih.gov/Taxonomy/Browser/wwwtax.cgi?mode=Info&amp;id=167318&amp;lvl=3&amp;lin=f&amp;keep=1&amp;srchmode=1&amp;unlock","Leucopsarion petersii")</f>
        <v>Leucopsarion petersii</v>
      </c>
      <c r="H4880" t="s">
        <v>94</v>
      </c>
      <c r="I4880" t="str">
        <f>HYPERLINK("http://www.ncbi.nlm.nih.gov/protein/AHI54512.1","ryanodine receptor 3-like protein, partial")</f>
        <v>ryanodine receptor 3-like protein, partial</v>
      </c>
      <c r="J4880">
        <v>367.85</v>
      </c>
      <c r="K4880" t="s">
        <v>22</v>
      </c>
      <c r="L4880">
        <v>76</v>
      </c>
      <c r="M4880">
        <v>12.58</v>
      </c>
      <c r="N4880">
        <v>3.62</v>
      </c>
      <c r="O4880" t="s">
        <v>19</v>
      </c>
      <c r="P4880" t="s">
        <v>1320</v>
      </c>
      <c r="Q4880" t="s">
        <v>19</v>
      </c>
      <c r="R4880" t="str">
        <f>HYPERLINK("https://cfpub.epa.gov/ecotox/explore.cfm?ncbi=167318","Explore in ECOTOX")</f>
        <v>Explore in ECOTOX</v>
      </c>
    </row>
    <row r="4881" spans="1:18" x14ac:dyDescent="0.45">
      <c r="A4881" t="s">
        <v>1265</v>
      </c>
      <c r="B4881">
        <v>8</v>
      </c>
      <c r="C4881" t="str">
        <f>HYPERLINK("http://www.ncbi.nlm.nih.gov/protein/AHI54520.1","AHI54520.1")</f>
        <v>AHI54520.1</v>
      </c>
      <c r="D4881">
        <v>23</v>
      </c>
      <c r="E4881" t="str">
        <f>HYPERLINK("http://www.ncbi.nlm.nih.gov/Taxonomy/Browser/wwwtax.cgi?mode=Info&amp;id=166768&amp;lvl=3&amp;lin=f&amp;keep=1&amp;srchmode=1&amp;unlock","166768")</f>
        <v>166768</v>
      </c>
      <c r="F4881" t="s">
        <v>17</v>
      </c>
      <c r="G4881" t="str">
        <f>HYPERLINK("http://www.ncbi.nlm.nih.gov/Taxonomy/Browser/wwwtax.cgi?mode=Info&amp;id=166768&amp;lvl=3&amp;lin=f&amp;keep=1&amp;srchmode=1&amp;unlock","Typhlogobius californiensis")</f>
        <v>Typhlogobius californiensis</v>
      </c>
      <c r="H4881" t="s">
        <v>1424</v>
      </c>
      <c r="I4881" t="str">
        <f>HYPERLINK("http://www.ncbi.nlm.nih.gov/protein/AHI54520.1","ryanodine receptor 3-like protein, partial")</f>
        <v>ryanodine receptor 3-like protein, partial</v>
      </c>
      <c r="J4881">
        <v>367.08</v>
      </c>
      <c r="K4881" t="s">
        <v>22</v>
      </c>
      <c r="L4881">
        <v>76</v>
      </c>
      <c r="M4881">
        <v>12.58</v>
      </c>
      <c r="N4881">
        <v>3.61</v>
      </c>
      <c r="O4881" t="s">
        <v>19</v>
      </c>
      <c r="P4881" t="s">
        <v>1320</v>
      </c>
      <c r="Q4881" t="s">
        <v>19</v>
      </c>
      <c r="R4881" t="str">
        <f>HYPERLINK("https://cfpub.epa.gov/ecotox/explore.cfm?ncbi=166768","Explore in ECOTOX")</f>
        <v>Explore in ECOTOX</v>
      </c>
    </row>
    <row r="4882" spans="1:18" x14ac:dyDescent="0.45">
      <c r="A4882" t="s">
        <v>1265</v>
      </c>
      <c r="B4882">
        <v>8</v>
      </c>
      <c r="C4882" t="str">
        <f>HYPERLINK("http://www.ncbi.nlm.nih.gov/protein/AHI54515.1","AHI54515.1")</f>
        <v>AHI54515.1</v>
      </c>
      <c r="D4882">
        <v>17</v>
      </c>
      <c r="E4882" t="str">
        <f>HYPERLINK("http://www.ncbi.nlm.nih.gov/Taxonomy/Browser/wwwtax.cgi?mode=Info&amp;id=646538&amp;lvl=3&amp;lin=f&amp;keep=1&amp;srchmode=1&amp;unlock","646538")</f>
        <v>646538</v>
      </c>
      <c r="F4882" t="s">
        <v>17</v>
      </c>
      <c r="G4882" t="str">
        <f>HYPERLINK("http://www.ncbi.nlm.nih.gov/Taxonomy/Browser/wwwtax.cgi?mode=Info&amp;id=646538&amp;lvl=3&amp;lin=f&amp;keep=1&amp;srchmode=1&amp;unlock","Inu koma")</f>
        <v>Inu koma</v>
      </c>
      <c r="H4882" t="s">
        <v>94</v>
      </c>
      <c r="I4882" t="str">
        <f>HYPERLINK("http://www.ncbi.nlm.nih.gov/protein/AHI54515.1","ryanodine receptor 3-like protein, partial")</f>
        <v>ryanodine receptor 3-like protein, partial</v>
      </c>
      <c r="J4882">
        <v>367.08</v>
      </c>
      <c r="K4882" t="s">
        <v>22</v>
      </c>
      <c r="L4882">
        <v>76</v>
      </c>
      <c r="M4882">
        <v>12.58</v>
      </c>
      <c r="N4882">
        <v>3.61</v>
      </c>
      <c r="O4882" t="s">
        <v>19</v>
      </c>
      <c r="P4882" t="s">
        <v>1320</v>
      </c>
      <c r="Q4882" t="s">
        <v>19</v>
      </c>
      <c r="R4882" t="str">
        <f>HYPERLINK("https://cfpub.epa.gov/ecotox/explore.cfm?ncbi=646538","Explore in ECOTOX")</f>
        <v>Explore in ECOTOX</v>
      </c>
    </row>
    <row r="4883" spans="1:18" x14ac:dyDescent="0.45">
      <c r="A4883" t="s">
        <v>1265</v>
      </c>
      <c r="B4883">
        <v>8</v>
      </c>
      <c r="C4883" t="str">
        <f>HYPERLINK("http://www.ncbi.nlm.nih.gov/protein/BCK60157.1","BCK60157.1")</f>
        <v>BCK60157.1</v>
      </c>
      <c r="D4883">
        <v>27</v>
      </c>
      <c r="E4883" t="str">
        <f>HYPERLINK("http://www.ncbi.nlm.nih.gov/Taxonomy/Browser/wwwtax.cgi?mode=Info&amp;id=255292&amp;lvl=3&amp;lin=f&amp;keep=1&amp;srchmode=1&amp;unlock","255292")</f>
        <v>255292</v>
      </c>
      <c r="F4883" t="s">
        <v>17</v>
      </c>
      <c r="G4883" t="str">
        <f>HYPERLINK("http://www.ncbi.nlm.nih.gov/Taxonomy/Browser/wwwtax.cgi?mode=Info&amp;id=255292&amp;lvl=3&amp;lin=f&amp;keep=1&amp;srchmode=1&amp;unlock","Gymnogobius taranetzi")</f>
        <v>Gymnogobius taranetzi</v>
      </c>
      <c r="H4883" t="s">
        <v>94</v>
      </c>
      <c r="I4883" t="str">
        <f>HYPERLINK("http://www.ncbi.nlm.nih.gov/protein/BCK60157.1","ryanodine receptor 3-like protein, partial")</f>
        <v>ryanodine receptor 3-like protein, partial</v>
      </c>
      <c r="J4883">
        <v>366.7</v>
      </c>
      <c r="K4883" t="s">
        <v>22</v>
      </c>
      <c r="L4883">
        <v>76</v>
      </c>
      <c r="M4883">
        <v>12.58</v>
      </c>
      <c r="N4883">
        <v>3.61</v>
      </c>
      <c r="O4883" t="s">
        <v>19</v>
      </c>
      <c r="P4883" t="s">
        <v>1320</v>
      </c>
      <c r="Q4883" t="s">
        <v>19</v>
      </c>
      <c r="R4883" t="str">
        <f>HYPERLINK("https://cfpub.epa.gov/ecotox/explore.cfm?ncbi=255292","Explore in ECOTOX")</f>
        <v>Explore in ECOTOX</v>
      </c>
    </row>
    <row r="4884" spans="1:18" x14ac:dyDescent="0.45">
      <c r="A4884" t="s">
        <v>1265</v>
      </c>
      <c r="B4884">
        <v>8</v>
      </c>
      <c r="C4884" t="str">
        <f>HYPERLINK("http://www.ncbi.nlm.nih.gov/protein/BCK60161.1","BCK60161.1")</f>
        <v>BCK60161.1</v>
      </c>
      <c r="D4884">
        <v>59</v>
      </c>
      <c r="E4884" t="str">
        <f>HYPERLINK("http://www.ncbi.nlm.nih.gov/Taxonomy/Browser/wwwtax.cgi?mode=Info&amp;id=646541&amp;lvl=3&amp;lin=f&amp;keep=1&amp;srchmode=1&amp;unlock","646541")</f>
        <v>646541</v>
      </c>
      <c r="F4884" t="s">
        <v>17</v>
      </c>
      <c r="G4884" t="str">
        <f>HYPERLINK("http://www.ncbi.nlm.nih.gov/Taxonomy/Browser/wwwtax.cgi?mode=Info&amp;id=646541&amp;lvl=3&amp;lin=f&amp;keep=1&amp;srchmode=1&amp;unlock","Chaenogobius gulosus")</f>
        <v>Chaenogobius gulosus</v>
      </c>
      <c r="H4884" t="s">
        <v>94</v>
      </c>
      <c r="I4884" t="str">
        <f>HYPERLINK("http://www.ncbi.nlm.nih.gov/protein/BCK60161.1","ryanodine receptor 3-like protein, partial")</f>
        <v>ryanodine receptor 3-like protein, partial</v>
      </c>
      <c r="J4884">
        <v>365.54</v>
      </c>
      <c r="K4884" t="s">
        <v>22</v>
      </c>
      <c r="L4884">
        <v>76</v>
      </c>
      <c r="M4884">
        <v>12.58</v>
      </c>
      <c r="N4884">
        <v>3.6</v>
      </c>
      <c r="O4884" t="s">
        <v>19</v>
      </c>
      <c r="P4884" t="s">
        <v>1320</v>
      </c>
      <c r="Q4884" t="s">
        <v>19</v>
      </c>
      <c r="R4884" t="str">
        <f>HYPERLINK("https://cfpub.epa.gov/ecotox/explore.cfm?ncbi=646541","Explore in ECOTOX")</f>
        <v>Explore in ECOTOX</v>
      </c>
    </row>
    <row r="4885" spans="1:18" x14ac:dyDescent="0.45">
      <c r="A4885" t="s">
        <v>1265</v>
      </c>
      <c r="B4885">
        <v>8</v>
      </c>
      <c r="C4885" t="str">
        <f>HYPERLINK("http://www.ncbi.nlm.nih.gov/protein/AHI54506.1","AHI54506.1")</f>
        <v>AHI54506.1</v>
      </c>
      <c r="D4885">
        <v>5</v>
      </c>
      <c r="E4885" t="str">
        <f>HYPERLINK("http://www.ncbi.nlm.nih.gov/Taxonomy/Browser/wwwtax.cgi?mode=Info&amp;id=1458969&amp;lvl=3&amp;lin=f&amp;keep=1&amp;srchmode=1&amp;unlock","1458969")</f>
        <v>1458969</v>
      </c>
      <c r="F4885" t="s">
        <v>17</v>
      </c>
      <c r="G4885" t="str">
        <f>HYPERLINK("http://www.ncbi.nlm.nih.gov/Taxonomy/Browser/wwwtax.cgi?mode=Info&amp;id=1458969&amp;lvl=3&amp;lin=f&amp;keep=1&amp;srchmode=1&amp;unlock","Evermannia sp. REF4")</f>
        <v>Evermannia sp. REF4</v>
      </c>
      <c r="H4885" t="s">
        <v>94</v>
      </c>
      <c r="I4885" t="str">
        <f>HYPERLINK("http://www.ncbi.nlm.nih.gov/protein/AHI54506.1","ryanodine receptor 3-like protein, partial")</f>
        <v>ryanodine receptor 3-like protein, partial</v>
      </c>
      <c r="J4885">
        <v>364.77</v>
      </c>
      <c r="K4885" t="s">
        <v>22</v>
      </c>
      <c r="L4885">
        <v>76</v>
      </c>
      <c r="M4885">
        <v>12.58</v>
      </c>
      <c r="N4885">
        <v>3.59</v>
      </c>
      <c r="O4885" t="s">
        <v>19</v>
      </c>
      <c r="P4885" t="s">
        <v>1320</v>
      </c>
      <c r="Q4885" t="s">
        <v>19</v>
      </c>
      <c r="R4885" t="str">
        <f>HYPERLINK("https://cfpub.epa.gov/ecotox/explore.cfm?ncbi=1458969","Explore in ECOTOX")</f>
        <v>Explore in ECOTOX</v>
      </c>
    </row>
    <row r="4886" spans="1:18" x14ac:dyDescent="0.45">
      <c r="A4886" t="s">
        <v>1265</v>
      </c>
      <c r="B4886">
        <v>8</v>
      </c>
      <c r="C4886" t="str">
        <f>HYPERLINK("http://www.ncbi.nlm.nih.gov/protein/BCK60159.1","BCK60159.1")</f>
        <v>BCK60159.1</v>
      </c>
      <c r="D4886">
        <v>1266</v>
      </c>
      <c r="E4886" t="str">
        <f>HYPERLINK("http://www.ncbi.nlm.nih.gov/Taxonomy/Browser/wwwtax.cgi?mode=Info&amp;id=166741&amp;lvl=3&amp;lin=f&amp;keep=1&amp;srchmode=1&amp;unlock","166741")</f>
        <v>166741</v>
      </c>
      <c r="F4886" t="s">
        <v>17</v>
      </c>
      <c r="G4886" t="str">
        <f>HYPERLINK("http://www.ncbi.nlm.nih.gov/Taxonomy/Browser/wwwtax.cgi?mode=Info&amp;id=166741&amp;lvl=3&amp;lin=f&amp;keep=1&amp;srchmode=1&amp;unlock","Chaenogobius annularis")</f>
        <v>Chaenogobius annularis</v>
      </c>
      <c r="H4886" t="s">
        <v>1425</v>
      </c>
      <c r="I4886" t="str">
        <f>HYPERLINK("http://www.ncbi.nlm.nih.gov/protein/BCK60159.1","ryanodine receptor 3-like protein, partial")</f>
        <v>ryanodine receptor 3-like protein, partial</v>
      </c>
      <c r="J4886">
        <v>364.77</v>
      </c>
      <c r="K4886" t="s">
        <v>22</v>
      </c>
      <c r="L4886">
        <v>76</v>
      </c>
      <c r="M4886">
        <v>12.58</v>
      </c>
      <c r="N4886">
        <v>3.59</v>
      </c>
      <c r="O4886" t="s">
        <v>19</v>
      </c>
      <c r="P4886" t="s">
        <v>1320</v>
      </c>
      <c r="Q4886" t="s">
        <v>19</v>
      </c>
      <c r="R4886" t="str">
        <f>HYPERLINK("https://cfpub.epa.gov/ecotox/explore.cfm?ncbi=166741","Explore in ECOTOX")</f>
        <v>Explore in ECOTOX</v>
      </c>
    </row>
    <row r="4887" spans="1:18" x14ac:dyDescent="0.45">
      <c r="A4887" t="s">
        <v>1265</v>
      </c>
      <c r="B4887">
        <v>8</v>
      </c>
      <c r="C4887" t="str">
        <f>HYPERLINK("http://www.ncbi.nlm.nih.gov/protein/AHI54507.1","AHI54507.1")</f>
        <v>AHI54507.1</v>
      </c>
      <c r="D4887">
        <v>4</v>
      </c>
      <c r="E4887" t="str">
        <f>HYPERLINK("http://www.ncbi.nlm.nih.gov/Taxonomy/Browser/wwwtax.cgi?mode=Info&amp;id=1458968&amp;lvl=3&amp;lin=f&amp;keep=1&amp;srchmode=1&amp;unlock","1458968")</f>
        <v>1458968</v>
      </c>
      <c r="F4887" t="s">
        <v>17</v>
      </c>
      <c r="G4887" t="str">
        <f>HYPERLINK("http://www.ncbi.nlm.nih.gov/Taxonomy/Browser/wwwtax.cgi?mode=Info&amp;id=1458968&amp;lvl=3&amp;lin=f&amp;keep=1&amp;srchmode=1&amp;unlock","Evermannia cf. panamensis Ever1")</f>
        <v>Evermannia cf. panamensis Ever1</v>
      </c>
      <c r="H4887" t="s">
        <v>94</v>
      </c>
      <c r="I4887" t="str">
        <f>HYPERLINK("http://www.ncbi.nlm.nih.gov/protein/AHI54507.1","ryanodine receptor 3-like protein, partial")</f>
        <v>ryanodine receptor 3-like protein, partial</v>
      </c>
      <c r="J4887">
        <v>364</v>
      </c>
      <c r="K4887" t="s">
        <v>22</v>
      </c>
      <c r="L4887">
        <v>76</v>
      </c>
      <c r="M4887">
        <v>12.58</v>
      </c>
      <c r="N4887">
        <v>3.58</v>
      </c>
      <c r="O4887" t="s">
        <v>19</v>
      </c>
      <c r="P4887" t="s">
        <v>1320</v>
      </c>
      <c r="Q4887" t="s">
        <v>19</v>
      </c>
      <c r="R4887" t="str">
        <f>HYPERLINK("https://cfpub.epa.gov/ecotox/explore.cfm?ncbi=1458968","Explore in ECOTOX")</f>
        <v>Explore in ECOTOX</v>
      </c>
    </row>
    <row r="4888" spans="1:18" x14ac:dyDescent="0.45">
      <c r="A4888" t="s">
        <v>1265</v>
      </c>
      <c r="B4888">
        <v>8</v>
      </c>
      <c r="C4888" t="str">
        <f>HYPERLINK("http://www.ncbi.nlm.nih.gov/protein/AHI54508.1","AHI54508.1")</f>
        <v>AHI54508.1</v>
      </c>
      <c r="D4888">
        <v>5</v>
      </c>
      <c r="E4888" t="str">
        <f>HYPERLINK("http://www.ncbi.nlm.nih.gov/Taxonomy/Browser/wwwtax.cgi?mode=Info&amp;id=185744&amp;lvl=3&amp;lin=f&amp;keep=1&amp;srchmode=1&amp;unlock","185744")</f>
        <v>185744</v>
      </c>
      <c r="F4888" t="s">
        <v>17</v>
      </c>
      <c r="G4888" t="str">
        <f>HYPERLINK("http://www.ncbi.nlm.nih.gov/Taxonomy/Browser/wwwtax.cgi?mode=Info&amp;id=185744&amp;lvl=3&amp;lin=f&amp;keep=1&amp;srchmode=1&amp;unlock","Ilypnus gilberti")</f>
        <v>Ilypnus gilberti</v>
      </c>
      <c r="H4888" t="s">
        <v>1426</v>
      </c>
      <c r="I4888" t="str">
        <f>HYPERLINK("http://www.ncbi.nlm.nih.gov/protein/AHI54508.1","ryanodine receptor 3-like protein, partial")</f>
        <v>ryanodine receptor 3-like protein, partial</v>
      </c>
      <c r="J4888">
        <v>364</v>
      </c>
      <c r="K4888" t="s">
        <v>22</v>
      </c>
      <c r="L4888">
        <v>76</v>
      </c>
      <c r="M4888">
        <v>12.58</v>
      </c>
      <c r="N4888">
        <v>3.58</v>
      </c>
      <c r="O4888" t="s">
        <v>19</v>
      </c>
      <c r="P4888" t="s">
        <v>1320</v>
      </c>
      <c r="Q4888" t="s">
        <v>19</v>
      </c>
      <c r="R4888" t="str">
        <f>HYPERLINK("https://cfpub.epa.gov/ecotox/explore.cfm?ncbi=185744","Explore in ECOTOX")</f>
        <v>Explore in ECOTOX</v>
      </c>
    </row>
    <row r="4889" spans="1:18" x14ac:dyDescent="0.45">
      <c r="A4889" t="s">
        <v>1265</v>
      </c>
      <c r="B4889">
        <v>8</v>
      </c>
      <c r="C4889" t="str">
        <f>HYPERLINK("http://www.ncbi.nlm.nih.gov/protein/AHI54505.1","AHI54505.1")</f>
        <v>AHI54505.1</v>
      </c>
      <c r="D4889">
        <v>5</v>
      </c>
      <c r="E4889" t="str">
        <f>HYPERLINK("http://www.ncbi.nlm.nih.gov/Taxonomy/Browser/wwwtax.cgi?mode=Info&amp;id=1458967&amp;lvl=3&amp;lin=f&amp;keep=1&amp;srchmode=1&amp;unlock","1458967")</f>
        <v>1458967</v>
      </c>
      <c r="F4889" t="s">
        <v>17</v>
      </c>
      <c r="G4889" t="str">
        <f>HYPERLINK("http://www.ncbi.nlm.nih.gov/Taxonomy/Browser/wwwtax.cgi?mode=Info&amp;id=1458967&amp;lvl=3&amp;lin=f&amp;keep=1&amp;srchmode=1&amp;unlock","Evermannia zosterura")</f>
        <v>Evermannia zosterura</v>
      </c>
      <c r="H4889" t="s">
        <v>1427</v>
      </c>
      <c r="I4889" t="str">
        <f>HYPERLINK("http://www.ncbi.nlm.nih.gov/protein/AHI54505.1","ryanodine receptor 3-like protein, partial")</f>
        <v>ryanodine receptor 3-like protein, partial</v>
      </c>
      <c r="J4889">
        <v>364</v>
      </c>
      <c r="K4889" t="s">
        <v>22</v>
      </c>
      <c r="L4889">
        <v>76</v>
      </c>
      <c r="M4889">
        <v>12.58</v>
      </c>
      <c r="N4889">
        <v>3.58</v>
      </c>
      <c r="O4889" t="s">
        <v>19</v>
      </c>
      <c r="P4889" t="s">
        <v>1320</v>
      </c>
      <c r="Q4889" t="s">
        <v>19</v>
      </c>
      <c r="R4889" t="str">
        <f>HYPERLINK("https://cfpub.epa.gov/ecotox/explore.cfm?ncbi=1458967","Explore in ECOTOX")</f>
        <v>Explore in ECOTOX</v>
      </c>
    </row>
    <row r="4890" spans="1:18" x14ac:dyDescent="0.45">
      <c r="A4890" t="s">
        <v>1265</v>
      </c>
      <c r="B4890">
        <v>8</v>
      </c>
      <c r="C4890" t="str">
        <f>HYPERLINK("http://www.ncbi.nlm.nih.gov/protein/AHN66403.1","AHN66403.1")</f>
        <v>AHN66403.1</v>
      </c>
      <c r="D4890">
        <v>48</v>
      </c>
      <c r="E4890" t="str">
        <f>HYPERLINK("http://www.ncbi.nlm.nih.gov/Taxonomy/Browser/wwwtax.cgi?mode=Info&amp;id=27688&amp;lvl=3&amp;lin=f&amp;keep=1&amp;srchmode=1&amp;unlock","27688")</f>
        <v>27688</v>
      </c>
      <c r="F4890" t="s">
        <v>293</v>
      </c>
      <c r="G4890" t="str">
        <f>HYPERLINK("http://www.ncbi.nlm.nih.gov/Taxonomy/Browser/wwwtax.cgi?mode=Info&amp;id=27688&amp;lvl=3&amp;lin=f&amp;keep=1&amp;srchmode=1&amp;unlock","Polypterus retropinnis")</f>
        <v>Polypterus retropinnis</v>
      </c>
      <c r="H4890" t="s">
        <v>1294</v>
      </c>
      <c r="I4890" t="str">
        <f>HYPERLINK("http://www.ncbi.nlm.nih.gov/protein/AHN66403.1","ryanodine receptor 3-like protein, partial")</f>
        <v>ryanodine receptor 3-like protein, partial</v>
      </c>
      <c r="J4890">
        <v>363.61</v>
      </c>
      <c r="K4890" t="s">
        <v>22</v>
      </c>
      <c r="L4890">
        <v>76</v>
      </c>
      <c r="M4890">
        <v>12.58</v>
      </c>
      <c r="N4890">
        <v>3.58</v>
      </c>
      <c r="O4890" t="s">
        <v>19</v>
      </c>
      <c r="P4890" t="s">
        <v>1320</v>
      </c>
      <c r="Q4890" t="s">
        <v>19</v>
      </c>
      <c r="R4890" t="str">
        <f>HYPERLINK("https://cfpub.epa.gov/ecotox/explore.cfm?ncbi=27688","Explore in ECOTOX")</f>
        <v>Explore in ECOTOX</v>
      </c>
    </row>
    <row r="4891" spans="1:18" x14ac:dyDescent="0.45">
      <c r="A4891" t="s">
        <v>1265</v>
      </c>
      <c r="B4891">
        <v>8</v>
      </c>
      <c r="C4891" t="str">
        <f>HYPERLINK("http://www.ncbi.nlm.nih.gov/protein/AHN66381.1","AHN66381.1")</f>
        <v>AHN66381.1</v>
      </c>
      <c r="D4891">
        <v>14</v>
      </c>
      <c r="E4891" t="str">
        <f>HYPERLINK("http://www.ncbi.nlm.nih.gov/Taxonomy/Browser/wwwtax.cgi?mode=Info&amp;id=31136&amp;lvl=3&amp;lin=f&amp;keep=1&amp;srchmode=1&amp;unlock","31136")</f>
        <v>31136</v>
      </c>
      <c r="F4891" t="s">
        <v>293</v>
      </c>
      <c r="G4891" t="str">
        <f>HYPERLINK("http://www.ncbi.nlm.nih.gov/Taxonomy/Browser/wwwtax.cgi?mode=Info&amp;id=31136&amp;lvl=3&amp;lin=f&amp;keep=1&amp;srchmode=1&amp;unlock","Polypterus bichir")</f>
        <v>Polypterus bichir</v>
      </c>
      <c r="H4891" t="s">
        <v>1295</v>
      </c>
      <c r="I4891" t="str">
        <f>HYPERLINK("http://www.ncbi.nlm.nih.gov/protein/AHN66381.1","ryanodine receptor 3-like protein, partial")</f>
        <v>ryanodine receptor 3-like protein, partial</v>
      </c>
      <c r="J4891">
        <v>363.61</v>
      </c>
      <c r="K4891" t="s">
        <v>22</v>
      </c>
      <c r="L4891">
        <v>76</v>
      </c>
      <c r="M4891">
        <v>12.58</v>
      </c>
      <c r="N4891">
        <v>3.58</v>
      </c>
      <c r="O4891" t="s">
        <v>19</v>
      </c>
      <c r="P4891" t="s">
        <v>1320</v>
      </c>
      <c r="Q4891" t="s">
        <v>19</v>
      </c>
      <c r="R4891" t="str">
        <f>HYPERLINK("https://cfpub.epa.gov/ecotox/explore.cfm?ncbi=31136","Explore in ECOTOX")</f>
        <v>Explore in ECOTOX</v>
      </c>
    </row>
    <row r="4892" spans="1:18" x14ac:dyDescent="0.45">
      <c r="A4892" t="s">
        <v>1265</v>
      </c>
      <c r="B4892">
        <v>8</v>
      </c>
      <c r="C4892" t="str">
        <f>HYPERLINK("http://www.ncbi.nlm.nih.gov/protein/AHN66394.1","AHN66394.1")</f>
        <v>AHN66394.1</v>
      </c>
      <c r="D4892">
        <v>94</v>
      </c>
      <c r="E4892" t="str">
        <f>HYPERLINK("http://www.ncbi.nlm.nih.gov/Taxonomy/Browser/wwwtax.cgi?mode=Info&amp;id=49895&amp;lvl=3&amp;lin=f&amp;keep=1&amp;srchmode=1&amp;unlock","49895")</f>
        <v>49895</v>
      </c>
      <c r="F4892" t="s">
        <v>293</v>
      </c>
      <c r="G4892" t="str">
        <f>HYPERLINK("http://www.ncbi.nlm.nih.gov/Taxonomy/Browser/wwwtax.cgi?mode=Info&amp;id=49895&amp;lvl=3&amp;lin=f&amp;keep=1&amp;srchmode=1&amp;unlock","Polypterus ornatipinnis")</f>
        <v>Polypterus ornatipinnis</v>
      </c>
      <c r="H4892" t="s">
        <v>1222</v>
      </c>
      <c r="I4892" t="str">
        <f>HYPERLINK("http://www.ncbi.nlm.nih.gov/protein/AHN66394.1","ryanodine receptor 3-like protein, partial")</f>
        <v>ryanodine receptor 3-like protein, partial</v>
      </c>
      <c r="J4892">
        <v>363.61</v>
      </c>
      <c r="K4892" t="s">
        <v>22</v>
      </c>
      <c r="L4892">
        <v>76</v>
      </c>
      <c r="M4892">
        <v>12.58</v>
      </c>
      <c r="N4892">
        <v>3.58</v>
      </c>
      <c r="O4892" t="s">
        <v>19</v>
      </c>
      <c r="P4892" t="s">
        <v>1320</v>
      </c>
      <c r="Q4892" t="s">
        <v>19</v>
      </c>
      <c r="R4892" t="str">
        <f>HYPERLINK("https://cfpub.epa.gov/ecotox/explore.cfm?ncbi=49895","Explore in ECOTOX")</f>
        <v>Explore in ECOTOX</v>
      </c>
    </row>
    <row r="4893" spans="1:18" x14ac:dyDescent="0.45">
      <c r="A4893" t="s">
        <v>1265</v>
      </c>
      <c r="B4893">
        <v>8</v>
      </c>
      <c r="C4893" t="str">
        <f>HYPERLINK("http://www.ncbi.nlm.nih.gov/protein/AHN66387.1","AHN66387.1")</f>
        <v>AHN66387.1</v>
      </c>
      <c r="D4893">
        <v>38</v>
      </c>
      <c r="E4893" t="str">
        <f>HYPERLINK("http://www.ncbi.nlm.nih.gov/Taxonomy/Browser/wwwtax.cgi?mode=Info&amp;id=764550&amp;lvl=3&amp;lin=f&amp;keep=1&amp;srchmode=1&amp;unlock","764550")</f>
        <v>764550</v>
      </c>
      <c r="F4893" t="s">
        <v>293</v>
      </c>
      <c r="G4893" t="str">
        <f>HYPERLINK("http://www.ncbi.nlm.nih.gov/Taxonomy/Browser/wwwtax.cgi?mode=Info&amp;id=764550&amp;lvl=3&amp;lin=f&amp;keep=1&amp;srchmode=1&amp;unlock","Polypterus endlicherii congicus")</f>
        <v>Polypterus endlicherii congicus</v>
      </c>
      <c r="H4893" t="s">
        <v>1296</v>
      </c>
      <c r="I4893" t="str">
        <f>HYPERLINK("http://www.ncbi.nlm.nih.gov/protein/AHN66387.1","ryanodine receptor 3-like protein, partial")</f>
        <v>ryanodine receptor 3-like protein, partial</v>
      </c>
      <c r="J4893">
        <v>363.61</v>
      </c>
      <c r="K4893" t="s">
        <v>22</v>
      </c>
      <c r="L4893">
        <v>76</v>
      </c>
      <c r="M4893">
        <v>12.58</v>
      </c>
      <c r="N4893">
        <v>3.58</v>
      </c>
      <c r="O4893" t="s">
        <v>19</v>
      </c>
      <c r="P4893" t="s">
        <v>1320</v>
      </c>
      <c r="Q4893" t="s">
        <v>19</v>
      </c>
      <c r="R4893" t="str">
        <f>HYPERLINK("https://cfpub.epa.gov/ecotox/explore.cfm?ncbi=764550","Explore in ECOTOX")</f>
        <v>Explore in ECOTOX</v>
      </c>
    </row>
    <row r="4894" spans="1:18" x14ac:dyDescent="0.45">
      <c r="A4894" t="s">
        <v>1265</v>
      </c>
      <c r="B4894">
        <v>8</v>
      </c>
      <c r="C4894" t="str">
        <f>HYPERLINK("http://www.ncbi.nlm.nih.gov/protein/AHN66400.1","AHN66400.1")</f>
        <v>AHN66400.1</v>
      </c>
      <c r="D4894">
        <v>39</v>
      </c>
      <c r="E4894" t="str">
        <f>HYPERLINK("http://www.ncbi.nlm.nih.gov/Taxonomy/Browser/wwwtax.cgi?mode=Info&amp;id=764553&amp;lvl=3&amp;lin=f&amp;keep=1&amp;srchmode=1&amp;unlock","764553")</f>
        <v>764553</v>
      </c>
      <c r="F4894" t="s">
        <v>293</v>
      </c>
      <c r="G4894" t="str">
        <f>HYPERLINK("http://www.ncbi.nlm.nih.gov/Taxonomy/Browser/wwwtax.cgi?mode=Info&amp;id=764553&amp;lvl=3&amp;lin=f&amp;keep=1&amp;srchmode=1&amp;unlock","Polypterus palmas polli")</f>
        <v>Polypterus palmas polli</v>
      </c>
      <c r="H4894" t="s">
        <v>1298</v>
      </c>
      <c r="I4894" t="str">
        <f>HYPERLINK("http://www.ncbi.nlm.nih.gov/protein/AHN66400.1","ryanodine receptor 3-like protein, partial")</f>
        <v>ryanodine receptor 3-like protein, partial</v>
      </c>
      <c r="J4894">
        <v>363.61</v>
      </c>
      <c r="K4894" t="s">
        <v>22</v>
      </c>
      <c r="L4894">
        <v>76</v>
      </c>
      <c r="M4894">
        <v>12.58</v>
      </c>
      <c r="N4894">
        <v>3.58</v>
      </c>
      <c r="O4894" t="s">
        <v>19</v>
      </c>
      <c r="P4894" t="s">
        <v>1320</v>
      </c>
      <c r="Q4894" t="s">
        <v>19</v>
      </c>
      <c r="R4894" t="str">
        <f>HYPERLINK("https://cfpub.epa.gov/ecotox/explore.cfm?ncbi=764553","Explore in ECOTOX")</f>
        <v>Explore in ECOTOX</v>
      </c>
    </row>
    <row r="4895" spans="1:18" x14ac:dyDescent="0.45">
      <c r="A4895" t="s">
        <v>1265</v>
      </c>
      <c r="B4895">
        <v>8</v>
      </c>
      <c r="C4895" t="str">
        <f>HYPERLINK("http://www.ncbi.nlm.nih.gov/protein/AHN66379.1","AHN66379.1")</f>
        <v>AHN66379.1</v>
      </c>
      <c r="D4895">
        <v>44</v>
      </c>
      <c r="E4895" t="str">
        <f>HYPERLINK("http://www.ncbi.nlm.nih.gov/Taxonomy/Browser/wwwtax.cgi?mode=Info&amp;id=764547&amp;lvl=3&amp;lin=f&amp;keep=1&amp;srchmode=1&amp;unlock","764547")</f>
        <v>764547</v>
      </c>
      <c r="F4895" t="s">
        <v>293</v>
      </c>
      <c r="G4895" t="str">
        <f>HYPERLINK("http://www.ncbi.nlm.nih.gov/Taxonomy/Browser/wwwtax.cgi?mode=Info&amp;id=764547&amp;lvl=3&amp;lin=f&amp;keep=1&amp;srchmode=1&amp;unlock","Polypterus ansorgii")</f>
        <v>Polypterus ansorgii</v>
      </c>
      <c r="H4895" t="s">
        <v>1299</v>
      </c>
      <c r="I4895" t="str">
        <f>HYPERLINK("http://www.ncbi.nlm.nih.gov/protein/AHN66379.1","ryanodine receptor 3-like protein, partial")</f>
        <v>ryanodine receptor 3-like protein, partial</v>
      </c>
      <c r="J4895">
        <v>363.61</v>
      </c>
      <c r="K4895" t="s">
        <v>22</v>
      </c>
      <c r="L4895">
        <v>76</v>
      </c>
      <c r="M4895">
        <v>12.58</v>
      </c>
      <c r="N4895">
        <v>3.58</v>
      </c>
      <c r="O4895" t="s">
        <v>19</v>
      </c>
      <c r="P4895" t="s">
        <v>1320</v>
      </c>
      <c r="Q4895" t="s">
        <v>19</v>
      </c>
      <c r="R4895" t="str">
        <f>HYPERLINK("https://cfpub.epa.gov/ecotox/explore.cfm?ncbi=764547","Explore in ECOTOX")</f>
        <v>Explore in ECOTOX</v>
      </c>
    </row>
    <row r="4896" spans="1:18" x14ac:dyDescent="0.45">
      <c r="A4896" t="s">
        <v>1265</v>
      </c>
      <c r="B4896">
        <v>8</v>
      </c>
      <c r="C4896" t="str">
        <f>HYPERLINK("http://www.ncbi.nlm.nih.gov/protein/AHN66392.1","AHN66392.1")</f>
        <v>AHN66392.1</v>
      </c>
      <c r="D4896">
        <v>51</v>
      </c>
      <c r="E4896" t="str">
        <f>HYPERLINK("http://www.ncbi.nlm.nih.gov/Taxonomy/Browser/wwwtax.cgi?mode=Info&amp;id=764552&amp;lvl=3&amp;lin=f&amp;keep=1&amp;srchmode=1&amp;unlock","764552")</f>
        <v>764552</v>
      </c>
      <c r="F4896" t="s">
        <v>293</v>
      </c>
      <c r="G4896" t="str">
        <f>HYPERLINK("http://www.ncbi.nlm.nih.gov/Taxonomy/Browser/wwwtax.cgi?mode=Info&amp;id=764552&amp;lvl=3&amp;lin=f&amp;keep=1&amp;srchmode=1&amp;unlock","Polypterus mokelembembe")</f>
        <v>Polypterus mokelembembe</v>
      </c>
      <c r="H4896" t="s">
        <v>1300</v>
      </c>
      <c r="I4896" t="str">
        <f>HYPERLINK("http://www.ncbi.nlm.nih.gov/protein/AHN66392.1","ryanodine receptor 3-like protein, partial")</f>
        <v>ryanodine receptor 3-like protein, partial</v>
      </c>
      <c r="J4896">
        <v>363.61</v>
      </c>
      <c r="K4896" t="s">
        <v>22</v>
      </c>
      <c r="L4896">
        <v>76</v>
      </c>
      <c r="M4896">
        <v>12.58</v>
      </c>
      <c r="N4896">
        <v>3.58</v>
      </c>
      <c r="O4896" t="s">
        <v>19</v>
      </c>
      <c r="P4896" t="s">
        <v>1320</v>
      </c>
      <c r="Q4896" t="s">
        <v>19</v>
      </c>
      <c r="R4896" t="str">
        <f>HYPERLINK("https://cfpub.epa.gov/ecotox/explore.cfm?ncbi=764552","Explore in ECOTOX")</f>
        <v>Explore in ECOTOX</v>
      </c>
    </row>
    <row r="4897" spans="1:18" x14ac:dyDescent="0.45">
      <c r="A4897" t="s">
        <v>1265</v>
      </c>
      <c r="B4897">
        <v>8</v>
      </c>
      <c r="C4897" t="str">
        <f>HYPERLINK("http://www.ncbi.nlm.nih.gov/protein/AHI54519.1","AHI54519.1")</f>
        <v>AHI54519.1</v>
      </c>
      <c r="D4897">
        <v>8</v>
      </c>
      <c r="E4897" t="str">
        <f>HYPERLINK("http://www.ncbi.nlm.nih.gov/Taxonomy/Browser/wwwtax.cgi?mode=Info&amp;id=1458940&amp;lvl=3&amp;lin=f&amp;keep=1&amp;srchmode=1&amp;unlock","1458940")</f>
        <v>1458940</v>
      </c>
      <c r="F4897" t="s">
        <v>17</v>
      </c>
      <c r="G4897" t="str">
        <f>HYPERLINK("http://www.ncbi.nlm.nih.gov/Taxonomy/Browser/wwwtax.cgi?mode=Info&amp;id=1458940&amp;lvl=3&amp;lin=f&amp;keep=1&amp;srchmode=1&amp;unlock","Quietula guaymasiae")</f>
        <v>Quietula guaymasiae</v>
      </c>
      <c r="H4897" t="s">
        <v>1428</v>
      </c>
      <c r="I4897" t="str">
        <f>HYPERLINK("http://www.ncbi.nlm.nih.gov/protein/AHI54519.1","ryanodine receptor 3-like protein, partial")</f>
        <v>ryanodine receptor 3-like protein, partial</v>
      </c>
      <c r="J4897">
        <v>363.61</v>
      </c>
      <c r="K4897" t="s">
        <v>22</v>
      </c>
      <c r="L4897">
        <v>76</v>
      </c>
      <c r="M4897">
        <v>12.58</v>
      </c>
      <c r="N4897">
        <v>3.58</v>
      </c>
      <c r="O4897" t="s">
        <v>19</v>
      </c>
      <c r="P4897" t="s">
        <v>1320</v>
      </c>
      <c r="Q4897" t="s">
        <v>19</v>
      </c>
      <c r="R4897" t="str">
        <f>HYPERLINK("https://cfpub.epa.gov/ecotox/explore.cfm?ncbi=1458940","Explore in ECOTOX")</f>
        <v>Explore in ECOTOX</v>
      </c>
    </row>
    <row r="4898" spans="1:18" x14ac:dyDescent="0.45">
      <c r="A4898" t="s">
        <v>1265</v>
      </c>
      <c r="B4898">
        <v>8</v>
      </c>
      <c r="C4898" t="str">
        <f>HYPERLINK("http://www.ncbi.nlm.nih.gov/protein/AHN66384.1","AHN66384.1")</f>
        <v>AHN66384.1</v>
      </c>
      <c r="D4898">
        <v>47</v>
      </c>
      <c r="E4898" t="str">
        <f>HYPERLINK("http://www.ncbi.nlm.nih.gov/Taxonomy/Browser/wwwtax.cgi?mode=Info&amp;id=135584&amp;lvl=3&amp;lin=f&amp;keep=1&amp;srchmode=1&amp;unlock","135584")</f>
        <v>135584</v>
      </c>
      <c r="F4898" t="s">
        <v>293</v>
      </c>
      <c r="G4898" t="str">
        <f>HYPERLINK("http://www.ncbi.nlm.nih.gov/Taxonomy/Browser/wwwtax.cgi?mode=Info&amp;id=135584&amp;lvl=3&amp;lin=f&amp;keep=1&amp;srchmode=1&amp;unlock","Polypterus delhezi")</f>
        <v>Polypterus delhezi</v>
      </c>
      <c r="H4898" t="s">
        <v>1297</v>
      </c>
      <c r="I4898" t="str">
        <f>HYPERLINK("http://www.ncbi.nlm.nih.gov/protein/AHN66384.1","ryanodine receptor 3-like protein, partial")</f>
        <v>ryanodine receptor 3-like protein, partial</v>
      </c>
      <c r="J4898">
        <v>363.61</v>
      </c>
      <c r="K4898" t="s">
        <v>22</v>
      </c>
      <c r="L4898">
        <v>76</v>
      </c>
      <c r="M4898">
        <v>12.58</v>
      </c>
      <c r="N4898">
        <v>3.58</v>
      </c>
      <c r="O4898" t="s">
        <v>19</v>
      </c>
      <c r="P4898" t="s">
        <v>1320</v>
      </c>
      <c r="Q4898" t="s">
        <v>19</v>
      </c>
      <c r="R4898" t="str">
        <f>HYPERLINK("https://cfpub.epa.gov/ecotox/explore.cfm?ncbi=135584","Explore in ECOTOX")</f>
        <v>Explore in ECOTOX</v>
      </c>
    </row>
    <row r="4899" spans="1:18" x14ac:dyDescent="0.45">
      <c r="A4899" t="s">
        <v>1265</v>
      </c>
      <c r="B4899">
        <v>8</v>
      </c>
      <c r="C4899" t="str">
        <f>HYPERLINK("http://www.ncbi.nlm.nih.gov/protein/AHN66407.1","AHN66407.1")</f>
        <v>AHN66407.1</v>
      </c>
      <c r="D4899">
        <v>43</v>
      </c>
      <c r="E4899" t="str">
        <f>HYPERLINK("http://www.ncbi.nlm.nih.gov/Taxonomy/Browser/wwwtax.cgi?mode=Info&amp;id=764557&amp;lvl=3&amp;lin=f&amp;keep=1&amp;srchmode=1&amp;unlock","764557")</f>
        <v>764557</v>
      </c>
      <c r="F4899" t="s">
        <v>293</v>
      </c>
      <c r="G4899" t="str">
        <f>HYPERLINK("http://www.ncbi.nlm.nih.gov/Taxonomy/Browser/wwwtax.cgi?mode=Info&amp;id=764557&amp;lvl=3&amp;lin=f&amp;keep=1&amp;srchmode=1&amp;unlock","Polypterus teugelsi")</f>
        <v>Polypterus teugelsi</v>
      </c>
      <c r="H4899" t="s">
        <v>1301</v>
      </c>
      <c r="I4899" t="str">
        <f>HYPERLINK("http://www.ncbi.nlm.nih.gov/protein/AHN66407.1","ryanodine receptor 3-like protein, partial")</f>
        <v>ryanodine receptor 3-like protein, partial</v>
      </c>
      <c r="J4899">
        <v>363.61</v>
      </c>
      <c r="K4899" t="s">
        <v>22</v>
      </c>
      <c r="L4899">
        <v>76</v>
      </c>
      <c r="M4899">
        <v>12.58</v>
      </c>
      <c r="N4899">
        <v>3.58</v>
      </c>
      <c r="O4899" t="s">
        <v>19</v>
      </c>
      <c r="P4899" t="s">
        <v>1320</v>
      </c>
      <c r="Q4899" t="s">
        <v>19</v>
      </c>
      <c r="R4899" t="str">
        <f>HYPERLINK("https://cfpub.epa.gov/ecotox/explore.cfm?ncbi=764557","Explore in ECOTOX")</f>
        <v>Explore in ECOTOX</v>
      </c>
    </row>
    <row r="4900" spans="1:18" x14ac:dyDescent="0.45">
      <c r="A4900" t="s">
        <v>1265</v>
      </c>
      <c r="B4900">
        <v>8</v>
      </c>
      <c r="C4900" t="str">
        <f>HYPERLINK("http://www.ncbi.nlm.nih.gov/protein/AHN66396.1","AHN66396.1")</f>
        <v>AHN66396.1</v>
      </c>
      <c r="D4900">
        <v>57</v>
      </c>
      <c r="E4900" t="str">
        <f>HYPERLINK("http://www.ncbi.nlm.nih.gov/Taxonomy/Browser/wwwtax.cgi?mode=Info&amp;id=1088067&amp;lvl=3&amp;lin=f&amp;keep=1&amp;srchmode=1&amp;unlock","1088067")</f>
        <v>1088067</v>
      </c>
      <c r="F4900" t="s">
        <v>293</v>
      </c>
      <c r="G4900" t="str">
        <f>HYPERLINK("http://www.ncbi.nlm.nih.gov/Taxonomy/Browser/wwwtax.cgi?mode=Info&amp;id=1088067&amp;lvl=3&amp;lin=f&amp;keep=1&amp;srchmode=1&amp;unlock","Polypterus palmas buettikoferi")</f>
        <v>Polypterus palmas buettikoferi</v>
      </c>
      <c r="H4900" t="s">
        <v>1298</v>
      </c>
      <c r="I4900" t="str">
        <f>HYPERLINK("http://www.ncbi.nlm.nih.gov/protein/AHN66396.1","ryanodine receptor 3-like protein, partial")</f>
        <v>ryanodine receptor 3-like protein, partial</v>
      </c>
      <c r="J4900">
        <v>363.61</v>
      </c>
      <c r="K4900" t="s">
        <v>22</v>
      </c>
      <c r="L4900">
        <v>76</v>
      </c>
      <c r="M4900">
        <v>12.58</v>
      </c>
      <c r="N4900">
        <v>3.58</v>
      </c>
      <c r="O4900" t="s">
        <v>19</v>
      </c>
      <c r="P4900" t="s">
        <v>1320</v>
      </c>
      <c r="Q4900" t="s">
        <v>19</v>
      </c>
      <c r="R4900" t="str">
        <f>HYPERLINK("https://cfpub.epa.gov/ecotox/explore.cfm?ncbi=1088067","Explore in ECOTOX")</f>
        <v>Explore in ECOTOX</v>
      </c>
    </row>
    <row r="4901" spans="1:18" x14ac:dyDescent="0.45">
      <c r="A4901" t="s">
        <v>1265</v>
      </c>
      <c r="B4901">
        <v>8</v>
      </c>
      <c r="C4901" t="str">
        <f>HYPERLINK("http://www.ncbi.nlm.nih.gov/protein/AHN66390.1","AHN66390.1")</f>
        <v>AHN66390.1</v>
      </c>
      <c r="D4901">
        <v>43</v>
      </c>
      <c r="E4901" t="str">
        <f>HYPERLINK("http://www.ncbi.nlm.nih.gov/Taxonomy/Browser/wwwtax.cgi?mode=Info&amp;id=348150&amp;lvl=3&amp;lin=f&amp;keep=1&amp;srchmode=1&amp;unlock","348150")</f>
        <v>348150</v>
      </c>
      <c r="F4901" t="s">
        <v>293</v>
      </c>
      <c r="G4901" t="str">
        <f>HYPERLINK("http://www.ncbi.nlm.nih.gov/Taxonomy/Browser/wwwtax.cgi?mode=Info&amp;id=348150&amp;lvl=3&amp;lin=f&amp;keep=1&amp;srchmode=1&amp;unlock","Polypterus endlicherii")</f>
        <v>Polypterus endlicherii</v>
      </c>
      <c r="H4901" t="s">
        <v>1296</v>
      </c>
      <c r="I4901" t="str">
        <f>HYPERLINK("http://www.ncbi.nlm.nih.gov/protein/AHN66390.1","ryanodine receptor 3-like protein, partial")</f>
        <v>ryanodine receptor 3-like protein, partial</v>
      </c>
      <c r="J4901">
        <v>363.61</v>
      </c>
      <c r="K4901" t="s">
        <v>22</v>
      </c>
      <c r="L4901">
        <v>76</v>
      </c>
      <c r="M4901">
        <v>12.58</v>
      </c>
      <c r="N4901">
        <v>3.58</v>
      </c>
      <c r="O4901" t="s">
        <v>19</v>
      </c>
      <c r="P4901" t="s">
        <v>1320</v>
      </c>
      <c r="Q4901" t="s">
        <v>19</v>
      </c>
      <c r="R4901" t="str">
        <f>HYPERLINK("https://cfpub.epa.gov/ecotox/explore.cfm?ncbi=348150","Explore in ECOTOX")</f>
        <v>Explore in ECOTOX</v>
      </c>
    </row>
    <row r="4902" spans="1:18" x14ac:dyDescent="0.45">
      <c r="A4902" t="s">
        <v>1265</v>
      </c>
      <c r="B4902">
        <v>8</v>
      </c>
      <c r="C4902" t="str">
        <f>HYPERLINK("http://www.ncbi.nlm.nih.gov/protein/AHI54518.1","AHI54518.1")</f>
        <v>AHI54518.1</v>
      </c>
      <c r="D4902">
        <v>64</v>
      </c>
      <c r="E4902" t="str">
        <f>HYPERLINK("http://www.ncbi.nlm.nih.gov/Taxonomy/Browser/wwwtax.cgi?mode=Info&amp;id=185748&amp;lvl=3&amp;lin=f&amp;keep=1&amp;srchmode=1&amp;unlock","185748")</f>
        <v>185748</v>
      </c>
      <c r="F4902" t="s">
        <v>17</v>
      </c>
      <c r="G4902" t="str">
        <f>HYPERLINK("http://www.ncbi.nlm.nih.gov/Taxonomy/Browser/wwwtax.cgi?mode=Info&amp;id=185748&amp;lvl=3&amp;lin=f&amp;keep=1&amp;srchmode=1&amp;unlock","Quietula y-cauda")</f>
        <v>Quietula y-cauda</v>
      </c>
      <c r="H4902" t="s">
        <v>1429</v>
      </c>
      <c r="I4902" t="str">
        <f>HYPERLINK("http://www.ncbi.nlm.nih.gov/protein/AHI54518.1","ryanodine receptor 3-like protein, partial")</f>
        <v>ryanodine receptor 3-like protein, partial</v>
      </c>
      <c r="J4902">
        <v>363.61</v>
      </c>
      <c r="K4902" t="s">
        <v>22</v>
      </c>
      <c r="L4902">
        <v>76</v>
      </c>
      <c r="M4902">
        <v>12.58</v>
      </c>
      <c r="N4902">
        <v>3.58</v>
      </c>
      <c r="O4902" t="s">
        <v>19</v>
      </c>
      <c r="P4902" t="s">
        <v>1320</v>
      </c>
      <c r="Q4902" t="s">
        <v>19</v>
      </c>
      <c r="R4902" t="str">
        <f>HYPERLINK("https://cfpub.epa.gov/ecotox/explore.cfm?ncbi=185748","Explore in ECOTOX")</f>
        <v>Explore in ECOTOX</v>
      </c>
    </row>
    <row r="4903" spans="1:18" x14ac:dyDescent="0.45">
      <c r="A4903" t="s">
        <v>1265</v>
      </c>
      <c r="B4903">
        <v>8</v>
      </c>
      <c r="C4903" t="str">
        <f>HYPERLINK("http://www.ncbi.nlm.nih.gov/protein/AHN66382.1","AHN66382.1")</f>
        <v>AHN66382.1</v>
      </c>
      <c r="D4903">
        <v>27</v>
      </c>
      <c r="E4903" t="str">
        <f>HYPERLINK("http://www.ncbi.nlm.nih.gov/Taxonomy/Browser/wwwtax.cgi?mode=Info&amp;id=764549&amp;lvl=3&amp;lin=f&amp;keep=1&amp;srchmode=1&amp;unlock","764549")</f>
        <v>764549</v>
      </c>
      <c r="F4903" t="s">
        <v>293</v>
      </c>
      <c r="G4903" t="str">
        <f>HYPERLINK("http://www.ncbi.nlm.nih.gov/Taxonomy/Browser/wwwtax.cgi?mode=Info&amp;id=764549&amp;lvl=3&amp;lin=f&amp;keep=1&amp;srchmode=1&amp;unlock","Polypterus bichir lapradei")</f>
        <v>Polypterus bichir lapradei</v>
      </c>
      <c r="H4903" t="s">
        <v>1295</v>
      </c>
      <c r="I4903" t="str">
        <f>HYPERLINK("http://www.ncbi.nlm.nih.gov/protein/AHN66382.1","ryanodine receptor 3-like protein, partial")</f>
        <v>ryanodine receptor 3-like protein, partial</v>
      </c>
      <c r="J4903">
        <v>363.61</v>
      </c>
      <c r="K4903" t="s">
        <v>22</v>
      </c>
      <c r="L4903">
        <v>76</v>
      </c>
      <c r="M4903">
        <v>12.58</v>
      </c>
      <c r="N4903">
        <v>3.58</v>
      </c>
      <c r="O4903" t="s">
        <v>19</v>
      </c>
      <c r="P4903" t="s">
        <v>1320</v>
      </c>
      <c r="Q4903" t="s">
        <v>19</v>
      </c>
      <c r="R4903" t="str">
        <f>HYPERLINK("https://cfpub.epa.gov/ecotox/explore.cfm?ncbi=764549","Explore in ECOTOX")</f>
        <v>Explore in ECOTOX</v>
      </c>
    </row>
    <row r="4904" spans="1:18" x14ac:dyDescent="0.45">
      <c r="A4904" t="s">
        <v>1265</v>
      </c>
      <c r="B4904">
        <v>8</v>
      </c>
      <c r="C4904" t="str">
        <f>HYPERLINK("http://www.ncbi.nlm.nih.gov/protein/AEY80800.1","AEY80800.1")</f>
        <v>AEY80800.1</v>
      </c>
      <c r="D4904">
        <v>47</v>
      </c>
      <c r="E4904" t="str">
        <f>HYPERLINK("http://www.ncbi.nlm.nih.gov/Taxonomy/Browser/wwwtax.cgi?mode=Info&amp;id=256424&amp;lvl=3&amp;lin=f&amp;keep=1&amp;srchmode=1&amp;unlock","256424")</f>
        <v>256424</v>
      </c>
      <c r="F4904" t="s">
        <v>17</v>
      </c>
      <c r="G4904" t="str">
        <f>HYPERLINK("http://www.ncbi.nlm.nih.gov/Taxonomy/Browser/wwwtax.cgi?mode=Info&amp;id=256424&amp;lvl=3&amp;lin=f&amp;keep=1&amp;srchmode=1&amp;unlock","Esox reichertii")</f>
        <v>Esox reichertii</v>
      </c>
      <c r="H4904" t="s">
        <v>1430</v>
      </c>
      <c r="I4904" t="str">
        <f>HYPERLINK("http://www.ncbi.nlm.nih.gov/protein/AEY80800.1","ryanodine receptor 3-like protein, partial")</f>
        <v>ryanodine receptor 3-like protein, partial</v>
      </c>
      <c r="J4904">
        <v>362.07</v>
      </c>
      <c r="K4904" t="s">
        <v>22</v>
      </c>
      <c r="L4904">
        <v>76</v>
      </c>
      <c r="M4904">
        <v>12.58</v>
      </c>
      <c r="N4904">
        <v>3.56</v>
      </c>
      <c r="O4904" t="s">
        <v>19</v>
      </c>
      <c r="P4904" t="s">
        <v>1320</v>
      </c>
      <c r="Q4904" t="s">
        <v>19</v>
      </c>
      <c r="R4904" t="str">
        <f>HYPERLINK("https://cfpub.epa.gov/ecotox/explore.cfm?ncbi=256424","Explore in ECOTOX")</f>
        <v>Explore in ECOTOX</v>
      </c>
    </row>
    <row r="4905" spans="1:18" x14ac:dyDescent="0.45">
      <c r="A4905" t="s">
        <v>1265</v>
      </c>
      <c r="B4905">
        <v>8</v>
      </c>
      <c r="C4905" t="str">
        <f>HYPERLINK("http://www.ncbi.nlm.nih.gov/protein/AHI54516.1","AHI54516.1")</f>
        <v>AHI54516.1</v>
      </c>
      <c r="D4905">
        <v>79</v>
      </c>
      <c r="E4905" t="str">
        <f>HYPERLINK("http://www.ncbi.nlm.nih.gov/Taxonomy/Browser/wwwtax.cgi?mode=Info&amp;id=249133&amp;lvl=3&amp;lin=f&amp;keep=1&amp;srchmode=1&amp;unlock","249133")</f>
        <v>249133</v>
      </c>
      <c r="F4905" t="s">
        <v>17</v>
      </c>
      <c r="G4905" t="str">
        <f>HYPERLINK("http://www.ncbi.nlm.nih.gov/Taxonomy/Browser/wwwtax.cgi?mode=Info&amp;id=249133&amp;lvl=3&amp;lin=f&amp;keep=1&amp;srchmode=1&amp;unlock","Luciogobius elongatus")</f>
        <v>Luciogobius elongatus</v>
      </c>
      <c r="H4905" t="s">
        <v>94</v>
      </c>
      <c r="I4905" t="str">
        <f>HYPERLINK("http://www.ncbi.nlm.nih.gov/protein/AHI54516.1","ryanodine receptor 3-like protein, partial")</f>
        <v>ryanodine receptor 3-like protein, partial</v>
      </c>
      <c r="J4905">
        <v>362.07</v>
      </c>
      <c r="K4905" t="s">
        <v>22</v>
      </c>
      <c r="L4905">
        <v>76</v>
      </c>
      <c r="M4905">
        <v>12.58</v>
      </c>
      <c r="N4905">
        <v>3.56</v>
      </c>
      <c r="O4905" t="s">
        <v>19</v>
      </c>
      <c r="P4905" t="s">
        <v>1320</v>
      </c>
      <c r="Q4905" t="s">
        <v>19</v>
      </c>
      <c r="R4905" t="str">
        <f>HYPERLINK("https://cfpub.epa.gov/ecotox/explore.cfm?ncbi=249133","Explore in ECOTOX")</f>
        <v>Explore in ECOTOX</v>
      </c>
    </row>
    <row r="4906" spans="1:18" x14ac:dyDescent="0.45">
      <c r="A4906" t="s">
        <v>1265</v>
      </c>
      <c r="B4906">
        <v>8</v>
      </c>
      <c r="C4906" t="str">
        <f>HYPERLINK("http://www.ncbi.nlm.nih.gov/protein/AHN66408.1","AHN66408.1")</f>
        <v>AHN66408.1</v>
      </c>
      <c r="D4906">
        <v>44</v>
      </c>
      <c r="E4906" t="str">
        <f>HYPERLINK("http://www.ncbi.nlm.nih.gov/Taxonomy/Browser/wwwtax.cgi?mode=Info&amp;id=764558&amp;lvl=3&amp;lin=f&amp;keep=1&amp;srchmode=1&amp;unlock","764558")</f>
        <v>764558</v>
      </c>
      <c r="F4906" t="s">
        <v>293</v>
      </c>
      <c r="G4906" t="str">
        <f>HYPERLINK("http://www.ncbi.nlm.nih.gov/Taxonomy/Browser/wwwtax.cgi?mode=Info&amp;id=764558&amp;lvl=3&amp;lin=f&amp;keep=1&amp;srchmode=1&amp;unlock","Polypterus weeksii")</f>
        <v>Polypterus weeksii</v>
      </c>
      <c r="H4906" t="s">
        <v>1293</v>
      </c>
      <c r="I4906" t="str">
        <f>HYPERLINK("http://www.ncbi.nlm.nih.gov/protein/AHN66408.1","ryanodine receptor 3-like protein, partial")</f>
        <v>ryanodine receptor 3-like protein, partial</v>
      </c>
      <c r="J4906">
        <v>361.69</v>
      </c>
      <c r="K4906" t="s">
        <v>22</v>
      </c>
      <c r="L4906">
        <v>76</v>
      </c>
      <c r="M4906">
        <v>12.58</v>
      </c>
      <c r="N4906">
        <v>3.56</v>
      </c>
      <c r="O4906" t="s">
        <v>19</v>
      </c>
      <c r="P4906" t="s">
        <v>1320</v>
      </c>
      <c r="Q4906" t="s">
        <v>19</v>
      </c>
      <c r="R4906" t="str">
        <f>HYPERLINK("https://cfpub.epa.gov/ecotox/explore.cfm?ncbi=764558","Explore in ECOTOX")</f>
        <v>Explore in ECOTOX</v>
      </c>
    </row>
    <row r="4907" spans="1:18" x14ac:dyDescent="0.45">
      <c r="A4907" t="s">
        <v>1265</v>
      </c>
      <c r="B4907">
        <v>8</v>
      </c>
      <c r="C4907" t="str">
        <f>HYPERLINK("http://www.ncbi.nlm.nih.gov/protein/AHI54510.1","AHI54510.1")</f>
        <v>AHI54510.1</v>
      </c>
      <c r="D4907">
        <v>18</v>
      </c>
      <c r="E4907" t="str">
        <f>HYPERLINK("http://www.ncbi.nlm.nih.gov/Taxonomy/Browser/wwwtax.cgi?mode=Info&amp;id=185746&amp;lvl=3&amp;lin=f&amp;keep=1&amp;srchmode=1&amp;unlock","185746")</f>
        <v>185746</v>
      </c>
      <c r="F4907" t="s">
        <v>17</v>
      </c>
      <c r="G4907" t="str">
        <f>HYPERLINK("http://www.ncbi.nlm.nih.gov/Taxonomy/Browser/wwwtax.cgi?mode=Info&amp;id=185746&amp;lvl=3&amp;lin=f&amp;keep=1&amp;srchmode=1&amp;unlock","Lepidogobius lepidus")</f>
        <v>Lepidogobius lepidus</v>
      </c>
      <c r="H4907" t="s">
        <v>1431</v>
      </c>
      <c r="I4907" t="str">
        <f>HYPERLINK("http://www.ncbi.nlm.nih.gov/protein/AHI54510.1","ryanodine receptor 3-like protein, partial")</f>
        <v>ryanodine receptor 3-like protein, partial</v>
      </c>
      <c r="J4907">
        <v>360.92</v>
      </c>
      <c r="K4907" t="s">
        <v>22</v>
      </c>
      <c r="L4907">
        <v>76</v>
      </c>
      <c r="M4907">
        <v>12.58</v>
      </c>
      <c r="N4907">
        <v>3.55</v>
      </c>
      <c r="O4907" t="s">
        <v>19</v>
      </c>
      <c r="P4907" t="s">
        <v>1320</v>
      </c>
      <c r="Q4907" t="s">
        <v>19</v>
      </c>
      <c r="R4907" t="str">
        <f>HYPERLINK("https://cfpub.epa.gov/ecotox/explore.cfm?ncbi=185746","Explore in ECOTOX")</f>
        <v>Explore in ECOTOX</v>
      </c>
    </row>
    <row r="4908" spans="1:18" x14ac:dyDescent="0.45">
      <c r="A4908" t="s">
        <v>1265</v>
      </c>
      <c r="B4908">
        <v>8</v>
      </c>
      <c r="C4908" t="str">
        <f>HYPERLINK("http://www.ncbi.nlm.nih.gov/protein/AHI54502.1","AHI54502.1")</f>
        <v>AHI54502.1</v>
      </c>
      <c r="D4908">
        <v>24</v>
      </c>
      <c r="E4908" t="str">
        <f>HYPERLINK("http://www.ncbi.nlm.nih.gov/Taxonomy/Browser/wwwtax.cgi?mode=Info&amp;id=185732&amp;lvl=3&amp;lin=f&amp;keep=1&amp;srchmode=1&amp;unlock","185732")</f>
        <v>185732</v>
      </c>
      <c r="F4908" t="s">
        <v>17</v>
      </c>
      <c r="G4908" t="str">
        <f>HYPERLINK("http://www.ncbi.nlm.nih.gov/Taxonomy/Browser/wwwtax.cgi?mode=Info&amp;id=185732&amp;lvl=3&amp;lin=f&amp;keep=1&amp;srchmode=1&amp;unlock","Clevelandia ios")</f>
        <v>Clevelandia ios</v>
      </c>
      <c r="H4908" t="s">
        <v>1432</v>
      </c>
      <c r="I4908" t="str">
        <f>HYPERLINK("http://www.ncbi.nlm.nih.gov/protein/AHI54502.1","ryanodine receptor 3-like protein, partial")</f>
        <v>ryanodine receptor 3-like protein, partial</v>
      </c>
      <c r="J4908">
        <v>360.92</v>
      </c>
      <c r="K4908" t="s">
        <v>22</v>
      </c>
      <c r="L4908">
        <v>76</v>
      </c>
      <c r="M4908">
        <v>12.58</v>
      </c>
      <c r="N4908">
        <v>3.55</v>
      </c>
      <c r="O4908" t="s">
        <v>19</v>
      </c>
      <c r="P4908" t="s">
        <v>1320</v>
      </c>
      <c r="Q4908" t="s">
        <v>19</v>
      </c>
      <c r="R4908" t="str">
        <f>HYPERLINK("https://cfpub.epa.gov/ecotox/explore.cfm?ncbi=185732","Explore in ECOTOX")</f>
        <v>Explore in ECOTOX</v>
      </c>
    </row>
    <row r="4909" spans="1:18" x14ac:dyDescent="0.45">
      <c r="A4909" t="s">
        <v>1265</v>
      </c>
      <c r="B4909">
        <v>8</v>
      </c>
      <c r="C4909" t="str">
        <f>HYPERLINK("http://www.ncbi.nlm.nih.gov/protein/AHI54517.1","AHI54517.1")</f>
        <v>AHI54517.1</v>
      </c>
      <c r="D4909">
        <v>5</v>
      </c>
      <c r="E4909" t="str">
        <f>HYPERLINK("http://www.ncbi.nlm.nih.gov/Taxonomy/Browser/wwwtax.cgi?mode=Info&amp;id=1458938&amp;lvl=3&amp;lin=f&amp;keep=1&amp;srchmode=1&amp;unlock","1458938")</f>
        <v>1458938</v>
      </c>
      <c r="F4909" t="s">
        <v>17</v>
      </c>
      <c r="G4909" t="str">
        <f>HYPERLINK("http://www.ncbi.nlm.nih.gov/Taxonomy/Browser/wwwtax.cgi?mode=Info&amp;id=1458938&amp;lvl=3&amp;lin=f&amp;keep=1&amp;srchmode=1&amp;unlock","Luciogobius ryukyuensis")</f>
        <v>Luciogobius ryukyuensis</v>
      </c>
      <c r="H4909" t="s">
        <v>94</v>
      </c>
      <c r="I4909" t="str">
        <f>HYPERLINK("http://www.ncbi.nlm.nih.gov/protein/AHI54517.1","ryanodine receptor 3-like protein, partial")</f>
        <v>ryanodine receptor 3-like protein, partial</v>
      </c>
      <c r="J4909">
        <v>360.53</v>
      </c>
      <c r="K4909" t="s">
        <v>22</v>
      </c>
      <c r="L4909">
        <v>76</v>
      </c>
      <c r="M4909">
        <v>12.58</v>
      </c>
      <c r="N4909">
        <v>3.55</v>
      </c>
      <c r="O4909" t="s">
        <v>19</v>
      </c>
      <c r="P4909" t="s">
        <v>1320</v>
      </c>
      <c r="Q4909" t="s">
        <v>19</v>
      </c>
      <c r="R4909" t="str">
        <f>HYPERLINK("https://cfpub.epa.gov/ecotox/explore.cfm?ncbi=1458938","Explore in ECOTOX")</f>
        <v>Explore in ECOTOX</v>
      </c>
    </row>
    <row r="4910" spans="1:18" x14ac:dyDescent="0.45">
      <c r="A4910" t="s">
        <v>1265</v>
      </c>
      <c r="B4910">
        <v>8</v>
      </c>
      <c r="C4910" t="str">
        <f>HYPERLINK("http://www.ncbi.nlm.nih.gov/protein/QIA98332.1","QIA98332.1")</f>
        <v>QIA98332.1</v>
      </c>
      <c r="D4910">
        <v>47</v>
      </c>
      <c r="E4910" t="str">
        <f>HYPERLINK("http://www.ncbi.nlm.nih.gov/Taxonomy/Browser/wwwtax.cgi?mode=Info&amp;id=2707009&amp;lvl=3&amp;lin=f&amp;keep=1&amp;srchmode=1&amp;unlock","2707009")</f>
        <v>2707009</v>
      </c>
      <c r="F4910" t="s">
        <v>17</v>
      </c>
      <c r="G4910" t="str">
        <f>HYPERLINK("http://www.ncbi.nlm.nih.gov/Taxonomy/Browser/wwwtax.cgi?mode=Info&amp;id=2707009&amp;lvl=3&amp;lin=f&amp;keep=1&amp;srchmode=1&amp;unlock","Gouania sp. Adriatic_stout")</f>
        <v>Gouania sp. Adriatic_stout</v>
      </c>
      <c r="H4910" t="s">
        <v>1433</v>
      </c>
      <c r="I4910" t="str">
        <f>HYPERLINK("http://www.ncbi.nlm.nih.gov/protein/QIA98332.1","ryanodine receptor 3-like protein, partial")</f>
        <v>ryanodine receptor 3-like protein, partial</v>
      </c>
      <c r="J4910">
        <v>360.15</v>
      </c>
      <c r="K4910" t="s">
        <v>22</v>
      </c>
      <c r="L4910">
        <v>76</v>
      </c>
      <c r="M4910">
        <v>12.58</v>
      </c>
      <c r="N4910">
        <v>3.54</v>
      </c>
      <c r="O4910" t="s">
        <v>19</v>
      </c>
      <c r="P4910" t="s">
        <v>1320</v>
      </c>
      <c r="Q4910" t="s">
        <v>19</v>
      </c>
      <c r="R4910" t="str">
        <f>HYPERLINK("https://cfpub.epa.gov/ecotox/explore.cfm?ncbi=2707009","Explore in ECOTOX")</f>
        <v>Explore in ECOTOX</v>
      </c>
    </row>
    <row r="4911" spans="1:18" x14ac:dyDescent="0.45">
      <c r="A4911" t="s">
        <v>1265</v>
      </c>
      <c r="B4911">
        <v>8</v>
      </c>
      <c r="C4911" t="str">
        <f>HYPERLINK("http://www.ncbi.nlm.nih.gov/protein/AHI54496.1","AHI54496.1")</f>
        <v>AHI54496.1</v>
      </c>
      <c r="D4911">
        <v>113</v>
      </c>
      <c r="E4911" t="str">
        <f>HYPERLINK("http://www.ncbi.nlm.nih.gov/Taxonomy/Browser/wwwtax.cgi?mode=Info&amp;id=79683&amp;lvl=3&amp;lin=f&amp;keep=1&amp;srchmode=1&amp;unlock","79683")</f>
        <v>79683</v>
      </c>
      <c r="F4911" t="s">
        <v>17</v>
      </c>
      <c r="G4911" t="str">
        <f>HYPERLINK("http://www.ncbi.nlm.nih.gov/Taxonomy/Browser/wwwtax.cgi?mode=Info&amp;id=79683&amp;lvl=3&amp;lin=f&amp;keep=1&amp;srchmode=1&amp;unlock","Gillichthys seta")</f>
        <v>Gillichthys seta</v>
      </c>
      <c r="H4911" t="s">
        <v>1434</v>
      </c>
      <c r="I4911" t="str">
        <f>HYPERLINK("http://www.ncbi.nlm.nih.gov/protein/AHI54496.1","ryanodine receptor 3-like protein, partial")</f>
        <v>ryanodine receptor 3-like protein, partial</v>
      </c>
      <c r="J4911">
        <v>359.76</v>
      </c>
      <c r="K4911" t="s">
        <v>22</v>
      </c>
      <c r="L4911">
        <v>76</v>
      </c>
      <c r="M4911">
        <v>12.58</v>
      </c>
      <c r="N4911">
        <v>3.54</v>
      </c>
      <c r="O4911" t="s">
        <v>19</v>
      </c>
      <c r="P4911" t="s">
        <v>1320</v>
      </c>
      <c r="Q4911" t="s">
        <v>19</v>
      </c>
      <c r="R4911" t="str">
        <f>HYPERLINK("https://cfpub.epa.gov/ecotox/explore.cfm?ncbi=79683","Explore in ECOTOX")</f>
        <v>Explore in ECOTOX</v>
      </c>
    </row>
    <row r="4912" spans="1:18" x14ac:dyDescent="0.45">
      <c r="A4912" t="s">
        <v>1265</v>
      </c>
      <c r="B4912">
        <v>8</v>
      </c>
      <c r="C4912" t="str">
        <f>HYPERLINK("http://www.ncbi.nlm.nih.gov/protein/AHI54498.1","AHI54498.1")</f>
        <v>AHI54498.1</v>
      </c>
      <c r="D4912">
        <v>220</v>
      </c>
      <c r="E4912" t="str">
        <f>HYPERLINK("http://www.ncbi.nlm.nih.gov/Taxonomy/Browser/wwwtax.cgi?mode=Info&amp;id=8222&amp;lvl=3&amp;lin=f&amp;keep=1&amp;srchmode=1&amp;unlock","8222")</f>
        <v>8222</v>
      </c>
      <c r="F4912" t="s">
        <v>17</v>
      </c>
      <c r="G4912" t="str">
        <f>HYPERLINK("http://www.ncbi.nlm.nih.gov/Taxonomy/Browser/wwwtax.cgi?mode=Info&amp;id=8222&amp;lvl=3&amp;lin=f&amp;keep=1&amp;srchmode=1&amp;unlock","Gillichthys mirabilis")</f>
        <v>Gillichthys mirabilis</v>
      </c>
      <c r="H4912" t="s">
        <v>1435</v>
      </c>
      <c r="I4912" t="str">
        <f>HYPERLINK("http://www.ncbi.nlm.nih.gov/protein/AHI54498.1","ryanodine receptor 3-like protein, partial")</f>
        <v>ryanodine receptor 3-like protein, partial</v>
      </c>
      <c r="J4912">
        <v>359.76</v>
      </c>
      <c r="K4912" t="s">
        <v>22</v>
      </c>
      <c r="L4912">
        <v>76</v>
      </c>
      <c r="M4912">
        <v>12.58</v>
      </c>
      <c r="N4912">
        <v>3.54</v>
      </c>
      <c r="O4912" t="s">
        <v>19</v>
      </c>
      <c r="P4912" t="s">
        <v>1320</v>
      </c>
      <c r="Q4912" t="s">
        <v>19</v>
      </c>
      <c r="R4912" t="str">
        <f>HYPERLINK("https://cfpub.epa.gov/ecotox/explore.cfm?ncbi=8222","Explore in ECOTOX")</f>
        <v>Explore in ECOTOX</v>
      </c>
    </row>
    <row r="4913" spans="1:18" x14ac:dyDescent="0.45">
      <c r="A4913" t="s">
        <v>1265</v>
      </c>
      <c r="B4913">
        <v>8</v>
      </c>
      <c r="C4913" t="str">
        <f>HYPERLINK("http://www.ncbi.nlm.nih.gov/protein/AHI54485.1","AHI54485.1")</f>
        <v>AHI54485.1</v>
      </c>
      <c r="D4913">
        <v>11</v>
      </c>
      <c r="E4913" t="str">
        <f>HYPERLINK("http://www.ncbi.nlm.nih.gov/Taxonomy/Browser/wwwtax.cgi?mode=Info&amp;id=186836&amp;lvl=3&amp;lin=f&amp;keep=1&amp;srchmode=1&amp;unlock","186836")</f>
        <v>186836</v>
      </c>
      <c r="F4913" t="s">
        <v>17</v>
      </c>
      <c r="G4913" t="str">
        <f>HYPERLINK("http://www.ncbi.nlm.nih.gov/Taxonomy/Browser/wwwtax.cgi?mode=Info&amp;id=186836&amp;lvl=3&amp;lin=f&amp;keep=1&amp;srchmode=1&amp;unlock","Mugilogobius rivulus")</f>
        <v>Mugilogobius rivulus</v>
      </c>
      <c r="H4913" t="s">
        <v>1436</v>
      </c>
      <c r="I4913" t="str">
        <f>HYPERLINK("http://www.ncbi.nlm.nih.gov/protein/AHI54485.1","ryanodine receptor 3-like protein, partial")</f>
        <v>ryanodine receptor 3-like protein, partial</v>
      </c>
      <c r="J4913">
        <v>359.76</v>
      </c>
      <c r="K4913" t="s">
        <v>22</v>
      </c>
      <c r="L4913">
        <v>76</v>
      </c>
      <c r="M4913">
        <v>12.58</v>
      </c>
      <c r="N4913">
        <v>3.54</v>
      </c>
      <c r="O4913" t="s">
        <v>19</v>
      </c>
      <c r="P4913" t="s">
        <v>1320</v>
      </c>
      <c r="Q4913" t="s">
        <v>19</v>
      </c>
      <c r="R4913" t="str">
        <f>HYPERLINK("https://cfpub.epa.gov/ecotox/explore.cfm?ncbi=186836","Explore in ECOTOX")</f>
        <v>Explore in ECOTOX</v>
      </c>
    </row>
    <row r="4914" spans="1:18" x14ac:dyDescent="0.45">
      <c r="A4914" t="s">
        <v>1265</v>
      </c>
      <c r="B4914">
        <v>8</v>
      </c>
      <c r="C4914" t="str">
        <f>HYPERLINK("http://www.ncbi.nlm.nih.gov/protein/AHI54497.1","AHI54497.1")</f>
        <v>AHI54497.1</v>
      </c>
      <c r="D4914">
        <v>10</v>
      </c>
      <c r="E4914" t="str">
        <f>HYPERLINK("http://www.ncbi.nlm.nih.gov/Taxonomy/Browser/wwwtax.cgi?mode=Info&amp;id=631258&amp;lvl=3&amp;lin=f&amp;keep=1&amp;srchmode=1&amp;unlock","631258")</f>
        <v>631258</v>
      </c>
      <c r="F4914" t="s">
        <v>17</v>
      </c>
      <c r="G4914" t="str">
        <f>HYPERLINK("http://www.ncbi.nlm.nih.gov/Taxonomy/Browser/wwwtax.cgi?mode=Info&amp;id=631258&amp;lvl=3&amp;lin=f&amp;keep=1&amp;srchmode=1&amp;unlock","Gillichthys detrusus")</f>
        <v>Gillichthys detrusus</v>
      </c>
      <c r="H4914" t="s">
        <v>1437</v>
      </c>
      <c r="I4914" t="str">
        <f>HYPERLINK("http://www.ncbi.nlm.nih.gov/protein/AHI54497.1","ryanodine receptor 3-like protein, partial")</f>
        <v>ryanodine receptor 3-like protein, partial</v>
      </c>
      <c r="J4914">
        <v>359.76</v>
      </c>
      <c r="K4914" t="s">
        <v>22</v>
      </c>
      <c r="L4914">
        <v>76</v>
      </c>
      <c r="M4914">
        <v>12.58</v>
      </c>
      <c r="N4914">
        <v>3.54</v>
      </c>
      <c r="O4914" t="s">
        <v>19</v>
      </c>
      <c r="P4914" t="s">
        <v>1320</v>
      </c>
      <c r="Q4914" t="s">
        <v>19</v>
      </c>
      <c r="R4914" t="str">
        <f>HYPERLINK("https://cfpub.epa.gov/ecotox/explore.cfm?ncbi=631258","Explore in ECOTOX")</f>
        <v>Explore in ECOTOX</v>
      </c>
    </row>
    <row r="4915" spans="1:18" x14ac:dyDescent="0.45">
      <c r="A4915" t="s">
        <v>1265</v>
      </c>
      <c r="B4915">
        <v>8</v>
      </c>
      <c r="C4915" t="str">
        <f>HYPERLINK("http://www.ncbi.nlm.nih.gov/protein/AHI54501.1","AHI54501.1")</f>
        <v>AHI54501.1</v>
      </c>
      <c r="D4915">
        <v>21</v>
      </c>
      <c r="E4915" t="str">
        <f>HYPERLINK("http://www.ncbi.nlm.nih.gov/Taxonomy/Browser/wwwtax.cgi?mode=Info&amp;id=249131&amp;lvl=3&amp;lin=f&amp;keep=1&amp;srchmode=1&amp;unlock","249131")</f>
        <v>249131</v>
      </c>
      <c r="F4915" t="s">
        <v>17</v>
      </c>
      <c r="G4915" t="str">
        <f>HYPERLINK("http://www.ncbi.nlm.nih.gov/Taxonomy/Browser/wwwtax.cgi?mode=Info&amp;id=249131&amp;lvl=3&amp;lin=f&amp;keep=1&amp;srchmode=1&amp;unlock","Clariger cosmurus")</f>
        <v>Clariger cosmurus</v>
      </c>
      <c r="H4915" t="s">
        <v>94</v>
      </c>
      <c r="I4915" t="str">
        <f>HYPERLINK("http://www.ncbi.nlm.nih.gov/protein/AHI54501.1","ryanodine receptor 3-like protein, partial")</f>
        <v>ryanodine receptor 3-like protein, partial</v>
      </c>
      <c r="J4915">
        <v>359.38</v>
      </c>
      <c r="K4915" t="s">
        <v>22</v>
      </c>
      <c r="L4915">
        <v>76</v>
      </c>
      <c r="M4915">
        <v>12.58</v>
      </c>
      <c r="N4915">
        <v>3.54</v>
      </c>
      <c r="O4915" t="s">
        <v>19</v>
      </c>
      <c r="P4915" t="s">
        <v>1320</v>
      </c>
      <c r="Q4915" t="s">
        <v>19</v>
      </c>
      <c r="R4915" t="str">
        <f>HYPERLINK("https://cfpub.epa.gov/ecotox/explore.cfm?ncbi=249131","Explore in ECOTOX")</f>
        <v>Explore in ECOTOX</v>
      </c>
    </row>
    <row r="4916" spans="1:18" x14ac:dyDescent="0.45">
      <c r="A4916" t="s">
        <v>1265</v>
      </c>
      <c r="B4916">
        <v>8</v>
      </c>
      <c r="C4916" t="str">
        <f>HYPERLINK("http://www.ncbi.nlm.nih.gov/protein/QIA98341.1","QIA98341.1")</f>
        <v>QIA98341.1</v>
      </c>
      <c r="D4916">
        <v>75</v>
      </c>
      <c r="E4916" t="str">
        <f>HYPERLINK("http://www.ncbi.nlm.nih.gov/Taxonomy/Browser/wwwtax.cgi?mode=Info&amp;id=2707011&amp;lvl=3&amp;lin=f&amp;keep=1&amp;srchmode=1&amp;unlock","2707011")</f>
        <v>2707011</v>
      </c>
      <c r="F4916" t="s">
        <v>17</v>
      </c>
      <c r="G4916" t="str">
        <f>HYPERLINK("http://www.ncbi.nlm.nih.gov/Taxonomy/Browser/wwwtax.cgi?mode=Info&amp;id=2707011&amp;lvl=3&amp;lin=f&amp;keep=1&amp;srchmode=1&amp;unlock","Gouania sp. EastMed_stout")</f>
        <v>Gouania sp. EastMed_stout</v>
      </c>
      <c r="H4916" t="s">
        <v>1433</v>
      </c>
      <c r="I4916" t="str">
        <f>HYPERLINK("http://www.ncbi.nlm.nih.gov/protein/QIA98341.1","ryanodine receptor 3-like protein, partial")</f>
        <v>ryanodine receptor 3-like protein, partial</v>
      </c>
      <c r="J4916">
        <v>359.38</v>
      </c>
      <c r="K4916" t="s">
        <v>22</v>
      </c>
      <c r="L4916">
        <v>76</v>
      </c>
      <c r="M4916">
        <v>12.58</v>
      </c>
      <c r="N4916">
        <v>3.54</v>
      </c>
      <c r="O4916" t="s">
        <v>19</v>
      </c>
      <c r="P4916" t="s">
        <v>1320</v>
      </c>
      <c r="Q4916" t="s">
        <v>19</v>
      </c>
      <c r="R4916" t="str">
        <f>HYPERLINK("https://cfpub.epa.gov/ecotox/explore.cfm?ncbi=2707011","Explore in ECOTOX")</f>
        <v>Explore in ECOTOX</v>
      </c>
    </row>
    <row r="4917" spans="1:18" x14ac:dyDescent="0.45">
      <c r="A4917" t="s">
        <v>1265</v>
      </c>
      <c r="B4917">
        <v>8</v>
      </c>
      <c r="C4917" t="str">
        <f>HYPERLINK("http://www.ncbi.nlm.nih.gov/protein/AEY80811.1","AEY80811.1")</f>
        <v>AEY80811.1</v>
      </c>
      <c r="D4917">
        <v>21</v>
      </c>
      <c r="E4917" t="str">
        <f>HYPERLINK("http://www.ncbi.nlm.nih.gov/Taxonomy/Browser/wwwtax.cgi?mode=Info&amp;id=700664&amp;lvl=3&amp;lin=f&amp;keep=1&amp;srchmode=1&amp;unlock","700664")</f>
        <v>700664</v>
      </c>
      <c r="F4917" t="s">
        <v>17</v>
      </c>
      <c r="G4917" t="str">
        <f>HYPERLINK("http://www.ncbi.nlm.nih.gov/Taxonomy/Browser/wwwtax.cgi?mode=Info&amp;id=700664&amp;lvl=3&amp;lin=f&amp;keep=1&amp;srchmode=1&amp;unlock","Rouleina attrita")</f>
        <v>Rouleina attrita</v>
      </c>
      <c r="H4917" t="s">
        <v>1438</v>
      </c>
      <c r="I4917" t="str">
        <f>HYPERLINK("http://www.ncbi.nlm.nih.gov/protein/AEY80811.1","ryanodine receptor 3-like protein, partial")</f>
        <v>ryanodine receptor 3-like protein, partial</v>
      </c>
      <c r="J4917">
        <v>358.61</v>
      </c>
      <c r="K4917" t="s">
        <v>22</v>
      </c>
      <c r="L4917">
        <v>76</v>
      </c>
      <c r="M4917">
        <v>12.58</v>
      </c>
      <c r="N4917">
        <v>3.53</v>
      </c>
      <c r="O4917" t="s">
        <v>19</v>
      </c>
      <c r="P4917" t="s">
        <v>1320</v>
      </c>
      <c r="Q4917" t="s">
        <v>19</v>
      </c>
      <c r="R4917" t="str">
        <f>HYPERLINK("https://cfpub.epa.gov/ecotox/explore.cfm?ncbi=700664","Explore in ECOTOX")</f>
        <v>Explore in ECOTOX</v>
      </c>
    </row>
    <row r="4918" spans="1:18" x14ac:dyDescent="0.45">
      <c r="A4918" t="s">
        <v>1265</v>
      </c>
      <c r="B4918">
        <v>8</v>
      </c>
      <c r="C4918" t="str">
        <f>HYPERLINK("http://www.ncbi.nlm.nih.gov/protein/QIA98362.1","QIA98362.1")</f>
        <v>QIA98362.1</v>
      </c>
      <c r="D4918">
        <v>20</v>
      </c>
      <c r="E4918" t="str">
        <f>HYPERLINK("http://www.ncbi.nlm.nih.gov/Taxonomy/Browser/wwwtax.cgi?mode=Info&amp;id=164309&amp;lvl=3&amp;lin=f&amp;keep=1&amp;srchmode=1&amp;unlock","164309")</f>
        <v>164309</v>
      </c>
      <c r="F4918" t="s">
        <v>17</v>
      </c>
      <c r="G4918" t="str">
        <f>HYPERLINK("http://www.ncbi.nlm.nih.gov/Taxonomy/Browser/wwwtax.cgi?mode=Info&amp;id=164309&amp;lvl=3&amp;lin=f&amp;keep=1&amp;srchmode=1&amp;unlock","Lepadogaster purpurea")</f>
        <v>Lepadogaster purpurea</v>
      </c>
      <c r="H4918" t="s">
        <v>1439</v>
      </c>
      <c r="I4918" t="str">
        <f>HYPERLINK("http://www.ncbi.nlm.nih.gov/protein/QIA98362.1","ryanodine receptor 3-like protein, partial")</f>
        <v>ryanodine receptor 3-like protein, partial</v>
      </c>
      <c r="J4918">
        <v>358.61</v>
      </c>
      <c r="K4918" t="s">
        <v>22</v>
      </c>
      <c r="L4918">
        <v>76</v>
      </c>
      <c r="M4918">
        <v>12.58</v>
      </c>
      <c r="N4918">
        <v>3.53</v>
      </c>
      <c r="O4918" t="s">
        <v>19</v>
      </c>
      <c r="P4918" t="s">
        <v>1320</v>
      </c>
      <c r="Q4918" t="s">
        <v>19</v>
      </c>
      <c r="R4918" t="str">
        <f>HYPERLINK("https://cfpub.epa.gov/ecotox/explore.cfm?ncbi=164309","Explore in ECOTOX")</f>
        <v>Explore in ECOTOX</v>
      </c>
    </row>
    <row r="4919" spans="1:18" x14ac:dyDescent="0.45">
      <c r="A4919" t="s">
        <v>1265</v>
      </c>
      <c r="B4919">
        <v>8</v>
      </c>
      <c r="C4919" t="str">
        <f>HYPERLINK("http://www.ncbi.nlm.nih.gov/protein/AEY80802.1","AEY80802.1")</f>
        <v>AEY80802.1</v>
      </c>
      <c r="D4919">
        <v>74</v>
      </c>
      <c r="E4919" t="str">
        <f>HYPERLINK("http://www.ncbi.nlm.nih.gov/Taxonomy/Browser/wwwtax.cgi?mode=Info&amp;id=75934&amp;lvl=3&amp;lin=f&amp;keep=1&amp;srchmode=1&amp;unlock","75934")</f>
        <v>75934</v>
      </c>
      <c r="F4919" t="s">
        <v>17</v>
      </c>
      <c r="G4919" t="str">
        <f>HYPERLINK("http://www.ncbi.nlm.nih.gov/Taxonomy/Browser/wwwtax.cgi?mode=Info&amp;id=75934&amp;lvl=3&amp;lin=f&amp;keep=1&amp;srchmode=1&amp;unlock","Umbra pygmaea")</f>
        <v>Umbra pygmaea</v>
      </c>
      <c r="H4919" t="s">
        <v>1303</v>
      </c>
      <c r="I4919" t="str">
        <f>HYPERLINK("http://www.ncbi.nlm.nih.gov/protein/AEY80802.1","ryanodine receptor 3-like protein, partial")</f>
        <v>ryanodine receptor 3-like protein, partial</v>
      </c>
      <c r="J4919">
        <v>358.61</v>
      </c>
      <c r="K4919" t="s">
        <v>22</v>
      </c>
      <c r="L4919">
        <v>76</v>
      </c>
      <c r="M4919">
        <v>12.58</v>
      </c>
      <c r="N4919">
        <v>3.53</v>
      </c>
      <c r="O4919" t="s">
        <v>19</v>
      </c>
      <c r="P4919" t="s">
        <v>1320</v>
      </c>
      <c r="Q4919" t="s">
        <v>19</v>
      </c>
      <c r="R4919" t="str">
        <f>HYPERLINK("https://cfpub.epa.gov/ecotox/explore.cfm?ncbi=75934","Explore in ECOTOX")</f>
        <v>Explore in ECOTOX</v>
      </c>
    </row>
    <row r="4920" spans="1:18" x14ac:dyDescent="0.45">
      <c r="A4920" t="s">
        <v>1265</v>
      </c>
      <c r="B4920">
        <v>8</v>
      </c>
      <c r="C4920" t="str">
        <f>HYPERLINK("http://www.ncbi.nlm.nih.gov/protein/AHI54483.1","AHI54483.1")</f>
        <v>AHI54483.1</v>
      </c>
      <c r="D4920">
        <v>13</v>
      </c>
      <c r="E4920" t="str">
        <f>HYPERLINK("http://www.ncbi.nlm.nih.gov/Taxonomy/Browser/wwwtax.cgi?mode=Info&amp;id=186835&amp;lvl=3&amp;lin=f&amp;keep=1&amp;srchmode=1&amp;unlock","186835")</f>
        <v>186835</v>
      </c>
      <c r="F4920" t="s">
        <v>17</v>
      </c>
      <c r="G4920" t="str">
        <f>HYPERLINK("http://www.ncbi.nlm.nih.gov/Taxonomy/Browser/wwwtax.cgi?mode=Info&amp;id=186835&amp;lvl=3&amp;lin=f&amp;keep=1&amp;srchmode=1&amp;unlock","Evorthodus minutus")</f>
        <v>Evorthodus minutus</v>
      </c>
      <c r="H4920" t="s">
        <v>94</v>
      </c>
      <c r="I4920" t="str">
        <f>HYPERLINK("http://www.ncbi.nlm.nih.gov/protein/AHI54483.1","ryanodine receptor 3-like protein, partial")</f>
        <v>ryanodine receptor 3-like protein, partial</v>
      </c>
      <c r="J4920">
        <v>355.91</v>
      </c>
      <c r="K4920" t="s">
        <v>22</v>
      </c>
      <c r="L4920">
        <v>76</v>
      </c>
      <c r="M4920">
        <v>12.58</v>
      </c>
      <c r="N4920">
        <v>3.5</v>
      </c>
      <c r="O4920" t="s">
        <v>19</v>
      </c>
      <c r="P4920" t="s">
        <v>1320</v>
      </c>
      <c r="Q4920" t="s">
        <v>19</v>
      </c>
      <c r="R4920" t="str">
        <f>HYPERLINK("https://cfpub.epa.gov/ecotox/explore.cfm?ncbi=186835","Explore in ECOTOX")</f>
        <v>Explore in ECOTOX</v>
      </c>
    </row>
    <row r="4921" spans="1:18" x14ac:dyDescent="0.45">
      <c r="A4921" t="s">
        <v>1265</v>
      </c>
      <c r="B4921">
        <v>8</v>
      </c>
      <c r="C4921" t="str">
        <f>HYPERLINK("http://www.ncbi.nlm.nih.gov/protein/AHI54504.1","AHI54504.1")</f>
        <v>AHI54504.1</v>
      </c>
      <c r="D4921">
        <v>5</v>
      </c>
      <c r="E4921" t="str">
        <f>HYPERLINK("http://www.ncbi.nlm.nih.gov/Taxonomy/Browser/wwwtax.cgi?mode=Info&amp;id=1458936&amp;lvl=3&amp;lin=f&amp;keep=1&amp;srchmode=1&amp;unlock","1458936")</f>
        <v>1458936</v>
      </c>
      <c r="F4921" t="s">
        <v>17</v>
      </c>
      <c r="G4921" t="str">
        <f>HYPERLINK("http://www.ncbi.nlm.nih.gov/Taxonomy/Browser/wwwtax.cgi?mode=Info&amp;id=1458936&amp;lvl=3&amp;lin=f&amp;keep=1&amp;srchmode=1&amp;unlock","Eucyclogobius sp. CCS01058_20")</f>
        <v>Eucyclogobius sp. CCS01058_20</v>
      </c>
      <c r="H4921" t="s">
        <v>94</v>
      </c>
      <c r="I4921" t="str">
        <f>HYPERLINK("http://www.ncbi.nlm.nih.gov/protein/AHI54504.1","ryanodine receptor 3-like protein, partial")</f>
        <v>ryanodine receptor 3-like protein, partial</v>
      </c>
      <c r="J4921">
        <v>354.37</v>
      </c>
      <c r="K4921" t="s">
        <v>22</v>
      </c>
      <c r="L4921">
        <v>76</v>
      </c>
      <c r="M4921">
        <v>12.58</v>
      </c>
      <c r="N4921">
        <v>3.49</v>
      </c>
      <c r="O4921" t="s">
        <v>19</v>
      </c>
      <c r="P4921" t="s">
        <v>1320</v>
      </c>
      <c r="Q4921" t="s">
        <v>19</v>
      </c>
      <c r="R4921" t="str">
        <f>HYPERLINK("https://cfpub.epa.gov/ecotox/explore.cfm?ncbi=1458936","Explore in ECOTOX")</f>
        <v>Explore in ECOTOX</v>
      </c>
    </row>
    <row r="4922" spans="1:18" x14ac:dyDescent="0.45">
      <c r="A4922" t="s">
        <v>1265</v>
      </c>
      <c r="B4922">
        <v>8</v>
      </c>
      <c r="C4922" t="str">
        <f>HYPERLINK("http://www.ncbi.nlm.nih.gov/protein/AHI54503.1","AHI54503.1")</f>
        <v>AHI54503.1</v>
      </c>
      <c r="D4922">
        <v>52</v>
      </c>
      <c r="E4922" t="str">
        <f>HYPERLINK("http://www.ncbi.nlm.nih.gov/Taxonomy/Browser/wwwtax.cgi?mode=Info&amp;id=166745&amp;lvl=3&amp;lin=f&amp;keep=1&amp;srchmode=1&amp;unlock","166745")</f>
        <v>166745</v>
      </c>
      <c r="F4922" t="s">
        <v>17</v>
      </c>
      <c r="G4922" t="str">
        <f>HYPERLINK("http://www.ncbi.nlm.nih.gov/Taxonomy/Browser/wwwtax.cgi?mode=Info&amp;id=166745&amp;lvl=3&amp;lin=f&amp;keep=1&amp;srchmode=1&amp;unlock","Eucyclogobius newberryi")</f>
        <v>Eucyclogobius newberryi</v>
      </c>
      <c r="H4922" t="s">
        <v>1440</v>
      </c>
      <c r="I4922" t="str">
        <f>HYPERLINK("http://www.ncbi.nlm.nih.gov/protein/AHI54503.1","ryanodine receptor 3-like protein, partial")</f>
        <v>ryanodine receptor 3-like protein, partial</v>
      </c>
      <c r="J4922">
        <v>354.37</v>
      </c>
      <c r="K4922" t="s">
        <v>22</v>
      </c>
      <c r="L4922">
        <v>76</v>
      </c>
      <c r="M4922">
        <v>12.58</v>
      </c>
      <c r="N4922">
        <v>3.49</v>
      </c>
      <c r="O4922" t="s">
        <v>19</v>
      </c>
      <c r="P4922" t="s">
        <v>1320</v>
      </c>
      <c r="Q4922" t="s">
        <v>19</v>
      </c>
      <c r="R4922" t="str">
        <f>HYPERLINK("https://cfpub.epa.gov/ecotox/explore.cfm?ncbi=166745","Explore in ECOTOX")</f>
        <v>Explore in ECOTOX</v>
      </c>
    </row>
    <row r="4923" spans="1:18" x14ac:dyDescent="0.45">
      <c r="A4923" t="s">
        <v>1265</v>
      </c>
      <c r="B4923">
        <v>8</v>
      </c>
      <c r="C4923" t="str">
        <f>HYPERLINK("http://www.ncbi.nlm.nih.gov/protein/AEY80804.1","AEY80804.1")</f>
        <v>AEY80804.1</v>
      </c>
      <c r="D4923">
        <v>257</v>
      </c>
      <c r="E4923" t="str">
        <f>HYPERLINK("http://www.ncbi.nlm.nih.gov/Taxonomy/Browser/wwwtax.cgi?mode=Info&amp;id=99804&amp;lvl=3&amp;lin=f&amp;keep=1&amp;srchmode=1&amp;unlock","99804")</f>
        <v>99804</v>
      </c>
      <c r="F4923" t="s">
        <v>17</v>
      </c>
      <c r="G4923" t="str">
        <f>HYPERLINK("http://www.ncbi.nlm.nih.gov/Taxonomy/Browser/wwwtax.cgi?mode=Info&amp;id=99804&amp;lvl=3&amp;lin=f&amp;keep=1&amp;srchmode=1&amp;unlock","Salmo trutta fario")</f>
        <v>Salmo trutta fario</v>
      </c>
      <c r="H4923" t="s">
        <v>150</v>
      </c>
      <c r="I4923" t="str">
        <f>HYPERLINK("http://www.ncbi.nlm.nih.gov/protein/AEY80804.1","ryanodine receptor 3-like protein, partial")</f>
        <v>ryanodine receptor 3-like protein, partial</v>
      </c>
      <c r="J4923">
        <v>353.6</v>
      </c>
      <c r="K4923" t="s">
        <v>22</v>
      </c>
      <c r="L4923">
        <v>76</v>
      </c>
      <c r="M4923">
        <v>12.58</v>
      </c>
      <c r="N4923">
        <v>3.48</v>
      </c>
      <c r="O4923" t="s">
        <v>19</v>
      </c>
      <c r="P4923" t="s">
        <v>1320</v>
      </c>
      <c r="Q4923" t="s">
        <v>19</v>
      </c>
      <c r="R4923" t="str">
        <f>HYPERLINK("https://cfpub.epa.gov/ecotox/explore.cfm?ncbi=99804","Explore in ECOTOX")</f>
        <v>Explore in ECOTOX</v>
      </c>
    </row>
    <row r="4924" spans="1:18" x14ac:dyDescent="0.45">
      <c r="A4924" t="s">
        <v>1265</v>
      </c>
      <c r="B4924">
        <v>8</v>
      </c>
      <c r="C4924" t="str">
        <f>HYPERLINK("http://www.ncbi.nlm.nih.gov/protein/ALX40425.1","ALX40425.1")</f>
        <v>ALX40425.1</v>
      </c>
      <c r="D4924">
        <v>101</v>
      </c>
      <c r="E4924" t="str">
        <f>HYPERLINK("http://www.ncbi.nlm.nih.gov/Taxonomy/Browser/wwwtax.cgi?mode=Info&amp;id=341095&amp;lvl=3&amp;lin=f&amp;keep=1&amp;srchmode=1&amp;unlock","341095")</f>
        <v>341095</v>
      </c>
      <c r="F4924" t="s">
        <v>17</v>
      </c>
      <c r="G4924" t="str">
        <f>HYPERLINK("http://www.ncbi.nlm.nih.gov/Taxonomy/Browser/wwwtax.cgi?mode=Info&amp;id=341095&amp;lvl=3&amp;lin=f&amp;keep=1&amp;srchmode=1&amp;unlock","Oreonectes platycephalus")</f>
        <v>Oreonectes platycephalus</v>
      </c>
      <c r="H4924" t="s">
        <v>21</v>
      </c>
      <c r="I4924" t="str">
        <f>HYPERLINK("http://www.ncbi.nlm.nih.gov/protein/ALX40425.1","ryanodine receptor 3-like protein, partial")</f>
        <v>ryanodine receptor 3-like protein, partial</v>
      </c>
      <c r="J4924">
        <v>353.21</v>
      </c>
      <c r="K4924" t="s">
        <v>22</v>
      </c>
      <c r="L4924">
        <v>76</v>
      </c>
      <c r="M4924">
        <v>12.58</v>
      </c>
      <c r="N4924">
        <v>3.48</v>
      </c>
      <c r="O4924" t="s">
        <v>19</v>
      </c>
      <c r="P4924" t="s">
        <v>1320</v>
      </c>
      <c r="Q4924" t="s">
        <v>19</v>
      </c>
      <c r="R4924" t="str">
        <f>HYPERLINK("https://cfpub.epa.gov/ecotox/explore.cfm?ncbi=341095","Explore in ECOTOX")</f>
        <v>Explore in ECOTOX</v>
      </c>
    </row>
    <row r="4925" spans="1:18" x14ac:dyDescent="0.45">
      <c r="A4925" t="s">
        <v>1265</v>
      </c>
      <c r="B4925">
        <v>8</v>
      </c>
      <c r="C4925" t="str">
        <f>HYPERLINK("http://www.ncbi.nlm.nih.gov/protein/AEY80807.1","AEY80807.1")</f>
        <v>AEY80807.1</v>
      </c>
      <c r="D4925">
        <v>11</v>
      </c>
      <c r="E4925" t="str">
        <f>HYPERLINK("http://www.ncbi.nlm.nih.gov/Taxonomy/Browser/wwwtax.cgi?mode=Info&amp;id=1091428&amp;lvl=3&amp;lin=f&amp;keep=1&amp;srchmode=1&amp;unlock","1091428")</f>
        <v>1091428</v>
      </c>
      <c r="F4925" t="s">
        <v>17</v>
      </c>
      <c r="G4925" t="str">
        <f>HYPERLINK("http://www.ncbi.nlm.nih.gov/Taxonomy/Browser/wwwtax.cgi?mode=Info&amp;id=1091428&amp;lvl=3&amp;lin=f&amp;keep=1&amp;srchmode=1&amp;unlock","Stomias gracilis")</f>
        <v>Stomias gracilis</v>
      </c>
      <c r="H4925" t="s">
        <v>1441</v>
      </c>
      <c r="I4925" t="str">
        <f>HYPERLINK("http://www.ncbi.nlm.nih.gov/protein/AEY80807.1","ryanodine receptor 3-like protein, partial")</f>
        <v>ryanodine receptor 3-like protein, partial</v>
      </c>
      <c r="J4925">
        <v>349.75</v>
      </c>
      <c r="K4925" t="s">
        <v>22</v>
      </c>
      <c r="L4925">
        <v>76</v>
      </c>
      <c r="M4925">
        <v>12.58</v>
      </c>
      <c r="N4925">
        <v>3.44</v>
      </c>
      <c r="O4925" t="s">
        <v>19</v>
      </c>
      <c r="P4925" t="s">
        <v>1320</v>
      </c>
      <c r="Q4925" t="s">
        <v>19</v>
      </c>
      <c r="R4925" t="str">
        <f>HYPERLINK("https://cfpub.epa.gov/ecotox/explore.cfm?ncbi=1091428","Explore in ECOTOX")</f>
        <v>Explore in ECOTOX</v>
      </c>
    </row>
    <row r="4926" spans="1:18" x14ac:dyDescent="0.45">
      <c r="A4926" t="s">
        <v>1265</v>
      </c>
      <c r="B4926">
        <v>8</v>
      </c>
      <c r="C4926" t="str">
        <f>HYPERLINK("http://www.ncbi.nlm.nih.gov/protein/ALX40481.1","ALX40481.1")</f>
        <v>ALX40481.1</v>
      </c>
      <c r="D4926">
        <v>46</v>
      </c>
      <c r="E4926" t="str">
        <f>HYPERLINK("http://www.ncbi.nlm.nih.gov/Taxonomy/Browser/wwwtax.cgi?mode=Info&amp;id=171525&amp;lvl=3&amp;lin=f&amp;keep=1&amp;srchmode=1&amp;unlock","171525")</f>
        <v>171525</v>
      </c>
      <c r="F4926" t="s">
        <v>17</v>
      </c>
      <c r="G4926" t="str">
        <f>HYPERLINK("http://www.ncbi.nlm.nih.gov/Taxonomy/Browser/wwwtax.cgi?mode=Info&amp;id=171525&amp;lvl=3&amp;lin=f&amp;keep=1&amp;srchmode=1&amp;unlock","Coreius heterodon")</f>
        <v>Coreius heterodon</v>
      </c>
      <c r="H4926" t="s">
        <v>21</v>
      </c>
      <c r="I4926" t="str">
        <f>HYPERLINK("http://www.ncbi.nlm.nih.gov/protein/ALX40481.1","ryanodine receptor 3-like protein, partial")</f>
        <v>ryanodine receptor 3-like protein, partial</v>
      </c>
      <c r="J4926">
        <v>347.44</v>
      </c>
      <c r="K4926" t="s">
        <v>22</v>
      </c>
      <c r="L4926">
        <v>76</v>
      </c>
      <c r="M4926">
        <v>12.58</v>
      </c>
      <c r="N4926">
        <v>3.42</v>
      </c>
      <c r="O4926" t="s">
        <v>19</v>
      </c>
      <c r="P4926" t="s">
        <v>1320</v>
      </c>
      <c r="Q4926" t="s">
        <v>19</v>
      </c>
      <c r="R4926" t="str">
        <f>HYPERLINK("https://cfpub.epa.gov/ecotox/explore.cfm?ncbi=171525","Explore in ECOTOX")</f>
        <v>Explore in ECOTOX</v>
      </c>
    </row>
    <row r="4927" spans="1:18" x14ac:dyDescent="0.45">
      <c r="A4927" t="s">
        <v>1265</v>
      </c>
      <c r="B4927">
        <v>8</v>
      </c>
      <c r="C4927" t="str">
        <f>HYPERLINK("http://www.ncbi.nlm.nih.gov/protein/XP_004993045.1","XP_004993045.1")</f>
        <v>XP_004993045.1</v>
      </c>
      <c r="D4927">
        <v>23489</v>
      </c>
      <c r="E4927" t="str">
        <f>HYPERLINK("http://www.ncbi.nlm.nih.gov/Taxonomy/Browser/wwwtax.cgi?mode=Info&amp;id=946362&amp;lvl=3&amp;lin=f&amp;keep=1&amp;srchmode=1&amp;unlock","946362")</f>
        <v>946362</v>
      </c>
      <c r="F4927" t="s">
        <v>1218</v>
      </c>
      <c r="G4927" t="str">
        <f>HYPERLINK("http://www.ncbi.nlm.nih.gov/Taxonomy/Browser/wwwtax.cgi?mode=Info&amp;id=946362&amp;lvl=3&amp;lin=f&amp;keep=1&amp;srchmode=1&amp;unlock","Salpingoeca rosetta")</f>
        <v>Salpingoeca rosetta</v>
      </c>
      <c r="H4927" t="s">
        <v>1219</v>
      </c>
      <c r="I4927" t="str">
        <f>HYPERLINK("http://www.ncbi.nlm.nih.gov/protein/XP_004993045.1","ryanodine receptor type 1")</f>
        <v>ryanodine receptor type 1</v>
      </c>
      <c r="J4927">
        <v>342.81</v>
      </c>
      <c r="K4927" t="s">
        <v>19</v>
      </c>
      <c r="L4927">
        <v>76</v>
      </c>
      <c r="M4927">
        <v>12.58</v>
      </c>
      <c r="N4927">
        <v>3.37</v>
      </c>
      <c r="O4927" t="s">
        <v>19</v>
      </c>
      <c r="P4927" t="s">
        <v>1320</v>
      </c>
      <c r="Q4927" t="s">
        <v>19</v>
      </c>
      <c r="R4927" t="str">
        <f>HYPERLINK("https://cfpub.epa.gov/ecotox/explore.cfm?ncbi=946362","Explore in ECOTOX")</f>
        <v>Explore in ECOTOX</v>
      </c>
    </row>
    <row r="4928" spans="1:18" x14ac:dyDescent="0.45">
      <c r="A4928" t="s">
        <v>1265</v>
      </c>
      <c r="B4928">
        <v>8</v>
      </c>
      <c r="C4928" t="str">
        <f>HYPERLINK("http://www.ncbi.nlm.nih.gov/protein/XP_004342590.1","XP_004342590.1")</f>
        <v>XP_004342590.1</v>
      </c>
      <c r="D4928">
        <v>18914</v>
      </c>
      <c r="E4928" t="str">
        <f>HYPERLINK("http://www.ncbi.nlm.nih.gov/Taxonomy/Browser/wwwtax.cgi?mode=Info&amp;id=595528&amp;lvl=3&amp;lin=f&amp;keep=1&amp;srchmode=1&amp;unlock","595528")</f>
        <v>595528</v>
      </c>
      <c r="F4928" t="s">
        <v>1220</v>
      </c>
      <c r="G4928" t="str">
        <f>HYPERLINK("http://www.ncbi.nlm.nih.gov/Taxonomy/Browser/wwwtax.cgi?mode=Info&amp;id=595528&amp;lvl=3&amp;lin=f&amp;keep=1&amp;srchmode=1&amp;unlock","Capsaspora owczarzaki ATCC 30864")</f>
        <v>Capsaspora owczarzaki ATCC 30864</v>
      </c>
      <c r="H4928" t="s">
        <v>1221</v>
      </c>
      <c r="I4928" t="str">
        <f>HYPERLINK("http://www.ncbi.nlm.nih.gov/protein/XP_004342590.1","ryanodine receptor")</f>
        <v>ryanodine receptor</v>
      </c>
      <c r="J4928">
        <v>339.35</v>
      </c>
      <c r="K4928" t="s">
        <v>22</v>
      </c>
      <c r="L4928">
        <v>76</v>
      </c>
      <c r="M4928">
        <v>12.58</v>
      </c>
      <c r="N4928">
        <v>3.34</v>
      </c>
      <c r="O4928" t="s">
        <v>22</v>
      </c>
      <c r="P4928" t="s">
        <v>1320</v>
      </c>
      <c r="Q4928" t="s">
        <v>19</v>
      </c>
      <c r="R4928" t="str">
        <f>HYPERLINK("https://cfpub.epa.gov/ecotox/explore.cfm?ncbi=595528","Explore in ECOTOX")</f>
        <v>Explore in ECOTOX</v>
      </c>
    </row>
    <row r="4929" spans="1:18" x14ac:dyDescent="0.45">
      <c r="A4929" t="s">
        <v>1265</v>
      </c>
      <c r="B4929">
        <v>8</v>
      </c>
      <c r="C4929" t="str">
        <f>HYPERLINK("http://www.ncbi.nlm.nih.gov/protein/ALX40484.1","ALX40484.1")</f>
        <v>ALX40484.1</v>
      </c>
      <c r="D4929">
        <v>341</v>
      </c>
      <c r="E4929" t="str">
        <f>HYPERLINK("http://www.ncbi.nlm.nih.gov/Taxonomy/Browser/wwwtax.cgi?mode=Info&amp;id=369680&amp;lvl=3&amp;lin=f&amp;keep=1&amp;srchmode=1&amp;unlock","369680")</f>
        <v>369680</v>
      </c>
      <c r="F4929" t="s">
        <v>17</v>
      </c>
      <c r="G4929" t="str">
        <f>HYPERLINK("http://www.ncbi.nlm.nih.gov/Taxonomy/Browser/wwwtax.cgi?mode=Info&amp;id=369680&amp;lvl=3&amp;lin=f&amp;keep=1&amp;srchmode=1&amp;unlock","Sarcocheilichthys sinensis")</f>
        <v>Sarcocheilichthys sinensis</v>
      </c>
      <c r="H4929" t="s">
        <v>1442</v>
      </c>
      <c r="I4929" t="str">
        <f>HYPERLINK("http://www.ncbi.nlm.nih.gov/protein/ALX40484.1","ryanodine receptor 3-like protein, partial")</f>
        <v>ryanodine receptor 3-like protein, partial</v>
      </c>
      <c r="J4929">
        <v>330.49</v>
      </c>
      <c r="K4929" t="s">
        <v>22</v>
      </c>
      <c r="L4929">
        <v>76</v>
      </c>
      <c r="M4929">
        <v>12.58</v>
      </c>
      <c r="N4929">
        <v>3.25</v>
      </c>
      <c r="O4929" t="s">
        <v>19</v>
      </c>
      <c r="P4929" t="s">
        <v>1320</v>
      </c>
      <c r="Q4929" t="s">
        <v>19</v>
      </c>
      <c r="R4929" t="str">
        <f>HYPERLINK("https://cfpub.epa.gov/ecotox/explore.cfm?ncbi=369680","Explore in ECOTOX")</f>
        <v>Explore in ECOTOX</v>
      </c>
    </row>
    <row r="4930" spans="1:18" x14ac:dyDescent="0.45">
      <c r="A4930" t="s">
        <v>1265</v>
      </c>
      <c r="B4930">
        <v>8</v>
      </c>
      <c r="C4930" t="str">
        <f>HYPERLINK("http://www.ncbi.nlm.nih.gov/protein/ALX40491.1","ALX40491.1")</f>
        <v>ALX40491.1</v>
      </c>
      <c r="D4930">
        <v>33</v>
      </c>
      <c r="E4930" t="str">
        <f>HYPERLINK("http://www.ncbi.nlm.nih.gov/Taxonomy/Browser/wwwtax.cgi?mode=Info&amp;id=432392&amp;lvl=3&amp;lin=f&amp;keep=1&amp;srchmode=1&amp;unlock","432392")</f>
        <v>432392</v>
      </c>
      <c r="F4930" t="s">
        <v>17</v>
      </c>
      <c r="G4930" t="str">
        <f>HYPERLINK("http://www.ncbi.nlm.nih.gov/Taxonomy/Browser/wwwtax.cgi?mode=Info&amp;id=432392&amp;lvl=3&amp;lin=f&amp;keep=1&amp;srchmode=1&amp;unlock","Devario regina")</f>
        <v>Devario regina</v>
      </c>
      <c r="H4930" t="s">
        <v>21</v>
      </c>
      <c r="I4930" t="str">
        <f>HYPERLINK("http://www.ncbi.nlm.nih.gov/protein/ALX40491.1","ryanodine receptor 3-like protein, partial")</f>
        <v>ryanodine receptor 3-like protein, partial</v>
      </c>
      <c r="J4930">
        <v>325.08999999999997</v>
      </c>
      <c r="K4930" t="s">
        <v>22</v>
      </c>
      <c r="L4930">
        <v>76</v>
      </c>
      <c r="M4930">
        <v>12.58</v>
      </c>
      <c r="N4930">
        <v>3.2</v>
      </c>
      <c r="O4930" t="s">
        <v>19</v>
      </c>
      <c r="P4930" t="s">
        <v>1320</v>
      </c>
      <c r="Q4930" t="s">
        <v>19</v>
      </c>
      <c r="R4930" t="str">
        <f>HYPERLINK("https://cfpub.epa.gov/ecotox/explore.cfm?ncbi=432392","Explore in ECOTOX")</f>
        <v>Explore in ECOTOX</v>
      </c>
    </row>
    <row r="4931" spans="1:18" x14ac:dyDescent="0.45">
      <c r="A4931" t="s">
        <v>1265</v>
      </c>
      <c r="B4931">
        <v>8</v>
      </c>
      <c r="C4931" t="str">
        <f>HYPERLINK("http://www.ncbi.nlm.nih.gov/protein/ALX40492.1","ALX40492.1")</f>
        <v>ALX40492.1</v>
      </c>
      <c r="D4931">
        <v>67</v>
      </c>
      <c r="E4931" t="str">
        <f>HYPERLINK("http://www.ncbi.nlm.nih.gov/Taxonomy/Browser/wwwtax.cgi?mode=Info&amp;id=127599&amp;lvl=3&amp;lin=f&amp;keep=1&amp;srchmode=1&amp;unlock","127599")</f>
        <v>127599</v>
      </c>
      <c r="F4931" t="s">
        <v>17</v>
      </c>
      <c r="G4931" t="str">
        <f>HYPERLINK("http://www.ncbi.nlm.nih.gov/Taxonomy/Browser/wwwtax.cgi?mode=Info&amp;id=127599&amp;lvl=3&amp;lin=f&amp;keep=1&amp;srchmode=1&amp;unlock","Danio dangila")</f>
        <v>Danio dangila</v>
      </c>
      <c r="H4931" t="s">
        <v>1443</v>
      </c>
      <c r="I4931" t="str">
        <f>HYPERLINK("http://www.ncbi.nlm.nih.gov/protein/ALX40492.1","ryanodine receptor 3-like protein, partial")</f>
        <v>ryanodine receptor 3-like protein, partial</v>
      </c>
      <c r="J4931">
        <v>308.14</v>
      </c>
      <c r="K4931" t="s">
        <v>22</v>
      </c>
      <c r="L4931">
        <v>76</v>
      </c>
      <c r="M4931">
        <v>12.58</v>
      </c>
      <c r="N4931">
        <v>3.03</v>
      </c>
      <c r="O4931" t="s">
        <v>19</v>
      </c>
      <c r="P4931" t="s">
        <v>1320</v>
      </c>
      <c r="Q4931" t="s">
        <v>19</v>
      </c>
      <c r="R4931" t="str">
        <f>HYPERLINK("https://cfpub.epa.gov/ecotox/explore.cfm?ncbi=127599","Explore in ECOTOX")</f>
        <v>Explore in ECOTOX</v>
      </c>
    </row>
    <row r="4932" spans="1:18" x14ac:dyDescent="0.45">
      <c r="A4932" t="s">
        <v>1265</v>
      </c>
      <c r="B4932">
        <v>8</v>
      </c>
      <c r="C4932" t="str">
        <f>HYPERLINK("http://www.ncbi.nlm.nih.gov/protein/AII21805.1","AII21805.1")</f>
        <v>AII21805.1</v>
      </c>
      <c r="D4932">
        <v>282</v>
      </c>
      <c r="E4932" t="str">
        <f>HYPERLINK("http://www.ncbi.nlm.nih.gov/Taxonomy/Browser/wwwtax.cgi?mode=Info&amp;id=8238&amp;lvl=3&amp;lin=f&amp;keep=1&amp;srchmode=1&amp;unlock","8238")</f>
        <v>8238</v>
      </c>
      <c r="F4932" t="s">
        <v>17</v>
      </c>
      <c r="G4932" t="str">
        <f>HYPERLINK("http://www.ncbi.nlm.nih.gov/Taxonomy/Browser/wwwtax.cgi?mode=Info&amp;id=8238&amp;lvl=3&amp;lin=f&amp;keep=1&amp;srchmode=1&amp;unlock","Thunnus orientalis")</f>
        <v>Thunnus orientalis</v>
      </c>
      <c r="H4932" t="s">
        <v>1312</v>
      </c>
      <c r="I4932" t="str">
        <f>HYPERLINK("http://www.ncbi.nlm.nih.gov/protein/AII21805.1","ryanodine receptor 2, partial")</f>
        <v>ryanodine receptor 2, partial</v>
      </c>
      <c r="J4932">
        <v>297.75</v>
      </c>
      <c r="K4932" t="s">
        <v>22</v>
      </c>
      <c r="L4932">
        <v>76</v>
      </c>
      <c r="M4932">
        <v>12.58</v>
      </c>
      <c r="N4932">
        <v>2.93</v>
      </c>
      <c r="O4932" t="s">
        <v>19</v>
      </c>
      <c r="P4932" t="s">
        <v>1320</v>
      </c>
      <c r="Q4932" t="s">
        <v>19</v>
      </c>
      <c r="R4932" t="str">
        <f>HYPERLINK("https://cfpub.epa.gov/ecotox/explore.cfm?ncbi=8238","Explore in ECOTOX")</f>
        <v>Explore in ECOTOX</v>
      </c>
    </row>
    <row r="4933" spans="1:18" x14ac:dyDescent="0.45">
      <c r="A4933" t="s">
        <v>1265</v>
      </c>
      <c r="B4933">
        <v>8</v>
      </c>
      <c r="C4933" t="str">
        <f>HYPERLINK("http://www.ncbi.nlm.nih.gov/protein/AII21804.1","AII21804.1")</f>
        <v>AII21804.1</v>
      </c>
      <c r="D4933">
        <v>199</v>
      </c>
      <c r="E4933" t="str">
        <f>HYPERLINK("http://www.ncbi.nlm.nih.gov/Taxonomy/Browser/wwwtax.cgi?mode=Info&amp;id=8235&amp;lvl=3&amp;lin=f&amp;keep=1&amp;srchmode=1&amp;unlock","8235")</f>
        <v>8235</v>
      </c>
      <c r="F4933" t="s">
        <v>17</v>
      </c>
      <c r="G4933" t="str">
        <f>HYPERLINK("http://www.ncbi.nlm.nih.gov/Taxonomy/Browser/wwwtax.cgi?mode=Info&amp;id=8235&amp;lvl=3&amp;lin=f&amp;keep=1&amp;srchmode=1&amp;unlock","Thunnus alalunga")</f>
        <v>Thunnus alalunga</v>
      </c>
      <c r="H4933" t="s">
        <v>1313</v>
      </c>
      <c r="I4933" t="str">
        <f>HYPERLINK("http://www.ncbi.nlm.nih.gov/protein/AII21804.1","ryanodine receptor 2, partial")</f>
        <v>ryanodine receptor 2, partial</v>
      </c>
      <c r="J4933">
        <v>258.45</v>
      </c>
      <c r="K4933" t="s">
        <v>22</v>
      </c>
      <c r="L4933">
        <v>76</v>
      </c>
      <c r="M4933">
        <v>12.58</v>
      </c>
      <c r="N4933">
        <v>2.54</v>
      </c>
      <c r="O4933" t="s">
        <v>19</v>
      </c>
      <c r="P4933" t="s">
        <v>1320</v>
      </c>
      <c r="Q4933" t="s">
        <v>19</v>
      </c>
      <c r="R4933" t="str">
        <f>HYPERLINK("https://cfpub.epa.gov/ecotox/explore.cfm?ncbi=8235","Explore in ECOTOX")</f>
        <v>Explore in ECOTOX</v>
      </c>
    </row>
    <row r="4934" spans="1:18" x14ac:dyDescent="0.45">
      <c r="A4934" t="s">
        <v>1265</v>
      </c>
      <c r="B4934">
        <v>8</v>
      </c>
      <c r="C4934" t="str">
        <f>HYPERLINK("http://www.ncbi.nlm.nih.gov/protein/XP_004333542.1","XP_004333542.1")</f>
        <v>XP_004333542.1</v>
      </c>
      <c r="D4934">
        <v>29972</v>
      </c>
      <c r="E4934" t="str">
        <f>HYPERLINK("http://www.ncbi.nlm.nih.gov/Taxonomy/Browser/wwwtax.cgi?mode=Info&amp;id=1257118&amp;lvl=3&amp;lin=f&amp;keep=1&amp;srchmode=1&amp;unlock","1257118")</f>
        <v>1257118</v>
      </c>
      <c r="F4934" t="s">
        <v>1314</v>
      </c>
      <c r="G4934" t="str">
        <f>HYPERLINK("http://www.ncbi.nlm.nih.gov/Taxonomy/Browser/wwwtax.cgi?mode=Info&amp;id=1257118&amp;lvl=3&amp;lin=f&amp;keep=1&amp;srchmode=1&amp;unlock","Acanthamoeba castellanii str. Neff")</f>
        <v>Acanthamoeba castellanii str. Neff</v>
      </c>
      <c r="H4934" t="s">
        <v>1315</v>
      </c>
      <c r="I4934" t="str">
        <f>HYPERLINK("http://www.ncbi.nlm.nih.gov/protein/XP_004333542.1","Inositol 1,4,5trisphosphate receptor type 2, putative")</f>
        <v>Inositol 1,4,5trisphosphate receptor type 2, putative</v>
      </c>
      <c r="J4934">
        <v>206.07</v>
      </c>
      <c r="K4934" t="s">
        <v>22</v>
      </c>
      <c r="L4934">
        <v>76</v>
      </c>
      <c r="M4934">
        <v>12.58</v>
      </c>
      <c r="N4934">
        <v>2.0299999999999998</v>
      </c>
      <c r="O4934" t="s">
        <v>22</v>
      </c>
      <c r="P4934" t="s">
        <v>1320</v>
      </c>
      <c r="Q4934" t="s">
        <v>19</v>
      </c>
      <c r="R4934" t="str">
        <f>HYPERLINK("https://cfpub.epa.gov/ecotox/explore.cfm?ncbi=1257118","Explore in ECOTOX")</f>
        <v>Explore in ECOTOX</v>
      </c>
    </row>
    <row r="4935" spans="1:18" x14ac:dyDescent="0.45">
      <c r="A4935" t="s">
        <v>1265</v>
      </c>
      <c r="B4935">
        <v>8</v>
      </c>
      <c r="C4935" t="str">
        <f>HYPERLINK("http://www.ncbi.nlm.nih.gov/protein/KAI6060082.1","KAI6060082.1")</f>
        <v>KAI6060082.1</v>
      </c>
      <c r="D4935">
        <v>13262</v>
      </c>
      <c r="E4935" t="str">
        <f>HYPERLINK("http://www.ncbi.nlm.nih.gov/Taxonomy/Browser/wwwtax.cgi?mode=Info&amp;id=8832&amp;lvl=3&amp;lin=f&amp;keep=1&amp;srchmode=1&amp;unlock","8832")</f>
        <v>8832</v>
      </c>
      <c r="F4935" t="s">
        <v>241</v>
      </c>
      <c r="G4935" t="str">
        <f>HYPERLINK("http://www.ncbi.nlm.nih.gov/Taxonomy/Browser/wwwtax.cgi?mode=Info&amp;id=8832&amp;lvl=3&amp;lin=f&amp;keep=1&amp;srchmode=1&amp;unlock","Aix galericulata")</f>
        <v>Aix galericulata</v>
      </c>
      <c r="H4935" t="s">
        <v>1223</v>
      </c>
      <c r="I4935" t="str">
        <f>HYPERLINK("http://www.ncbi.nlm.nih.gov/protein/KAI6060082.1","Ryanodine receptor 1")</f>
        <v>Ryanodine receptor 1</v>
      </c>
      <c r="J4935">
        <v>194.51</v>
      </c>
      <c r="K4935" t="s">
        <v>22</v>
      </c>
      <c r="L4935">
        <v>76</v>
      </c>
      <c r="M4935">
        <v>12.58</v>
      </c>
      <c r="N4935">
        <v>1.91</v>
      </c>
      <c r="O4935" t="s">
        <v>19</v>
      </c>
      <c r="P4935" t="s">
        <v>1320</v>
      </c>
      <c r="Q4935" t="s">
        <v>19</v>
      </c>
      <c r="R4935" t="str">
        <f>HYPERLINK("https://cfpub.epa.gov/ecotox/explore.cfm?ncbi=8832","Explore in ECOTOX")</f>
        <v>Explore in ECOTOX</v>
      </c>
    </row>
    <row r="4936" spans="1:18" x14ac:dyDescent="0.45">
      <c r="A4936" t="s">
        <v>1265</v>
      </c>
      <c r="B4936">
        <v>8</v>
      </c>
      <c r="C4936" t="str">
        <f>HYPERLINK("http://www.ncbi.nlm.nih.gov/protein/KAF7730560.1","KAF7730560.1")</f>
        <v>KAF7730560.1</v>
      </c>
      <c r="D4936">
        <v>9528</v>
      </c>
      <c r="E4936" t="str">
        <f>HYPERLINK("http://www.ncbi.nlm.nih.gov/Taxonomy/Browser/wwwtax.cgi?mode=Info&amp;id=679940&amp;lvl=3&amp;lin=f&amp;keep=1&amp;srchmode=1&amp;unlock","679940")</f>
        <v>679940</v>
      </c>
      <c r="F4936" t="s">
        <v>1226</v>
      </c>
      <c r="G4936" t="str">
        <f>HYPERLINK("http://www.ncbi.nlm.nih.gov/Taxonomy/Browser/wwwtax.cgi?mode=Info&amp;id=679940&amp;lvl=3&amp;lin=f&amp;keep=1&amp;srchmode=1&amp;unlock","Apophysomyces ossiformis")</f>
        <v>Apophysomyces ossiformis</v>
      </c>
      <c r="H4936" t="s">
        <v>1227</v>
      </c>
      <c r="I4936" t="str">
        <f>HYPERLINK("http://www.ncbi.nlm.nih.gov/protein/KAF7730560.1","hypothetical protein EC973_001941")</f>
        <v>hypothetical protein EC973_001941</v>
      </c>
      <c r="J4936">
        <v>193.74</v>
      </c>
      <c r="K4936" t="s">
        <v>22</v>
      </c>
      <c r="L4936">
        <v>76</v>
      </c>
      <c r="M4936">
        <v>12.58</v>
      </c>
      <c r="N4936">
        <v>1.91</v>
      </c>
      <c r="O4936" t="s">
        <v>22</v>
      </c>
      <c r="P4936" t="s">
        <v>1320</v>
      </c>
      <c r="Q4936" t="s">
        <v>19</v>
      </c>
      <c r="R4936" t="str">
        <f>HYPERLINK("https://cfpub.epa.gov/ecotox/explore.cfm?ncbi=679940","Explore in ECOTOX")</f>
        <v>Explore in ECOTOX</v>
      </c>
    </row>
    <row r="4937" spans="1:18" x14ac:dyDescent="0.45">
      <c r="A4937" t="s">
        <v>1265</v>
      </c>
      <c r="B4937">
        <v>8</v>
      </c>
      <c r="C4937" t="str">
        <f>HYPERLINK("http://www.ncbi.nlm.nih.gov/protein/KAJ9447528.1","KAJ9447528.1")</f>
        <v>KAJ9447528.1</v>
      </c>
      <c r="D4937">
        <v>37471</v>
      </c>
      <c r="E4937" t="str">
        <f>HYPERLINK("http://www.ncbi.nlm.nih.gov/Taxonomy/Browser/wwwtax.cgi?mode=Info&amp;id=91374&amp;lvl=3&amp;lin=f&amp;keep=1&amp;srchmode=1&amp;unlock","91374")</f>
        <v>91374</v>
      </c>
      <c r="F4937" t="s">
        <v>1316</v>
      </c>
      <c r="G4937" t="str">
        <f>HYPERLINK("http://www.ncbi.nlm.nih.gov/Taxonomy/Browser/wwwtax.cgi?mode=Info&amp;id=91374&amp;lvl=3&amp;lin=f&amp;keep=1&amp;srchmode=1&amp;unlock","Diplonema papillatum")</f>
        <v>Diplonema papillatum</v>
      </c>
      <c r="H4937" t="s">
        <v>1317</v>
      </c>
      <c r="I4937" t="str">
        <f>HYPERLINK("http://www.ncbi.nlm.nih.gov/protein/KAJ9447528.1","Inositol 1")</f>
        <v>Inositol 1</v>
      </c>
      <c r="J4937">
        <v>193.74</v>
      </c>
      <c r="K4937" t="s">
        <v>22</v>
      </c>
      <c r="L4937">
        <v>76</v>
      </c>
      <c r="M4937">
        <v>12.58</v>
      </c>
      <c r="N4937">
        <v>1.91</v>
      </c>
      <c r="O4937" t="s">
        <v>22</v>
      </c>
      <c r="P4937" t="s">
        <v>1320</v>
      </c>
      <c r="Q4937" t="s">
        <v>19</v>
      </c>
      <c r="R4937" t="str">
        <f>HYPERLINK("https://cfpub.epa.gov/ecotox/explore.cfm?ncbi=91374","Explore in ECOTOX")</f>
        <v>Explore in ECOTOX</v>
      </c>
    </row>
    <row r="4938" spans="1:18" x14ac:dyDescent="0.45">
      <c r="A4938" t="s">
        <v>1265</v>
      </c>
      <c r="B4938">
        <v>8</v>
      </c>
      <c r="C4938" t="str">
        <f>HYPERLINK("http://www.ncbi.nlm.nih.gov/protein/ORX85369.1","ORX85369.1")</f>
        <v>ORX85369.1</v>
      </c>
      <c r="D4938">
        <v>16095</v>
      </c>
      <c r="E4938" t="str">
        <f>HYPERLINK("http://www.ncbi.nlm.nih.gov/Taxonomy/Browser/wwwtax.cgi?mode=Info&amp;id=1314790&amp;lvl=3&amp;lin=f&amp;keep=1&amp;srchmode=1&amp;unlock","1314790")</f>
        <v>1314790</v>
      </c>
      <c r="F4938" t="s">
        <v>1224</v>
      </c>
      <c r="G4938" t="str">
        <f>HYPERLINK("http://www.ncbi.nlm.nih.gov/Taxonomy/Browser/wwwtax.cgi?mode=Info&amp;id=1314790&amp;lvl=3&amp;lin=f&amp;keep=1&amp;srchmode=1&amp;unlock","Basidiobolus meristosporus CBS 931.73")</f>
        <v>Basidiobolus meristosporus CBS 931.73</v>
      </c>
      <c r="H4938" t="s">
        <v>1225</v>
      </c>
      <c r="I4938" t="str">
        <f>HYPERLINK("http://www.ncbi.nlm.nih.gov/protein/ORX85369.1","hypothetical protein K493DRAFT_341790")</f>
        <v>hypothetical protein K493DRAFT_341790</v>
      </c>
      <c r="J4938">
        <v>192.2</v>
      </c>
      <c r="K4938" t="s">
        <v>22</v>
      </c>
      <c r="L4938">
        <v>76</v>
      </c>
      <c r="M4938">
        <v>12.58</v>
      </c>
      <c r="N4938">
        <v>1.89</v>
      </c>
      <c r="O4938" t="s">
        <v>22</v>
      </c>
      <c r="P4938" t="s">
        <v>1320</v>
      </c>
      <c r="Q4938" t="s">
        <v>19</v>
      </c>
      <c r="R4938" t="str">
        <f>HYPERLINK("https://cfpub.epa.gov/ecotox/explore.cfm?ncbi=1314790","Explore in ECOTOX")</f>
        <v>Explore in ECOTOX</v>
      </c>
    </row>
    <row r="4939" spans="1:18" x14ac:dyDescent="0.45">
      <c r="A4939" t="s">
        <v>1265</v>
      </c>
      <c r="B4939">
        <v>8</v>
      </c>
      <c r="C4939" t="str">
        <f>HYPERLINK("http://www.ncbi.nlm.nih.gov/protein/KAG0179979.1","KAG0179979.1")</f>
        <v>KAG0179979.1</v>
      </c>
      <c r="D4939">
        <v>10175</v>
      </c>
      <c r="E4939" t="str">
        <f>HYPERLINK("http://www.ncbi.nlm.nih.gov/Taxonomy/Browser/wwwtax.cgi?mode=Info&amp;id=2184031&amp;lvl=3&amp;lin=f&amp;keep=1&amp;srchmode=1&amp;unlock","2184031")</f>
        <v>2184031</v>
      </c>
      <c r="F4939" t="s">
        <v>1226</v>
      </c>
      <c r="G4939" t="str">
        <f>HYPERLINK("http://www.ncbi.nlm.nih.gov/Taxonomy/Browser/wwwtax.cgi?mode=Info&amp;id=2184031&amp;lvl=3&amp;lin=f&amp;keep=1&amp;srchmode=1&amp;unlock","Apophysomyces sp. BC1021")</f>
        <v>Apophysomyces sp. BC1021</v>
      </c>
      <c r="H4939" t="s">
        <v>1227</v>
      </c>
      <c r="I4939" t="str">
        <f>HYPERLINK("http://www.ncbi.nlm.nih.gov/protein/KAG0179979.1","hypothetical protein DFQ29_001424")</f>
        <v>hypothetical protein DFQ29_001424</v>
      </c>
      <c r="J4939">
        <v>191.81</v>
      </c>
      <c r="K4939" t="s">
        <v>22</v>
      </c>
      <c r="L4939">
        <v>76</v>
      </c>
      <c r="M4939">
        <v>12.58</v>
      </c>
      <c r="N4939">
        <v>1.89</v>
      </c>
      <c r="O4939" t="s">
        <v>22</v>
      </c>
      <c r="P4939" t="s">
        <v>1320</v>
      </c>
      <c r="Q4939" t="s">
        <v>19</v>
      </c>
      <c r="R4939" t="str">
        <f>HYPERLINK("https://cfpub.epa.gov/ecotox/explore.cfm?ncbi=2184031","Explore in ECOTOX")</f>
        <v>Explore in ECOTOX</v>
      </c>
    </row>
    <row r="4940" spans="1:18" x14ac:dyDescent="0.45">
      <c r="A4940" t="s">
        <v>1265</v>
      </c>
      <c r="B4940">
        <v>8</v>
      </c>
      <c r="C4940" t="str">
        <f>HYPERLINK("http://www.ncbi.nlm.nih.gov/protein/KAG0190512.1","KAG0190512.1")</f>
        <v>KAG0190512.1</v>
      </c>
      <c r="D4940">
        <v>11629</v>
      </c>
      <c r="E4940" t="str">
        <f>HYPERLINK("http://www.ncbi.nlm.nih.gov/Taxonomy/Browser/wwwtax.cgi?mode=Info&amp;id=2184029&amp;lvl=3&amp;lin=f&amp;keep=1&amp;srchmode=1&amp;unlock","2184029")</f>
        <v>2184029</v>
      </c>
      <c r="F4940" t="s">
        <v>1226</v>
      </c>
      <c r="G4940" t="str">
        <f>HYPERLINK("http://www.ncbi.nlm.nih.gov/Taxonomy/Browser/wwwtax.cgi?mode=Info&amp;id=2184029&amp;lvl=3&amp;lin=f&amp;keep=1&amp;srchmode=1&amp;unlock","Apophysomyces sp. BC1034")</f>
        <v>Apophysomyces sp. BC1034</v>
      </c>
      <c r="H4940" t="s">
        <v>1227</v>
      </c>
      <c r="I4940" t="str">
        <f>HYPERLINK("http://www.ncbi.nlm.nih.gov/protein/KAG0190512.1","hypothetical protein DFQ28_001951")</f>
        <v>hypothetical protein DFQ28_001951</v>
      </c>
      <c r="J4940">
        <v>191.43</v>
      </c>
      <c r="K4940" t="s">
        <v>22</v>
      </c>
      <c r="L4940">
        <v>76</v>
      </c>
      <c r="M4940">
        <v>12.58</v>
      </c>
      <c r="N4940">
        <v>1.88</v>
      </c>
      <c r="O4940" t="s">
        <v>22</v>
      </c>
      <c r="P4940" t="s">
        <v>1320</v>
      </c>
      <c r="Q4940" t="s">
        <v>19</v>
      </c>
      <c r="R4940" t="str">
        <f>HYPERLINK("https://cfpub.epa.gov/ecotox/explore.cfm?ncbi=2184029","Explore in ECOTOX")</f>
        <v>Explore in ECOTOX</v>
      </c>
    </row>
    <row r="4941" spans="1:18" x14ac:dyDescent="0.45">
      <c r="A4941" t="s">
        <v>1265</v>
      </c>
      <c r="B4941">
        <v>8</v>
      </c>
      <c r="C4941" t="str">
        <f>HYPERLINK("http://www.ncbi.nlm.nih.gov/protein/XP_009312767.1","XP_009312767.1")</f>
        <v>XP_009312767.1</v>
      </c>
      <c r="D4941">
        <v>21204</v>
      </c>
      <c r="E4941" t="str">
        <f>HYPERLINK("http://www.ncbi.nlm.nih.gov/Taxonomy/Browser/wwwtax.cgi?mode=Info&amp;id=71804&amp;lvl=3&amp;lin=f&amp;keep=1&amp;srchmode=1&amp;unlock","71804")</f>
        <v>71804</v>
      </c>
      <c r="F4941" t="s">
        <v>1228</v>
      </c>
      <c r="G4941" t="str">
        <f>HYPERLINK("http://www.ncbi.nlm.nih.gov/Taxonomy/Browser/wwwtax.cgi?mode=Info&amp;id=71804&amp;lvl=3&amp;lin=f&amp;keep=1&amp;srchmode=1&amp;unlock","Trypanosoma grayi")</f>
        <v>Trypanosoma grayi</v>
      </c>
      <c r="H4941" t="s">
        <v>1229</v>
      </c>
      <c r="I4941" t="str">
        <f>HYPERLINK("http://www.ncbi.nlm.nih.gov/protein/XP_009312767.1","inositol 1,4,5-trisphosphate receptor")</f>
        <v>inositol 1,4,5-trisphosphate receptor</v>
      </c>
      <c r="J4941">
        <v>187.58</v>
      </c>
      <c r="K4941" t="s">
        <v>22</v>
      </c>
      <c r="L4941">
        <v>76</v>
      </c>
      <c r="M4941">
        <v>12.58</v>
      </c>
      <c r="N4941">
        <v>1.85</v>
      </c>
      <c r="O4941" t="s">
        <v>22</v>
      </c>
      <c r="P4941" t="s">
        <v>1320</v>
      </c>
      <c r="Q4941" t="s">
        <v>19</v>
      </c>
      <c r="R4941" t="str">
        <f>HYPERLINK("https://cfpub.epa.gov/ecotox/explore.cfm?ncbi=71804","Explore in ECOTOX")</f>
        <v>Explore in ECOTOX</v>
      </c>
    </row>
    <row r="4942" spans="1:18" x14ac:dyDescent="0.45">
      <c r="A4942" t="s">
        <v>1265</v>
      </c>
      <c r="B4942">
        <v>8</v>
      </c>
      <c r="C4942" t="str">
        <f>HYPERLINK("http://www.ncbi.nlm.nih.gov/protein/TNV74058.1","TNV74058.1")</f>
        <v>TNV74058.1</v>
      </c>
      <c r="D4942">
        <v>17923</v>
      </c>
      <c r="E4942" t="str">
        <f>HYPERLINK("http://www.ncbi.nlm.nih.gov/Taxonomy/Browser/wwwtax.cgi?mode=Info&amp;id=5974&amp;lvl=3&amp;lin=f&amp;keep=1&amp;srchmode=1&amp;unlock","5974")</f>
        <v>5974</v>
      </c>
      <c r="F4942" t="s">
        <v>1232</v>
      </c>
      <c r="G4942" t="str">
        <f>HYPERLINK("http://www.ncbi.nlm.nih.gov/Taxonomy/Browser/wwwtax.cgi?mode=Info&amp;id=5974&amp;lvl=3&amp;lin=f&amp;keep=1&amp;srchmode=1&amp;unlock","Halteria grandinella")</f>
        <v>Halteria grandinella</v>
      </c>
      <c r="H4942" t="s">
        <v>1233</v>
      </c>
      <c r="I4942" t="str">
        <f>HYPERLINK("http://www.ncbi.nlm.nih.gov/protein/TNV74058.1","hypothetical protein FGO68_gene7615")</f>
        <v>hypothetical protein FGO68_gene7615</v>
      </c>
      <c r="J4942">
        <v>186.42</v>
      </c>
      <c r="K4942" t="s">
        <v>22</v>
      </c>
      <c r="L4942">
        <v>76</v>
      </c>
      <c r="M4942">
        <v>12.58</v>
      </c>
      <c r="N4942">
        <v>1.83</v>
      </c>
      <c r="O4942" t="s">
        <v>22</v>
      </c>
      <c r="P4942" t="s">
        <v>1320</v>
      </c>
      <c r="Q4942" t="s">
        <v>19</v>
      </c>
      <c r="R4942" t="str">
        <f>HYPERLINK("https://cfpub.epa.gov/ecotox/explore.cfm?ncbi=5974","Explore in ECOTOX")</f>
        <v>Explore in ECOTOX</v>
      </c>
    </row>
    <row r="4943" spans="1:18" x14ac:dyDescent="0.45">
      <c r="A4943" t="s">
        <v>1265</v>
      </c>
      <c r="B4943">
        <v>8</v>
      </c>
      <c r="C4943" t="str">
        <f>HYPERLINK("http://www.ncbi.nlm.nih.gov/protein/XP_029227132.1","XP_029227132.1")</f>
        <v>XP_029227132.1</v>
      </c>
      <c r="D4943">
        <v>20328</v>
      </c>
      <c r="E4943" t="str">
        <f>HYPERLINK("http://www.ncbi.nlm.nih.gov/Taxonomy/Browser/wwwtax.cgi?mode=Info&amp;id=83891&amp;lvl=3&amp;lin=f&amp;keep=1&amp;srchmode=1&amp;unlock","83891")</f>
        <v>83891</v>
      </c>
      <c r="F4943" t="s">
        <v>1228</v>
      </c>
      <c r="G4943" t="str">
        <f>HYPERLINK("http://www.ncbi.nlm.nih.gov/Taxonomy/Browser/wwwtax.cgi?mode=Info&amp;id=83891&amp;lvl=3&amp;lin=f&amp;keep=1&amp;srchmode=1&amp;unlock","Trypanosoma conorhini")</f>
        <v>Trypanosoma conorhini</v>
      </c>
      <c r="H4943" t="s">
        <v>1229</v>
      </c>
      <c r="I4943" t="str">
        <f>HYPERLINK("http://www.ncbi.nlm.nih.gov/protein/XP_029227132.1","inositol 1,4,5-trisphosphate receptor")</f>
        <v>inositol 1,4,5-trisphosphate receptor</v>
      </c>
      <c r="J4943">
        <v>184.88</v>
      </c>
      <c r="K4943" t="s">
        <v>22</v>
      </c>
      <c r="L4943">
        <v>76</v>
      </c>
      <c r="M4943">
        <v>12.58</v>
      </c>
      <c r="N4943">
        <v>1.82</v>
      </c>
      <c r="O4943" t="s">
        <v>22</v>
      </c>
      <c r="P4943" t="s">
        <v>1320</v>
      </c>
      <c r="Q4943" t="s">
        <v>19</v>
      </c>
      <c r="R4943" t="str">
        <f>HYPERLINK("https://cfpub.epa.gov/ecotox/explore.cfm?ncbi=83891","Explore in ECOTOX")</f>
        <v>Explore in ECOTOX</v>
      </c>
    </row>
    <row r="4944" spans="1:18" x14ac:dyDescent="0.45">
      <c r="A4944" t="s">
        <v>1265</v>
      </c>
      <c r="B4944">
        <v>8</v>
      </c>
      <c r="C4944" t="str">
        <f>HYPERLINK("http://www.ncbi.nlm.nih.gov/protein/XP_009493566.1","XP_009493566.1")</f>
        <v>XP_009493566.1</v>
      </c>
      <c r="D4944">
        <v>12622</v>
      </c>
      <c r="E4944" t="str">
        <f>HYPERLINK("http://www.ncbi.nlm.nih.gov/Taxonomy/Browser/wwwtax.cgi?mode=Info&amp;id=691883&amp;lvl=3&amp;lin=f&amp;keep=1&amp;srchmode=1&amp;unlock","691883")</f>
        <v>691883</v>
      </c>
      <c r="F4944" t="s">
        <v>1230</v>
      </c>
      <c r="G4944" t="str">
        <f>HYPERLINK("http://www.ncbi.nlm.nih.gov/Taxonomy/Browser/wwwtax.cgi?mode=Info&amp;id=691883&amp;lvl=3&amp;lin=f&amp;keep=1&amp;srchmode=1&amp;unlock","Fonticula alba")</f>
        <v>Fonticula alba</v>
      </c>
      <c r="H4944" t="s">
        <v>1231</v>
      </c>
      <c r="I4944" t="str">
        <f>HYPERLINK("http://www.ncbi.nlm.nih.gov/protein/XP_009493566.1","hypothetical protein H696_01395")</f>
        <v>hypothetical protein H696_01395</v>
      </c>
      <c r="J4944">
        <v>184.5</v>
      </c>
      <c r="K4944" t="s">
        <v>22</v>
      </c>
      <c r="L4944">
        <v>76</v>
      </c>
      <c r="M4944">
        <v>12.58</v>
      </c>
      <c r="N4944">
        <v>1.82</v>
      </c>
      <c r="O4944" t="s">
        <v>22</v>
      </c>
      <c r="P4944" t="s">
        <v>1320</v>
      </c>
      <c r="Q4944" t="s">
        <v>19</v>
      </c>
      <c r="R4944" t="str">
        <f>HYPERLINK("https://cfpub.epa.gov/ecotox/explore.cfm?ncbi=691883","Explore in ECOTOX")</f>
        <v>Explore in ECOTOX</v>
      </c>
    </row>
    <row r="4945" spans="1:18" x14ac:dyDescent="0.45">
      <c r="A4945" t="s">
        <v>1265</v>
      </c>
      <c r="B4945">
        <v>8</v>
      </c>
      <c r="C4945" t="str">
        <f>HYPERLINK("http://www.ncbi.nlm.nih.gov/protein/CDW78570.1","CDW78570.1")</f>
        <v>CDW78570.1</v>
      </c>
      <c r="D4945">
        <v>20871</v>
      </c>
      <c r="E4945" t="str">
        <f>HYPERLINK("http://www.ncbi.nlm.nih.gov/Taxonomy/Browser/wwwtax.cgi?mode=Info&amp;id=5949&amp;lvl=3&amp;lin=f&amp;keep=1&amp;srchmode=1&amp;unlock","5949")</f>
        <v>5949</v>
      </c>
      <c r="F4945" t="s">
        <v>1232</v>
      </c>
      <c r="G4945" t="str">
        <f>HYPERLINK("http://www.ncbi.nlm.nih.gov/Taxonomy/Browser/wwwtax.cgi?mode=Info&amp;id=5949&amp;lvl=3&amp;lin=f&amp;keep=1&amp;srchmode=1&amp;unlock","Stylonychia lemnae")</f>
        <v>Stylonychia lemnae</v>
      </c>
      <c r="H4945" t="s">
        <v>1233</v>
      </c>
      <c r="I4945" t="str">
        <f>HYPERLINK("http://www.ncbi.nlm.nih.gov/protein/CDW78570.1","cation channel family protein")</f>
        <v>cation channel family protein</v>
      </c>
      <c r="J4945">
        <v>184.11</v>
      </c>
      <c r="K4945" t="s">
        <v>22</v>
      </c>
      <c r="L4945">
        <v>76</v>
      </c>
      <c r="M4945">
        <v>12.58</v>
      </c>
      <c r="N4945">
        <v>1.81</v>
      </c>
      <c r="O4945" t="s">
        <v>22</v>
      </c>
      <c r="P4945" t="s">
        <v>1320</v>
      </c>
      <c r="Q4945" t="s">
        <v>19</v>
      </c>
      <c r="R4945" t="str">
        <f>HYPERLINK("https://cfpub.epa.gov/ecotox/explore.cfm?ncbi=5949","Explore in ECOTOX")</f>
        <v>Explore in ECOTOX</v>
      </c>
    </row>
    <row r="4946" spans="1:18" x14ac:dyDescent="0.45">
      <c r="A4946" t="s">
        <v>1265</v>
      </c>
      <c r="B4946">
        <v>8</v>
      </c>
      <c r="C4946" t="str">
        <f>HYPERLINK("http://www.ncbi.nlm.nih.gov/protein/XP_011775562.1","XP_011775562.1")</f>
        <v>XP_011775562.1</v>
      </c>
      <c r="D4946">
        <v>19492</v>
      </c>
      <c r="E4946" t="str">
        <f>HYPERLINK("http://www.ncbi.nlm.nih.gov/Taxonomy/Browser/wwwtax.cgi?mode=Info&amp;id=679716&amp;lvl=3&amp;lin=f&amp;keep=1&amp;srchmode=1&amp;unlock","679716")</f>
        <v>679716</v>
      </c>
      <c r="F4946" t="s">
        <v>1228</v>
      </c>
      <c r="G4946" t="str">
        <f>HYPERLINK("http://www.ncbi.nlm.nih.gov/Taxonomy/Browser/wwwtax.cgi?mode=Info&amp;id=679716&amp;lvl=3&amp;lin=f&amp;keep=1&amp;srchmode=1&amp;unlock","Trypanosoma brucei gambiense DAL972")</f>
        <v>Trypanosoma brucei gambiense DAL972</v>
      </c>
      <c r="H4946" t="s">
        <v>1229</v>
      </c>
      <c r="I4946" t="str">
        <f>HYPERLINK("http://www.ncbi.nlm.nih.gov/protein/XP_011775562.1","hypothetical protein, conserved")</f>
        <v>hypothetical protein, conserved</v>
      </c>
      <c r="J4946">
        <v>182.96</v>
      </c>
      <c r="K4946" t="s">
        <v>22</v>
      </c>
      <c r="L4946">
        <v>76</v>
      </c>
      <c r="M4946">
        <v>12.58</v>
      </c>
      <c r="N4946">
        <v>1.8</v>
      </c>
      <c r="O4946" t="s">
        <v>22</v>
      </c>
      <c r="P4946" t="s">
        <v>1320</v>
      </c>
      <c r="Q4946" t="s">
        <v>19</v>
      </c>
      <c r="R4946" t="str">
        <f>HYPERLINK("https://cfpub.epa.gov/ecotox/explore.cfm?ncbi=679716","Explore in ECOTOX")</f>
        <v>Explore in ECOTOX</v>
      </c>
    </row>
    <row r="4947" spans="1:18" x14ac:dyDescent="0.45">
      <c r="A4947" t="s">
        <v>1265</v>
      </c>
      <c r="B4947">
        <v>8</v>
      </c>
      <c r="C4947" t="str">
        <f>HYPERLINK("http://www.ncbi.nlm.nih.gov/protein/RHW71032.1","RHW71032.1")</f>
        <v>RHW71032.1</v>
      </c>
      <c r="D4947">
        <v>7611</v>
      </c>
      <c r="E4947" t="str">
        <f>HYPERLINK("http://www.ncbi.nlm.nih.gov/Taxonomy/Browser/wwwtax.cgi?mode=Info&amp;id=630700&amp;lvl=3&amp;lin=f&amp;keep=1&amp;srchmode=1&amp;unlock","630700")</f>
        <v>630700</v>
      </c>
      <c r="F4947" t="s">
        <v>1228</v>
      </c>
      <c r="G4947" t="str">
        <f>HYPERLINK("http://www.ncbi.nlm.nih.gov/Taxonomy/Browser/wwwtax.cgi?mode=Info&amp;id=630700&amp;lvl=3&amp;lin=f&amp;keep=1&amp;srchmode=1&amp;unlock","Trypanosoma brucei equiperdum")</f>
        <v>Trypanosoma brucei equiperdum</v>
      </c>
      <c r="H4947" t="s">
        <v>1229</v>
      </c>
      <c r="I4947" t="str">
        <f>HYPERLINK("http://www.ncbi.nlm.nih.gov/protein/RHW71032.1","inositol 1")</f>
        <v>inositol 1</v>
      </c>
      <c r="J4947">
        <v>182.96</v>
      </c>
      <c r="K4947" t="s">
        <v>22</v>
      </c>
      <c r="L4947">
        <v>76</v>
      </c>
      <c r="M4947">
        <v>12.58</v>
      </c>
      <c r="N4947">
        <v>1.8</v>
      </c>
      <c r="O4947" t="s">
        <v>22</v>
      </c>
      <c r="P4947" t="s">
        <v>1320</v>
      </c>
      <c r="Q4947" t="s">
        <v>19</v>
      </c>
      <c r="R4947" t="str">
        <f>HYPERLINK("https://cfpub.epa.gov/ecotox/explore.cfm?ncbi=630700","Explore in ECOTOX")</f>
        <v>Explore in ECOTOX</v>
      </c>
    </row>
    <row r="4948" spans="1:18" x14ac:dyDescent="0.45">
      <c r="A4948" t="s">
        <v>1265</v>
      </c>
      <c r="B4948">
        <v>8</v>
      </c>
      <c r="C4948" t="str">
        <f>HYPERLINK("http://www.ncbi.nlm.nih.gov/protein/CAG9316900.1","CAG9316900.1")</f>
        <v>CAG9316900.1</v>
      </c>
      <c r="D4948">
        <v>26566</v>
      </c>
      <c r="E4948" t="str">
        <f>HYPERLINK("http://www.ncbi.nlm.nih.gov/Taxonomy/Browser/wwwtax.cgi?mode=Info&amp;id=1481888&amp;lvl=3&amp;lin=f&amp;keep=1&amp;srchmode=1&amp;unlock","1481888")</f>
        <v>1481888</v>
      </c>
      <c r="F4948" t="s">
        <v>1318</v>
      </c>
      <c r="G4948" t="str">
        <f>HYPERLINK("http://www.ncbi.nlm.nih.gov/Taxonomy/Browser/wwwtax.cgi?mode=Info&amp;id=1481888&amp;lvl=3&amp;lin=f&amp;keep=1&amp;srchmode=1&amp;unlock","Blepharisma stoltei")</f>
        <v>Blepharisma stoltei</v>
      </c>
      <c r="H4948" t="s">
        <v>1233</v>
      </c>
      <c r="I4948" t="str">
        <f>HYPERLINK("http://www.ncbi.nlm.nih.gov/protein/CAG9316900.1","unnamed protein product")</f>
        <v>unnamed protein product</v>
      </c>
      <c r="J4948">
        <v>181.8</v>
      </c>
      <c r="K4948" t="s">
        <v>22</v>
      </c>
      <c r="L4948">
        <v>76</v>
      </c>
      <c r="M4948">
        <v>12.58</v>
      </c>
      <c r="N4948">
        <v>1.79</v>
      </c>
      <c r="O4948" t="s">
        <v>22</v>
      </c>
      <c r="P4948" t="s">
        <v>1320</v>
      </c>
      <c r="Q4948" t="s">
        <v>19</v>
      </c>
      <c r="R4948" t="str">
        <f>HYPERLINK("https://cfpub.epa.gov/ecotox/explore.cfm?ncbi=1481888","Explore in ECOTOX")</f>
        <v>Explore in ECOTOX</v>
      </c>
    </row>
    <row r="4949" spans="1:18" x14ac:dyDescent="0.45">
      <c r="A4949" t="s">
        <v>1265</v>
      </c>
      <c r="B4949">
        <v>8</v>
      </c>
      <c r="C4949" t="str">
        <f>HYPERLINK("http://www.ncbi.nlm.nih.gov/protein/SCU66199.1","SCU66199.1")</f>
        <v>SCU66199.1</v>
      </c>
      <c r="D4949">
        <v>7761</v>
      </c>
      <c r="E4949" t="str">
        <f>HYPERLINK("http://www.ncbi.nlm.nih.gov/Taxonomy/Browser/wwwtax.cgi?mode=Info&amp;id=5694&amp;lvl=3&amp;lin=f&amp;keep=1&amp;srchmode=1&amp;unlock","5694")</f>
        <v>5694</v>
      </c>
      <c r="F4949" t="s">
        <v>1228</v>
      </c>
      <c r="G4949" t="str">
        <f>HYPERLINK("http://www.ncbi.nlm.nih.gov/Taxonomy/Browser/wwwtax.cgi?mode=Info&amp;id=5694&amp;lvl=3&amp;lin=f&amp;keep=1&amp;srchmode=1&amp;unlock","Trypanosoma equiperdum")</f>
        <v>Trypanosoma equiperdum</v>
      </c>
      <c r="H4949" t="s">
        <v>1229</v>
      </c>
      <c r="I4949" t="str">
        <f>HYPERLINK("http://www.ncbi.nlm.nih.gov/protein/SCU66199.1","inositol 1,4,5-trisphosphate receptor")</f>
        <v>inositol 1,4,5-trisphosphate receptor</v>
      </c>
      <c r="J4949">
        <v>181.03</v>
      </c>
      <c r="K4949" t="s">
        <v>22</v>
      </c>
      <c r="L4949">
        <v>76</v>
      </c>
      <c r="M4949">
        <v>12.58</v>
      </c>
      <c r="N4949">
        <v>1.78</v>
      </c>
      <c r="O4949" t="s">
        <v>22</v>
      </c>
      <c r="P4949" t="s">
        <v>1320</v>
      </c>
      <c r="Q4949" t="s">
        <v>19</v>
      </c>
      <c r="R4949" t="str">
        <f>HYPERLINK("https://cfpub.epa.gov/ecotox/explore.cfm?ncbi=5694","Explore in ECOTOX")</f>
        <v>Explore in ECOTOX</v>
      </c>
    </row>
    <row r="4950" spans="1:18" x14ac:dyDescent="0.45">
      <c r="A4950" t="s">
        <v>1265</v>
      </c>
      <c r="B4950">
        <v>8</v>
      </c>
      <c r="C4950" t="str">
        <f>HYPERLINK("http://www.ncbi.nlm.nih.gov/protein/XP_051428230.1","XP_051428230.1")</f>
        <v>XP_051428230.1</v>
      </c>
      <c r="D4950">
        <v>21767</v>
      </c>
      <c r="E4950" t="str">
        <f>HYPERLINK("http://www.ncbi.nlm.nih.gov/Taxonomy/Browser/wwwtax.cgi?mode=Info&amp;id=64574&amp;lvl=3&amp;lin=f&amp;keep=1&amp;srchmode=1&amp;unlock","64574")</f>
        <v>64574</v>
      </c>
      <c r="F4950" t="s">
        <v>1226</v>
      </c>
      <c r="G4950" t="str">
        <f>HYPERLINK("http://www.ncbi.nlm.nih.gov/Taxonomy/Browser/wwwtax.cgi?mode=Info&amp;id=64574&amp;lvl=3&amp;lin=f&amp;keep=1&amp;srchmode=1&amp;unlock","Radiomyces spectabilis")</f>
        <v>Radiomyces spectabilis</v>
      </c>
      <c r="H4950" t="s">
        <v>1227</v>
      </c>
      <c r="I4950" t="str">
        <f>HYPERLINK("http://www.ncbi.nlm.nih.gov/protein/XP_051428230.1","uncharacterized protein BYT42DRAFT_609468")</f>
        <v>uncharacterized protein BYT42DRAFT_609468</v>
      </c>
      <c r="J4950">
        <v>181.03</v>
      </c>
      <c r="K4950" t="s">
        <v>22</v>
      </c>
      <c r="L4950">
        <v>76</v>
      </c>
      <c r="M4950">
        <v>12.58</v>
      </c>
      <c r="N4950">
        <v>1.78</v>
      </c>
      <c r="O4950" t="s">
        <v>22</v>
      </c>
      <c r="P4950" t="s">
        <v>1320</v>
      </c>
      <c r="Q4950" t="s">
        <v>19</v>
      </c>
      <c r="R4950" t="str">
        <f>HYPERLINK("https://cfpub.epa.gov/ecotox/explore.cfm?ncbi=64574","Explore in ECOTOX")</f>
        <v>Explore in ECOTOX</v>
      </c>
    </row>
    <row r="4951" spans="1:18" x14ac:dyDescent="0.45">
      <c r="A4951" t="s">
        <v>1265</v>
      </c>
      <c r="B4951">
        <v>8</v>
      </c>
      <c r="C4951" t="str">
        <f>HYPERLINK("http://www.ncbi.nlm.nih.gov/protein/XP_847110.1","XP_847110.1")</f>
        <v>XP_847110.1</v>
      </c>
      <c r="D4951">
        <v>18261</v>
      </c>
      <c r="E4951" t="str">
        <f>HYPERLINK("http://www.ncbi.nlm.nih.gov/Taxonomy/Browser/wwwtax.cgi?mode=Info&amp;id=185431&amp;lvl=3&amp;lin=f&amp;keep=1&amp;srchmode=1&amp;unlock","185431")</f>
        <v>185431</v>
      </c>
      <c r="F4951" t="s">
        <v>1228</v>
      </c>
      <c r="G4951" t="str">
        <f>HYPERLINK("http://www.ncbi.nlm.nih.gov/Taxonomy/Browser/wwwtax.cgi?mode=Info&amp;id=185431&amp;lvl=3&amp;lin=f&amp;keep=1&amp;srchmode=1&amp;unlock","Trypanosoma brucei brucei TREU927")</f>
        <v>Trypanosoma brucei brucei TREU927</v>
      </c>
      <c r="H4951" t="s">
        <v>1229</v>
      </c>
      <c r="I4951" t="str">
        <f>HYPERLINK("http://www.ncbi.nlm.nih.gov/protein/XP_847110.1","hypothetical protein, conserved")</f>
        <v>hypothetical protein, conserved</v>
      </c>
      <c r="J4951">
        <v>181.03</v>
      </c>
      <c r="K4951" t="s">
        <v>22</v>
      </c>
      <c r="L4951">
        <v>76</v>
      </c>
      <c r="M4951">
        <v>12.58</v>
      </c>
      <c r="N4951">
        <v>1.78</v>
      </c>
      <c r="O4951" t="s">
        <v>22</v>
      </c>
      <c r="P4951" t="s">
        <v>1320</v>
      </c>
      <c r="Q4951" t="s">
        <v>19</v>
      </c>
      <c r="R4951" t="str">
        <f>HYPERLINK("https://cfpub.epa.gov/ecotox/explore.cfm?ncbi=185431","Explore in ECOTOX")</f>
        <v>Explore in ECOTOX</v>
      </c>
    </row>
    <row r="4952" spans="1:18" x14ac:dyDescent="0.45">
      <c r="A4952" t="s">
        <v>1265</v>
      </c>
      <c r="B4952">
        <v>8</v>
      </c>
      <c r="C4952" t="str">
        <f>HYPERLINK("http://www.ncbi.nlm.nih.gov/protein/KAH6928546.1","KAH6928546.1")</f>
        <v>KAH6928546.1</v>
      </c>
      <c r="D4952">
        <v>29777</v>
      </c>
      <c r="E4952" t="str">
        <f>HYPERLINK("http://www.ncbi.nlm.nih.gov/Taxonomy/Browser/wwwtax.cgi?mode=Info&amp;id=266040&amp;lvl=3&amp;lin=f&amp;keep=1&amp;srchmode=1&amp;unlock","266040")</f>
        <v>266040</v>
      </c>
      <c r="F4952" t="s">
        <v>904</v>
      </c>
      <c r="G4952" t="str">
        <f>HYPERLINK("http://www.ncbi.nlm.nih.gov/Taxonomy/Browser/wwwtax.cgi?mode=Info&amp;id=266040&amp;lvl=3&amp;lin=f&amp;keep=1&amp;srchmode=1&amp;unlock","Hyalomma asiaticum")</f>
        <v>Hyalomma asiaticum</v>
      </c>
      <c r="H4952" t="s">
        <v>951</v>
      </c>
      <c r="I4952" t="str">
        <f>HYPERLINK("http://www.ncbi.nlm.nih.gov/protein/KAH6928546.1","hypothetical protein HPB50_016883")</f>
        <v>hypothetical protein HPB50_016883</v>
      </c>
      <c r="J4952">
        <v>181.03</v>
      </c>
      <c r="K4952" t="s">
        <v>22</v>
      </c>
      <c r="L4952">
        <v>76</v>
      </c>
      <c r="M4952">
        <v>12.58</v>
      </c>
      <c r="N4952">
        <v>1.78</v>
      </c>
      <c r="O4952" t="s">
        <v>19</v>
      </c>
      <c r="P4952" t="s">
        <v>1320</v>
      </c>
      <c r="Q4952" t="s">
        <v>19</v>
      </c>
      <c r="R4952" t="str">
        <f>HYPERLINK("https://cfpub.epa.gov/ecotox/explore.cfm?ncbi=266040","Explore in ECOTOX")</f>
        <v>Explore in ECOTOX</v>
      </c>
    </row>
    <row r="4953" spans="1:18" x14ac:dyDescent="0.45">
      <c r="A4953" t="s">
        <v>1265</v>
      </c>
      <c r="B4953">
        <v>8</v>
      </c>
      <c r="C4953" t="str">
        <f>HYPERLINK("http://www.ncbi.nlm.nih.gov/protein/AAX69757.1","AAX69757.1")</f>
        <v>AAX69757.1</v>
      </c>
      <c r="D4953">
        <v>12700</v>
      </c>
      <c r="E4953" t="str">
        <f>HYPERLINK("http://www.ncbi.nlm.nih.gov/Taxonomy/Browser/wwwtax.cgi?mode=Info&amp;id=5691&amp;lvl=3&amp;lin=f&amp;keep=1&amp;srchmode=1&amp;unlock","5691")</f>
        <v>5691</v>
      </c>
      <c r="F4953" t="s">
        <v>1228</v>
      </c>
      <c r="G4953" t="str">
        <f>HYPERLINK("http://www.ncbi.nlm.nih.gov/Taxonomy/Browser/wwwtax.cgi?mode=Info&amp;id=5691&amp;lvl=3&amp;lin=f&amp;keep=1&amp;srchmode=1&amp;unlock","Trypanosoma brucei")</f>
        <v>Trypanosoma brucei</v>
      </c>
      <c r="H4953" t="s">
        <v>1229</v>
      </c>
      <c r="I4953" t="str">
        <f>HYPERLINK("http://www.ncbi.nlm.nih.gov/protein/AAX69757.1","hypothetical protein, conserved")</f>
        <v>hypothetical protein, conserved</v>
      </c>
      <c r="J4953">
        <v>181.03</v>
      </c>
      <c r="K4953" t="s">
        <v>22</v>
      </c>
      <c r="L4953">
        <v>76</v>
      </c>
      <c r="M4953">
        <v>12.58</v>
      </c>
      <c r="N4953">
        <v>1.78</v>
      </c>
      <c r="O4953" t="s">
        <v>22</v>
      </c>
      <c r="P4953" t="s">
        <v>1320</v>
      </c>
      <c r="Q4953" t="s">
        <v>19</v>
      </c>
      <c r="R4953" t="str">
        <f>HYPERLINK("https://cfpub.epa.gov/ecotox/explore.cfm?ncbi=5691","Explore in ECOTOX")</f>
        <v>Explore in ECOTOX</v>
      </c>
    </row>
    <row r="4954" spans="1:18" x14ac:dyDescent="0.45">
      <c r="A4954" t="s">
        <v>1265</v>
      </c>
      <c r="B4954">
        <v>8</v>
      </c>
      <c r="C4954" t="str">
        <f>HYPERLINK("http://www.ncbi.nlm.nih.gov/protein/KAF8275566.1","KAF8275566.1")</f>
        <v>KAF8275566.1</v>
      </c>
      <c r="D4954">
        <v>179033</v>
      </c>
      <c r="E4954" t="str">
        <f>HYPERLINK("http://www.ncbi.nlm.nih.gov/Taxonomy/Browser/wwwtax.cgi?mode=Info&amp;id=5693&amp;lvl=3&amp;lin=f&amp;keep=1&amp;srchmode=1&amp;unlock","5693")</f>
        <v>5693</v>
      </c>
      <c r="F4954" t="s">
        <v>1228</v>
      </c>
      <c r="G4954" t="str">
        <f>HYPERLINK("http://www.ncbi.nlm.nih.gov/Taxonomy/Browser/wwwtax.cgi?mode=Info&amp;id=5693&amp;lvl=3&amp;lin=f&amp;keep=1&amp;srchmode=1&amp;unlock","Trypanosoma cruzi")</f>
        <v>Trypanosoma cruzi</v>
      </c>
      <c r="H4954" t="s">
        <v>1229</v>
      </c>
      <c r="I4954" t="str">
        <f>HYPERLINK("http://www.ncbi.nlm.nih.gov/protein/KAF8275566.1","putative inositol 1,4,5-trisphosphate receptor")</f>
        <v>putative inositol 1,4,5-trisphosphate receptor</v>
      </c>
      <c r="J4954">
        <v>179.1</v>
      </c>
      <c r="K4954" t="s">
        <v>22</v>
      </c>
      <c r="L4954">
        <v>76</v>
      </c>
      <c r="M4954">
        <v>12.58</v>
      </c>
      <c r="N4954">
        <v>1.76</v>
      </c>
      <c r="O4954" t="s">
        <v>22</v>
      </c>
      <c r="P4954" t="s">
        <v>1320</v>
      </c>
      <c r="Q4954" t="s">
        <v>19</v>
      </c>
      <c r="R4954" t="str">
        <f>HYPERLINK("https://cfpub.epa.gov/ecotox/explore.cfm?ncbi=5693","Explore in ECOTOX")</f>
        <v>Explore in ECOTOX</v>
      </c>
    </row>
    <row r="4955" spans="1:18" x14ac:dyDescent="0.45">
      <c r="A4955" t="s">
        <v>1265</v>
      </c>
      <c r="B4955">
        <v>8</v>
      </c>
      <c r="C4955" t="str">
        <f>HYPERLINK("http://www.ncbi.nlm.nih.gov/protein/EKF26918.1","EKF26918.1")</f>
        <v>EKF26918.1</v>
      </c>
      <c r="D4955">
        <v>10317</v>
      </c>
      <c r="E4955" t="str">
        <f>HYPERLINK("http://www.ncbi.nlm.nih.gov/Taxonomy/Browser/wwwtax.cgi?mode=Info&amp;id=85056&amp;lvl=3&amp;lin=f&amp;keep=1&amp;srchmode=1&amp;unlock","85056")</f>
        <v>85056</v>
      </c>
      <c r="F4955" t="s">
        <v>1228</v>
      </c>
      <c r="G4955" t="str">
        <f>HYPERLINK("http://www.ncbi.nlm.nih.gov/Taxonomy/Browser/wwwtax.cgi?mode=Info&amp;id=85056&amp;lvl=3&amp;lin=f&amp;keep=1&amp;srchmode=1&amp;unlock","Trypanosoma cruzi marinkellei")</f>
        <v>Trypanosoma cruzi marinkellei</v>
      </c>
      <c r="H4955" t="s">
        <v>1229</v>
      </c>
      <c r="I4955" t="str">
        <f>HYPERLINK("http://www.ncbi.nlm.nih.gov/protein/EKF26918.1","hypothetical protein MOQ_009372")</f>
        <v>hypothetical protein MOQ_009372</v>
      </c>
      <c r="J4955">
        <v>179.1</v>
      </c>
      <c r="K4955" t="s">
        <v>22</v>
      </c>
      <c r="L4955">
        <v>76</v>
      </c>
      <c r="M4955">
        <v>12.58</v>
      </c>
      <c r="N4955">
        <v>1.76</v>
      </c>
      <c r="O4955" t="s">
        <v>22</v>
      </c>
      <c r="P4955" t="s">
        <v>1320</v>
      </c>
      <c r="Q4955" t="s">
        <v>19</v>
      </c>
      <c r="R4955" t="str">
        <f>HYPERLINK("https://cfpub.epa.gov/ecotox/explore.cfm?ncbi=85056","Explore in ECOTOX")</f>
        <v>Explore in ECOTOX</v>
      </c>
    </row>
    <row r="4956" spans="1:18" x14ac:dyDescent="0.45">
      <c r="A4956" t="s">
        <v>1265</v>
      </c>
      <c r="B4956">
        <v>8</v>
      </c>
      <c r="C4956" t="str">
        <f>HYPERLINK("http://www.ncbi.nlm.nih.gov/protein/CUG89031.1","CUG89031.1")</f>
        <v>CUG89031.1</v>
      </c>
      <c r="D4956">
        <v>18387</v>
      </c>
      <c r="E4956" t="str">
        <f>HYPERLINK("http://www.ncbi.nlm.nih.gov/Taxonomy/Browser/wwwtax.cgi?mode=Info&amp;id=75058&amp;lvl=3&amp;lin=f&amp;keep=1&amp;srchmode=1&amp;unlock","75058")</f>
        <v>75058</v>
      </c>
      <c r="F4956" t="s">
        <v>1228</v>
      </c>
      <c r="G4956" t="str">
        <f>HYPERLINK("http://www.ncbi.nlm.nih.gov/Taxonomy/Browser/wwwtax.cgi?mode=Info&amp;id=75058&amp;lvl=3&amp;lin=f&amp;keep=1&amp;srchmode=1&amp;unlock","Bodo saltans")</f>
        <v>Bodo saltans</v>
      </c>
      <c r="H4956" t="s">
        <v>1229</v>
      </c>
      <c r="I4956" t="str">
        <f>HYPERLINK("http://www.ncbi.nlm.nih.gov/protein/CUG89031.1","transmembrane protein, putative")</f>
        <v>transmembrane protein, putative</v>
      </c>
      <c r="J4956">
        <v>178.72</v>
      </c>
      <c r="K4956" t="s">
        <v>22</v>
      </c>
      <c r="L4956">
        <v>76</v>
      </c>
      <c r="M4956">
        <v>12.58</v>
      </c>
      <c r="N4956">
        <v>1.76</v>
      </c>
      <c r="O4956" t="s">
        <v>22</v>
      </c>
      <c r="P4956" t="s">
        <v>1320</v>
      </c>
      <c r="Q4956" t="s">
        <v>19</v>
      </c>
      <c r="R4956" t="str">
        <f>HYPERLINK("https://cfpub.epa.gov/ecotox/explore.cfm?ncbi=75058","Explore in ECOTOX")</f>
        <v>Explore in ECOTOX</v>
      </c>
    </row>
    <row r="4957" spans="1:18" x14ac:dyDescent="0.45">
      <c r="A4957" t="s">
        <v>1265</v>
      </c>
      <c r="B4957">
        <v>8</v>
      </c>
      <c r="C4957" t="str">
        <f>HYPERLINK("http://www.ncbi.nlm.nih.gov/protein/ESS63463.1","ESS63463.1")</f>
        <v>ESS63463.1</v>
      </c>
      <c r="D4957">
        <v>11348</v>
      </c>
      <c r="E4957" t="str">
        <f>HYPERLINK("http://www.ncbi.nlm.nih.gov/Taxonomy/Browser/wwwtax.cgi?mode=Info&amp;id=1416333&amp;lvl=3&amp;lin=f&amp;keep=1&amp;srchmode=1&amp;unlock","1416333")</f>
        <v>1416333</v>
      </c>
      <c r="F4957" t="s">
        <v>1228</v>
      </c>
      <c r="G4957" t="str">
        <f>HYPERLINK("http://www.ncbi.nlm.nih.gov/Taxonomy/Browser/wwwtax.cgi?mode=Info&amp;id=1416333&amp;lvl=3&amp;lin=f&amp;keep=1&amp;srchmode=1&amp;unlock","Trypanosoma cruzi Dm28c")</f>
        <v>Trypanosoma cruzi Dm28c</v>
      </c>
      <c r="H4957" t="s">
        <v>1229</v>
      </c>
      <c r="I4957" t="str">
        <f>HYPERLINK("http://www.ncbi.nlm.nih.gov/protein/ESS63463.1","hypothetical protein TCDM_08713")</f>
        <v>hypothetical protein TCDM_08713</v>
      </c>
      <c r="J4957">
        <v>178.33</v>
      </c>
      <c r="K4957" t="s">
        <v>22</v>
      </c>
      <c r="L4957">
        <v>76</v>
      </c>
      <c r="M4957">
        <v>12.58</v>
      </c>
      <c r="N4957">
        <v>1.76</v>
      </c>
      <c r="O4957" t="s">
        <v>22</v>
      </c>
      <c r="P4957" t="s">
        <v>1320</v>
      </c>
      <c r="Q4957" t="s">
        <v>19</v>
      </c>
      <c r="R4957" t="str">
        <f>HYPERLINK("https://cfpub.epa.gov/ecotox/explore.cfm?ncbi=1416333","Explore in ECOTOX")</f>
        <v>Explore in ECOTOX</v>
      </c>
    </row>
    <row r="4958" spans="1:18" x14ac:dyDescent="0.45">
      <c r="A4958" t="s">
        <v>1265</v>
      </c>
      <c r="B4958">
        <v>8</v>
      </c>
      <c r="C4958" t="str">
        <f>HYPERLINK("http://www.ncbi.nlm.nih.gov/protein/KAJ3226355.1","KAJ3226355.1")</f>
        <v>KAJ3226355.1</v>
      </c>
      <c r="D4958">
        <v>8646</v>
      </c>
      <c r="E4958" t="str">
        <f>HYPERLINK("http://www.ncbi.nlm.nih.gov/Taxonomy/Browser/wwwtax.cgi?mode=Info&amp;id=447962&amp;lvl=3&amp;lin=f&amp;keep=1&amp;srchmode=1&amp;unlock","447962")</f>
        <v>447962</v>
      </c>
      <c r="F4958" t="s">
        <v>1234</v>
      </c>
      <c r="G4958" t="str">
        <f>HYPERLINK("http://www.ncbi.nlm.nih.gov/Taxonomy/Browser/wwwtax.cgi?mode=Info&amp;id=447962&amp;lvl=3&amp;lin=f&amp;keep=1&amp;srchmode=1&amp;unlock","Clydaea vesicula")</f>
        <v>Clydaea vesicula</v>
      </c>
      <c r="H4958" t="s">
        <v>1235</v>
      </c>
      <c r="I4958" t="str">
        <f>HYPERLINK("http://www.ncbi.nlm.nih.gov/protein/KAJ3226355.1","hypothetical protein HK099_005063")</f>
        <v>hypothetical protein HK099_005063</v>
      </c>
      <c r="J4958">
        <v>177.95</v>
      </c>
      <c r="K4958" t="s">
        <v>22</v>
      </c>
      <c r="L4958">
        <v>76</v>
      </c>
      <c r="M4958">
        <v>12.58</v>
      </c>
      <c r="N4958">
        <v>1.75</v>
      </c>
      <c r="O4958" t="s">
        <v>22</v>
      </c>
      <c r="P4958" t="s">
        <v>1320</v>
      </c>
      <c r="Q4958" t="s">
        <v>19</v>
      </c>
      <c r="R4958" t="str">
        <f>HYPERLINK("https://cfpub.epa.gov/ecotox/explore.cfm?ncbi=447962","Explore in ECOTOX")</f>
        <v>Explore in ECOTOX</v>
      </c>
    </row>
    <row r="4959" spans="1:18" x14ac:dyDescent="0.45">
      <c r="A4959" t="s">
        <v>1265</v>
      </c>
      <c r="B4959">
        <v>8</v>
      </c>
      <c r="C4959" t="str">
        <f>HYPERLINK("http://www.ncbi.nlm.nih.gov/protein/KAJ3397228.1","KAJ3397228.1")</f>
        <v>KAJ3397228.1</v>
      </c>
      <c r="D4959">
        <v>9111</v>
      </c>
      <c r="E4959" t="str">
        <f>HYPERLINK("http://www.ncbi.nlm.nih.gov/Taxonomy/Browser/wwwtax.cgi?mode=Info&amp;id=109889&amp;lvl=3&amp;lin=f&amp;keep=1&amp;srchmode=1&amp;unlock","109889")</f>
        <v>109889</v>
      </c>
      <c r="F4959" t="s">
        <v>1234</v>
      </c>
      <c r="G4959" t="str">
        <f>HYPERLINK("http://www.ncbi.nlm.nih.gov/Taxonomy/Browser/wwwtax.cgi?mode=Info&amp;id=109889&amp;lvl=3&amp;lin=f&amp;keep=1&amp;srchmode=1&amp;unlock","Lobulomyces angularis")</f>
        <v>Lobulomyces angularis</v>
      </c>
      <c r="H4959" t="s">
        <v>1235</v>
      </c>
      <c r="I4959" t="str">
        <f>HYPERLINK("http://www.ncbi.nlm.nih.gov/protein/KAJ3397228.1","hypothetical protein HDU92_000108")</f>
        <v>hypothetical protein HDU92_000108</v>
      </c>
      <c r="J4959">
        <v>177.95</v>
      </c>
      <c r="K4959" t="s">
        <v>22</v>
      </c>
      <c r="L4959">
        <v>76</v>
      </c>
      <c r="M4959">
        <v>12.58</v>
      </c>
      <c r="N4959">
        <v>1.75</v>
      </c>
      <c r="O4959" t="s">
        <v>22</v>
      </c>
      <c r="P4959" t="s">
        <v>1320</v>
      </c>
      <c r="Q4959" t="s">
        <v>19</v>
      </c>
      <c r="R4959" t="str">
        <f>HYPERLINK("https://cfpub.epa.gov/ecotox/explore.cfm?ncbi=109889","Explore in ECOTOX")</f>
        <v>Explore in ECOTOX</v>
      </c>
    </row>
    <row r="4960" spans="1:18" x14ac:dyDescent="0.45">
      <c r="A4960" t="s">
        <v>1265</v>
      </c>
      <c r="B4960">
        <v>8</v>
      </c>
      <c r="C4960" t="str">
        <f>HYPERLINK("http://www.ncbi.nlm.nih.gov/protein/KPI87904.1","KPI87904.1")</f>
        <v>KPI87904.1</v>
      </c>
      <c r="D4960">
        <v>8536</v>
      </c>
      <c r="E4960" t="str">
        <f>HYPERLINK("http://www.ncbi.nlm.nih.gov/Taxonomy/Browser/wwwtax.cgi?mode=Info&amp;id=5684&amp;lvl=3&amp;lin=f&amp;keep=1&amp;srchmode=1&amp;unlock","5684")</f>
        <v>5684</v>
      </c>
      <c r="F4960" t="s">
        <v>1228</v>
      </c>
      <c r="G4960" t="str">
        <f>HYPERLINK("http://www.ncbi.nlm.nih.gov/Taxonomy/Browser/wwwtax.cgi?mode=Info&amp;id=5684&amp;lvl=3&amp;lin=f&amp;keep=1&amp;srchmode=1&amp;unlock","Leptomonas seymouri")</f>
        <v>Leptomonas seymouri</v>
      </c>
      <c r="H4960" t="s">
        <v>1229</v>
      </c>
      <c r="I4960" t="str">
        <f>HYPERLINK("http://www.ncbi.nlm.nih.gov/protein/KPI87904.1","hypothetical protein ABL78_3014")</f>
        <v>hypothetical protein ABL78_3014</v>
      </c>
      <c r="J4960">
        <v>174.48</v>
      </c>
      <c r="K4960" t="s">
        <v>22</v>
      </c>
      <c r="L4960">
        <v>76</v>
      </c>
      <c r="M4960">
        <v>12.58</v>
      </c>
      <c r="N4960">
        <v>1.72</v>
      </c>
      <c r="O4960" t="s">
        <v>22</v>
      </c>
      <c r="P4960" t="s">
        <v>1320</v>
      </c>
      <c r="Q4960" t="s">
        <v>19</v>
      </c>
      <c r="R4960" t="str">
        <f>HYPERLINK("https://cfpub.epa.gov/ecotox/explore.cfm?ncbi=5684","Explore in ECOTOX")</f>
        <v>Explore in ECOTOX</v>
      </c>
    </row>
    <row r="4961" spans="1:18" x14ac:dyDescent="0.45">
      <c r="A4961" t="s">
        <v>1265</v>
      </c>
      <c r="B4961">
        <v>8</v>
      </c>
      <c r="C4961" t="str">
        <f>HYPERLINK("http://www.ncbi.nlm.nih.gov/protein/RKP13226.1","RKP13226.1")</f>
        <v>RKP13226.1</v>
      </c>
      <c r="D4961">
        <v>4301</v>
      </c>
      <c r="E4961" t="str">
        <f>HYPERLINK("http://www.ncbi.nlm.nih.gov/Taxonomy/Browser/wwwtax.cgi?mode=Info&amp;id=1907219&amp;lvl=3&amp;lin=f&amp;keep=1&amp;srchmode=1&amp;unlock","1907219")</f>
        <v>1907219</v>
      </c>
      <c r="F4961" t="s">
        <v>1236</v>
      </c>
      <c r="G4961" t="str">
        <f>HYPERLINK("http://www.ncbi.nlm.nih.gov/Taxonomy/Browser/wwwtax.cgi?mode=Info&amp;id=1907219&amp;lvl=3&amp;lin=f&amp;keep=1&amp;srchmode=1&amp;unlock","Piptocephalis cylindrospora")</f>
        <v>Piptocephalis cylindrospora</v>
      </c>
      <c r="H4961" t="s">
        <v>1225</v>
      </c>
      <c r="I4961" t="str">
        <f>HYPERLINK("http://www.ncbi.nlm.nih.gov/protein/RKP13226.1","hypothetical protein BJ684DRAFT_20267")</f>
        <v>hypothetical protein BJ684DRAFT_20267</v>
      </c>
      <c r="J4961">
        <v>173.33</v>
      </c>
      <c r="K4961" t="s">
        <v>22</v>
      </c>
      <c r="L4961">
        <v>76</v>
      </c>
      <c r="M4961">
        <v>12.58</v>
      </c>
      <c r="N4961">
        <v>1.71</v>
      </c>
      <c r="O4961" t="s">
        <v>22</v>
      </c>
      <c r="P4961" t="s">
        <v>1320</v>
      </c>
      <c r="Q4961" t="s">
        <v>19</v>
      </c>
      <c r="R4961" t="str">
        <f>HYPERLINK("https://cfpub.epa.gov/ecotox/explore.cfm?ncbi=1907219","Explore in ECOTOX")</f>
        <v>Explore in ECOTOX</v>
      </c>
    </row>
    <row r="4962" spans="1:18" x14ac:dyDescent="0.45">
      <c r="A4962" t="s">
        <v>1265</v>
      </c>
      <c r="B4962">
        <v>8</v>
      </c>
      <c r="C4962" t="str">
        <f>HYPERLINK("http://www.ncbi.nlm.nih.gov/protein/GAN04326.1","GAN04326.1")</f>
        <v>GAN04326.1</v>
      </c>
      <c r="D4962">
        <v>11331</v>
      </c>
      <c r="E4962" t="str">
        <f>HYPERLINK("http://www.ncbi.nlm.nih.gov/Taxonomy/Browser/wwwtax.cgi?mode=Info&amp;id=91626&amp;lvl=3&amp;lin=f&amp;keep=1&amp;srchmode=1&amp;unlock","91626")</f>
        <v>91626</v>
      </c>
      <c r="F4962" t="s">
        <v>1226</v>
      </c>
      <c r="G4962" t="str">
        <f>HYPERLINK("http://www.ncbi.nlm.nih.gov/Taxonomy/Browser/wwwtax.cgi?mode=Info&amp;id=91626&amp;lvl=3&amp;lin=f&amp;keep=1&amp;srchmode=1&amp;unlock","Mucor ambiguus")</f>
        <v>Mucor ambiguus</v>
      </c>
      <c r="H4962" t="s">
        <v>1227</v>
      </c>
      <c r="I4962" t="str">
        <f>HYPERLINK("http://www.ncbi.nlm.nih.gov/protein/GAN04326.1","conserved hypothetical protein")</f>
        <v>conserved hypothetical protein</v>
      </c>
      <c r="J4962">
        <v>173.33</v>
      </c>
      <c r="K4962" t="s">
        <v>22</v>
      </c>
      <c r="L4962">
        <v>76</v>
      </c>
      <c r="M4962">
        <v>12.58</v>
      </c>
      <c r="N4962">
        <v>1.71</v>
      </c>
      <c r="O4962" t="s">
        <v>22</v>
      </c>
      <c r="P4962" t="s">
        <v>1320</v>
      </c>
      <c r="Q4962" t="s">
        <v>19</v>
      </c>
      <c r="R4962" t="str">
        <f>HYPERLINK("https://cfpub.epa.gov/ecotox/explore.cfm?ncbi=91626","Explore in ECOTOX")</f>
        <v>Explore in ECOTOX</v>
      </c>
    </row>
    <row r="4963" spans="1:18" x14ac:dyDescent="0.45">
      <c r="A4963" t="s">
        <v>1265</v>
      </c>
      <c r="B4963">
        <v>8</v>
      </c>
      <c r="C4963" t="str">
        <f>HYPERLINK("http://www.ncbi.nlm.nih.gov/protein/OAD02504.1","OAD02504.1")</f>
        <v>OAD02504.1</v>
      </c>
      <c r="D4963">
        <v>11660</v>
      </c>
      <c r="E4963" t="str">
        <f>HYPERLINK("http://www.ncbi.nlm.nih.gov/Taxonomy/Browser/wwwtax.cgi?mode=Info&amp;id=747725&amp;lvl=3&amp;lin=f&amp;keep=1&amp;srchmode=1&amp;unlock","747725")</f>
        <v>747725</v>
      </c>
      <c r="F4963" t="s">
        <v>1226</v>
      </c>
      <c r="G4963" t="str">
        <f>HYPERLINK("http://www.ncbi.nlm.nih.gov/Taxonomy/Browser/wwwtax.cgi?mode=Info&amp;id=747725&amp;lvl=3&amp;lin=f&amp;keep=1&amp;srchmode=1&amp;unlock","Mucor lusitanicus CBS 277.49")</f>
        <v>Mucor lusitanicus CBS 277.49</v>
      </c>
      <c r="H4963" t="s">
        <v>1227</v>
      </c>
      <c r="I4963" t="str">
        <f>HYPERLINK("http://www.ncbi.nlm.nih.gov/protein/OAD02504.1","hypothetical protein MUCCIDRAFT_111891")</f>
        <v>hypothetical protein MUCCIDRAFT_111891</v>
      </c>
      <c r="J4963">
        <v>172.94</v>
      </c>
      <c r="K4963" t="s">
        <v>22</v>
      </c>
      <c r="L4963">
        <v>76</v>
      </c>
      <c r="M4963">
        <v>12.58</v>
      </c>
      <c r="N4963">
        <v>1.7</v>
      </c>
      <c r="O4963" t="s">
        <v>22</v>
      </c>
      <c r="P4963" t="s">
        <v>1320</v>
      </c>
      <c r="Q4963" t="s">
        <v>19</v>
      </c>
      <c r="R4963" t="str">
        <f>HYPERLINK("https://cfpub.epa.gov/ecotox/explore.cfm?ncbi=747725","Explore in ECOTOX")</f>
        <v>Explore in ECOTOX</v>
      </c>
    </row>
    <row r="4964" spans="1:18" x14ac:dyDescent="0.45">
      <c r="A4964" t="s">
        <v>1265</v>
      </c>
      <c r="B4964">
        <v>8</v>
      </c>
      <c r="C4964" t="str">
        <f>HYPERLINK("http://www.ncbi.nlm.nih.gov/protein/KAI7851268.1","KAI7851268.1")</f>
        <v>KAI7851268.1</v>
      </c>
      <c r="D4964">
        <v>14689</v>
      </c>
      <c r="E4964" t="str">
        <f>HYPERLINK("http://www.ncbi.nlm.nih.gov/Taxonomy/Browser/wwwtax.cgi?mode=Info&amp;id=101103&amp;lvl=3&amp;lin=f&amp;keep=1&amp;srchmode=1&amp;unlock","101103")</f>
        <v>101103</v>
      </c>
      <c r="F4964" t="s">
        <v>1226</v>
      </c>
      <c r="G4964" t="str">
        <f>HYPERLINK("http://www.ncbi.nlm.nih.gov/Taxonomy/Browser/wwwtax.cgi?mode=Info&amp;id=101103&amp;lvl=3&amp;lin=f&amp;keep=1&amp;srchmode=1&amp;unlock","Circinella umbellata")</f>
        <v>Circinella umbellata</v>
      </c>
      <c r="H4964" t="s">
        <v>1227</v>
      </c>
      <c r="I4964" t="str">
        <f>HYPERLINK("http://www.ncbi.nlm.nih.gov/protein/KAI7851268.1","hypothetical protein BDC45DRAFT_572076")</f>
        <v>hypothetical protein BDC45DRAFT_572076</v>
      </c>
      <c r="J4964">
        <v>172.56</v>
      </c>
      <c r="K4964" t="s">
        <v>22</v>
      </c>
      <c r="L4964">
        <v>76</v>
      </c>
      <c r="M4964">
        <v>12.58</v>
      </c>
      <c r="N4964">
        <v>1.7</v>
      </c>
      <c r="O4964" t="s">
        <v>22</v>
      </c>
      <c r="P4964" t="s">
        <v>1320</v>
      </c>
      <c r="Q4964" t="s">
        <v>19</v>
      </c>
      <c r="R4964" t="str">
        <f>HYPERLINK("https://cfpub.epa.gov/ecotox/explore.cfm?ncbi=101103","Explore in ECOTOX")</f>
        <v>Explore in ECOTOX</v>
      </c>
    </row>
    <row r="4965" spans="1:18" x14ac:dyDescent="0.45">
      <c r="A4965" t="s">
        <v>1265</v>
      </c>
      <c r="B4965">
        <v>8</v>
      </c>
      <c r="C4965" t="str">
        <f>HYPERLINK("http://www.ncbi.nlm.nih.gov/protein/KAF1806889.1","KAF1806889.1")</f>
        <v>KAF1806889.1</v>
      </c>
      <c r="D4965">
        <v>11917</v>
      </c>
      <c r="E4965" t="str">
        <f>HYPERLINK("http://www.ncbi.nlm.nih.gov/Taxonomy/Browser/wwwtax.cgi?mode=Info&amp;id=29924&amp;lvl=3&amp;lin=f&amp;keep=1&amp;srchmode=1&amp;unlock","29924")</f>
        <v>29924</v>
      </c>
      <c r="F4965" t="s">
        <v>1226</v>
      </c>
      <c r="G4965" t="str">
        <f>HYPERLINK("http://www.ncbi.nlm.nih.gov/Taxonomy/Browser/wwwtax.cgi?mode=Info&amp;id=29924&amp;lvl=3&amp;lin=f&amp;keep=1&amp;srchmode=1&amp;unlock","Mucor lusitanicus")</f>
        <v>Mucor lusitanicus</v>
      </c>
      <c r="H4965" t="s">
        <v>1227</v>
      </c>
      <c r="I4965" t="str">
        <f>HYPERLINK("http://www.ncbi.nlm.nih.gov/protein/KAF1806889.1","hypothetical protein FB192DRAFT_1352816")</f>
        <v>hypothetical protein FB192DRAFT_1352816</v>
      </c>
      <c r="J4965">
        <v>172.56</v>
      </c>
      <c r="K4965" t="s">
        <v>22</v>
      </c>
      <c r="L4965">
        <v>76</v>
      </c>
      <c r="M4965">
        <v>12.58</v>
      </c>
      <c r="N4965">
        <v>1.7</v>
      </c>
      <c r="O4965" t="s">
        <v>22</v>
      </c>
      <c r="P4965" t="s">
        <v>1320</v>
      </c>
      <c r="Q4965" t="s">
        <v>19</v>
      </c>
      <c r="R4965" t="str">
        <f>HYPERLINK("https://cfpub.epa.gov/ecotox/explore.cfm?ncbi=29924","Explore in ECOTOX")</f>
        <v>Explore in ECOTOX</v>
      </c>
    </row>
    <row r="4966" spans="1:18" x14ac:dyDescent="0.45">
      <c r="A4966" t="s">
        <v>1265</v>
      </c>
      <c r="B4966">
        <v>8</v>
      </c>
      <c r="C4966" t="str">
        <f>HYPERLINK("http://www.ncbi.nlm.nih.gov/protein/OQR94217.1","OQR94217.1")</f>
        <v>OQR94217.1</v>
      </c>
      <c r="D4966">
        <v>15222</v>
      </c>
      <c r="E4966" t="str">
        <f>HYPERLINK("http://www.ncbi.nlm.nih.gov/Taxonomy/Browser/wwwtax.cgi?mode=Info&amp;id=1202772&amp;lvl=3&amp;lin=f&amp;keep=1&amp;srchmode=1&amp;unlock","1202772")</f>
        <v>1202772</v>
      </c>
      <c r="F4966" t="s">
        <v>1444</v>
      </c>
      <c r="G4966" t="str">
        <f>HYPERLINK("http://www.ncbi.nlm.nih.gov/Taxonomy/Browser/wwwtax.cgi?mode=Info&amp;id=1202772&amp;lvl=3&amp;lin=f&amp;keep=1&amp;srchmode=1&amp;unlock","Achlya hypogyna")</f>
        <v>Achlya hypogyna</v>
      </c>
      <c r="H4966" t="s">
        <v>1445</v>
      </c>
      <c r="I4966" t="str">
        <f>HYPERLINK("http://www.ncbi.nlm.nih.gov/protein/OQR94217.1","Inositol 1,4,5trisphosphate receptor type 2")</f>
        <v>Inositol 1,4,5trisphosphate receptor type 2</v>
      </c>
      <c r="J4966">
        <v>172.17</v>
      </c>
      <c r="K4966" t="s">
        <v>22</v>
      </c>
      <c r="L4966">
        <v>76</v>
      </c>
      <c r="M4966">
        <v>12.58</v>
      </c>
      <c r="N4966">
        <v>1.69</v>
      </c>
      <c r="O4966" t="s">
        <v>22</v>
      </c>
      <c r="P4966" t="s">
        <v>1320</v>
      </c>
      <c r="Q4966" t="s">
        <v>19</v>
      </c>
      <c r="R4966" t="str">
        <f>HYPERLINK("https://cfpub.epa.gov/ecotox/explore.cfm?ncbi=1202772","Explore in ECOTOX")</f>
        <v>Explore in ECOTOX</v>
      </c>
    </row>
    <row r="4967" spans="1:18" x14ac:dyDescent="0.45">
      <c r="A4967" t="s">
        <v>1265</v>
      </c>
      <c r="B4967">
        <v>8</v>
      </c>
      <c r="C4967" t="str">
        <f>HYPERLINK("http://www.ncbi.nlm.nih.gov/protein/KAJ3091045.1","KAJ3091045.1")</f>
        <v>KAJ3091045.1</v>
      </c>
      <c r="D4967">
        <v>13723</v>
      </c>
      <c r="E4967" t="str">
        <f>HYPERLINK("http://www.ncbi.nlm.nih.gov/Taxonomy/Browser/wwwtax.cgi?mode=Info&amp;id=2654861&amp;lvl=3&amp;lin=f&amp;keep=1&amp;srchmode=1&amp;unlock","2654861")</f>
        <v>2654861</v>
      </c>
      <c r="F4967" t="s">
        <v>1234</v>
      </c>
      <c r="G4967" t="str">
        <f>HYPERLINK("http://www.ncbi.nlm.nih.gov/Taxonomy/Browser/wwwtax.cgi?mode=Info&amp;id=2654861&amp;lvl=3&amp;lin=f&amp;keep=1&amp;srchmode=1&amp;unlock","Quaeritorhiza haematococci")</f>
        <v>Quaeritorhiza haematococci</v>
      </c>
      <c r="H4967" t="s">
        <v>1235</v>
      </c>
      <c r="I4967" t="str">
        <f>HYPERLINK("http://www.ncbi.nlm.nih.gov/protein/KAJ3091045.1","hypothetical protein HK102_001865")</f>
        <v>hypothetical protein HK102_001865</v>
      </c>
      <c r="J4967">
        <v>171.01</v>
      </c>
      <c r="K4967" t="s">
        <v>22</v>
      </c>
      <c r="L4967">
        <v>76</v>
      </c>
      <c r="M4967">
        <v>12.58</v>
      </c>
      <c r="N4967">
        <v>1.68</v>
      </c>
      <c r="O4967" t="s">
        <v>22</v>
      </c>
      <c r="P4967" t="s">
        <v>1320</v>
      </c>
      <c r="Q4967" t="s">
        <v>19</v>
      </c>
      <c r="R4967" t="str">
        <f>HYPERLINK("https://cfpub.epa.gov/ecotox/explore.cfm?ncbi=2654861","Explore in ECOTOX")</f>
        <v>Explore in ECOTOX</v>
      </c>
    </row>
    <row r="4968" spans="1:18" x14ac:dyDescent="0.45">
      <c r="A4968" t="s">
        <v>1265</v>
      </c>
      <c r="B4968">
        <v>8</v>
      </c>
      <c r="C4968" t="str">
        <f>HYPERLINK("http://www.ncbi.nlm.nih.gov/protein/KAI8878216.1","KAI8878216.1")</f>
        <v>KAI8878216.1</v>
      </c>
      <c r="D4968">
        <v>16992</v>
      </c>
      <c r="E4968" t="str">
        <f>HYPERLINK("http://www.ncbi.nlm.nih.gov/Taxonomy/Browser/wwwtax.cgi?mode=Info&amp;id=1314798&amp;lvl=3&amp;lin=f&amp;keep=1&amp;srchmode=1&amp;unlock","1314798")</f>
        <v>1314798</v>
      </c>
      <c r="F4968" t="s">
        <v>1226</v>
      </c>
      <c r="G4968" t="str">
        <f>HYPERLINK("http://www.ncbi.nlm.nih.gov/Taxonomy/Browser/wwwtax.cgi?mode=Info&amp;id=1314798&amp;lvl=3&amp;lin=f&amp;keep=1&amp;srchmode=1&amp;unlock","Backusella circina FSU 941")</f>
        <v>Backusella circina FSU 941</v>
      </c>
      <c r="H4968" t="s">
        <v>1227</v>
      </c>
      <c r="I4968" t="str">
        <f>HYPERLINK("http://www.ncbi.nlm.nih.gov/protein/KAI8878216.1","hypothetical protein K501DRAFT_228820")</f>
        <v>hypothetical protein K501DRAFT_228820</v>
      </c>
      <c r="J4968">
        <v>170.24</v>
      </c>
      <c r="K4968" t="s">
        <v>22</v>
      </c>
      <c r="L4968">
        <v>76</v>
      </c>
      <c r="M4968">
        <v>12.58</v>
      </c>
      <c r="N4968">
        <v>1.68</v>
      </c>
      <c r="O4968" t="s">
        <v>22</v>
      </c>
      <c r="P4968" t="s">
        <v>1320</v>
      </c>
      <c r="Q4968" t="s">
        <v>19</v>
      </c>
      <c r="R4968" t="str">
        <f>HYPERLINK("https://cfpub.epa.gov/ecotox/explore.cfm?ncbi=1314798","Explore in ECOTOX")</f>
        <v>Explore in ECOTOX</v>
      </c>
    </row>
    <row r="4969" spans="1:18" x14ac:dyDescent="0.45">
      <c r="A4969" t="s">
        <v>1265</v>
      </c>
      <c r="B4969">
        <v>8</v>
      </c>
      <c r="C4969" t="str">
        <f>HYPERLINK("http://www.ncbi.nlm.nih.gov/protein/XP_052979973.1","XP_052979973.1")</f>
        <v>XP_052979973.1</v>
      </c>
      <c r="D4969">
        <v>27965</v>
      </c>
      <c r="E4969" t="str">
        <f>HYPERLINK("http://www.ncbi.nlm.nih.gov/Taxonomy/Browser/wwwtax.cgi?mode=Info&amp;id=64656&amp;lvl=3&amp;lin=f&amp;keep=1&amp;srchmode=1&amp;unlock","64656")</f>
        <v>64656</v>
      </c>
      <c r="F4969" t="s">
        <v>1226</v>
      </c>
      <c r="G4969" t="str">
        <f>HYPERLINK("http://www.ncbi.nlm.nih.gov/Taxonomy/Browser/wwwtax.cgi?mode=Info&amp;id=64656&amp;lvl=3&amp;lin=f&amp;keep=1&amp;srchmode=1&amp;unlock","Zychaea mexicana")</f>
        <v>Zychaea mexicana</v>
      </c>
      <c r="H4969" t="s">
        <v>1227</v>
      </c>
      <c r="I4969" t="str">
        <f>HYPERLINK("http://www.ncbi.nlm.nih.gov/protein/XP_052979973.1","uncharacterized protein BDB00DRAFT_822221")</f>
        <v>uncharacterized protein BDB00DRAFT_822221</v>
      </c>
      <c r="J4969">
        <v>170.24</v>
      </c>
      <c r="K4969" t="s">
        <v>22</v>
      </c>
      <c r="L4969">
        <v>76</v>
      </c>
      <c r="M4969">
        <v>12.58</v>
      </c>
      <c r="N4969">
        <v>1.68</v>
      </c>
      <c r="O4969" t="s">
        <v>22</v>
      </c>
      <c r="P4969" t="s">
        <v>1320</v>
      </c>
      <c r="Q4969" t="s">
        <v>19</v>
      </c>
      <c r="R4969" t="str">
        <f>HYPERLINK("https://cfpub.epa.gov/ecotox/explore.cfm?ncbi=64656","Explore in ECOTOX")</f>
        <v>Explore in ECOTOX</v>
      </c>
    </row>
    <row r="4970" spans="1:18" x14ac:dyDescent="0.45">
      <c r="A4970" t="s">
        <v>1265</v>
      </c>
      <c r="B4970">
        <v>8</v>
      </c>
      <c r="C4970" t="str">
        <f>HYPERLINK("http://www.ncbi.nlm.nih.gov/protein/XP_051383129.1","XP_051383129.1")</f>
        <v>XP_051383129.1</v>
      </c>
      <c r="D4970">
        <v>21826</v>
      </c>
      <c r="E4970" t="str">
        <f>HYPERLINK("http://www.ncbi.nlm.nih.gov/Taxonomy/Browser/wwwtax.cgi?mode=Info&amp;id=90255&amp;lvl=3&amp;lin=f&amp;keep=1&amp;srchmode=1&amp;unlock","90255")</f>
        <v>90255</v>
      </c>
      <c r="F4970" t="s">
        <v>1226</v>
      </c>
      <c r="G4970" t="str">
        <f>HYPERLINK("http://www.ncbi.nlm.nih.gov/Taxonomy/Browser/wwwtax.cgi?mode=Info&amp;id=90255&amp;lvl=3&amp;lin=f&amp;keep=1&amp;srchmode=1&amp;unlock","Cokeromyces recurvatus")</f>
        <v>Cokeromyces recurvatus</v>
      </c>
      <c r="H4970" t="s">
        <v>1227</v>
      </c>
      <c r="I4970" t="str">
        <f>HYPERLINK("http://www.ncbi.nlm.nih.gov/protein/XP_051383129.1","uncharacterized protein BX663DRAFT_507611")</f>
        <v>uncharacterized protein BX663DRAFT_507611</v>
      </c>
      <c r="J4970">
        <v>170.24</v>
      </c>
      <c r="K4970" t="s">
        <v>22</v>
      </c>
      <c r="L4970">
        <v>76</v>
      </c>
      <c r="M4970">
        <v>12.58</v>
      </c>
      <c r="N4970">
        <v>1.68</v>
      </c>
      <c r="O4970" t="s">
        <v>22</v>
      </c>
      <c r="P4970" t="s">
        <v>1320</v>
      </c>
      <c r="Q4970" t="s">
        <v>19</v>
      </c>
      <c r="R4970" t="str">
        <f>HYPERLINK("https://cfpub.epa.gov/ecotox/explore.cfm?ncbi=90255","Explore in ECOTOX")</f>
        <v>Explore in ECOTOX</v>
      </c>
    </row>
    <row r="4971" spans="1:18" x14ac:dyDescent="0.45">
      <c r="A4971" t="s">
        <v>1265</v>
      </c>
      <c r="B4971">
        <v>8</v>
      </c>
      <c r="C4971" t="str">
        <f>HYPERLINK("http://www.ncbi.nlm.nih.gov/protein/KAI9249172.1","KAI9249172.1")</f>
        <v>KAI9249172.1</v>
      </c>
      <c r="D4971">
        <v>14496</v>
      </c>
      <c r="E4971" t="str">
        <f>HYPERLINK("http://www.ncbi.nlm.nih.gov/Taxonomy/Browser/wwwtax.cgi?mode=Info&amp;id=60185&amp;lvl=3&amp;lin=f&amp;keep=1&amp;srchmode=1&amp;unlock","60185")</f>
        <v>60185</v>
      </c>
      <c r="F4971" t="s">
        <v>1226</v>
      </c>
      <c r="G4971" t="str">
        <f>HYPERLINK("http://www.ncbi.nlm.nih.gov/Taxonomy/Browser/wwwtax.cgi?mode=Info&amp;id=60185&amp;lvl=3&amp;lin=f&amp;keep=1&amp;srchmode=1&amp;unlock","Phascolomyces articulosus")</f>
        <v>Phascolomyces articulosus</v>
      </c>
      <c r="H4971" t="s">
        <v>1227</v>
      </c>
      <c r="I4971" t="str">
        <f>HYPERLINK("http://www.ncbi.nlm.nih.gov/protein/KAI9249172.1","hypothetical protein BDA99DRAFT_575816")</f>
        <v>hypothetical protein BDA99DRAFT_575816</v>
      </c>
      <c r="J4971">
        <v>170.24</v>
      </c>
      <c r="K4971" t="s">
        <v>22</v>
      </c>
      <c r="L4971">
        <v>76</v>
      </c>
      <c r="M4971">
        <v>12.58</v>
      </c>
      <c r="N4971">
        <v>1.68</v>
      </c>
      <c r="O4971" t="s">
        <v>22</v>
      </c>
      <c r="P4971" t="s">
        <v>1320</v>
      </c>
      <c r="Q4971" t="s">
        <v>19</v>
      </c>
      <c r="R4971" t="str">
        <f>HYPERLINK("https://cfpub.epa.gov/ecotox/explore.cfm?ncbi=60185","Explore in ECOTOX")</f>
        <v>Explore in ECOTOX</v>
      </c>
    </row>
    <row r="4972" spans="1:18" x14ac:dyDescent="0.45">
      <c r="A4972" t="s">
        <v>1265</v>
      </c>
      <c r="B4972">
        <v>8</v>
      </c>
      <c r="C4972" t="str">
        <f>HYPERLINK("http://www.ncbi.nlm.nih.gov/protein/KAI8144447.1","KAI8144447.1")</f>
        <v>KAI8144447.1</v>
      </c>
      <c r="D4972">
        <v>14099</v>
      </c>
      <c r="E4972" t="str">
        <f>HYPERLINK("http://www.ncbi.nlm.nih.gov/Taxonomy/Browser/wwwtax.cgi?mode=Info&amp;id=1329386&amp;lvl=3&amp;lin=f&amp;keep=1&amp;srchmode=1&amp;unlock","1329386")</f>
        <v>1329386</v>
      </c>
      <c r="F4972" t="s">
        <v>1226</v>
      </c>
      <c r="G4972" t="str">
        <f>HYPERLINK("http://www.ncbi.nlm.nih.gov/Taxonomy/Browser/wwwtax.cgi?mode=Info&amp;id=1329386&amp;lvl=3&amp;lin=f&amp;keep=1&amp;srchmode=1&amp;unlock","Fennellomyces sp. T-0311")</f>
        <v>Fennellomyces sp. T-0311</v>
      </c>
      <c r="H4972" t="s">
        <v>1227</v>
      </c>
      <c r="I4972" t="str">
        <f>HYPERLINK("http://www.ncbi.nlm.nih.gov/protein/KAI8144447.1","hypothetical protein BJV82DRAFT_607368")</f>
        <v>hypothetical protein BJV82DRAFT_607368</v>
      </c>
      <c r="J4972">
        <v>170.24</v>
      </c>
      <c r="K4972" t="s">
        <v>22</v>
      </c>
      <c r="L4972">
        <v>76</v>
      </c>
      <c r="M4972">
        <v>12.58</v>
      </c>
      <c r="N4972">
        <v>1.68</v>
      </c>
      <c r="O4972" t="s">
        <v>22</v>
      </c>
      <c r="P4972" t="s">
        <v>1320</v>
      </c>
      <c r="Q4972" t="s">
        <v>19</v>
      </c>
      <c r="R4972" t="str">
        <f>HYPERLINK("https://cfpub.epa.gov/ecotox/explore.cfm?ncbi=1329386","Explore in ECOTOX")</f>
        <v>Explore in ECOTOX</v>
      </c>
    </row>
    <row r="4973" spans="1:18" x14ac:dyDescent="0.45">
      <c r="A4973" t="s">
        <v>1265</v>
      </c>
      <c r="B4973">
        <v>8</v>
      </c>
      <c r="C4973" t="str">
        <f>HYPERLINK("http://www.ncbi.nlm.nih.gov/protein/XP_018299153.1","XP_018299153.1")</f>
        <v>XP_018299153.1</v>
      </c>
      <c r="D4973">
        <v>33066</v>
      </c>
      <c r="E4973" t="str">
        <f>HYPERLINK("http://www.ncbi.nlm.nih.gov/Taxonomy/Browser/wwwtax.cgi?mode=Info&amp;id=763407&amp;lvl=3&amp;lin=f&amp;keep=1&amp;srchmode=1&amp;unlock","763407")</f>
        <v>763407</v>
      </c>
      <c r="F4973" t="s">
        <v>1226</v>
      </c>
      <c r="G4973" t="str">
        <f>HYPERLINK("http://www.ncbi.nlm.nih.gov/Taxonomy/Browser/wwwtax.cgi?mode=Info&amp;id=763407&amp;lvl=3&amp;lin=f&amp;keep=1&amp;srchmode=1&amp;unlock","Phycomyces blakesleeanus NRRL 1555(-)")</f>
        <v>Phycomyces blakesleeanus NRRL 1555(-)</v>
      </c>
      <c r="H4973" t="s">
        <v>1227</v>
      </c>
      <c r="I4973" t="str">
        <f>HYPERLINK("http://www.ncbi.nlm.nih.gov/protein/XP_018299153.1","IP3 receptor")</f>
        <v>IP3 receptor</v>
      </c>
      <c r="J4973">
        <v>170.24</v>
      </c>
      <c r="K4973" t="s">
        <v>22</v>
      </c>
      <c r="L4973">
        <v>76</v>
      </c>
      <c r="M4973">
        <v>12.58</v>
      </c>
      <c r="N4973">
        <v>1.68</v>
      </c>
      <c r="O4973" t="s">
        <v>22</v>
      </c>
      <c r="P4973" t="s">
        <v>1320</v>
      </c>
      <c r="Q4973" t="s">
        <v>19</v>
      </c>
      <c r="R4973" t="str">
        <f>HYPERLINK("https://cfpub.epa.gov/ecotox/explore.cfm?ncbi=763407","Explore in ECOTOX")</f>
        <v>Explore in ECOTOX</v>
      </c>
    </row>
    <row r="4974" spans="1:18" x14ac:dyDescent="0.45">
      <c r="A4974" t="s">
        <v>1265</v>
      </c>
      <c r="B4974">
        <v>8</v>
      </c>
      <c r="C4974" t="str">
        <f>HYPERLINK("http://www.ncbi.nlm.nih.gov/protein/XP_008610948.1","XP_008610948.1")</f>
        <v>XP_008610948.1</v>
      </c>
      <c r="D4974">
        <v>36451</v>
      </c>
      <c r="E4974" t="str">
        <f>HYPERLINK("http://www.ncbi.nlm.nih.gov/Taxonomy/Browser/wwwtax.cgi?mode=Info&amp;id=1156394&amp;lvl=3&amp;lin=f&amp;keep=1&amp;srchmode=1&amp;unlock","1156394")</f>
        <v>1156394</v>
      </c>
      <c r="F4974" t="s">
        <v>1444</v>
      </c>
      <c r="G4974" t="str">
        <f>HYPERLINK("http://www.ncbi.nlm.nih.gov/Taxonomy/Browser/wwwtax.cgi?mode=Info&amp;id=1156394&amp;lvl=3&amp;lin=f&amp;keep=1&amp;srchmode=1&amp;unlock","Saprolegnia diclina VS20")</f>
        <v>Saprolegnia diclina VS20</v>
      </c>
      <c r="H4974" t="s">
        <v>1445</v>
      </c>
      <c r="I4974" t="str">
        <f>HYPERLINK("http://www.ncbi.nlm.nih.gov/protein/XP_008610948.1","hypothetical protein SDRG_06915")</f>
        <v>hypothetical protein SDRG_06915</v>
      </c>
      <c r="J4974">
        <v>169.09</v>
      </c>
      <c r="K4974" t="s">
        <v>22</v>
      </c>
      <c r="L4974">
        <v>76</v>
      </c>
      <c r="M4974">
        <v>12.58</v>
      </c>
      <c r="N4974">
        <v>1.66</v>
      </c>
      <c r="O4974" t="s">
        <v>22</v>
      </c>
      <c r="P4974" t="s">
        <v>1320</v>
      </c>
      <c r="Q4974" t="s">
        <v>19</v>
      </c>
      <c r="R4974" t="str">
        <f>HYPERLINK("https://cfpub.epa.gov/ecotox/explore.cfm?ncbi=1156394","Explore in ECOTOX")</f>
        <v>Explore in ECOTOX</v>
      </c>
    </row>
    <row r="4975" spans="1:18" x14ac:dyDescent="0.45">
      <c r="A4975" t="s">
        <v>1265</v>
      </c>
      <c r="B4975">
        <v>8</v>
      </c>
      <c r="C4975" t="str">
        <f>HYPERLINK("http://www.ncbi.nlm.nih.gov/protein/KAI9227279.1","KAI9227279.1")</f>
        <v>KAI9227279.1</v>
      </c>
      <c r="D4975">
        <v>5810</v>
      </c>
      <c r="E4975" t="str">
        <f>HYPERLINK("http://www.ncbi.nlm.nih.gov/Taxonomy/Browser/wwwtax.cgi?mode=Info&amp;id=1286916&amp;lvl=3&amp;lin=f&amp;keep=1&amp;srchmode=1&amp;unlock","1286916")</f>
        <v>1286916</v>
      </c>
      <c r="F4975" t="s">
        <v>1236</v>
      </c>
      <c r="G4975" t="str">
        <f>HYPERLINK("http://www.ncbi.nlm.nih.gov/Taxonomy/Browser/wwwtax.cgi?mode=Info&amp;id=1286916&amp;lvl=3&amp;lin=f&amp;keep=1&amp;srchmode=1&amp;unlock","Piptocephalis tieghemiana")</f>
        <v>Piptocephalis tieghemiana</v>
      </c>
      <c r="H4975" t="s">
        <v>1225</v>
      </c>
      <c r="I4975" t="str">
        <f>HYPERLINK("http://www.ncbi.nlm.nih.gov/protein/KAI9227279.1","MAG: hypothetical protein DHS80DRAFT_24427")</f>
        <v>MAG: hypothetical protein DHS80DRAFT_24427</v>
      </c>
      <c r="J4975">
        <v>168.7</v>
      </c>
      <c r="K4975" t="s">
        <v>22</v>
      </c>
      <c r="L4975">
        <v>76</v>
      </c>
      <c r="M4975">
        <v>12.58</v>
      </c>
      <c r="N4975">
        <v>1.66</v>
      </c>
      <c r="O4975" t="s">
        <v>22</v>
      </c>
      <c r="P4975" t="s">
        <v>1320</v>
      </c>
      <c r="Q4975" t="s">
        <v>19</v>
      </c>
      <c r="R4975" t="str">
        <f>HYPERLINK("https://cfpub.epa.gov/ecotox/explore.cfm?ncbi=1286916","Explore in ECOTOX")</f>
        <v>Explore in ECOTOX</v>
      </c>
    </row>
    <row r="4976" spans="1:18" x14ac:dyDescent="0.45">
      <c r="A4976" t="s">
        <v>1265</v>
      </c>
      <c r="B4976">
        <v>8</v>
      </c>
      <c r="C4976" t="str">
        <f>HYPERLINK("http://www.ncbi.nlm.nih.gov/protein/KAI9475738.1","KAI9475738.1")</f>
        <v>KAI9475738.1</v>
      </c>
      <c r="D4976">
        <v>11677</v>
      </c>
      <c r="E4976" t="str">
        <f>HYPERLINK("http://www.ncbi.nlm.nih.gov/Taxonomy/Browser/wwwtax.cgi?mode=Info&amp;id=64631&amp;lvl=3&amp;lin=f&amp;keep=1&amp;srchmode=1&amp;unlock","64631")</f>
        <v>64631</v>
      </c>
      <c r="F4976" t="s">
        <v>1226</v>
      </c>
      <c r="G4976" t="str">
        <f>HYPERLINK("http://www.ncbi.nlm.nih.gov/Taxonomy/Browser/wwwtax.cgi?mode=Info&amp;id=64631&amp;lvl=3&amp;lin=f&amp;keep=1&amp;srchmode=1&amp;unlock","Benjaminiella poitrasii")</f>
        <v>Benjaminiella poitrasii</v>
      </c>
      <c r="H4976" t="s">
        <v>1227</v>
      </c>
      <c r="I4976" t="str">
        <f>HYPERLINK("http://www.ncbi.nlm.nih.gov/protein/KAI9475738.1","MAG: hypothetical protein EXX96DRAFT_574447")</f>
        <v>MAG: hypothetical protein EXX96DRAFT_574447</v>
      </c>
      <c r="J4976">
        <v>168.32</v>
      </c>
      <c r="K4976" t="s">
        <v>22</v>
      </c>
      <c r="L4976">
        <v>76</v>
      </c>
      <c r="M4976">
        <v>12.58</v>
      </c>
      <c r="N4976">
        <v>1.66</v>
      </c>
      <c r="O4976" t="s">
        <v>22</v>
      </c>
      <c r="P4976" t="s">
        <v>1320</v>
      </c>
      <c r="Q4976" t="s">
        <v>19</v>
      </c>
      <c r="R4976" t="str">
        <f>HYPERLINK("https://cfpub.epa.gov/ecotox/explore.cfm?ncbi=64631","Explore in ECOTOX")</f>
        <v>Explore in ECOTOX</v>
      </c>
    </row>
    <row r="4977" spans="1:18" x14ac:dyDescent="0.45">
      <c r="A4977" t="s">
        <v>1265</v>
      </c>
      <c r="B4977">
        <v>8</v>
      </c>
      <c r="C4977" t="str">
        <f>HYPERLINK("http://www.ncbi.nlm.nih.gov/protein/XP_001747685.1","XP_001747685.1")</f>
        <v>XP_001747685.1</v>
      </c>
      <c r="D4977">
        <v>18342</v>
      </c>
      <c r="E4977" t="str">
        <f>HYPERLINK("http://www.ncbi.nlm.nih.gov/Taxonomy/Browser/wwwtax.cgi?mode=Info&amp;id=431895&amp;lvl=3&amp;lin=f&amp;keep=1&amp;srchmode=1&amp;unlock","431895")</f>
        <v>431895</v>
      </c>
      <c r="F4977" t="s">
        <v>1218</v>
      </c>
      <c r="G4977" t="str">
        <f>HYPERLINK("http://www.ncbi.nlm.nih.gov/Taxonomy/Browser/wwwtax.cgi?mode=Info&amp;id=431895&amp;lvl=3&amp;lin=f&amp;keep=1&amp;srchmode=1&amp;unlock","Monosiga brevicollis MX1")</f>
        <v>Monosiga brevicollis MX1</v>
      </c>
      <c r="H4977" t="s">
        <v>1219</v>
      </c>
      <c r="I4977" t="str">
        <f>HYPERLINK("http://www.ncbi.nlm.nih.gov/protein/XP_001747685.1","uncharacterized protein MONBRDRAFT_37956")</f>
        <v>uncharacterized protein MONBRDRAFT_37956</v>
      </c>
      <c r="J4977">
        <v>168.32</v>
      </c>
      <c r="K4977" t="s">
        <v>22</v>
      </c>
      <c r="L4977">
        <v>76</v>
      </c>
      <c r="M4977">
        <v>12.58</v>
      </c>
      <c r="N4977">
        <v>1.66</v>
      </c>
      <c r="O4977" t="s">
        <v>22</v>
      </c>
      <c r="P4977" t="s">
        <v>1320</v>
      </c>
      <c r="Q4977" t="s">
        <v>19</v>
      </c>
      <c r="R4977" t="str">
        <f>HYPERLINK("https://cfpub.epa.gov/ecotox/explore.cfm?ncbi=431895","Explore in ECOTOX")</f>
        <v>Explore in ECOTOX</v>
      </c>
    </row>
    <row r="4978" spans="1:18" x14ac:dyDescent="0.45">
      <c r="A4978" t="s">
        <v>1265</v>
      </c>
      <c r="B4978">
        <v>8</v>
      </c>
      <c r="C4978" t="str">
        <f>HYPERLINK("http://www.ncbi.nlm.nih.gov/protein/XP_058336673.1","XP_058336673.1")</f>
        <v>XP_058336673.1</v>
      </c>
      <c r="D4978">
        <v>26012</v>
      </c>
      <c r="E4978" t="str">
        <f>HYPERLINK("http://www.ncbi.nlm.nih.gov/Taxonomy/Browser/wwwtax.cgi?mode=Info&amp;id=688661&amp;lvl=3&amp;lin=f&amp;keep=1&amp;srchmode=1&amp;unlock","688661")</f>
        <v>688661</v>
      </c>
      <c r="F4978" t="s">
        <v>1226</v>
      </c>
      <c r="G4978" t="str">
        <f>HYPERLINK("http://www.ncbi.nlm.nih.gov/Taxonomy/Browser/wwwtax.cgi?mode=Info&amp;id=688661&amp;lvl=3&amp;lin=f&amp;keep=1&amp;srchmode=1&amp;unlock","Lichtheimia ornata")</f>
        <v>Lichtheimia ornata</v>
      </c>
      <c r="H4978" t="s">
        <v>1227</v>
      </c>
      <c r="I4978" t="str">
        <f>HYPERLINK("http://www.ncbi.nlm.nih.gov/protein/XP_058336673.1","uncharacterized protein O0I10_012669")</f>
        <v>uncharacterized protein O0I10_012669</v>
      </c>
      <c r="J4978">
        <v>167.93</v>
      </c>
      <c r="K4978" t="s">
        <v>22</v>
      </c>
      <c r="L4978">
        <v>76</v>
      </c>
      <c r="M4978">
        <v>12.58</v>
      </c>
      <c r="N4978">
        <v>1.65</v>
      </c>
      <c r="O4978" t="s">
        <v>22</v>
      </c>
      <c r="P4978" t="s">
        <v>1320</v>
      </c>
      <c r="Q4978" t="s">
        <v>19</v>
      </c>
      <c r="R4978" t="str">
        <f>HYPERLINK("https://cfpub.epa.gov/ecotox/explore.cfm?ncbi=688661","Explore in ECOTOX")</f>
        <v>Explore in ECOTOX</v>
      </c>
    </row>
    <row r="4979" spans="1:18" x14ac:dyDescent="0.45">
      <c r="A4979" t="s">
        <v>1265</v>
      </c>
      <c r="B4979">
        <v>8</v>
      </c>
      <c r="C4979" t="str">
        <f>HYPERLINK("http://www.ncbi.nlm.nih.gov/protein/XP_051438178.1","XP_051438178.1")</f>
        <v>XP_051438178.1</v>
      </c>
      <c r="D4979">
        <v>21978</v>
      </c>
      <c r="E4979" t="str">
        <f>HYPERLINK("http://www.ncbi.nlm.nih.gov/Taxonomy/Browser/wwwtax.cgi?mode=Info&amp;id=101096&amp;lvl=3&amp;lin=f&amp;keep=1&amp;srchmode=1&amp;unlock","101096")</f>
        <v>101096</v>
      </c>
      <c r="F4979" t="s">
        <v>1226</v>
      </c>
      <c r="G4979" t="str">
        <f>HYPERLINK("http://www.ncbi.nlm.nih.gov/Taxonomy/Browser/wwwtax.cgi?mode=Info&amp;id=101096&amp;lvl=3&amp;lin=f&amp;keep=1&amp;srchmode=1&amp;unlock","Gilbertella persicaria")</f>
        <v>Gilbertella persicaria</v>
      </c>
      <c r="H4979" t="s">
        <v>1227</v>
      </c>
      <c r="I4979" t="str">
        <f>HYPERLINK("http://www.ncbi.nlm.nih.gov/protein/XP_051438178.1","uncharacterized protein B0P05DRAFT_584203")</f>
        <v>uncharacterized protein B0P05DRAFT_584203</v>
      </c>
      <c r="J4979">
        <v>167.93</v>
      </c>
      <c r="K4979" t="s">
        <v>22</v>
      </c>
      <c r="L4979">
        <v>76</v>
      </c>
      <c r="M4979">
        <v>12.58</v>
      </c>
      <c r="N4979">
        <v>1.65</v>
      </c>
      <c r="O4979" t="s">
        <v>22</v>
      </c>
      <c r="P4979" t="s">
        <v>1320</v>
      </c>
      <c r="Q4979" t="s">
        <v>19</v>
      </c>
      <c r="R4979" t="str">
        <f>HYPERLINK("https://cfpub.epa.gov/ecotox/explore.cfm?ncbi=101096","Explore in ECOTOX")</f>
        <v>Explore in ECOTOX</v>
      </c>
    </row>
    <row r="4980" spans="1:18" x14ac:dyDescent="0.45">
      <c r="A4980" t="s">
        <v>1265</v>
      </c>
      <c r="B4980">
        <v>8</v>
      </c>
      <c r="C4980" t="str">
        <f>HYPERLINK("http://www.ncbi.nlm.nih.gov/protein/AAA88319.1","AAA88319.1")</f>
        <v>AAA88319.1</v>
      </c>
      <c r="D4980">
        <v>3238</v>
      </c>
      <c r="E4980" t="str">
        <f>HYPERLINK("http://www.ncbi.nlm.nih.gov/Taxonomy/Browser/wwwtax.cgi?mode=Info&amp;id=10092&amp;lvl=3&amp;lin=f&amp;keep=1&amp;srchmode=1&amp;unlock","10092")</f>
        <v>10092</v>
      </c>
      <c r="F4980" t="s">
        <v>96</v>
      </c>
      <c r="G4980" t="str">
        <f>HYPERLINK("http://www.ncbi.nlm.nih.gov/Taxonomy/Browser/wwwtax.cgi?mode=Info&amp;id=10092&amp;lvl=3&amp;lin=f&amp;keep=1&amp;srchmode=1&amp;unlock","Mus musculus domesticus")</f>
        <v>Mus musculus domesticus</v>
      </c>
      <c r="H4980" t="s">
        <v>1237</v>
      </c>
      <c r="I4980" t="str">
        <f>HYPERLINK("http://www.ncbi.nlm.nih.gov/protein/AAA88319.1","putative")</f>
        <v>putative</v>
      </c>
      <c r="J4980">
        <v>162.93</v>
      </c>
      <c r="K4980" t="s">
        <v>22</v>
      </c>
      <c r="L4980">
        <v>76</v>
      </c>
      <c r="M4980">
        <v>12.58</v>
      </c>
      <c r="N4980">
        <v>1.6</v>
      </c>
      <c r="O4980" t="s">
        <v>19</v>
      </c>
      <c r="P4980" t="s">
        <v>1320</v>
      </c>
      <c r="Q4980" t="s">
        <v>19</v>
      </c>
      <c r="R4980" t="str">
        <f>HYPERLINK("https://cfpub.epa.gov/ecotox/explore.cfm?ncbi=10092","Explore in ECOTOX")</f>
        <v>Explore in ECOTOX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CD53D-CF6B-4B8F-91F3-71A85620842D}">
  <dimension ref="A1:AO483"/>
  <sheetViews>
    <sheetView workbookViewId="0">
      <selection activeCell="C485" sqref="C485"/>
    </sheetView>
  </sheetViews>
  <sheetFormatPr defaultRowHeight="14.25" x14ac:dyDescent="0.45"/>
  <cols>
    <col min="2" max="2" width="12.265625" bestFit="1" customWidth="1"/>
    <col min="3" max="3" width="15" bestFit="1" customWidth="1"/>
    <col min="4" max="4" width="13.46484375" bestFit="1" customWidth="1"/>
    <col min="5" max="5" width="13.53125" bestFit="1" customWidth="1"/>
    <col min="6" max="6" width="16.73046875" bestFit="1" customWidth="1"/>
    <col min="7" max="7" width="32.53125" bestFit="1" customWidth="1"/>
    <col min="8" max="8" width="29.46484375" bestFit="1" customWidth="1"/>
    <col min="9" max="9" width="56.73046875" bestFit="1" customWidth="1"/>
    <col min="10" max="10" width="18.796875" bestFit="1" customWidth="1"/>
    <col min="11" max="11" width="31.46484375" bestFit="1" customWidth="1"/>
    <col min="12" max="12" width="9.73046875" bestFit="1" customWidth="1"/>
    <col min="13" max="13" width="12.53125" bestFit="1" customWidth="1"/>
    <col min="14" max="14" width="12.796875" bestFit="1" customWidth="1"/>
    <col min="15" max="15" width="9.73046875" bestFit="1" customWidth="1"/>
    <col min="16" max="16" width="12.53125" bestFit="1" customWidth="1"/>
    <col min="17" max="17" width="12.796875" bestFit="1" customWidth="1"/>
    <col min="18" max="18" width="9.73046875" bestFit="1" customWidth="1"/>
    <col min="19" max="19" width="12.53125" bestFit="1" customWidth="1"/>
    <col min="20" max="20" width="12.796875" bestFit="1" customWidth="1"/>
    <col min="21" max="21" width="9.73046875" bestFit="1" customWidth="1"/>
    <col min="22" max="22" width="12.53125" bestFit="1" customWidth="1"/>
    <col min="23" max="23" width="12.796875" bestFit="1" customWidth="1"/>
    <col min="24" max="24" width="9.73046875" bestFit="1" customWidth="1"/>
    <col min="25" max="25" width="12.53125" bestFit="1" customWidth="1"/>
    <col min="26" max="26" width="12.796875" bestFit="1" customWidth="1"/>
    <col min="27" max="27" width="9.73046875" bestFit="1" customWidth="1"/>
    <col min="28" max="28" width="12.53125" bestFit="1" customWidth="1"/>
    <col min="29" max="29" width="12.796875" bestFit="1" customWidth="1"/>
    <col min="30" max="30" width="9.73046875" bestFit="1" customWidth="1"/>
    <col min="31" max="31" width="12.53125" bestFit="1" customWidth="1"/>
    <col min="32" max="32" width="12.796875" bestFit="1" customWidth="1"/>
    <col min="33" max="33" width="9.73046875" bestFit="1" customWidth="1"/>
    <col min="34" max="34" width="12.53125" bestFit="1" customWidth="1"/>
    <col min="35" max="35" width="12.796875" bestFit="1" customWidth="1"/>
    <col min="36" max="36" width="9.73046875" bestFit="1" customWidth="1"/>
    <col min="37" max="37" width="12.53125" bestFit="1" customWidth="1"/>
    <col min="38" max="38" width="12.796875" bestFit="1" customWidth="1"/>
    <col min="39" max="39" width="10.73046875" bestFit="1" customWidth="1"/>
    <col min="40" max="40" width="13.73046875" bestFit="1" customWidth="1"/>
    <col min="41" max="41" width="14" bestFit="1" customWidth="1"/>
  </cols>
  <sheetData>
    <row r="1" spans="1:41" s="1" customFormat="1" x14ac:dyDescent="0.45">
      <c r="A1" s="1" t="s">
        <v>1263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14</v>
      </c>
      <c r="K1" s="1" t="s">
        <v>1448</v>
      </c>
      <c r="L1" s="1" t="s">
        <v>1455</v>
      </c>
      <c r="M1" s="1" t="s">
        <v>1456</v>
      </c>
      <c r="N1" s="1" t="s">
        <v>1457</v>
      </c>
      <c r="O1" s="1" t="s">
        <v>1458</v>
      </c>
      <c r="P1" s="1" t="s">
        <v>1459</v>
      </c>
      <c r="Q1" s="1" t="s">
        <v>1460</v>
      </c>
      <c r="R1" s="1" t="s">
        <v>1461</v>
      </c>
      <c r="S1" s="1" t="s">
        <v>1462</v>
      </c>
      <c r="T1" s="1" t="s">
        <v>1463</v>
      </c>
      <c r="U1" s="1" t="s">
        <v>1464</v>
      </c>
      <c r="V1" s="1" t="s">
        <v>1465</v>
      </c>
      <c r="W1" s="1" t="s">
        <v>1466</v>
      </c>
      <c r="X1" s="1" t="s">
        <v>1467</v>
      </c>
      <c r="Y1" s="1" t="s">
        <v>1468</v>
      </c>
      <c r="Z1" s="1" t="s">
        <v>1469</v>
      </c>
      <c r="AA1" s="1" t="s">
        <v>1470</v>
      </c>
      <c r="AB1" s="1" t="s">
        <v>1471</v>
      </c>
      <c r="AC1" s="1" t="s">
        <v>1472</v>
      </c>
      <c r="AD1" s="1" t="s">
        <v>1473</v>
      </c>
      <c r="AE1" s="1" t="s">
        <v>1474</v>
      </c>
      <c r="AF1" s="1" t="s">
        <v>1475</v>
      </c>
      <c r="AG1" s="1" t="s">
        <v>1476</v>
      </c>
      <c r="AH1" s="1" t="s">
        <v>1477</v>
      </c>
      <c r="AI1" s="1" t="s">
        <v>1478</v>
      </c>
      <c r="AJ1" s="1" t="s">
        <v>1479</v>
      </c>
      <c r="AK1" s="1" t="s">
        <v>1480</v>
      </c>
      <c r="AL1" s="1" t="s">
        <v>1481</v>
      </c>
      <c r="AM1" s="1" t="s">
        <v>1482</v>
      </c>
      <c r="AN1" s="1" t="s">
        <v>1483</v>
      </c>
      <c r="AO1" s="1" t="s">
        <v>1484</v>
      </c>
    </row>
    <row r="2" spans="1:41" x14ac:dyDescent="0.45">
      <c r="A2" t="s">
        <v>1264</v>
      </c>
      <c r="B2">
        <v>8</v>
      </c>
      <c r="C2" t="str">
        <f>HYPERLINK("http://www.ncbi.nlm.nih.gov/protein/XP_039533197.1","XP_039533197.1")</f>
        <v>XP_039533197.1</v>
      </c>
      <c r="D2">
        <v>96127</v>
      </c>
      <c r="E2" t="str">
        <f>HYPERLINK("http://www.ncbi.nlm.nih.gov/Taxonomy/Browser/wwwtax.cgi?mode=Info&amp;id=90988&amp;lvl=3&amp;lin=f&amp;keep=1&amp;srchmode=1&amp;unlock","90988")</f>
        <v>90988</v>
      </c>
      <c r="F2" t="s">
        <v>17</v>
      </c>
      <c r="G2" t="str">
        <f>HYPERLINK("http://www.ncbi.nlm.nih.gov/Taxonomy/Browser/wwwtax.cgi?mode=Info&amp;id=90988&amp;lvl=3&amp;lin=f&amp;keep=1&amp;srchmode=1&amp;unlock","Pimephales promelas")</f>
        <v>Pimephales promelas</v>
      </c>
      <c r="H2" t="s">
        <v>18</v>
      </c>
      <c r="I2" t="str">
        <f>HYPERLINK("http://www.ncbi.nlm.nih.gov/protein/XP_039533197.1","LOW QUALITY PROTEIN: ryanodine receptor 1")</f>
        <v>LOW QUALITY PROTEIN: ryanodine receptor 1</v>
      </c>
      <c r="J2" t="s">
        <v>1485</v>
      </c>
      <c r="K2" t="s">
        <v>19</v>
      </c>
      <c r="L2">
        <v>4534</v>
      </c>
      <c r="M2" t="s">
        <v>19</v>
      </c>
      <c r="N2" t="s">
        <v>19</v>
      </c>
      <c r="O2">
        <v>4537</v>
      </c>
      <c r="P2" t="s">
        <v>1486</v>
      </c>
      <c r="Q2" t="s">
        <v>19</v>
      </c>
      <c r="R2">
        <v>4538</v>
      </c>
      <c r="S2" t="s">
        <v>1487</v>
      </c>
      <c r="T2" t="s">
        <v>19</v>
      </c>
      <c r="U2">
        <v>4541</v>
      </c>
      <c r="V2" t="s">
        <v>1488</v>
      </c>
      <c r="W2" t="s">
        <v>19</v>
      </c>
      <c r="X2">
        <v>4632</v>
      </c>
      <c r="Y2" t="s">
        <v>1489</v>
      </c>
      <c r="Z2" t="s">
        <v>19</v>
      </c>
      <c r="AA2">
        <v>4768</v>
      </c>
      <c r="AB2" t="s">
        <v>19</v>
      </c>
      <c r="AC2" t="s">
        <v>19</v>
      </c>
      <c r="AD2">
        <v>4769</v>
      </c>
      <c r="AE2" t="s">
        <v>1488</v>
      </c>
      <c r="AF2" t="s">
        <v>19</v>
      </c>
      <c r="AG2">
        <v>4772</v>
      </c>
      <c r="AH2" t="s">
        <v>19</v>
      </c>
      <c r="AI2" t="s">
        <v>19</v>
      </c>
      <c r="AJ2">
        <v>4792</v>
      </c>
      <c r="AK2" t="s">
        <v>1490</v>
      </c>
      <c r="AL2" t="s">
        <v>19</v>
      </c>
      <c r="AM2">
        <v>4796</v>
      </c>
      <c r="AN2" t="s">
        <v>1491</v>
      </c>
      <c r="AO2" t="s">
        <v>19</v>
      </c>
    </row>
    <row r="3" spans="1:41" x14ac:dyDescent="0.45">
      <c r="A3" t="s">
        <v>1264</v>
      </c>
      <c r="B3">
        <v>8</v>
      </c>
      <c r="C3" t="str">
        <f>HYPERLINK("http://www.ncbi.nlm.nih.gov/protein/XP_056127466.1","XP_056127466.1")</f>
        <v>XP_056127466.1</v>
      </c>
      <c r="D3">
        <v>40181</v>
      </c>
      <c r="E3" t="str">
        <f>HYPERLINK("http://www.ncbi.nlm.nih.gov/Taxonomy/Browser/wwwtax.cgi?mode=Info&amp;id=3034132&amp;lvl=3&amp;lin=f&amp;keep=1&amp;srchmode=1&amp;unlock","3034132")</f>
        <v>3034132</v>
      </c>
      <c r="F3" t="s">
        <v>17</v>
      </c>
      <c r="G3" t="str">
        <f>HYPERLINK("http://www.ncbi.nlm.nih.gov/Taxonomy/Browser/wwwtax.cgi?mode=Info&amp;id=3034132&amp;lvl=3&amp;lin=f&amp;keep=1&amp;srchmode=1&amp;unlock","Rhinichthys klamathensis goyatoka")</f>
        <v>Rhinichthys klamathensis goyatoka</v>
      </c>
      <c r="H3" t="s">
        <v>21</v>
      </c>
      <c r="I3" t="str">
        <f>HYPERLINK("http://www.ncbi.nlm.nih.gov/protein/XP_056127466.1","ryanodine receptor 1 isoform X4")</f>
        <v>ryanodine receptor 1 isoform X4</v>
      </c>
      <c r="J3" t="s">
        <v>1485</v>
      </c>
      <c r="K3" t="s">
        <v>19</v>
      </c>
      <c r="L3">
        <v>4588</v>
      </c>
      <c r="M3" t="s">
        <v>19</v>
      </c>
      <c r="N3" t="s">
        <v>19</v>
      </c>
      <c r="O3">
        <v>4591</v>
      </c>
      <c r="P3" t="s">
        <v>1486</v>
      </c>
      <c r="Q3" t="s">
        <v>19</v>
      </c>
      <c r="R3">
        <v>4592</v>
      </c>
      <c r="S3" t="s">
        <v>1487</v>
      </c>
      <c r="T3" t="s">
        <v>19</v>
      </c>
      <c r="U3">
        <v>4595</v>
      </c>
      <c r="V3" t="s">
        <v>1488</v>
      </c>
      <c r="W3" t="s">
        <v>19</v>
      </c>
      <c r="X3">
        <v>4686</v>
      </c>
      <c r="Y3" t="s">
        <v>1489</v>
      </c>
      <c r="Z3" t="s">
        <v>19</v>
      </c>
      <c r="AA3">
        <v>4822</v>
      </c>
      <c r="AB3" t="s">
        <v>19</v>
      </c>
      <c r="AC3" t="s">
        <v>19</v>
      </c>
      <c r="AD3">
        <v>4823</v>
      </c>
      <c r="AE3" t="s">
        <v>1488</v>
      </c>
      <c r="AF3" t="s">
        <v>19</v>
      </c>
      <c r="AG3">
        <v>4826</v>
      </c>
      <c r="AH3" t="s">
        <v>19</v>
      </c>
      <c r="AI3" t="s">
        <v>19</v>
      </c>
      <c r="AJ3">
        <v>4846</v>
      </c>
      <c r="AK3" t="s">
        <v>1490</v>
      </c>
      <c r="AL3" t="s">
        <v>19</v>
      </c>
      <c r="AM3">
        <v>4850</v>
      </c>
      <c r="AN3" t="s">
        <v>1491</v>
      </c>
      <c r="AO3" t="s">
        <v>19</v>
      </c>
    </row>
    <row r="4" spans="1:41" x14ac:dyDescent="0.45">
      <c r="A4" t="s">
        <v>1264</v>
      </c>
      <c r="B4">
        <v>8</v>
      </c>
      <c r="C4" t="str">
        <f>HYPERLINK("http://www.ncbi.nlm.nih.gov/protein/XP_048036800.1","XP_048036800.1")</f>
        <v>XP_048036800.1</v>
      </c>
      <c r="D4">
        <v>60768</v>
      </c>
      <c r="E4" t="str">
        <f>HYPERLINK("http://www.ncbi.nlm.nih.gov/Taxonomy/Browser/wwwtax.cgi?mode=Info&amp;id=75352&amp;lvl=3&amp;lin=f&amp;keep=1&amp;srchmode=1&amp;unlock","75352")</f>
        <v>75352</v>
      </c>
      <c r="F4" t="s">
        <v>17</v>
      </c>
      <c r="G4" t="str">
        <f>HYPERLINK("http://www.ncbi.nlm.nih.gov/Taxonomy/Browser/wwwtax.cgi?mode=Info&amp;id=75352&amp;lvl=3&amp;lin=f&amp;keep=1&amp;srchmode=1&amp;unlock","Megalobrama amblycephala")</f>
        <v>Megalobrama amblycephala</v>
      </c>
      <c r="H4" t="s">
        <v>23</v>
      </c>
      <c r="I4" t="str">
        <f>HYPERLINK("http://www.ncbi.nlm.nih.gov/protein/XP_048036800.1","LOW QUALITY PROTEIN: ryanodine receptor 1")</f>
        <v>LOW QUALITY PROTEIN: ryanodine receptor 1</v>
      </c>
      <c r="J4" t="s">
        <v>1485</v>
      </c>
      <c r="K4" t="s">
        <v>19</v>
      </c>
      <c r="L4">
        <v>4598</v>
      </c>
      <c r="M4" t="s">
        <v>19</v>
      </c>
      <c r="N4" t="s">
        <v>19</v>
      </c>
      <c r="O4">
        <v>4601</v>
      </c>
      <c r="P4" t="s">
        <v>1486</v>
      </c>
      <c r="Q4" t="s">
        <v>19</v>
      </c>
      <c r="R4">
        <v>4602</v>
      </c>
      <c r="S4" t="s">
        <v>1487</v>
      </c>
      <c r="T4" t="s">
        <v>19</v>
      </c>
      <c r="U4">
        <v>4605</v>
      </c>
      <c r="V4" t="s">
        <v>1488</v>
      </c>
      <c r="W4" t="s">
        <v>19</v>
      </c>
      <c r="X4">
        <v>4696</v>
      </c>
      <c r="Y4" t="s">
        <v>1489</v>
      </c>
      <c r="Z4" t="s">
        <v>19</v>
      </c>
      <c r="AA4">
        <v>4832</v>
      </c>
      <c r="AB4" t="s">
        <v>19</v>
      </c>
      <c r="AC4" t="s">
        <v>19</v>
      </c>
      <c r="AD4">
        <v>4833</v>
      </c>
      <c r="AE4" t="s">
        <v>1488</v>
      </c>
      <c r="AF4" t="s">
        <v>19</v>
      </c>
      <c r="AG4">
        <v>4836</v>
      </c>
      <c r="AH4" t="s">
        <v>19</v>
      </c>
      <c r="AI4" t="s">
        <v>19</v>
      </c>
      <c r="AJ4">
        <v>4856</v>
      </c>
      <c r="AK4" t="s">
        <v>1490</v>
      </c>
      <c r="AL4" t="s">
        <v>19</v>
      </c>
      <c r="AM4">
        <v>4860</v>
      </c>
      <c r="AN4" t="s">
        <v>1491</v>
      </c>
      <c r="AO4" t="s">
        <v>19</v>
      </c>
    </row>
    <row r="5" spans="1:41" x14ac:dyDescent="0.45">
      <c r="A5" t="s">
        <v>1264</v>
      </c>
      <c r="B5">
        <v>8</v>
      </c>
      <c r="C5" t="str">
        <f>HYPERLINK("http://www.ncbi.nlm.nih.gov/protein/XP_051763722.1","XP_051763722.1")</f>
        <v>XP_051763722.1</v>
      </c>
      <c r="D5">
        <v>61666</v>
      </c>
      <c r="E5" t="str">
        <f>HYPERLINK("http://www.ncbi.nlm.nih.gov/Taxonomy/Browser/wwwtax.cgi?mode=Info&amp;id=7959&amp;lvl=3&amp;lin=f&amp;keep=1&amp;srchmode=1&amp;unlock","7959")</f>
        <v>7959</v>
      </c>
      <c r="F5" t="s">
        <v>17</v>
      </c>
      <c r="G5" t="str">
        <f>HYPERLINK("http://www.ncbi.nlm.nih.gov/Taxonomy/Browser/wwwtax.cgi?mode=Info&amp;id=7959&amp;lvl=3&amp;lin=f&amp;keep=1&amp;srchmode=1&amp;unlock","Ctenopharyngodon idella")</f>
        <v>Ctenopharyngodon idella</v>
      </c>
      <c r="H5" t="s">
        <v>24</v>
      </c>
      <c r="I5" t="str">
        <f>HYPERLINK("http://www.ncbi.nlm.nih.gov/protein/XP_051763722.1","ryanodine receptor 1")</f>
        <v>ryanodine receptor 1</v>
      </c>
      <c r="J5" t="s">
        <v>1485</v>
      </c>
      <c r="K5" t="s">
        <v>19</v>
      </c>
      <c r="L5">
        <v>4593</v>
      </c>
      <c r="M5" t="s">
        <v>19</v>
      </c>
      <c r="N5" t="s">
        <v>19</v>
      </c>
      <c r="O5">
        <v>4596</v>
      </c>
      <c r="P5" t="s">
        <v>1486</v>
      </c>
      <c r="Q5" t="s">
        <v>19</v>
      </c>
      <c r="R5">
        <v>4597</v>
      </c>
      <c r="S5" t="s">
        <v>1487</v>
      </c>
      <c r="T5" t="s">
        <v>19</v>
      </c>
      <c r="U5">
        <v>4600</v>
      </c>
      <c r="V5" t="s">
        <v>1488</v>
      </c>
      <c r="W5" t="s">
        <v>19</v>
      </c>
      <c r="X5">
        <v>4691</v>
      </c>
      <c r="Y5" t="s">
        <v>1489</v>
      </c>
      <c r="Z5" t="s">
        <v>19</v>
      </c>
      <c r="AA5">
        <v>4827</v>
      </c>
      <c r="AB5" t="s">
        <v>19</v>
      </c>
      <c r="AC5" t="s">
        <v>19</v>
      </c>
      <c r="AD5">
        <v>4828</v>
      </c>
      <c r="AE5" t="s">
        <v>1488</v>
      </c>
      <c r="AF5" t="s">
        <v>19</v>
      </c>
      <c r="AG5">
        <v>4831</v>
      </c>
      <c r="AH5" t="s">
        <v>19</v>
      </c>
      <c r="AI5" t="s">
        <v>19</v>
      </c>
      <c r="AJ5">
        <v>4851</v>
      </c>
      <c r="AK5" t="s">
        <v>1490</v>
      </c>
      <c r="AL5" t="s">
        <v>19</v>
      </c>
      <c r="AM5">
        <v>4855</v>
      </c>
      <c r="AN5" t="s">
        <v>1491</v>
      </c>
      <c r="AO5" t="s">
        <v>19</v>
      </c>
    </row>
    <row r="6" spans="1:41" x14ac:dyDescent="0.45">
      <c r="A6" t="s">
        <v>1264</v>
      </c>
      <c r="B6">
        <v>8</v>
      </c>
      <c r="C6" t="str">
        <f>HYPERLINK("http://www.ncbi.nlm.nih.gov/protein/XP_056322498.1","XP_056322498.1")</f>
        <v>XP_056322498.1</v>
      </c>
      <c r="D6">
        <v>36531</v>
      </c>
      <c r="E6" t="str">
        <f>HYPERLINK("http://www.ncbi.nlm.nih.gov/Taxonomy/Browser/wwwtax.cgi?mode=Info&amp;id=1142201&amp;lvl=3&amp;lin=f&amp;keep=1&amp;srchmode=1&amp;unlock","1142201")</f>
        <v>1142201</v>
      </c>
      <c r="F6" t="s">
        <v>17</v>
      </c>
      <c r="G6" t="str">
        <f>HYPERLINK("http://www.ncbi.nlm.nih.gov/Taxonomy/Browser/wwwtax.cgi?mode=Info&amp;id=1142201&amp;lvl=3&amp;lin=f&amp;keep=1&amp;srchmode=1&amp;unlock","Danio aesculapii")</f>
        <v>Danio aesculapii</v>
      </c>
      <c r="H6" t="s">
        <v>21</v>
      </c>
      <c r="I6" t="str">
        <f>HYPERLINK("http://www.ncbi.nlm.nih.gov/protein/XP_056322498.1","LOW QUALITY PROTEIN: ryanodine receptor 1-like")</f>
        <v>LOW QUALITY PROTEIN: ryanodine receptor 1-like</v>
      </c>
      <c r="J6" t="s">
        <v>1485</v>
      </c>
      <c r="K6" t="s">
        <v>19</v>
      </c>
      <c r="L6">
        <v>4587</v>
      </c>
      <c r="M6" t="s">
        <v>19</v>
      </c>
      <c r="N6" t="s">
        <v>19</v>
      </c>
      <c r="O6">
        <v>4590</v>
      </c>
      <c r="P6" t="s">
        <v>1486</v>
      </c>
      <c r="Q6" t="s">
        <v>19</v>
      </c>
      <c r="R6">
        <v>4591</v>
      </c>
      <c r="S6" t="s">
        <v>1487</v>
      </c>
      <c r="T6" t="s">
        <v>19</v>
      </c>
      <c r="U6">
        <v>4594</v>
      </c>
      <c r="V6" t="s">
        <v>1488</v>
      </c>
      <c r="W6" t="s">
        <v>19</v>
      </c>
      <c r="X6">
        <v>4685</v>
      </c>
      <c r="Y6" t="s">
        <v>1492</v>
      </c>
      <c r="Z6" t="s">
        <v>19</v>
      </c>
      <c r="AA6">
        <v>4821</v>
      </c>
      <c r="AB6" t="s">
        <v>19</v>
      </c>
      <c r="AC6" t="s">
        <v>19</v>
      </c>
      <c r="AD6">
        <v>4822</v>
      </c>
      <c r="AE6" t="s">
        <v>1488</v>
      </c>
      <c r="AF6" t="s">
        <v>19</v>
      </c>
      <c r="AG6">
        <v>4825</v>
      </c>
      <c r="AH6" t="s">
        <v>19</v>
      </c>
      <c r="AI6" t="s">
        <v>19</v>
      </c>
      <c r="AJ6">
        <v>4845</v>
      </c>
      <c r="AK6" t="s">
        <v>1490</v>
      </c>
      <c r="AL6" t="s">
        <v>19</v>
      </c>
      <c r="AM6">
        <v>4849</v>
      </c>
      <c r="AN6" t="s">
        <v>1491</v>
      </c>
      <c r="AO6" t="s">
        <v>19</v>
      </c>
    </row>
    <row r="7" spans="1:41" x14ac:dyDescent="0.45">
      <c r="A7" t="s">
        <v>1264</v>
      </c>
      <c r="B7">
        <v>8</v>
      </c>
      <c r="C7" t="str">
        <f>HYPERLINK("http://www.ncbi.nlm.nih.gov/protein/XP_059401574.1","XP_059401574.1")</f>
        <v>XP_059401574.1</v>
      </c>
      <c r="D7">
        <v>74399</v>
      </c>
      <c r="E7" t="str">
        <f>HYPERLINK("http://www.ncbi.nlm.nih.gov/Taxonomy/Browser/wwwtax.cgi?mode=Info&amp;id=217509&amp;lvl=3&amp;lin=f&amp;keep=1&amp;srchmode=1&amp;unlock","217509")</f>
        <v>217509</v>
      </c>
      <c r="F7" t="s">
        <v>17</v>
      </c>
      <c r="G7" t="str">
        <f>HYPERLINK("http://www.ncbi.nlm.nih.gov/Taxonomy/Browser/wwwtax.cgi?mode=Info&amp;id=217509&amp;lvl=3&amp;lin=f&amp;keep=1&amp;srchmode=1&amp;unlock","Carassius carassius")</f>
        <v>Carassius carassius</v>
      </c>
      <c r="H7" t="s">
        <v>25</v>
      </c>
      <c r="I7" t="str">
        <f>HYPERLINK("http://www.ncbi.nlm.nih.gov/protein/XP_059401574.1","ryanodine receptor 1-like")</f>
        <v>ryanodine receptor 1-like</v>
      </c>
      <c r="J7" t="s">
        <v>1485</v>
      </c>
      <c r="K7" t="s">
        <v>19</v>
      </c>
      <c r="L7">
        <v>4595</v>
      </c>
      <c r="M7" t="s">
        <v>19</v>
      </c>
      <c r="N7" t="s">
        <v>19</v>
      </c>
      <c r="O7">
        <v>4598</v>
      </c>
      <c r="P7" t="s">
        <v>1486</v>
      </c>
      <c r="Q7" t="s">
        <v>19</v>
      </c>
      <c r="R7">
        <v>4599</v>
      </c>
      <c r="S7" t="s">
        <v>1487</v>
      </c>
      <c r="T7" t="s">
        <v>19</v>
      </c>
      <c r="U7">
        <v>4602</v>
      </c>
      <c r="V7" t="s">
        <v>1488</v>
      </c>
      <c r="W7" t="s">
        <v>19</v>
      </c>
      <c r="X7">
        <v>4692</v>
      </c>
      <c r="Y7" t="s">
        <v>1492</v>
      </c>
      <c r="Z7" t="s">
        <v>19</v>
      </c>
      <c r="AA7">
        <v>4828</v>
      </c>
      <c r="AB7" t="s">
        <v>19</v>
      </c>
      <c r="AC7" t="s">
        <v>19</v>
      </c>
      <c r="AD7">
        <v>4829</v>
      </c>
      <c r="AE7" t="s">
        <v>1488</v>
      </c>
      <c r="AF7" t="s">
        <v>19</v>
      </c>
      <c r="AG7">
        <v>4832</v>
      </c>
      <c r="AH7" t="s">
        <v>19</v>
      </c>
      <c r="AI7" t="s">
        <v>19</v>
      </c>
      <c r="AJ7">
        <v>4852</v>
      </c>
      <c r="AK7" t="s">
        <v>1490</v>
      </c>
      <c r="AL7" t="s">
        <v>19</v>
      </c>
      <c r="AM7">
        <v>4856</v>
      </c>
      <c r="AN7" t="s">
        <v>1491</v>
      </c>
      <c r="AO7" t="s">
        <v>19</v>
      </c>
    </row>
    <row r="8" spans="1:41" x14ac:dyDescent="0.45">
      <c r="A8" t="s">
        <v>1264</v>
      </c>
      <c r="B8">
        <v>8</v>
      </c>
      <c r="C8" t="str">
        <f>HYPERLINK("http://www.ncbi.nlm.nih.gov/protein/XP_021335080.1","XP_021335080.1")</f>
        <v>XP_021335080.1</v>
      </c>
      <c r="D8">
        <v>88318</v>
      </c>
      <c r="E8" t="str">
        <f>HYPERLINK("http://www.ncbi.nlm.nih.gov/Taxonomy/Browser/wwwtax.cgi?mode=Info&amp;id=7955&amp;lvl=3&amp;lin=f&amp;keep=1&amp;srchmode=1&amp;unlock","7955")</f>
        <v>7955</v>
      </c>
      <c r="F8" t="s">
        <v>17</v>
      </c>
      <c r="G8" t="str">
        <f>HYPERLINK("http://www.ncbi.nlm.nih.gov/Taxonomy/Browser/wwwtax.cgi?mode=Info&amp;id=7955&amp;lvl=3&amp;lin=f&amp;keep=1&amp;srchmode=1&amp;unlock","Danio rerio")</f>
        <v>Danio rerio</v>
      </c>
      <c r="H8" t="s">
        <v>26</v>
      </c>
      <c r="I8" t="str">
        <f>HYPERLINK("http://www.ncbi.nlm.nih.gov/protein/XP_021335080.1","ryanodine receptor 1 isoform X1")</f>
        <v>ryanodine receptor 1 isoform X1</v>
      </c>
      <c r="J8" t="s">
        <v>1485</v>
      </c>
      <c r="K8" t="s">
        <v>19</v>
      </c>
      <c r="L8">
        <v>4589</v>
      </c>
      <c r="M8" t="s">
        <v>19</v>
      </c>
      <c r="N8" t="s">
        <v>19</v>
      </c>
      <c r="O8">
        <v>4592</v>
      </c>
      <c r="P8" t="s">
        <v>1486</v>
      </c>
      <c r="Q8" t="s">
        <v>19</v>
      </c>
      <c r="R8">
        <v>4593</v>
      </c>
      <c r="S8" t="s">
        <v>1487</v>
      </c>
      <c r="T8" t="s">
        <v>19</v>
      </c>
      <c r="U8">
        <v>4596</v>
      </c>
      <c r="V8" t="s">
        <v>1488</v>
      </c>
      <c r="W8" t="s">
        <v>19</v>
      </c>
      <c r="X8">
        <v>4687</v>
      </c>
      <c r="Y8" t="s">
        <v>1492</v>
      </c>
      <c r="Z8" t="s">
        <v>19</v>
      </c>
      <c r="AA8">
        <v>4823</v>
      </c>
      <c r="AB8" t="s">
        <v>19</v>
      </c>
      <c r="AC8" t="s">
        <v>19</v>
      </c>
      <c r="AD8">
        <v>4824</v>
      </c>
      <c r="AE8" t="s">
        <v>1488</v>
      </c>
      <c r="AF8" t="s">
        <v>19</v>
      </c>
      <c r="AG8">
        <v>4827</v>
      </c>
      <c r="AH8" t="s">
        <v>19</v>
      </c>
      <c r="AI8" t="s">
        <v>19</v>
      </c>
      <c r="AJ8">
        <v>4847</v>
      </c>
      <c r="AK8" t="s">
        <v>1490</v>
      </c>
      <c r="AL8" t="s">
        <v>19</v>
      </c>
      <c r="AM8">
        <v>4851</v>
      </c>
      <c r="AN8" t="s">
        <v>1491</v>
      </c>
      <c r="AO8" t="s">
        <v>19</v>
      </c>
    </row>
    <row r="9" spans="1:41" x14ac:dyDescent="0.45">
      <c r="A9" t="s">
        <v>1264</v>
      </c>
      <c r="B9">
        <v>8</v>
      </c>
      <c r="C9" t="str">
        <f>HYPERLINK("http://www.ncbi.nlm.nih.gov/protein/XP_043106442.1","XP_043106442.1")</f>
        <v>XP_043106442.1</v>
      </c>
      <c r="D9">
        <v>48795</v>
      </c>
      <c r="E9" t="str">
        <f>HYPERLINK("http://www.ncbi.nlm.nih.gov/Taxonomy/Browser/wwwtax.cgi?mode=Info&amp;id=1606681&amp;lvl=3&amp;lin=f&amp;keep=1&amp;srchmode=1&amp;unlock","1606681")</f>
        <v>1606681</v>
      </c>
      <c r="F9" t="s">
        <v>17</v>
      </c>
      <c r="G9" t="str">
        <f>HYPERLINK("http://www.ncbi.nlm.nih.gov/Taxonomy/Browser/wwwtax.cgi?mode=Info&amp;id=1606681&amp;lvl=3&amp;lin=f&amp;keep=1&amp;srchmode=1&amp;unlock","Puntigrus tetrazona")</f>
        <v>Puntigrus tetrazona</v>
      </c>
      <c r="H9" t="s">
        <v>27</v>
      </c>
      <c r="I9" t="str">
        <f>HYPERLINK("http://www.ncbi.nlm.nih.gov/protein/XP_043106442.1","LOW QUALITY PROTEIN: ryanodine receptor 1")</f>
        <v>LOW QUALITY PROTEIN: ryanodine receptor 1</v>
      </c>
      <c r="J9" t="s">
        <v>1485</v>
      </c>
      <c r="K9" t="s">
        <v>19</v>
      </c>
      <c r="L9">
        <v>4596</v>
      </c>
      <c r="M9" t="s">
        <v>19</v>
      </c>
      <c r="N9" t="s">
        <v>19</v>
      </c>
      <c r="O9">
        <v>4599</v>
      </c>
      <c r="P9" t="s">
        <v>1486</v>
      </c>
      <c r="Q9" t="s">
        <v>19</v>
      </c>
      <c r="R9">
        <v>4600</v>
      </c>
      <c r="S9" t="s">
        <v>1487</v>
      </c>
      <c r="T9" t="s">
        <v>19</v>
      </c>
      <c r="U9">
        <v>4603</v>
      </c>
      <c r="V9" t="s">
        <v>1488</v>
      </c>
      <c r="W9" t="s">
        <v>19</v>
      </c>
      <c r="X9">
        <v>4695</v>
      </c>
      <c r="Y9" t="s">
        <v>1492</v>
      </c>
      <c r="Z9" t="s">
        <v>19</v>
      </c>
      <c r="AA9">
        <v>4831</v>
      </c>
      <c r="AB9" t="s">
        <v>19</v>
      </c>
      <c r="AC9" t="s">
        <v>19</v>
      </c>
      <c r="AD9">
        <v>4832</v>
      </c>
      <c r="AE9" t="s">
        <v>1488</v>
      </c>
      <c r="AF9" t="s">
        <v>19</v>
      </c>
      <c r="AG9">
        <v>4835</v>
      </c>
      <c r="AH9" t="s">
        <v>19</v>
      </c>
      <c r="AI9" t="s">
        <v>19</v>
      </c>
      <c r="AJ9">
        <v>4855</v>
      </c>
      <c r="AK9" t="s">
        <v>1490</v>
      </c>
      <c r="AL9" t="s">
        <v>19</v>
      </c>
      <c r="AM9">
        <v>4859</v>
      </c>
      <c r="AN9" t="s">
        <v>1491</v>
      </c>
      <c r="AO9" t="s">
        <v>19</v>
      </c>
    </row>
    <row r="10" spans="1:41" x14ac:dyDescent="0.45">
      <c r="A10" t="s">
        <v>1264</v>
      </c>
      <c r="B10">
        <v>8</v>
      </c>
      <c r="C10" t="str">
        <f>HYPERLINK("http://www.ncbi.nlm.nih.gov/protein/XP_052463927.1","XP_052463927.1")</f>
        <v>XP_052463927.1</v>
      </c>
      <c r="D10">
        <v>91592</v>
      </c>
      <c r="E10" t="str">
        <f>HYPERLINK("http://www.ncbi.nlm.nih.gov/Taxonomy/Browser/wwwtax.cgi?mode=Info&amp;id=101364&amp;lvl=3&amp;lin=f&amp;keep=1&amp;srchmode=1&amp;unlock","101364")</f>
        <v>101364</v>
      </c>
      <c r="F10" t="s">
        <v>17</v>
      </c>
      <c r="G10" t="str">
        <f>HYPERLINK("http://www.ncbi.nlm.nih.gov/Taxonomy/Browser/wwwtax.cgi?mode=Info&amp;id=101364&amp;lvl=3&amp;lin=f&amp;keep=1&amp;srchmode=1&amp;unlock","Carassius gibelio")</f>
        <v>Carassius gibelio</v>
      </c>
      <c r="H10" t="s">
        <v>28</v>
      </c>
      <c r="I10" t="str">
        <f>HYPERLINK("http://www.ncbi.nlm.nih.gov/protein/XP_052463927.1","ryanodine receptor 1 isoform X4")</f>
        <v>ryanodine receptor 1 isoform X4</v>
      </c>
      <c r="J10" t="s">
        <v>1485</v>
      </c>
      <c r="K10" t="s">
        <v>19</v>
      </c>
      <c r="L10">
        <v>4595</v>
      </c>
      <c r="M10" t="s">
        <v>19</v>
      </c>
      <c r="N10" t="s">
        <v>19</v>
      </c>
      <c r="O10">
        <v>4598</v>
      </c>
      <c r="P10" t="s">
        <v>1486</v>
      </c>
      <c r="Q10" t="s">
        <v>19</v>
      </c>
      <c r="R10">
        <v>4599</v>
      </c>
      <c r="S10" t="s">
        <v>1487</v>
      </c>
      <c r="T10" t="s">
        <v>19</v>
      </c>
      <c r="U10">
        <v>4602</v>
      </c>
      <c r="V10" t="s">
        <v>1488</v>
      </c>
      <c r="W10" t="s">
        <v>19</v>
      </c>
      <c r="X10">
        <v>4693</v>
      </c>
      <c r="Y10" t="s">
        <v>1492</v>
      </c>
      <c r="Z10" t="s">
        <v>19</v>
      </c>
      <c r="AA10">
        <v>4829</v>
      </c>
      <c r="AB10" t="s">
        <v>19</v>
      </c>
      <c r="AC10" t="s">
        <v>19</v>
      </c>
      <c r="AD10">
        <v>4830</v>
      </c>
      <c r="AE10" t="s">
        <v>1488</v>
      </c>
      <c r="AF10" t="s">
        <v>19</v>
      </c>
      <c r="AG10">
        <v>4833</v>
      </c>
      <c r="AH10" t="s">
        <v>19</v>
      </c>
      <c r="AI10" t="s">
        <v>19</v>
      </c>
      <c r="AJ10">
        <v>4853</v>
      </c>
      <c r="AK10" t="s">
        <v>1490</v>
      </c>
      <c r="AL10" t="s">
        <v>19</v>
      </c>
      <c r="AM10">
        <v>4857</v>
      </c>
      <c r="AN10" t="s">
        <v>1491</v>
      </c>
      <c r="AO10" t="s">
        <v>19</v>
      </c>
    </row>
    <row r="11" spans="1:41" x14ac:dyDescent="0.45">
      <c r="A11" t="s">
        <v>1264</v>
      </c>
      <c r="B11">
        <v>8</v>
      </c>
      <c r="C11" t="str">
        <f>HYPERLINK("http://www.ncbi.nlm.nih.gov/protein/XP_050977787.1","XP_050977787.1")</f>
        <v>XP_050977787.1</v>
      </c>
      <c r="D11">
        <v>110562</v>
      </c>
      <c r="E11" t="str">
        <f>HYPERLINK("http://www.ncbi.nlm.nih.gov/Taxonomy/Browser/wwwtax.cgi?mode=Info&amp;id=84645&amp;lvl=3&amp;lin=f&amp;keep=1&amp;srchmode=1&amp;unlock","84645")</f>
        <v>84645</v>
      </c>
      <c r="F11" t="s">
        <v>17</v>
      </c>
      <c r="G11" t="str">
        <f>HYPERLINK("http://www.ncbi.nlm.nih.gov/Taxonomy/Browser/wwwtax.cgi?mode=Info&amp;id=84645&amp;lvl=3&amp;lin=f&amp;keep=1&amp;srchmode=1&amp;unlock","Labeo rohita")</f>
        <v>Labeo rohita</v>
      </c>
      <c r="H11" t="s">
        <v>30</v>
      </c>
      <c r="I11" t="str">
        <f>HYPERLINK("http://www.ncbi.nlm.nih.gov/protein/XP_050977787.1","ryanodine receptor 1 isoform X4")</f>
        <v>ryanodine receptor 1 isoform X4</v>
      </c>
      <c r="J11" t="s">
        <v>1485</v>
      </c>
      <c r="K11" t="s">
        <v>19</v>
      </c>
      <c r="L11">
        <v>4610</v>
      </c>
      <c r="M11" t="s">
        <v>19</v>
      </c>
      <c r="N11" t="s">
        <v>19</v>
      </c>
      <c r="O11">
        <v>4613</v>
      </c>
      <c r="P11" t="s">
        <v>1486</v>
      </c>
      <c r="Q11" t="s">
        <v>19</v>
      </c>
      <c r="R11">
        <v>4614</v>
      </c>
      <c r="S11" t="s">
        <v>1487</v>
      </c>
      <c r="T11" t="s">
        <v>19</v>
      </c>
      <c r="U11">
        <v>4617</v>
      </c>
      <c r="V11" t="s">
        <v>1488</v>
      </c>
      <c r="W11" t="s">
        <v>19</v>
      </c>
      <c r="X11">
        <v>4708</v>
      </c>
      <c r="Y11" t="s">
        <v>1492</v>
      </c>
      <c r="Z11" t="s">
        <v>19</v>
      </c>
      <c r="AA11">
        <v>4844</v>
      </c>
      <c r="AB11" t="s">
        <v>19</v>
      </c>
      <c r="AC11" t="s">
        <v>19</v>
      </c>
      <c r="AD11">
        <v>4845</v>
      </c>
      <c r="AE11" t="s">
        <v>1488</v>
      </c>
      <c r="AF11" t="s">
        <v>19</v>
      </c>
      <c r="AG11">
        <v>4848</v>
      </c>
      <c r="AH11" t="s">
        <v>19</v>
      </c>
      <c r="AI11" t="s">
        <v>19</v>
      </c>
      <c r="AJ11">
        <v>4868</v>
      </c>
      <c r="AK11" t="s">
        <v>1490</v>
      </c>
      <c r="AL11" t="s">
        <v>19</v>
      </c>
      <c r="AM11">
        <v>4872</v>
      </c>
      <c r="AN11" t="s">
        <v>1491</v>
      </c>
      <c r="AO11" t="s">
        <v>19</v>
      </c>
    </row>
    <row r="12" spans="1:41" x14ac:dyDescent="0.45">
      <c r="A12" t="s">
        <v>1264</v>
      </c>
      <c r="B12">
        <v>8</v>
      </c>
      <c r="C12" t="str">
        <f>HYPERLINK("http://www.ncbi.nlm.nih.gov/protein/XP_026075756.1","XP_026075756.1")</f>
        <v>XP_026075756.1</v>
      </c>
      <c r="D12">
        <v>99050</v>
      </c>
      <c r="E12" t="str">
        <f>HYPERLINK("http://www.ncbi.nlm.nih.gov/Taxonomy/Browser/wwwtax.cgi?mode=Info&amp;id=7957&amp;lvl=3&amp;lin=f&amp;keep=1&amp;srchmode=1&amp;unlock","7957")</f>
        <v>7957</v>
      </c>
      <c r="F12" t="s">
        <v>17</v>
      </c>
      <c r="G12" t="str">
        <f>HYPERLINK("http://www.ncbi.nlm.nih.gov/Taxonomy/Browser/wwwtax.cgi?mode=Info&amp;id=7957&amp;lvl=3&amp;lin=f&amp;keep=1&amp;srchmode=1&amp;unlock","Carassius auratus")</f>
        <v>Carassius auratus</v>
      </c>
      <c r="H12" t="s">
        <v>29</v>
      </c>
      <c r="I12" t="str">
        <f>HYPERLINK("http://www.ncbi.nlm.nih.gov/protein/XP_026075756.1","ryanodine receptor 1-like isoform X4")</f>
        <v>ryanodine receptor 1-like isoform X4</v>
      </c>
      <c r="J12" t="s">
        <v>1485</v>
      </c>
      <c r="K12" t="s">
        <v>19</v>
      </c>
      <c r="L12">
        <v>4597</v>
      </c>
      <c r="M12" t="s">
        <v>19</v>
      </c>
      <c r="N12" t="s">
        <v>19</v>
      </c>
      <c r="O12">
        <v>4600</v>
      </c>
      <c r="P12" t="s">
        <v>1486</v>
      </c>
      <c r="Q12" t="s">
        <v>19</v>
      </c>
      <c r="R12">
        <v>4601</v>
      </c>
      <c r="S12" t="s">
        <v>1487</v>
      </c>
      <c r="T12" t="s">
        <v>19</v>
      </c>
      <c r="U12">
        <v>4604</v>
      </c>
      <c r="V12" t="s">
        <v>1488</v>
      </c>
      <c r="W12" t="s">
        <v>19</v>
      </c>
      <c r="X12">
        <v>4695</v>
      </c>
      <c r="Y12" t="s">
        <v>1492</v>
      </c>
      <c r="Z12" t="s">
        <v>19</v>
      </c>
      <c r="AA12">
        <v>4831</v>
      </c>
      <c r="AB12" t="s">
        <v>19</v>
      </c>
      <c r="AC12" t="s">
        <v>19</v>
      </c>
      <c r="AD12">
        <v>4832</v>
      </c>
      <c r="AE12" t="s">
        <v>1488</v>
      </c>
      <c r="AF12" t="s">
        <v>19</v>
      </c>
      <c r="AG12">
        <v>4835</v>
      </c>
      <c r="AH12" t="s">
        <v>19</v>
      </c>
      <c r="AI12" t="s">
        <v>19</v>
      </c>
      <c r="AJ12">
        <v>4855</v>
      </c>
      <c r="AK12" t="s">
        <v>1490</v>
      </c>
      <c r="AL12" t="s">
        <v>19</v>
      </c>
      <c r="AM12">
        <v>4859</v>
      </c>
      <c r="AN12" t="s">
        <v>1491</v>
      </c>
      <c r="AO12" t="s">
        <v>19</v>
      </c>
    </row>
    <row r="13" spans="1:41" x14ac:dyDescent="0.45">
      <c r="A13" t="s">
        <v>1264</v>
      </c>
      <c r="B13">
        <v>8</v>
      </c>
      <c r="C13" t="str">
        <f>HYPERLINK("http://www.ncbi.nlm.nih.gov/protein/XP_016338503.1","XP_016338503.1")</f>
        <v>XP_016338503.1</v>
      </c>
      <c r="D13">
        <v>68489</v>
      </c>
      <c r="E13" t="str">
        <f>HYPERLINK("http://www.ncbi.nlm.nih.gov/Taxonomy/Browser/wwwtax.cgi?mode=Info&amp;id=1608454&amp;lvl=3&amp;lin=f&amp;keep=1&amp;srchmode=1&amp;unlock","1608454")</f>
        <v>1608454</v>
      </c>
      <c r="F13" t="s">
        <v>17</v>
      </c>
      <c r="G13" t="str">
        <f>HYPERLINK("http://www.ncbi.nlm.nih.gov/Taxonomy/Browser/wwwtax.cgi?mode=Info&amp;id=1608454&amp;lvl=3&amp;lin=f&amp;keep=1&amp;srchmode=1&amp;unlock","Sinocyclocheilus anshuiensis")</f>
        <v>Sinocyclocheilus anshuiensis</v>
      </c>
      <c r="H13" t="s">
        <v>21</v>
      </c>
      <c r="I13" t="str">
        <f>HYPERLINK("http://www.ncbi.nlm.nih.gov/protein/XP_016338503.1","PREDICTED: ryanodine receptor 1-like isoform X2")</f>
        <v>PREDICTED: ryanodine receptor 1-like isoform X2</v>
      </c>
      <c r="J13" t="s">
        <v>1485</v>
      </c>
      <c r="K13" t="s">
        <v>19</v>
      </c>
      <c r="L13">
        <v>4601</v>
      </c>
      <c r="M13" t="s">
        <v>19</v>
      </c>
      <c r="N13" t="s">
        <v>19</v>
      </c>
      <c r="O13">
        <v>4604</v>
      </c>
      <c r="P13" t="s">
        <v>1486</v>
      </c>
      <c r="Q13" t="s">
        <v>19</v>
      </c>
      <c r="R13">
        <v>4605</v>
      </c>
      <c r="S13" t="s">
        <v>1487</v>
      </c>
      <c r="T13" t="s">
        <v>19</v>
      </c>
      <c r="U13">
        <v>4608</v>
      </c>
      <c r="V13" t="s">
        <v>1488</v>
      </c>
      <c r="W13" t="s">
        <v>19</v>
      </c>
      <c r="X13">
        <v>4700</v>
      </c>
      <c r="Y13" t="s">
        <v>1492</v>
      </c>
      <c r="Z13" t="s">
        <v>19</v>
      </c>
      <c r="AA13">
        <v>4836</v>
      </c>
      <c r="AB13" t="s">
        <v>19</v>
      </c>
      <c r="AC13" t="s">
        <v>19</v>
      </c>
      <c r="AD13">
        <v>4837</v>
      </c>
      <c r="AE13" t="s">
        <v>1488</v>
      </c>
      <c r="AF13" t="s">
        <v>19</v>
      </c>
      <c r="AG13">
        <v>4840</v>
      </c>
      <c r="AH13" t="s">
        <v>19</v>
      </c>
      <c r="AI13" t="s">
        <v>19</v>
      </c>
      <c r="AJ13">
        <v>4860</v>
      </c>
      <c r="AK13" t="s">
        <v>1490</v>
      </c>
      <c r="AL13" t="s">
        <v>19</v>
      </c>
      <c r="AM13">
        <v>4864</v>
      </c>
      <c r="AN13" t="s">
        <v>1491</v>
      </c>
      <c r="AO13" t="s">
        <v>19</v>
      </c>
    </row>
    <row r="14" spans="1:41" x14ac:dyDescent="0.45">
      <c r="A14" t="s">
        <v>1264</v>
      </c>
      <c r="B14">
        <v>8</v>
      </c>
      <c r="C14" t="str">
        <f>HYPERLINK("http://www.ncbi.nlm.nih.gov/protein/XP_058645874.1","XP_058645874.1")</f>
        <v>XP_058645874.1</v>
      </c>
      <c r="D14">
        <v>80341</v>
      </c>
      <c r="E14" t="str">
        <f>HYPERLINK("http://www.ncbi.nlm.nih.gov/Taxonomy/Browser/wwwtax.cgi?mode=Info&amp;id=369639&amp;lvl=3&amp;lin=f&amp;keep=1&amp;srchmode=1&amp;unlock","369639")</f>
        <v>369639</v>
      </c>
      <c r="F14" t="s">
        <v>17</v>
      </c>
      <c r="G14" t="str">
        <f>HYPERLINK("http://www.ncbi.nlm.nih.gov/Taxonomy/Browser/wwwtax.cgi?mode=Info&amp;id=369639&amp;lvl=3&amp;lin=f&amp;keep=1&amp;srchmode=1&amp;unlock","Onychostoma macrolepis")</f>
        <v>Onychostoma macrolepis</v>
      </c>
      <c r="H14" t="s">
        <v>21</v>
      </c>
      <c r="I14" t="str">
        <f>HYPERLINK("http://www.ncbi.nlm.nih.gov/protein/XP_058645874.1","ryanodine receptor 1 isoform X2")</f>
        <v>ryanodine receptor 1 isoform X2</v>
      </c>
      <c r="J14" t="s">
        <v>1485</v>
      </c>
      <c r="K14" t="s">
        <v>19</v>
      </c>
      <c r="L14">
        <v>4594</v>
      </c>
      <c r="M14" t="s">
        <v>19</v>
      </c>
      <c r="N14" t="s">
        <v>19</v>
      </c>
      <c r="O14">
        <v>4597</v>
      </c>
      <c r="P14" t="s">
        <v>1486</v>
      </c>
      <c r="Q14" t="s">
        <v>19</v>
      </c>
      <c r="R14">
        <v>4598</v>
      </c>
      <c r="S14" t="s">
        <v>1487</v>
      </c>
      <c r="T14" t="s">
        <v>19</v>
      </c>
      <c r="U14">
        <v>4601</v>
      </c>
      <c r="V14" t="s">
        <v>1488</v>
      </c>
      <c r="W14" t="s">
        <v>19</v>
      </c>
      <c r="X14">
        <v>4693</v>
      </c>
      <c r="Y14" t="s">
        <v>1492</v>
      </c>
      <c r="Z14" t="s">
        <v>19</v>
      </c>
      <c r="AA14">
        <v>4829</v>
      </c>
      <c r="AB14" t="s">
        <v>19</v>
      </c>
      <c r="AC14" t="s">
        <v>19</v>
      </c>
      <c r="AD14">
        <v>4830</v>
      </c>
      <c r="AE14" t="s">
        <v>1488</v>
      </c>
      <c r="AF14" t="s">
        <v>19</v>
      </c>
      <c r="AG14">
        <v>4833</v>
      </c>
      <c r="AH14" t="s">
        <v>19</v>
      </c>
      <c r="AI14" t="s">
        <v>19</v>
      </c>
      <c r="AJ14">
        <v>4853</v>
      </c>
      <c r="AK14" t="s">
        <v>1490</v>
      </c>
      <c r="AL14" t="s">
        <v>19</v>
      </c>
      <c r="AM14">
        <v>4857</v>
      </c>
      <c r="AN14" t="s">
        <v>1491</v>
      </c>
      <c r="AO14" t="s">
        <v>19</v>
      </c>
    </row>
    <row r="15" spans="1:41" x14ac:dyDescent="0.45">
      <c r="A15" t="s">
        <v>1264</v>
      </c>
      <c r="B15">
        <v>8</v>
      </c>
      <c r="C15" t="str">
        <f>HYPERLINK("http://www.ncbi.nlm.nih.gov/protein/XP_016394626.1","XP_016394626.1")</f>
        <v>XP_016394626.1</v>
      </c>
      <c r="D15">
        <v>68583</v>
      </c>
      <c r="E15" t="str">
        <f>HYPERLINK("http://www.ncbi.nlm.nih.gov/Taxonomy/Browser/wwwtax.cgi?mode=Info&amp;id=307959&amp;lvl=3&amp;lin=f&amp;keep=1&amp;srchmode=1&amp;unlock","307959")</f>
        <v>307959</v>
      </c>
      <c r="F15" t="s">
        <v>17</v>
      </c>
      <c r="G15" t="str">
        <f>HYPERLINK("http://www.ncbi.nlm.nih.gov/Taxonomy/Browser/wwwtax.cgi?mode=Info&amp;id=307959&amp;lvl=3&amp;lin=f&amp;keep=1&amp;srchmode=1&amp;unlock","Sinocyclocheilus rhinocerous")</f>
        <v>Sinocyclocheilus rhinocerous</v>
      </c>
      <c r="H15" t="s">
        <v>21</v>
      </c>
      <c r="I15" t="str">
        <f>HYPERLINK("http://www.ncbi.nlm.nih.gov/protein/XP_016394626.1","PREDICTED: ryanodine receptor 1-like")</f>
        <v>PREDICTED: ryanodine receptor 1-like</v>
      </c>
      <c r="J15" t="s">
        <v>1485</v>
      </c>
      <c r="K15" t="s">
        <v>19</v>
      </c>
      <c r="L15">
        <v>4605</v>
      </c>
      <c r="M15" t="s">
        <v>19</v>
      </c>
      <c r="N15" t="s">
        <v>19</v>
      </c>
      <c r="O15">
        <v>4608</v>
      </c>
      <c r="P15" t="s">
        <v>1486</v>
      </c>
      <c r="Q15" t="s">
        <v>19</v>
      </c>
      <c r="R15">
        <v>4609</v>
      </c>
      <c r="S15" t="s">
        <v>1487</v>
      </c>
      <c r="T15" t="s">
        <v>19</v>
      </c>
      <c r="U15">
        <v>4612</v>
      </c>
      <c r="V15" t="s">
        <v>1488</v>
      </c>
      <c r="W15" t="s">
        <v>19</v>
      </c>
      <c r="X15">
        <v>4704</v>
      </c>
      <c r="Y15" t="s">
        <v>1492</v>
      </c>
      <c r="Z15" t="s">
        <v>19</v>
      </c>
      <c r="AA15">
        <v>4840</v>
      </c>
      <c r="AB15" t="s">
        <v>19</v>
      </c>
      <c r="AC15" t="s">
        <v>19</v>
      </c>
      <c r="AD15">
        <v>4841</v>
      </c>
      <c r="AE15" t="s">
        <v>1488</v>
      </c>
      <c r="AF15" t="s">
        <v>19</v>
      </c>
      <c r="AG15">
        <v>4844</v>
      </c>
      <c r="AH15" t="s">
        <v>19</v>
      </c>
      <c r="AI15" t="s">
        <v>19</v>
      </c>
      <c r="AJ15">
        <v>4864</v>
      </c>
      <c r="AK15" t="s">
        <v>1490</v>
      </c>
      <c r="AL15" t="s">
        <v>19</v>
      </c>
      <c r="AM15">
        <v>4868</v>
      </c>
      <c r="AN15" t="s">
        <v>1491</v>
      </c>
      <c r="AO15" t="s">
        <v>19</v>
      </c>
    </row>
    <row r="16" spans="1:41" x14ac:dyDescent="0.45">
      <c r="A16" t="s">
        <v>1264</v>
      </c>
      <c r="B16">
        <v>8</v>
      </c>
      <c r="C16" t="str">
        <f>HYPERLINK("http://www.ncbi.nlm.nih.gov/protein/XP_051541905.1","XP_051541905.1")</f>
        <v>XP_051541905.1</v>
      </c>
      <c r="D16">
        <v>81242</v>
      </c>
      <c r="E16" t="str">
        <f>HYPERLINK("http://www.ncbi.nlm.nih.gov/Taxonomy/Browser/wwwtax.cgi?mode=Info&amp;id=70543&amp;lvl=3&amp;lin=f&amp;keep=1&amp;srchmode=1&amp;unlock","70543")</f>
        <v>70543</v>
      </c>
      <c r="F16" t="s">
        <v>17</v>
      </c>
      <c r="G16" t="str">
        <f>HYPERLINK("http://www.ncbi.nlm.nih.gov/Taxonomy/Browser/wwwtax.cgi?mode=Info&amp;id=70543&amp;lvl=3&amp;lin=f&amp;keep=1&amp;srchmode=1&amp;unlock","Myxocyprinus asiaticus")</f>
        <v>Myxocyprinus asiaticus</v>
      </c>
      <c r="H16" t="s">
        <v>32</v>
      </c>
      <c r="I16" t="str">
        <f>HYPERLINK("http://www.ncbi.nlm.nih.gov/protein/XP_051541905.1","ryanodine receptor 1")</f>
        <v>ryanodine receptor 1</v>
      </c>
      <c r="J16" t="s">
        <v>1485</v>
      </c>
      <c r="K16" t="s">
        <v>22</v>
      </c>
      <c r="L16">
        <v>4532</v>
      </c>
      <c r="M16" t="s">
        <v>19</v>
      </c>
      <c r="N16" t="s">
        <v>19</v>
      </c>
      <c r="O16">
        <v>4535</v>
      </c>
      <c r="P16" t="s">
        <v>1486</v>
      </c>
      <c r="Q16" t="s">
        <v>19</v>
      </c>
      <c r="R16">
        <v>4536</v>
      </c>
      <c r="S16" t="s">
        <v>1487</v>
      </c>
      <c r="T16" t="s">
        <v>19</v>
      </c>
      <c r="U16">
        <v>4539</v>
      </c>
      <c r="V16" t="s">
        <v>1488</v>
      </c>
      <c r="W16" t="s">
        <v>19</v>
      </c>
      <c r="X16">
        <v>4629</v>
      </c>
      <c r="Y16" t="s">
        <v>1492</v>
      </c>
      <c r="Z16" t="s">
        <v>19</v>
      </c>
      <c r="AA16">
        <v>4765</v>
      </c>
      <c r="AB16" t="s">
        <v>19</v>
      </c>
      <c r="AC16" t="s">
        <v>19</v>
      </c>
      <c r="AD16">
        <v>4766</v>
      </c>
      <c r="AE16" t="s">
        <v>1488</v>
      </c>
      <c r="AF16" t="s">
        <v>19</v>
      </c>
      <c r="AG16">
        <v>4769</v>
      </c>
      <c r="AH16" t="s">
        <v>19</v>
      </c>
      <c r="AI16" t="s">
        <v>19</v>
      </c>
      <c r="AJ16">
        <v>4789</v>
      </c>
      <c r="AK16" t="s">
        <v>1490</v>
      </c>
      <c r="AL16" t="s">
        <v>19</v>
      </c>
      <c r="AM16">
        <v>4793</v>
      </c>
      <c r="AN16" t="s">
        <v>22</v>
      </c>
      <c r="AO16" t="s">
        <v>22</v>
      </c>
    </row>
    <row r="17" spans="1:41" x14ac:dyDescent="0.45">
      <c r="A17" t="s">
        <v>1264</v>
      </c>
      <c r="B17">
        <v>8</v>
      </c>
      <c r="C17" t="str">
        <f>HYPERLINK("http://www.ncbi.nlm.nih.gov/protein/XP_057176362.1","XP_057176362.1")</f>
        <v>XP_057176362.1</v>
      </c>
      <c r="D17">
        <v>70292</v>
      </c>
      <c r="E17" t="str">
        <f>HYPERLINK("http://www.ncbi.nlm.nih.gov/Taxonomy/Browser/wwwtax.cgi?mode=Info&amp;id=992332&amp;lvl=3&amp;lin=f&amp;keep=1&amp;srchmode=1&amp;unlock","992332")</f>
        <v>992332</v>
      </c>
      <c r="F17" t="s">
        <v>17</v>
      </c>
      <c r="G17" t="str">
        <f>HYPERLINK("http://www.ncbi.nlm.nih.gov/Taxonomy/Browser/wwwtax.cgi?mode=Info&amp;id=992332&amp;lvl=3&amp;lin=f&amp;keep=1&amp;srchmode=1&amp;unlock","Triplophysa rosa")</f>
        <v>Triplophysa rosa</v>
      </c>
      <c r="H17" t="s">
        <v>33</v>
      </c>
      <c r="I17" t="str">
        <f>HYPERLINK("http://www.ncbi.nlm.nih.gov/protein/XP_057176362.1","ryanodine receptor 1 isoform X8")</f>
        <v>ryanodine receptor 1 isoform X8</v>
      </c>
      <c r="J17" t="s">
        <v>1485</v>
      </c>
      <c r="K17" t="s">
        <v>19</v>
      </c>
      <c r="L17">
        <v>4582</v>
      </c>
      <c r="M17" t="s">
        <v>19</v>
      </c>
      <c r="N17" t="s">
        <v>19</v>
      </c>
      <c r="O17">
        <v>4585</v>
      </c>
      <c r="P17" t="s">
        <v>1486</v>
      </c>
      <c r="Q17" t="s">
        <v>19</v>
      </c>
      <c r="R17">
        <v>4586</v>
      </c>
      <c r="S17" t="s">
        <v>1487</v>
      </c>
      <c r="T17" t="s">
        <v>19</v>
      </c>
      <c r="U17">
        <v>4589</v>
      </c>
      <c r="V17" t="s">
        <v>1488</v>
      </c>
      <c r="W17" t="s">
        <v>19</v>
      </c>
      <c r="X17">
        <v>4679</v>
      </c>
      <c r="Y17" t="s">
        <v>1489</v>
      </c>
      <c r="Z17" t="s">
        <v>19</v>
      </c>
      <c r="AA17">
        <v>4815</v>
      </c>
      <c r="AB17" t="s">
        <v>19</v>
      </c>
      <c r="AC17" t="s">
        <v>19</v>
      </c>
      <c r="AD17">
        <v>4816</v>
      </c>
      <c r="AE17" t="s">
        <v>1488</v>
      </c>
      <c r="AF17" t="s">
        <v>19</v>
      </c>
      <c r="AG17">
        <v>4819</v>
      </c>
      <c r="AH17" t="s">
        <v>19</v>
      </c>
      <c r="AI17" t="s">
        <v>19</v>
      </c>
      <c r="AJ17">
        <v>4839</v>
      </c>
      <c r="AK17" t="s">
        <v>1490</v>
      </c>
      <c r="AL17" t="s">
        <v>19</v>
      </c>
      <c r="AM17">
        <v>4843</v>
      </c>
      <c r="AN17" t="s">
        <v>1491</v>
      </c>
      <c r="AO17" t="s">
        <v>19</v>
      </c>
    </row>
    <row r="18" spans="1:41" x14ac:dyDescent="0.45">
      <c r="A18" t="s">
        <v>1264</v>
      </c>
      <c r="B18">
        <v>8</v>
      </c>
      <c r="C18" t="str">
        <f>HYPERLINK("http://www.ncbi.nlm.nih.gov/protein/XP_051973037.1","XP_051973037.1")</f>
        <v>XP_051973037.1</v>
      </c>
      <c r="D18">
        <v>66368</v>
      </c>
      <c r="E18" t="str">
        <f>HYPERLINK("http://www.ncbi.nlm.nih.gov/Taxonomy/Browser/wwwtax.cgi?mode=Info&amp;id=154827&amp;lvl=3&amp;lin=f&amp;keep=1&amp;srchmode=1&amp;unlock","154827")</f>
        <v>154827</v>
      </c>
      <c r="F18" t="s">
        <v>17</v>
      </c>
      <c r="G18" t="str">
        <f>HYPERLINK("http://www.ncbi.nlm.nih.gov/Taxonomy/Browser/wwwtax.cgi?mode=Info&amp;id=154827&amp;lvl=3&amp;lin=f&amp;keep=1&amp;srchmode=1&amp;unlock","Xyrauchen texanus")</f>
        <v>Xyrauchen texanus</v>
      </c>
      <c r="H18" t="s">
        <v>34</v>
      </c>
      <c r="I18" t="str">
        <f>HYPERLINK("http://www.ncbi.nlm.nih.gov/protein/XP_051973037.1","LOW QUALITY PROTEIN: ryanodine receptor 1")</f>
        <v>LOW QUALITY PROTEIN: ryanodine receptor 1</v>
      </c>
      <c r="J18" t="s">
        <v>1485</v>
      </c>
      <c r="K18" t="s">
        <v>22</v>
      </c>
      <c r="L18">
        <v>4581</v>
      </c>
      <c r="M18" t="s">
        <v>19</v>
      </c>
      <c r="N18" t="s">
        <v>19</v>
      </c>
      <c r="O18">
        <v>4584</v>
      </c>
      <c r="P18" t="s">
        <v>1486</v>
      </c>
      <c r="Q18" t="s">
        <v>19</v>
      </c>
      <c r="R18">
        <v>4585</v>
      </c>
      <c r="S18" t="s">
        <v>1487</v>
      </c>
      <c r="T18" t="s">
        <v>19</v>
      </c>
      <c r="U18">
        <v>4588</v>
      </c>
      <c r="V18" t="s">
        <v>1488</v>
      </c>
      <c r="W18" t="s">
        <v>19</v>
      </c>
      <c r="X18">
        <v>4679</v>
      </c>
      <c r="Y18" t="s">
        <v>1492</v>
      </c>
      <c r="Z18" t="s">
        <v>19</v>
      </c>
      <c r="AA18">
        <v>4815</v>
      </c>
      <c r="AB18" t="s">
        <v>19</v>
      </c>
      <c r="AC18" t="s">
        <v>19</v>
      </c>
      <c r="AD18">
        <v>4816</v>
      </c>
      <c r="AE18" t="s">
        <v>1488</v>
      </c>
      <c r="AF18" t="s">
        <v>19</v>
      </c>
      <c r="AG18">
        <v>4819</v>
      </c>
      <c r="AH18" t="s">
        <v>19</v>
      </c>
      <c r="AI18" t="s">
        <v>19</v>
      </c>
      <c r="AJ18">
        <v>4839</v>
      </c>
      <c r="AK18" t="s">
        <v>1490</v>
      </c>
      <c r="AL18" t="s">
        <v>19</v>
      </c>
      <c r="AM18">
        <v>4843</v>
      </c>
      <c r="AN18" t="s">
        <v>22</v>
      </c>
      <c r="AO18" t="s">
        <v>22</v>
      </c>
    </row>
    <row r="19" spans="1:41" x14ac:dyDescent="0.45">
      <c r="A19" t="s">
        <v>1264</v>
      </c>
      <c r="B19">
        <v>8</v>
      </c>
      <c r="C19" t="str">
        <f>HYPERLINK("http://www.ncbi.nlm.nih.gov/protein/XP_056593457.1","XP_056593457.1")</f>
        <v>XP_056593457.1</v>
      </c>
      <c r="D19">
        <v>44187</v>
      </c>
      <c r="E19" t="str">
        <f>HYPERLINK("http://www.ncbi.nlm.nih.gov/Taxonomy/Browser/wwwtax.cgi?mode=Info&amp;id=1582913&amp;lvl=3&amp;lin=f&amp;keep=1&amp;srchmode=1&amp;unlock","1582913")</f>
        <v>1582913</v>
      </c>
      <c r="F19" t="s">
        <v>17</v>
      </c>
      <c r="G19" t="str">
        <f>HYPERLINK("http://www.ncbi.nlm.nih.gov/Taxonomy/Browser/wwwtax.cgi?mode=Info&amp;id=1582913&amp;lvl=3&amp;lin=f&amp;keep=1&amp;srchmode=1&amp;unlock","Triplophysa dalaica")</f>
        <v>Triplophysa dalaica</v>
      </c>
      <c r="H19" t="s">
        <v>33</v>
      </c>
      <c r="I19" t="str">
        <f>HYPERLINK("http://www.ncbi.nlm.nih.gov/protein/XP_056593457.1","ryanodine receptor 1")</f>
        <v>ryanodine receptor 1</v>
      </c>
      <c r="J19" t="s">
        <v>1485</v>
      </c>
      <c r="K19" t="s">
        <v>19</v>
      </c>
      <c r="L19">
        <v>4572</v>
      </c>
      <c r="M19" t="s">
        <v>19</v>
      </c>
      <c r="N19" t="s">
        <v>19</v>
      </c>
      <c r="O19">
        <v>4575</v>
      </c>
      <c r="P19" t="s">
        <v>1486</v>
      </c>
      <c r="Q19" t="s">
        <v>19</v>
      </c>
      <c r="R19">
        <v>4576</v>
      </c>
      <c r="S19" t="s">
        <v>1487</v>
      </c>
      <c r="T19" t="s">
        <v>19</v>
      </c>
      <c r="U19">
        <v>4579</v>
      </c>
      <c r="V19" t="s">
        <v>1488</v>
      </c>
      <c r="W19" t="s">
        <v>19</v>
      </c>
      <c r="X19">
        <v>4669</v>
      </c>
      <c r="Y19" t="s">
        <v>1489</v>
      </c>
      <c r="Z19" t="s">
        <v>19</v>
      </c>
      <c r="AA19">
        <v>4805</v>
      </c>
      <c r="AB19" t="s">
        <v>19</v>
      </c>
      <c r="AC19" t="s">
        <v>19</v>
      </c>
      <c r="AD19">
        <v>4806</v>
      </c>
      <c r="AE19" t="s">
        <v>1488</v>
      </c>
      <c r="AF19" t="s">
        <v>19</v>
      </c>
      <c r="AG19">
        <v>4809</v>
      </c>
      <c r="AH19" t="s">
        <v>19</v>
      </c>
      <c r="AI19" t="s">
        <v>19</v>
      </c>
      <c r="AJ19">
        <v>4829</v>
      </c>
      <c r="AK19" t="s">
        <v>1490</v>
      </c>
      <c r="AL19" t="s">
        <v>19</v>
      </c>
      <c r="AM19">
        <v>4833</v>
      </c>
      <c r="AN19" t="s">
        <v>1491</v>
      </c>
      <c r="AO19" t="s">
        <v>19</v>
      </c>
    </row>
    <row r="20" spans="1:41" x14ac:dyDescent="0.45">
      <c r="A20" t="s">
        <v>1264</v>
      </c>
      <c r="B20">
        <v>8</v>
      </c>
      <c r="C20" t="str">
        <f>HYPERLINK("http://www.ncbi.nlm.nih.gov/protein/XP_055064120.1","XP_055064120.1")</f>
        <v>XP_055064120.1</v>
      </c>
      <c r="D20">
        <v>54879</v>
      </c>
      <c r="E20" t="str">
        <f>HYPERLINK("http://www.ncbi.nlm.nih.gov/Taxonomy/Browser/wwwtax.cgi?mode=Info&amp;id=75329&amp;lvl=3&amp;lin=f&amp;keep=1&amp;srchmode=1&amp;unlock","75329")</f>
        <v>75329</v>
      </c>
      <c r="F20" t="s">
        <v>17</v>
      </c>
      <c r="G20" t="str">
        <f>HYPERLINK("http://www.ncbi.nlm.nih.gov/Taxonomy/Browser/wwwtax.cgi?mode=Info&amp;id=75329&amp;lvl=3&amp;lin=f&amp;keep=1&amp;srchmode=1&amp;unlock","Misgurnus anguillicaudatus")</f>
        <v>Misgurnus anguillicaudatus</v>
      </c>
      <c r="H20" t="s">
        <v>36</v>
      </c>
      <c r="I20" t="str">
        <f>HYPERLINK("http://www.ncbi.nlm.nih.gov/protein/XP_055064120.1","ryanodine receptor 1 isoform X1")</f>
        <v>ryanodine receptor 1 isoform X1</v>
      </c>
      <c r="J20" t="s">
        <v>1485</v>
      </c>
      <c r="K20" t="s">
        <v>19</v>
      </c>
      <c r="L20">
        <v>4596</v>
      </c>
      <c r="M20" t="s">
        <v>19</v>
      </c>
      <c r="N20" t="s">
        <v>19</v>
      </c>
      <c r="O20">
        <v>4599</v>
      </c>
      <c r="P20" t="s">
        <v>1486</v>
      </c>
      <c r="Q20" t="s">
        <v>19</v>
      </c>
      <c r="R20">
        <v>4600</v>
      </c>
      <c r="S20" t="s">
        <v>1487</v>
      </c>
      <c r="T20" t="s">
        <v>19</v>
      </c>
      <c r="U20">
        <v>4603</v>
      </c>
      <c r="V20" t="s">
        <v>1488</v>
      </c>
      <c r="W20" t="s">
        <v>19</v>
      </c>
      <c r="X20">
        <v>4692</v>
      </c>
      <c r="Y20" t="s">
        <v>1489</v>
      </c>
      <c r="Z20" t="s">
        <v>19</v>
      </c>
      <c r="AA20">
        <v>4828</v>
      </c>
      <c r="AB20" t="s">
        <v>19</v>
      </c>
      <c r="AC20" t="s">
        <v>19</v>
      </c>
      <c r="AD20">
        <v>4829</v>
      </c>
      <c r="AE20" t="s">
        <v>1488</v>
      </c>
      <c r="AF20" t="s">
        <v>19</v>
      </c>
      <c r="AG20">
        <v>4832</v>
      </c>
      <c r="AH20" t="s">
        <v>19</v>
      </c>
      <c r="AI20" t="s">
        <v>19</v>
      </c>
      <c r="AJ20">
        <v>4852</v>
      </c>
      <c r="AK20" t="s">
        <v>1490</v>
      </c>
      <c r="AL20" t="s">
        <v>19</v>
      </c>
      <c r="AM20">
        <v>4856</v>
      </c>
      <c r="AN20" t="s">
        <v>1491</v>
      </c>
      <c r="AO20" t="s">
        <v>19</v>
      </c>
    </row>
    <row r="21" spans="1:41" x14ac:dyDescent="0.45">
      <c r="A21" t="s">
        <v>1264</v>
      </c>
      <c r="B21">
        <v>8</v>
      </c>
      <c r="C21" t="str">
        <f>HYPERLINK("http://www.ncbi.nlm.nih.gov/protein/XP_016119169.1","XP_016119169.1")</f>
        <v>XP_016119169.1</v>
      </c>
      <c r="D21">
        <v>67442</v>
      </c>
      <c r="E21" t="str">
        <f>HYPERLINK("http://www.ncbi.nlm.nih.gov/Taxonomy/Browser/wwwtax.cgi?mode=Info&amp;id=75366&amp;lvl=3&amp;lin=f&amp;keep=1&amp;srchmode=1&amp;unlock","75366")</f>
        <v>75366</v>
      </c>
      <c r="F21" t="s">
        <v>17</v>
      </c>
      <c r="G21" t="str">
        <f>HYPERLINK("http://www.ncbi.nlm.nih.gov/Taxonomy/Browser/wwwtax.cgi?mode=Info&amp;id=75366&amp;lvl=3&amp;lin=f&amp;keep=1&amp;srchmode=1&amp;unlock","Sinocyclocheilus grahami")</f>
        <v>Sinocyclocheilus grahami</v>
      </c>
      <c r="H21" t="s">
        <v>21</v>
      </c>
      <c r="I21" t="str">
        <f>HYPERLINK("http://www.ncbi.nlm.nih.gov/protein/XP_016119169.1","PREDICTED: ryanodine receptor 1-like")</f>
        <v>PREDICTED: ryanodine receptor 1-like</v>
      </c>
      <c r="J21" t="s">
        <v>1485</v>
      </c>
      <c r="K21" t="s">
        <v>19</v>
      </c>
      <c r="L21">
        <v>4369</v>
      </c>
      <c r="M21" t="s">
        <v>19</v>
      </c>
      <c r="N21" t="s">
        <v>19</v>
      </c>
      <c r="O21">
        <v>4372</v>
      </c>
      <c r="P21" t="s">
        <v>1486</v>
      </c>
      <c r="Q21" t="s">
        <v>19</v>
      </c>
      <c r="R21">
        <v>4373</v>
      </c>
      <c r="S21" t="s">
        <v>1487</v>
      </c>
      <c r="T21" t="s">
        <v>19</v>
      </c>
      <c r="U21">
        <v>4376</v>
      </c>
      <c r="V21" t="s">
        <v>1488</v>
      </c>
      <c r="W21" t="s">
        <v>19</v>
      </c>
      <c r="X21">
        <v>4466</v>
      </c>
      <c r="Y21" t="s">
        <v>1492</v>
      </c>
      <c r="Z21" t="s">
        <v>19</v>
      </c>
      <c r="AA21">
        <v>4602</v>
      </c>
      <c r="AB21" t="s">
        <v>19</v>
      </c>
      <c r="AC21" t="s">
        <v>19</v>
      </c>
      <c r="AD21">
        <v>4603</v>
      </c>
      <c r="AE21" t="s">
        <v>1488</v>
      </c>
      <c r="AF21" t="s">
        <v>19</v>
      </c>
      <c r="AG21">
        <v>4606</v>
      </c>
      <c r="AH21" t="s">
        <v>19</v>
      </c>
      <c r="AI21" t="s">
        <v>19</v>
      </c>
      <c r="AJ21">
        <v>4626</v>
      </c>
      <c r="AK21" t="s">
        <v>1490</v>
      </c>
      <c r="AL21" t="s">
        <v>19</v>
      </c>
      <c r="AM21">
        <v>4630</v>
      </c>
      <c r="AN21" t="s">
        <v>1491</v>
      </c>
      <c r="AO21" t="s">
        <v>19</v>
      </c>
    </row>
    <row r="22" spans="1:41" x14ac:dyDescent="0.45">
      <c r="A22" t="s">
        <v>1264</v>
      </c>
      <c r="B22">
        <v>8</v>
      </c>
      <c r="C22" t="str">
        <f>HYPERLINK("http://www.ncbi.nlm.nih.gov/protein/XP_049324518.1","XP_049324518.1")</f>
        <v>XP_049324518.1</v>
      </c>
      <c r="D22">
        <v>77276</v>
      </c>
      <c r="E22" t="str">
        <f>HYPERLINK("http://www.ncbi.nlm.nih.gov/Taxonomy/Browser/wwwtax.cgi?mode=Info&amp;id=7994&amp;lvl=3&amp;lin=f&amp;keep=1&amp;srchmode=1&amp;unlock","7994")</f>
        <v>7994</v>
      </c>
      <c r="F22" t="s">
        <v>17</v>
      </c>
      <c r="G22" t="str">
        <f>HYPERLINK("http://www.ncbi.nlm.nih.gov/Taxonomy/Browser/wwwtax.cgi?mode=Info&amp;id=7994&amp;lvl=3&amp;lin=f&amp;keep=1&amp;srchmode=1&amp;unlock","Astyanax mexicanus")</f>
        <v>Astyanax mexicanus</v>
      </c>
      <c r="H22" t="s">
        <v>37</v>
      </c>
      <c r="I22" t="str">
        <f>HYPERLINK("http://www.ncbi.nlm.nih.gov/protein/XP_049324518.1","ryanodine receptor 1 isoform X2")</f>
        <v>ryanodine receptor 1 isoform X2</v>
      </c>
      <c r="J22" t="s">
        <v>1485</v>
      </c>
      <c r="K22" t="s">
        <v>19</v>
      </c>
      <c r="L22">
        <v>4587</v>
      </c>
      <c r="M22" t="s">
        <v>19</v>
      </c>
      <c r="N22" t="s">
        <v>19</v>
      </c>
      <c r="O22">
        <v>4590</v>
      </c>
      <c r="P22" t="s">
        <v>1486</v>
      </c>
      <c r="Q22" t="s">
        <v>19</v>
      </c>
      <c r="R22">
        <v>4591</v>
      </c>
      <c r="S22" t="s">
        <v>1487</v>
      </c>
      <c r="T22" t="s">
        <v>19</v>
      </c>
      <c r="U22">
        <v>4594</v>
      </c>
      <c r="V22" t="s">
        <v>1488</v>
      </c>
      <c r="W22" t="s">
        <v>19</v>
      </c>
      <c r="X22">
        <v>4685</v>
      </c>
      <c r="Y22" t="s">
        <v>1493</v>
      </c>
      <c r="Z22" t="s">
        <v>19</v>
      </c>
      <c r="AA22">
        <v>4821</v>
      </c>
      <c r="AB22" t="s">
        <v>19</v>
      </c>
      <c r="AC22" t="s">
        <v>19</v>
      </c>
      <c r="AD22">
        <v>4822</v>
      </c>
      <c r="AE22" t="s">
        <v>1488</v>
      </c>
      <c r="AF22" t="s">
        <v>19</v>
      </c>
      <c r="AG22">
        <v>4825</v>
      </c>
      <c r="AH22" t="s">
        <v>19</v>
      </c>
      <c r="AI22" t="s">
        <v>19</v>
      </c>
      <c r="AJ22">
        <v>4845</v>
      </c>
      <c r="AK22" t="s">
        <v>1490</v>
      </c>
      <c r="AL22" t="s">
        <v>19</v>
      </c>
      <c r="AM22">
        <v>4849</v>
      </c>
      <c r="AN22" t="s">
        <v>1491</v>
      </c>
      <c r="AO22" t="s">
        <v>19</v>
      </c>
    </row>
    <row r="23" spans="1:41" x14ac:dyDescent="0.45">
      <c r="A23" t="s">
        <v>1264</v>
      </c>
      <c r="B23">
        <v>8</v>
      </c>
      <c r="C23" t="str">
        <f>HYPERLINK("http://www.ncbi.nlm.nih.gov/protein/XP_036450384.1","XP_036450384.1")</f>
        <v>XP_036450384.1</v>
      </c>
      <c r="D23">
        <v>43804</v>
      </c>
      <c r="E23" t="str">
        <f>HYPERLINK("http://www.ncbi.nlm.nih.gov/Taxonomy/Browser/wwwtax.cgi?mode=Info&amp;id=42526&amp;lvl=3&amp;lin=f&amp;keep=1&amp;srchmode=1&amp;unlock","42526")</f>
        <v>42526</v>
      </c>
      <c r="F23" t="s">
        <v>17</v>
      </c>
      <c r="G23" t="str">
        <f>HYPERLINK("http://www.ncbi.nlm.nih.gov/Taxonomy/Browser/wwwtax.cgi?mode=Info&amp;id=42526&amp;lvl=3&amp;lin=f&amp;keep=1&amp;srchmode=1&amp;unlock","Colossoma macropomum")</f>
        <v>Colossoma macropomum</v>
      </c>
      <c r="H23" t="s">
        <v>38</v>
      </c>
      <c r="I23" t="str">
        <f>HYPERLINK("http://www.ncbi.nlm.nih.gov/protein/XP_036450384.1","LOW QUALITY PROTEIN: ryanodine receptor 1")</f>
        <v>LOW QUALITY PROTEIN: ryanodine receptor 1</v>
      </c>
      <c r="J23" t="s">
        <v>1485</v>
      </c>
      <c r="K23" t="s">
        <v>19</v>
      </c>
      <c r="L23">
        <v>4599</v>
      </c>
      <c r="M23" t="s">
        <v>19</v>
      </c>
      <c r="N23" t="s">
        <v>19</v>
      </c>
      <c r="O23">
        <v>4602</v>
      </c>
      <c r="P23" t="s">
        <v>1486</v>
      </c>
      <c r="Q23" t="s">
        <v>19</v>
      </c>
      <c r="R23">
        <v>4603</v>
      </c>
      <c r="S23" t="s">
        <v>1487</v>
      </c>
      <c r="T23" t="s">
        <v>19</v>
      </c>
      <c r="U23">
        <v>4606</v>
      </c>
      <c r="V23" t="s">
        <v>1488</v>
      </c>
      <c r="W23" t="s">
        <v>19</v>
      </c>
      <c r="X23">
        <v>4697</v>
      </c>
      <c r="Y23" t="s">
        <v>1493</v>
      </c>
      <c r="Z23" t="s">
        <v>19</v>
      </c>
      <c r="AA23">
        <v>4833</v>
      </c>
      <c r="AB23" t="s">
        <v>19</v>
      </c>
      <c r="AC23" t="s">
        <v>19</v>
      </c>
      <c r="AD23">
        <v>4834</v>
      </c>
      <c r="AE23" t="s">
        <v>1488</v>
      </c>
      <c r="AF23" t="s">
        <v>19</v>
      </c>
      <c r="AG23">
        <v>4837</v>
      </c>
      <c r="AH23" t="s">
        <v>19</v>
      </c>
      <c r="AI23" t="s">
        <v>19</v>
      </c>
      <c r="AJ23">
        <v>4857</v>
      </c>
      <c r="AK23" t="s">
        <v>1490</v>
      </c>
      <c r="AL23" t="s">
        <v>19</v>
      </c>
      <c r="AM23">
        <v>4861</v>
      </c>
      <c r="AN23" t="s">
        <v>1491</v>
      </c>
      <c r="AO23" t="s">
        <v>19</v>
      </c>
    </row>
    <row r="24" spans="1:41" x14ac:dyDescent="0.45">
      <c r="A24" t="s">
        <v>1264</v>
      </c>
      <c r="B24">
        <v>8</v>
      </c>
      <c r="C24" t="str">
        <f>HYPERLINK("http://www.ncbi.nlm.nih.gov/protein/XP_037403207.1","XP_037403207.1")</f>
        <v>XP_037403207.1</v>
      </c>
      <c r="D24">
        <v>50772</v>
      </c>
      <c r="E24" t="str">
        <f>HYPERLINK("http://www.ncbi.nlm.nih.gov/Taxonomy/Browser/wwwtax.cgi?mode=Info&amp;id=42514&amp;lvl=3&amp;lin=f&amp;keep=1&amp;srchmode=1&amp;unlock","42514")</f>
        <v>42514</v>
      </c>
      <c r="F24" t="s">
        <v>17</v>
      </c>
      <c r="G24" t="str">
        <f>HYPERLINK("http://www.ncbi.nlm.nih.gov/Taxonomy/Browser/wwwtax.cgi?mode=Info&amp;id=42514&amp;lvl=3&amp;lin=f&amp;keep=1&amp;srchmode=1&amp;unlock","Pygocentrus nattereri")</f>
        <v>Pygocentrus nattereri</v>
      </c>
      <c r="H24" t="s">
        <v>39</v>
      </c>
      <c r="I24" t="str">
        <f>HYPERLINK("http://www.ncbi.nlm.nih.gov/protein/XP_037403207.1","ryanodine receptor 1")</f>
        <v>ryanodine receptor 1</v>
      </c>
      <c r="J24" t="s">
        <v>1485</v>
      </c>
      <c r="K24" t="s">
        <v>19</v>
      </c>
      <c r="L24">
        <v>4597</v>
      </c>
      <c r="M24" t="s">
        <v>19</v>
      </c>
      <c r="N24" t="s">
        <v>19</v>
      </c>
      <c r="O24">
        <v>4600</v>
      </c>
      <c r="P24" t="s">
        <v>1486</v>
      </c>
      <c r="Q24" t="s">
        <v>19</v>
      </c>
      <c r="R24">
        <v>4601</v>
      </c>
      <c r="S24" t="s">
        <v>1487</v>
      </c>
      <c r="T24" t="s">
        <v>19</v>
      </c>
      <c r="U24">
        <v>4604</v>
      </c>
      <c r="V24" t="s">
        <v>1488</v>
      </c>
      <c r="W24" t="s">
        <v>19</v>
      </c>
      <c r="X24">
        <v>4695</v>
      </c>
      <c r="Y24" t="s">
        <v>1493</v>
      </c>
      <c r="Z24" t="s">
        <v>19</v>
      </c>
      <c r="AA24">
        <v>4831</v>
      </c>
      <c r="AB24" t="s">
        <v>19</v>
      </c>
      <c r="AC24" t="s">
        <v>19</v>
      </c>
      <c r="AD24">
        <v>4832</v>
      </c>
      <c r="AE24" t="s">
        <v>1488</v>
      </c>
      <c r="AF24" t="s">
        <v>19</v>
      </c>
      <c r="AG24">
        <v>4835</v>
      </c>
      <c r="AH24" t="s">
        <v>19</v>
      </c>
      <c r="AI24" t="s">
        <v>19</v>
      </c>
      <c r="AJ24">
        <v>4855</v>
      </c>
      <c r="AK24" t="s">
        <v>1490</v>
      </c>
      <c r="AL24" t="s">
        <v>19</v>
      </c>
      <c r="AM24">
        <v>4859</v>
      </c>
      <c r="AN24" t="s">
        <v>1491</v>
      </c>
      <c r="AO24" t="s">
        <v>19</v>
      </c>
    </row>
    <row r="25" spans="1:41" x14ac:dyDescent="0.45">
      <c r="A25" t="s">
        <v>1264</v>
      </c>
      <c r="B25">
        <v>8</v>
      </c>
      <c r="C25" t="str">
        <f>HYPERLINK("http://www.ncbi.nlm.nih.gov/protein/XP_053542566.1","XP_053542566.1")</f>
        <v>XP_053542566.1</v>
      </c>
      <c r="D25">
        <v>54807</v>
      </c>
      <c r="E25" t="str">
        <f>HYPERLINK("http://www.ncbi.nlm.nih.gov/Taxonomy/Browser/wwwtax.cgi?mode=Info&amp;id=7998&amp;lvl=3&amp;lin=f&amp;keep=1&amp;srchmode=1&amp;unlock","7998")</f>
        <v>7998</v>
      </c>
      <c r="F25" t="s">
        <v>17</v>
      </c>
      <c r="G25" t="str">
        <f>HYPERLINK("http://www.ncbi.nlm.nih.gov/Taxonomy/Browser/wwwtax.cgi?mode=Info&amp;id=7998&amp;lvl=3&amp;lin=f&amp;keep=1&amp;srchmode=1&amp;unlock","Ictalurus punctatus")</f>
        <v>Ictalurus punctatus</v>
      </c>
      <c r="H25" t="s">
        <v>40</v>
      </c>
      <c r="I25" t="str">
        <f>HYPERLINK("http://www.ncbi.nlm.nih.gov/protein/XP_053542566.1","ryanodine receptor 1 isoform X2")</f>
        <v>ryanodine receptor 1 isoform X2</v>
      </c>
      <c r="J25" t="s">
        <v>1485</v>
      </c>
      <c r="K25" t="s">
        <v>19</v>
      </c>
      <c r="L25">
        <v>4595</v>
      </c>
      <c r="M25" t="s">
        <v>19</v>
      </c>
      <c r="N25" t="s">
        <v>19</v>
      </c>
      <c r="O25">
        <v>4598</v>
      </c>
      <c r="P25" t="s">
        <v>1486</v>
      </c>
      <c r="Q25" t="s">
        <v>19</v>
      </c>
      <c r="R25">
        <v>4599</v>
      </c>
      <c r="S25" t="s">
        <v>1487</v>
      </c>
      <c r="T25" t="s">
        <v>19</v>
      </c>
      <c r="U25">
        <v>4602</v>
      </c>
      <c r="V25" t="s">
        <v>1488</v>
      </c>
      <c r="W25" t="s">
        <v>19</v>
      </c>
      <c r="X25">
        <v>4695</v>
      </c>
      <c r="Y25" t="s">
        <v>1493</v>
      </c>
      <c r="Z25" t="s">
        <v>19</v>
      </c>
      <c r="AA25">
        <v>4831</v>
      </c>
      <c r="AB25" t="s">
        <v>19</v>
      </c>
      <c r="AC25" t="s">
        <v>19</v>
      </c>
      <c r="AD25">
        <v>4832</v>
      </c>
      <c r="AE25" t="s">
        <v>1488</v>
      </c>
      <c r="AF25" t="s">
        <v>19</v>
      </c>
      <c r="AG25">
        <v>4835</v>
      </c>
      <c r="AH25" t="s">
        <v>19</v>
      </c>
      <c r="AI25" t="s">
        <v>19</v>
      </c>
      <c r="AJ25">
        <v>4855</v>
      </c>
      <c r="AK25" t="s">
        <v>1490</v>
      </c>
      <c r="AL25" t="s">
        <v>19</v>
      </c>
      <c r="AM25">
        <v>4859</v>
      </c>
      <c r="AN25" t="s">
        <v>1491</v>
      </c>
      <c r="AO25" t="s">
        <v>19</v>
      </c>
    </row>
    <row r="26" spans="1:41" x14ac:dyDescent="0.45">
      <c r="A26" t="s">
        <v>1264</v>
      </c>
      <c r="B26">
        <v>8</v>
      </c>
      <c r="C26" t="str">
        <f>HYPERLINK("http://www.ncbi.nlm.nih.gov/protein/XP_060765624.1","XP_060765624.1")</f>
        <v>XP_060765624.1</v>
      </c>
      <c r="D26">
        <v>46654</v>
      </c>
      <c r="E26" t="str">
        <f>HYPERLINK("http://www.ncbi.nlm.nih.gov/Taxonomy/Browser/wwwtax.cgi?mode=Info&amp;id=443677&amp;lvl=3&amp;lin=f&amp;keep=1&amp;srchmode=1&amp;unlock","443677")</f>
        <v>443677</v>
      </c>
      <c r="F26" t="s">
        <v>17</v>
      </c>
      <c r="G26" t="str">
        <f>HYPERLINK("http://www.ncbi.nlm.nih.gov/Taxonomy/Browser/wwwtax.cgi?mode=Info&amp;id=443677&amp;lvl=3&amp;lin=f&amp;keep=1&amp;srchmode=1&amp;unlock","Neoarius graeffei")</f>
        <v>Neoarius graeffei</v>
      </c>
      <c r="H26" t="s">
        <v>41</v>
      </c>
      <c r="I26" t="str">
        <f>HYPERLINK("http://www.ncbi.nlm.nih.gov/protein/XP_060765624.1","ryanodine receptor 1 isoform X5")</f>
        <v>ryanodine receptor 1 isoform X5</v>
      </c>
      <c r="J26" t="s">
        <v>1485</v>
      </c>
      <c r="K26" t="s">
        <v>19</v>
      </c>
      <c r="L26">
        <v>4586</v>
      </c>
      <c r="M26" t="s">
        <v>19</v>
      </c>
      <c r="N26" t="s">
        <v>19</v>
      </c>
      <c r="O26">
        <v>4589</v>
      </c>
      <c r="P26" t="s">
        <v>1486</v>
      </c>
      <c r="Q26" t="s">
        <v>19</v>
      </c>
      <c r="R26">
        <v>4590</v>
      </c>
      <c r="S26" t="s">
        <v>1487</v>
      </c>
      <c r="T26" t="s">
        <v>19</v>
      </c>
      <c r="U26">
        <v>4593</v>
      </c>
      <c r="V26" t="s">
        <v>1488</v>
      </c>
      <c r="W26" t="s">
        <v>19</v>
      </c>
      <c r="X26">
        <v>4686</v>
      </c>
      <c r="Y26" t="s">
        <v>1493</v>
      </c>
      <c r="Z26" t="s">
        <v>19</v>
      </c>
      <c r="AA26">
        <v>4822</v>
      </c>
      <c r="AB26" t="s">
        <v>19</v>
      </c>
      <c r="AC26" t="s">
        <v>19</v>
      </c>
      <c r="AD26">
        <v>4823</v>
      </c>
      <c r="AE26" t="s">
        <v>1488</v>
      </c>
      <c r="AF26" t="s">
        <v>19</v>
      </c>
      <c r="AG26">
        <v>4826</v>
      </c>
      <c r="AH26" t="s">
        <v>19</v>
      </c>
      <c r="AI26" t="s">
        <v>19</v>
      </c>
      <c r="AJ26">
        <v>4846</v>
      </c>
      <c r="AK26" t="s">
        <v>1490</v>
      </c>
      <c r="AL26" t="s">
        <v>19</v>
      </c>
      <c r="AM26">
        <v>4850</v>
      </c>
      <c r="AN26" t="s">
        <v>1491</v>
      </c>
      <c r="AO26" t="s">
        <v>19</v>
      </c>
    </row>
    <row r="27" spans="1:41" x14ac:dyDescent="0.45">
      <c r="A27" t="s">
        <v>1264</v>
      </c>
      <c r="B27">
        <v>8</v>
      </c>
      <c r="C27" t="str">
        <f>HYPERLINK("http://www.ncbi.nlm.nih.gov/protein/XP_053500806.1","XP_053500806.1")</f>
        <v>XP_053500806.1</v>
      </c>
      <c r="D27">
        <v>45079</v>
      </c>
      <c r="E27" t="str">
        <f>HYPERLINK("http://www.ncbi.nlm.nih.gov/Taxonomy/Browser/wwwtax.cgi?mode=Info&amp;id=66913&amp;lvl=3&amp;lin=f&amp;keep=1&amp;srchmode=1&amp;unlock","66913")</f>
        <v>66913</v>
      </c>
      <c r="F27" t="s">
        <v>17</v>
      </c>
      <c r="G27" t="str">
        <f>HYPERLINK("http://www.ncbi.nlm.nih.gov/Taxonomy/Browser/wwwtax.cgi?mode=Info&amp;id=66913&amp;lvl=3&amp;lin=f&amp;keep=1&amp;srchmode=1&amp;unlock","Ictalurus furcatus")</f>
        <v>Ictalurus furcatus</v>
      </c>
      <c r="H27" t="s">
        <v>42</v>
      </c>
      <c r="I27" t="str">
        <f>HYPERLINK("http://www.ncbi.nlm.nih.gov/protein/XP_053500806.1","ryanodine receptor 1")</f>
        <v>ryanodine receptor 1</v>
      </c>
      <c r="J27" t="s">
        <v>1485</v>
      </c>
      <c r="K27" t="s">
        <v>19</v>
      </c>
      <c r="L27">
        <v>4590</v>
      </c>
      <c r="M27" t="s">
        <v>19</v>
      </c>
      <c r="N27" t="s">
        <v>19</v>
      </c>
      <c r="O27">
        <v>4593</v>
      </c>
      <c r="P27" t="s">
        <v>1486</v>
      </c>
      <c r="Q27" t="s">
        <v>19</v>
      </c>
      <c r="R27">
        <v>4594</v>
      </c>
      <c r="S27" t="s">
        <v>1487</v>
      </c>
      <c r="T27" t="s">
        <v>19</v>
      </c>
      <c r="U27">
        <v>4597</v>
      </c>
      <c r="V27" t="s">
        <v>1488</v>
      </c>
      <c r="W27" t="s">
        <v>19</v>
      </c>
      <c r="X27">
        <v>4690</v>
      </c>
      <c r="Y27" t="s">
        <v>1493</v>
      </c>
      <c r="Z27" t="s">
        <v>19</v>
      </c>
      <c r="AA27">
        <v>4826</v>
      </c>
      <c r="AB27" t="s">
        <v>19</v>
      </c>
      <c r="AC27" t="s">
        <v>19</v>
      </c>
      <c r="AD27">
        <v>4827</v>
      </c>
      <c r="AE27" t="s">
        <v>1488</v>
      </c>
      <c r="AF27" t="s">
        <v>19</v>
      </c>
      <c r="AG27">
        <v>4830</v>
      </c>
      <c r="AH27" t="s">
        <v>19</v>
      </c>
      <c r="AI27" t="s">
        <v>19</v>
      </c>
      <c r="AJ27">
        <v>4850</v>
      </c>
      <c r="AK27" t="s">
        <v>1490</v>
      </c>
      <c r="AL27" t="s">
        <v>19</v>
      </c>
      <c r="AM27">
        <v>4854</v>
      </c>
      <c r="AN27" t="s">
        <v>1491</v>
      </c>
      <c r="AO27" t="s">
        <v>19</v>
      </c>
    </row>
    <row r="28" spans="1:41" x14ac:dyDescent="0.45">
      <c r="A28" t="s">
        <v>1264</v>
      </c>
      <c r="B28">
        <v>8</v>
      </c>
      <c r="C28" t="str">
        <f>HYPERLINK("http://www.ncbi.nlm.nih.gov/protein/XP_053331949.1","XP_053331949.1")</f>
        <v>XP_053331949.1</v>
      </c>
      <c r="D28">
        <v>41392</v>
      </c>
      <c r="E28" t="str">
        <f>HYPERLINK("http://www.ncbi.nlm.nih.gov/Taxonomy/Browser/wwwtax.cgi?mode=Info&amp;id=13013&amp;lvl=3&amp;lin=f&amp;keep=1&amp;srchmode=1&amp;unlock","13013")</f>
        <v>13013</v>
      </c>
      <c r="F28" t="s">
        <v>17</v>
      </c>
      <c r="G28" t="str">
        <f>HYPERLINK("http://www.ncbi.nlm.nih.gov/Taxonomy/Browser/wwwtax.cgi?mode=Info&amp;id=13013&amp;lvl=3&amp;lin=f&amp;keep=1&amp;srchmode=1&amp;unlock","Clarias gariepinus")</f>
        <v>Clarias gariepinus</v>
      </c>
      <c r="H28" t="s">
        <v>43</v>
      </c>
      <c r="I28" t="str">
        <f>HYPERLINK("http://www.ncbi.nlm.nih.gov/protein/XP_053331949.1","ryanodine receptor 1")</f>
        <v>ryanodine receptor 1</v>
      </c>
      <c r="J28" t="s">
        <v>1485</v>
      </c>
      <c r="K28" t="s">
        <v>19</v>
      </c>
      <c r="L28">
        <v>4550</v>
      </c>
      <c r="M28" t="s">
        <v>19</v>
      </c>
      <c r="N28" t="s">
        <v>19</v>
      </c>
      <c r="O28">
        <v>4553</v>
      </c>
      <c r="P28" t="s">
        <v>1486</v>
      </c>
      <c r="Q28" t="s">
        <v>19</v>
      </c>
      <c r="R28">
        <v>4554</v>
      </c>
      <c r="S28" t="s">
        <v>1487</v>
      </c>
      <c r="T28" t="s">
        <v>19</v>
      </c>
      <c r="U28">
        <v>4557</v>
      </c>
      <c r="V28" t="s">
        <v>1488</v>
      </c>
      <c r="W28" t="s">
        <v>19</v>
      </c>
      <c r="X28">
        <v>4650</v>
      </c>
      <c r="Y28" t="s">
        <v>1493</v>
      </c>
      <c r="Z28" t="s">
        <v>19</v>
      </c>
      <c r="AA28">
        <v>4786</v>
      </c>
      <c r="AB28" t="s">
        <v>19</v>
      </c>
      <c r="AC28" t="s">
        <v>19</v>
      </c>
      <c r="AD28">
        <v>4787</v>
      </c>
      <c r="AE28" t="s">
        <v>1488</v>
      </c>
      <c r="AF28" t="s">
        <v>19</v>
      </c>
      <c r="AG28">
        <v>4790</v>
      </c>
      <c r="AH28" t="s">
        <v>19</v>
      </c>
      <c r="AI28" t="s">
        <v>19</v>
      </c>
      <c r="AJ28">
        <v>4810</v>
      </c>
      <c r="AK28" t="s">
        <v>1490</v>
      </c>
      <c r="AL28" t="s">
        <v>19</v>
      </c>
      <c r="AM28">
        <v>4814</v>
      </c>
      <c r="AN28" t="s">
        <v>1491</v>
      </c>
      <c r="AO28" t="s">
        <v>19</v>
      </c>
    </row>
    <row r="29" spans="1:41" x14ac:dyDescent="0.45">
      <c r="A29" t="s">
        <v>1264</v>
      </c>
      <c r="B29">
        <v>8</v>
      </c>
      <c r="C29" t="str">
        <f>HYPERLINK("http://www.ncbi.nlm.nih.gov/protein/XP_058268299.1","XP_058268299.1")</f>
        <v>XP_058268299.1</v>
      </c>
      <c r="D29">
        <v>69182</v>
      </c>
      <c r="E29" t="str">
        <f>HYPERLINK("http://www.ncbi.nlm.nih.gov/Taxonomy/Browser/wwwtax.cgi?mode=Info&amp;id=337641&amp;lvl=3&amp;lin=f&amp;keep=1&amp;srchmode=1&amp;unlock","337641")</f>
        <v>337641</v>
      </c>
      <c r="F29" t="s">
        <v>17</v>
      </c>
      <c r="G29" t="str">
        <f>HYPERLINK("http://www.ncbi.nlm.nih.gov/Taxonomy/Browser/wwwtax.cgi?mode=Info&amp;id=337641&amp;lvl=3&amp;lin=f&amp;keep=1&amp;srchmode=1&amp;unlock","Hemibagrus wyckioides")</f>
        <v>Hemibagrus wyckioides</v>
      </c>
      <c r="H29" t="s">
        <v>45</v>
      </c>
      <c r="I29" t="str">
        <f>HYPERLINK("http://www.ncbi.nlm.nih.gov/protein/XP_058268299.1","ryanodine receptor 1")</f>
        <v>ryanodine receptor 1</v>
      </c>
      <c r="J29" t="s">
        <v>1485</v>
      </c>
      <c r="K29" t="s">
        <v>19</v>
      </c>
      <c r="L29">
        <v>4589</v>
      </c>
      <c r="M29" t="s">
        <v>19</v>
      </c>
      <c r="N29" t="s">
        <v>19</v>
      </c>
      <c r="O29">
        <v>4592</v>
      </c>
      <c r="P29" t="s">
        <v>1486</v>
      </c>
      <c r="Q29" t="s">
        <v>19</v>
      </c>
      <c r="R29">
        <v>4593</v>
      </c>
      <c r="S29" t="s">
        <v>1487</v>
      </c>
      <c r="T29" t="s">
        <v>19</v>
      </c>
      <c r="U29">
        <v>4596</v>
      </c>
      <c r="V29" t="s">
        <v>1488</v>
      </c>
      <c r="W29" t="s">
        <v>19</v>
      </c>
      <c r="X29">
        <v>4689</v>
      </c>
      <c r="Y29" t="s">
        <v>1493</v>
      </c>
      <c r="Z29" t="s">
        <v>19</v>
      </c>
      <c r="AA29">
        <v>4825</v>
      </c>
      <c r="AB29" t="s">
        <v>19</v>
      </c>
      <c r="AC29" t="s">
        <v>19</v>
      </c>
      <c r="AD29">
        <v>4826</v>
      </c>
      <c r="AE29" t="s">
        <v>1488</v>
      </c>
      <c r="AF29" t="s">
        <v>19</v>
      </c>
      <c r="AG29">
        <v>4829</v>
      </c>
      <c r="AH29" t="s">
        <v>19</v>
      </c>
      <c r="AI29" t="s">
        <v>19</v>
      </c>
      <c r="AJ29">
        <v>4849</v>
      </c>
      <c r="AK29" t="s">
        <v>1490</v>
      </c>
      <c r="AL29" t="s">
        <v>19</v>
      </c>
      <c r="AM29">
        <v>4853</v>
      </c>
      <c r="AN29" t="s">
        <v>1491</v>
      </c>
      <c r="AO29" t="s">
        <v>19</v>
      </c>
    </row>
    <row r="30" spans="1:41" x14ac:dyDescent="0.45">
      <c r="A30" t="s">
        <v>1264</v>
      </c>
      <c r="B30">
        <v>8</v>
      </c>
      <c r="C30" t="str">
        <f>HYPERLINK("http://www.ncbi.nlm.nih.gov/protein/XP_041948366.1","XP_041948366.1")</f>
        <v>XP_041948366.1</v>
      </c>
      <c r="D30">
        <v>56130</v>
      </c>
      <c r="E30" t="str">
        <f>HYPERLINK("http://www.ncbi.nlm.nih.gov/Taxonomy/Browser/wwwtax.cgi?mode=Info&amp;id=34773&amp;lvl=3&amp;lin=f&amp;keep=1&amp;srchmode=1&amp;unlock","34773")</f>
        <v>34773</v>
      </c>
      <c r="F30" t="s">
        <v>17</v>
      </c>
      <c r="G30" t="str">
        <f>HYPERLINK("http://www.ncbi.nlm.nih.gov/Taxonomy/Browser/wwwtax.cgi?mode=Info&amp;id=34773&amp;lvl=3&amp;lin=f&amp;keep=1&amp;srchmode=1&amp;unlock","Alosa sapidissima")</f>
        <v>Alosa sapidissima</v>
      </c>
      <c r="H30" t="s">
        <v>46</v>
      </c>
      <c r="I30" t="str">
        <f>HYPERLINK("http://www.ncbi.nlm.nih.gov/protein/XP_041948366.1","ryanodine receptor 1 isoform X2")</f>
        <v>ryanodine receptor 1 isoform X2</v>
      </c>
      <c r="J30" t="s">
        <v>1485</v>
      </c>
      <c r="K30" t="s">
        <v>19</v>
      </c>
      <c r="L30">
        <v>4580</v>
      </c>
      <c r="M30" t="s">
        <v>19</v>
      </c>
      <c r="N30" t="s">
        <v>19</v>
      </c>
      <c r="O30">
        <v>4583</v>
      </c>
      <c r="P30" t="s">
        <v>1486</v>
      </c>
      <c r="Q30" t="s">
        <v>19</v>
      </c>
      <c r="R30">
        <v>4584</v>
      </c>
      <c r="S30" t="s">
        <v>1487</v>
      </c>
      <c r="T30" t="s">
        <v>19</v>
      </c>
      <c r="U30">
        <v>4587</v>
      </c>
      <c r="V30" t="s">
        <v>1488</v>
      </c>
      <c r="W30" t="s">
        <v>19</v>
      </c>
      <c r="X30">
        <v>4696</v>
      </c>
      <c r="Y30" t="s">
        <v>1493</v>
      </c>
      <c r="Z30" t="s">
        <v>19</v>
      </c>
      <c r="AA30">
        <v>4833</v>
      </c>
      <c r="AB30" t="s">
        <v>19</v>
      </c>
      <c r="AC30" t="s">
        <v>19</v>
      </c>
      <c r="AD30">
        <v>4834</v>
      </c>
      <c r="AE30" t="s">
        <v>1488</v>
      </c>
      <c r="AF30" t="s">
        <v>19</v>
      </c>
      <c r="AG30">
        <v>4837</v>
      </c>
      <c r="AH30" t="s">
        <v>19</v>
      </c>
      <c r="AI30" t="s">
        <v>19</v>
      </c>
      <c r="AJ30">
        <v>4857</v>
      </c>
      <c r="AK30" t="s">
        <v>1490</v>
      </c>
      <c r="AL30" t="s">
        <v>19</v>
      </c>
      <c r="AM30">
        <v>4861</v>
      </c>
      <c r="AN30" t="s">
        <v>1491</v>
      </c>
      <c r="AO30" t="s">
        <v>19</v>
      </c>
    </row>
    <row r="31" spans="1:41" x14ac:dyDescent="0.45">
      <c r="A31" t="s">
        <v>1264</v>
      </c>
      <c r="B31">
        <v>8</v>
      </c>
      <c r="C31" t="str">
        <f>HYPERLINK("http://www.ncbi.nlm.nih.gov/protein/XP_047660702.1","XP_047660702.1")</f>
        <v>XP_047660702.1</v>
      </c>
      <c r="D31">
        <v>56318</v>
      </c>
      <c r="E31" t="str">
        <f>HYPERLINK("http://www.ncbi.nlm.nih.gov/Taxonomy/Browser/wwwtax.cgi?mode=Info&amp;id=1234273&amp;lvl=3&amp;lin=f&amp;keep=1&amp;srchmode=1&amp;unlock","1234273")</f>
        <v>1234273</v>
      </c>
      <c r="F31" t="s">
        <v>17</v>
      </c>
      <c r="G31" t="str">
        <f>HYPERLINK("http://www.ncbi.nlm.nih.gov/Taxonomy/Browser/wwwtax.cgi?mode=Info&amp;id=1234273&amp;lvl=3&amp;lin=f&amp;keep=1&amp;srchmode=1&amp;unlock","Tachysurus fulvidraco")</f>
        <v>Tachysurus fulvidraco</v>
      </c>
      <c r="H31" t="s">
        <v>47</v>
      </c>
      <c r="I31" t="str">
        <f>HYPERLINK("http://www.ncbi.nlm.nih.gov/protein/XP_047660702.1","ryanodine receptor 1 isoform X2")</f>
        <v>ryanodine receptor 1 isoform X2</v>
      </c>
      <c r="J31" t="s">
        <v>1485</v>
      </c>
      <c r="K31" t="s">
        <v>19</v>
      </c>
      <c r="L31">
        <v>4597</v>
      </c>
      <c r="M31" t="s">
        <v>19</v>
      </c>
      <c r="N31" t="s">
        <v>19</v>
      </c>
      <c r="O31">
        <v>4600</v>
      </c>
      <c r="P31" t="s">
        <v>1486</v>
      </c>
      <c r="Q31" t="s">
        <v>19</v>
      </c>
      <c r="R31">
        <v>4601</v>
      </c>
      <c r="S31" t="s">
        <v>1487</v>
      </c>
      <c r="T31" t="s">
        <v>19</v>
      </c>
      <c r="U31">
        <v>4604</v>
      </c>
      <c r="V31" t="s">
        <v>1488</v>
      </c>
      <c r="W31" t="s">
        <v>19</v>
      </c>
      <c r="X31">
        <v>4696</v>
      </c>
      <c r="Y31" t="s">
        <v>1493</v>
      </c>
      <c r="Z31" t="s">
        <v>19</v>
      </c>
      <c r="AA31">
        <v>4832</v>
      </c>
      <c r="AB31" t="s">
        <v>19</v>
      </c>
      <c r="AC31" t="s">
        <v>19</v>
      </c>
      <c r="AD31">
        <v>4833</v>
      </c>
      <c r="AE31" t="s">
        <v>1488</v>
      </c>
      <c r="AF31" t="s">
        <v>19</v>
      </c>
      <c r="AG31">
        <v>4836</v>
      </c>
      <c r="AH31" t="s">
        <v>19</v>
      </c>
      <c r="AI31" t="s">
        <v>19</v>
      </c>
      <c r="AJ31">
        <v>4856</v>
      </c>
      <c r="AK31" t="s">
        <v>1490</v>
      </c>
      <c r="AL31" t="s">
        <v>19</v>
      </c>
      <c r="AM31">
        <v>4860</v>
      </c>
      <c r="AN31" t="s">
        <v>1491</v>
      </c>
      <c r="AO31" t="s">
        <v>19</v>
      </c>
    </row>
    <row r="32" spans="1:41" x14ac:dyDescent="0.45">
      <c r="A32" t="s">
        <v>1264</v>
      </c>
      <c r="B32">
        <v>8</v>
      </c>
      <c r="C32" t="str">
        <f>HYPERLINK("http://www.ncbi.nlm.nih.gov/protein/XP_028825171.1","XP_028825171.1")</f>
        <v>XP_028825171.1</v>
      </c>
      <c r="D32">
        <v>50098</v>
      </c>
      <c r="E32" t="str">
        <f>HYPERLINK("http://www.ncbi.nlm.nih.gov/Taxonomy/Browser/wwwtax.cgi?mode=Info&amp;id=299321&amp;lvl=3&amp;lin=f&amp;keep=1&amp;srchmode=1&amp;unlock","299321")</f>
        <v>299321</v>
      </c>
      <c r="F32" t="s">
        <v>17</v>
      </c>
      <c r="G32" t="str">
        <f>HYPERLINK("http://www.ncbi.nlm.nih.gov/Taxonomy/Browser/wwwtax.cgi?mode=Info&amp;id=299321&amp;lvl=3&amp;lin=f&amp;keep=1&amp;srchmode=1&amp;unlock","Denticeps clupeoides")</f>
        <v>Denticeps clupeoides</v>
      </c>
      <c r="H32" t="s">
        <v>48</v>
      </c>
      <c r="I32" t="str">
        <f>HYPERLINK("http://www.ncbi.nlm.nih.gov/protein/XP_028825171.1","ryanodine receptor 1-like isoform X6")</f>
        <v>ryanodine receptor 1-like isoform X6</v>
      </c>
      <c r="J32" t="s">
        <v>1485</v>
      </c>
      <c r="K32" t="s">
        <v>19</v>
      </c>
      <c r="L32">
        <v>4589</v>
      </c>
      <c r="M32" t="s">
        <v>19</v>
      </c>
      <c r="N32" t="s">
        <v>19</v>
      </c>
      <c r="O32">
        <v>4592</v>
      </c>
      <c r="P32" t="s">
        <v>1486</v>
      </c>
      <c r="Q32" t="s">
        <v>19</v>
      </c>
      <c r="R32">
        <v>4593</v>
      </c>
      <c r="S32" t="s">
        <v>1487</v>
      </c>
      <c r="T32" t="s">
        <v>19</v>
      </c>
      <c r="U32">
        <v>4596</v>
      </c>
      <c r="V32" t="s">
        <v>1488</v>
      </c>
      <c r="W32" t="s">
        <v>19</v>
      </c>
      <c r="X32">
        <v>4690</v>
      </c>
      <c r="Y32" t="s">
        <v>1493</v>
      </c>
      <c r="Z32" t="s">
        <v>19</v>
      </c>
      <c r="AA32">
        <v>4827</v>
      </c>
      <c r="AB32" t="s">
        <v>19</v>
      </c>
      <c r="AC32" t="s">
        <v>19</v>
      </c>
      <c r="AD32">
        <v>4828</v>
      </c>
      <c r="AE32" t="s">
        <v>1488</v>
      </c>
      <c r="AF32" t="s">
        <v>19</v>
      </c>
      <c r="AG32">
        <v>4831</v>
      </c>
      <c r="AH32" t="s">
        <v>19</v>
      </c>
      <c r="AI32" t="s">
        <v>19</v>
      </c>
      <c r="AJ32">
        <v>4851</v>
      </c>
      <c r="AK32" t="s">
        <v>1490</v>
      </c>
      <c r="AL32" t="s">
        <v>19</v>
      </c>
      <c r="AM32">
        <v>4855</v>
      </c>
      <c r="AN32" t="s">
        <v>1491</v>
      </c>
      <c r="AO32" t="s">
        <v>19</v>
      </c>
    </row>
    <row r="33" spans="1:41" x14ac:dyDescent="0.45">
      <c r="A33" t="s">
        <v>1264</v>
      </c>
      <c r="B33">
        <v>8</v>
      </c>
      <c r="C33" t="str">
        <f>HYPERLINK("http://www.ncbi.nlm.nih.gov/protein/XP_019903635.3","XP_019903635.3")</f>
        <v>XP_019903635.3</v>
      </c>
      <c r="D33">
        <v>59810</v>
      </c>
      <c r="E33" t="str">
        <f>HYPERLINK("http://www.ncbi.nlm.nih.gov/Taxonomy/Browser/wwwtax.cgi?mode=Info&amp;id=8010&amp;lvl=3&amp;lin=f&amp;keep=1&amp;srchmode=1&amp;unlock","8010")</f>
        <v>8010</v>
      </c>
      <c r="F33" t="s">
        <v>17</v>
      </c>
      <c r="G33" t="str">
        <f>HYPERLINK("http://www.ncbi.nlm.nih.gov/Taxonomy/Browser/wwwtax.cgi?mode=Info&amp;id=8010&amp;lvl=3&amp;lin=f&amp;keep=1&amp;srchmode=1&amp;unlock","Esox lucius")</f>
        <v>Esox lucius</v>
      </c>
      <c r="H33" t="s">
        <v>49</v>
      </c>
      <c r="I33" t="str">
        <f>HYPERLINK("http://www.ncbi.nlm.nih.gov/protein/XP_019903635.3","ryanodine receptor 1 isoform X2")</f>
        <v>ryanodine receptor 1 isoform X2</v>
      </c>
      <c r="J33" t="s">
        <v>1485</v>
      </c>
      <c r="K33" t="s">
        <v>19</v>
      </c>
      <c r="L33">
        <v>4591</v>
      </c>
      <c r="M33" t="s">
        <v>19</v>
      </c>
      <c r="N33" t="s">
        <v>19</v>
      </c>
      <c r="O33">
        <v>4594</v>
      </c>
      <c r="P33" t="s">
        <v>1486</v>
      </c>
      <c r="Q33" t="s">
        <v>19</v>
      </c>
      <c r="R33">
        <v>4595</v>
      </c>
      <c r="S33" t="s">
        <v>1487</v>
      </c>
      <c r="T33" t="s">
        <v>19</v>
      </c>
      <c r="U33">
        <v>4598</v>
      </c>
      <c r="V33" t="s">
        <v>1488</v>
      </c>
      <c r="W33" t="s">
        <v>19</v>
      </c>
      <c r="X33">
        <v>4701</v>
      </c>
      <c r="Y33" t="s">
        <v>1493</v>
      </c>
      <c r="Z33" t="s">
        <v>19</v>
      </c>
      <c r="AA33">
        <v>4836</v>
      </c>
      <c r="AB33" t="s">
        <v>19</v>
      </c>
      <c r="AC33" t="s">
        <v>19</v>
      </c>
      <c r="AD33">
        <v>4837</v>
      </c>
      <c r="AE33" t="s">
        <v>1488</v>
      </c>
      <c r="AF33" t="s">
        <v>19</v>
      </c>
      <c r="AG33">
        <v>4840</v>
      </c>
      <c r="AH33" t="s">
        <v>19</v>
      </c>
      <c r="AI33" t="s">
        <v>19</v>
      </c>
      <c r="AJ33">
        <v>4860</v>
      </c>
      <c r="AK33" t="s">
        <v>1490</v>
      </c>
      <c r="AL33" t="s">
        <v>19</v>
      </c>
      <c r="AM33">
        <v>4864</v>
      </c>
      <c r="AN33" t="s">
        <v>1491</v>
      </c>
      <c r="AO33" t="s">
        <v>19</v>
      </c>
    </row>
    <row r="34" spans="1:41" x14ac:dyDescent="0.45">
      <c r="A34" t="s">
        <v>1264</v>
      </c>
      <c r="B34">
        <v>8</v>
      </c>
      <c r="C34" t="str">
        <f>HYPERLINK("http://www.ncbi.nlm.nih.gov/protein/XP_060751318.1","XP_060751318.1")</f>
        <v>XP_060751318.1</v>
      </c>
      <c r="D34">
        <v>64250</v>
      </c>
      <c r="E34" t="str">
        <f>HYPERLINK("http://www.ncbi.nlm.nih.gov/Taxonomy/Browser/wwwtax.cgi?mode=Info&amp;id=175792&amp;lvl=3&amp;lin=f&amp;keep=1&amp;srchmode=1&amp;unlock","175792")</f>
        <v>175792</v>
      </c>
      <c r="F34" t="s">
        <v>17</v>
      </c>
      <c r="G34" t="str">
        <f>HYPERLINK("http://www.ncbi.nlm.nih.gov/Taxonomy/Browser/wwwtax.cgi?mode=Info&amp;id=175792&amp;lvl=3&amp;lin=f&amp;keep=1&amp;srchmode=1&amp;unlock","Tachysurus vachellii")</f>
        <v>Tachysurus vachellii</v>
      </c>
      <c r="H34" t="s">
        <v>45</v>
      </c>
      <c r="I34" t="str">
        <f>HYPERLINK("http://www.ncbi.nlm.nih.gov/protein/XP_060751318.1","ryanodine receptor 1")</f>
        <v>ryanodine receptor 1</v>
      </c>
      <c r="J34" t="s">
        <v>1485</v>
      </c>
      <c r="K34" t="s">
        <v>19</v>
      </c>
      <c r="L34">
        <v>4573</v>
      </c>
      <c r="M34" t="s">
        <v>19</v>
      </c>
      <c r="N34" t="s">
        <v>19</v>
      </c>
      <c r="O34">
        <v>4576</v>
      </c>
      <c r="P34" t="s">
        <v>1486</v>
      </c>
      <c r="Q34" t="s">
        <v>19</v>
      </c>
      <c r="R34">
        <v>4577</v>
      </c>
      <c r="S34" t="s">
        <v>1487</v>
      </c>
      <c r="T34" t="s">
        <v>19</v>
      </c>
      <c r="U34">
        <v>4580</v>
      </c>
      <c r="V34" t="s">
        <v>1488</v>
      </c>
      <c r="W34" t="s">
        <v>19</v>
      </c>
      <c r="X34">
        <v>4672</v>
      </c>
      <c r="Y34" t="s">
        <v>1493</v>
      </c>
      <c r="Z34" t="s">
        <v>19</v>
      </c>
      <c r="AA34">
        <v>4808</v>
      </c>
      <c r="AB34" t="s">
        <v>19</v>
      </c>
      <c r="AC34" t="s">
        <v>19</v>
      </c>
      <c r="AD34">
        <v>4809</v>
      </c>
      <c r="AE34" t="s">
        <v>1488</v>
      </c>
      <c r="AF34" t="s">
        <v>19</v>
      </c>
      <c r="AG34">
        <v>4812</v>
      </c>
      <c r="AH34" t="s">
        <v>19</v>
      </c>
      <c r="AI34" t="s">
        <v>19</v>
      </c>
      <c r="AJ34">
        <v>4832</v>
      </c>
      <c r="AK34" t="s">
        <v>1490</v>
      </c>
      <c r="AL34" t="s">
        <v>19</v>
      </c>
      <c r="AM34">
        <v>4836</v>
      </c>
      <c r="AN34" t="s">
        <v>1491</v>
      </c>
      <c r="AO34" t="s">
        <v>19</v>
      </c>
    </row>
    <row r="35" spans="1:41" x14ac:dyDescent="0.45">
      <c r="A35" t="s">
        <v>1264</v>
      </c>
      <c r="B35">
        <v>8</v>
      </c>
      <c r="C35" t="str">
        <f>HYPERLINK("http://www.ncbi.nlm.nih.gov/protein/XP_028278251.1","XP_028278251.1")</f>
        <v>XP_028278251.1</v>
      </c>
      <c r="D35">
        <v>41039</v>
      </c>
      <c r="E35" t="str">
        <f>HYPERLINK("http://www.ncbi.nlm.nih.gov/Taxonomy/Browser/wwwtax.cgi?mode=Info&amp;id=210632&amp;lvl=3&amp;lin=f&amp;keep=1&amp;srchmode=1&amp;unlock","210632")</f>
        <v>210632</v>
      </c>
      <c r="F35" t="s">
        <v>17</v>
      </c>
      <c r="G35" t="str">
        <f>HYPERLINK("http://www.ncbi.nlm.nih.gov/Taxonomy/Browser/wwwtax.cgi?mode=Info&amp;id=210632&amp;lvl=3&amp;lin=f&amp;keep=1&amp;srchmode=1&amp;unlock","Parambassis ranga")</f>
        <v>Parambassis ranga</v>
      </c>
      <c r="H35" t="s">
        <v>50</v>
      </c>
      <c r="I35" t="str">
        <f>HYPERLINK("http://www.ncbi.nlm.nih.gov/protein/XP_028278251.1","ryanodine receptor 1-like isoform X9")</f>
        <v>ryanodine receptor 1-like isoform X9</v>
      </c>
      <c r="J35" t="s">
        <v>1485</v>
      </c>
      <c r="K35" t="s">
        <v>19</v>
      </c>
      <c r="L35">
        <v>4598</v>
      </c>
      <c r="M35" t="s">
        <v>19</v>
      </c>
      <c r="N35" t="s">
        <v>19</v>
      </c>
      <c r="O35">
        <v>4601</v>
      </c>
      <c r="P35" t="s">
        <v>1486</v>
      </c>
      <c r="Q35" t="s">
        <v>19</v>
      </c>
      <c r="R35">
        <v>4602</v>
      </c>
      <c r="S35" t="s">
        <v>1487</v>
      </c>
      <c r="T35" t="s">
        <v>19</v>
      </c>
      <c r="U35">
        <v>4605</v>
      </c>
      <c r="V35" t="s">
        <v>1488</v>
      </c>
      <c r="W35" t="s">
        <v>19</v>
      </c>
      <c r="X35">
        <v>4702</v>
      </c>
      <c r="Y35" t="s">
        <v>1493</v>
      </c>
      <c r="Z35" t="s">
        <v>19</v>
      </c>
      <c r="AA35">
        <v>4837</v>
      </c>
      <c r="AB35" t="s">
        <v>19</v>
      </c>
      <c r="AC35" t="s">
        <v>19</v>
      </c>
      <c r="AD35">
        <v>4838</v>
      </c>
      <c r="AE35" t="s">
        <v>1488</v>
      </c>
      <c r="AF35" t="s">
        <v>19</v>
      </c>
      <c r="AG35">
        <v>4841</v>
      </c>
      <c r="AH35" t="s">
        <v>19</v>
      </c>
      <c r="AI35" t="s">
        <v>19</v>
      </c>
      <c r="AJ35">
        <v>4861</v>
      </c>
      <c r="AK35" t="s">
        <v>1490</v>
      </c>
      <c r="AL35" t="s">
        <v>19</v>
      </c>
      <c r="AM35">
        <v>4865</v>
      </c>
      <c r="AN35" t="s">
        <v>1491</v>
      </c>
      <c r="AO35" t="s">
        <v>19</v>
      </c>
    </row>
    <row r="36" spans="1:41" x14ac:dyDescent="0.45">
      <c r="A36" t="s">
        <v>1264</v>
      </c>
      <c r="B36">
        <v>8</v>
      </c>
      <c r="C36" t="str">
        <f>HYPERLINK("http://www.ncbi.nlm.nih.gov/protein/XP_026862739.2","XP_026862739.2")</f>
        <v>XP_026862739.2</v>
      </c>
      <c r="D36">
        <v>45401</v>
      </c>
      <c r="E36" t="str">
        <f>HYPERLINK("http://www.ncbi.nlm.nih.gov/Taxonomy/Browser/wwwtax.cgi?mode=Info&amp;id=8005&amp;lvl=3&amp;lin=f&amp;keep=1&amp;srchmode=1&amp;unlock","8005")</f>
        <v>8005</v>
      </c>
      <c r="F36" t="s">
        <v>17</v>
      </c>
      <c r="G36" t="str">
        <f>HYPERLINK("http://www.ncbi.nlm.nih.gov/Taxonomy/Browser/wwwtax.cgi?mode=Info&amp;id=8005&amp;lvl=3&amp;lin=f&amp;keep=1&amp;srchmode=1&amp;unlock","Electrophorus electricus")</f>
        <v>Electrophorus electricus</v>
      </c>
      <c r="H36" t="s">
        <v>51</v>
      </c>
      <c r="I36" t="str">
        <f>HYPERLINK("http://www.ncbi.nlm.nih.gov/protein/XP_026862739.2","LOW QUALITY PROTEIN: ryanodine receptor 1")</f>
        <v>LOW QUALITY PROTEIN: ryanodine receptor 1</v>
      </c>
      <c r="J36" t="s">
        <v>1485</v>
      </c>
      <c r="K36" t="s">
        <v>19</v>
      </c>
      <c r="L36">
        <v>4592</v>
      </c>
      <c r="M36" t="s">
        <v>19</v>
      </c>
      <c r="N36" t="s">
        <v>19</v>
      </c>
      <c r="O36">
        <v>4595</v>
      </c>
      <c r="P36" t="s">
        <v>1486</v>
      </c>
      <c r="Q36" t="s">
        <v>19</v>
      </c>
      <c r="R36">
        <v>4596</v>
      </c>
      <c r="S36" t="s">
        <v>1487</v>
      </c>
      <c r="T36" t="s">
        <v>19</v>
      </c>
      <c r="U36">
        <v>4599</v>
      </c>
      <c r="V36" t="s">
        <v>1488</v>
      </c>
      <c r="W36" t="s">
        <v>19</v>
      </c>
      <c r="X36">
        <v>4689</v>
      </c>
      <c r="Y36" t="s">
        <v>1493</v>
      </c>
      <c r="Z36" t="s">
        <v>19</v>
      </c>
      <c r="AA36">
        <v>4825</v>
      </c>
      <c r="AB36" t="s">
        <v>19</v>
      </c>
      <c r="AC36" t="s">
        <v>19</v>
      </c>
      <c r="AD36">
        <v>4826</v>
      </c>
      <c r="AE36" t="s">
        <v>1488</v>
      </c>
      <c r="AF36" t="s">
        <v>19</v>
      </c>
      <c r="AG36">
        <v>4829</v>
      </c>
      <c r="AH36" t="s">
        <v>19</v>
      </c>
      <c r="AI36" t="s">
        <v>19</v>
      </c>
      <c r="AJ36">
        <v>4849</v>
      </c>
      <c r="AK36" t="s">
        <v>1490</v>
      </c>
      <c r="AL36" t="s">
        <v>19</v>
      </c>
      <c r="AM36">
        <v>4853</v>
      </c>
      <c r="AN36" t="s">
        <v>1491</v>
      </c>
      <c r="AO36" t="s">
        <v>19</v>
      </c>
    </row>
    <row r="37" spans="1:41" x14ac:dyDescent="0.45">
      <c r="A37" t="s">
        <v>1264</v>
      </c>
      <c r="B37">
        <v>8</v>
      </c>
      <c r="C37" t="str">
        <f>HYPERLINK("http://www.ncbi.nlm.nih.gov/protein/XP_035521823.1","XP_035521823.1")</f>
        <v>XP_035521823.1</v>
      </c>
      <c r="D37">
        <v>31152</v>
      </c>
      <c r="E37" t="str">
        <f>HYPERLINK("http://www.ncbi.nlm.nih.gov/Taxonomy/Browser/wwwtax.cgi?mode=Info&amp;id=34816&amp;lvl=3&amp;lin=f&amp;keep=1&amp;srchmode=1&amp;unlock","34816")</f>
        <v>34816</v>
      </c>
      <c r="F37" t="s">
        <v>17</v>
      </c>
      <c r="G37" t="str">
        <f>HYPERLINK("http://www.ncbi.nlm.nih.gov/Taxonomy/Browser/wwwtax.cgi?mode=Info&amp;id=34816&amp;lvl=3&amp;lin=f&amp;keep=1&amp;srchmode=1&amp;unlock","Morone saxatilis")</f>
        <v>Morone saxatilis</v>
      </c>
      <c r="H37" t="s">
        <v>52</v>
      </c>
      <c r="I37" t="str">
        <f>HYPERLINK("http://www.ncbi.nlm.nih.gov/protein/XP_035521823.1","ryanodine receptor 1-like isoform X1")</f>
        <v>ryanodine receptor 1-like isoform X1</v>
      </c>
      <c r="J37" t="s">
        <v>1485</v>
      </c>
      <c r="K37" t="s">
        <v>19</v>
      </c>
      <c r="L37">
        <v>4598</v>
      </c>
      <c r="M37" t="s">
        <v>19</v>
      </c>
      <c r="N37" t="s">
        <v>19</v>
      </c>
      <c r="O37">
        <v>4601</v>
      </c>
      <c r="P37" t="s">
        <v>1486</v>
      </c>
      <c r="Q37" t="s">
        <v>19</v>
      </c>
      <c r="R37">
        <v>4602</v>
      </c>
      <c r="S37" t="s">
        <v>1487</v>
      </c>
      <c r="T37" t="s">
        <v>19</v>
      </c>
      <c r="U37">
        <v>4605</v>
      </c>
      <c r="V37" t="s">
        <v>1488</v>
      </c>
      <c r="W37" t="s">
        <v>19</v>
      </c>
      <c r="X37">
        <v>4701</v>
      </c>
      <c r="Y37" t="s">
        <v>1493</v>
      </c>
      <c r="Z37" t="s">
        <v>19</v>
      </c>
      <c r="AA37">
        <v>4836</v>
      </c>
      <c r="AB37" t="s">
        <v>19</v>
      </c>
      <c r="AC37" t="s">
        <v>19</v>
      </c>
      <c r="AD37">
        <v>4837</v>
      </c>
      <c r="AE37" t="s">
        <v>1488</v>
      </c>
      <c r="AF37" t="s">
        <v>19</v>
      </c>
      <c r="AG37">
        <v>4840</v>
      </c>
      <c r="AH37" t="s">
        <v>19</v>
      </c>
      <c r="AI37" t="s">
        <v>19</v>
      </c>
      <c r="AJ37">
        <v>4860</v>
      </c>
      <c r="AK37" t="s">
        <v>1490</v>
      </c>
      <c r="AL37" t="s">
        <v>19</v>
      </c>
      <c r="AM37">
        <v>4864</v>
      </c>
      <c r="AN37" t="s">
        <v>1491</v>
      </c>
      <c r="AO37" t="s">
        <v>19</v>
      </c>
    </row>
    <row r="38" spans="1:41" x14ac:dyDescent="0.45">
      <c r="A38" t="s">
        <v>1264</v>
      </c>
      <c r="B38">
        <v>8</v>
      </c>
      <c r="C38" t="str">
        <f>HYPERLINK("http://www.ncbi.nlm.nih.gov/protein/XP_029925213.1","XP_029925213.1")</f>
        <v>XP_029925213.1</v>
      </c>
      <c r="D38">
        <v>38178</v>
      </c>
      <c r="E38" t="str">
        <f>HYPERLINK("http://www.ncbi.nlm.nih.gov/Taxonomy/Browser/wwwtax.cgi?mode=Info&amp;id=586833&amp;lvl=3&amp;lin=f&amp;keep=1&amp;srchmode=1&amp;unlock","586833")</f>
        <v>586833</v>
      </c>
      <c r="F38" t="s">
        <v>17</v>
      </c>
      <c r="G38" t="str">
        <f>HYPERLINK("http://www.ncbi.nlm.nih.gov/Taxonomy/Browser/wwwtax.cgi?mode=Info&amp;id=586833&amp;lvl=3&amp;lin=f&amp;keep=1&amp;srchmode=1&amp;unlock","Myripristis murdjan")</f>
        <v>Myripristis murdjan</v>
      </c>
      <c r="H38" t="s">
        <v>53</v>
      </c>
      <c r="I38" t="str">
        <f>HYPERLINK("http://www.ncbi.nlm.nih.gov/protein/XP_029925213.1","ryanodine receptor 1-like")</f>
        <v>ryanodine receptor 1-like</v>
      </c>
      <c r="J38" t="s">
        <v>1485</v>
      </c>
      <c r="K38" t="s">
        <v>19</v>
      </c>
      <c r="L38">
        <v>4602</v>
      </c>
      <c r="M38" t="s">
        <v>19</v>
      </c>
      <c r="N38" t="s">
        <v>19</v>
      </c>
      <c r="O38">
        <v>4605</v>
      </c>
      <c r="P38" t="s">
        <v>1486</v>
      </c>
      <c r="Q38" t="s">
        <v>19</v>
      </c>
      <c r="R38">
        <v>4606</v>
      </c>
      <c r="S38" t="s">
        <v>1487</v>
      </c>
      <c r="T38" t="s">
        <v>19</v>
      </c>
      <c r="U38">
        <v>4609</v>
      </c>
      <c r="V38" t="s">
        <v>1488</v>
      </c>
      <c r="W38" t="s">
        <v>19</v>
      </c>
      <c r="X38">
        <v>4705</v>
      </c>
      <c r="Y38" t="s">
        <v>1493</v>
      </c>
      <c r="Z38" t="s">
        <v>19</v>
      </c>
      <c r="AA38">
        <v>4840</v>
      </c>
      <c r="AB38" t="s">
        <v>19</v>
      </c>
      <c r="AC38" t="s">
        <v>19</v>
      </c>
      <c r="AD38">
        <v>4841</v>
      </c>
      <c r="AE38" t="s">
        <v>1488</v>
      </c>
      <c r="AF38" t="s">
        <v>19</v>
      </c>
      <c r="AG38">
        <v>4844</v>
      </c>
      <c r="AH38" t="s">
        <v>19</v>
      </c>
      <c r="AI38" t="s">
        <v>19</v>
      </c>
      <c r="AJ38">
        <v>4864</v>
      </c>
      <c r="AK38" t="s">
        <v>1490</v>
      </c>
      <c r="AL38" t="s">
        <v>19</v>
      </c>
      <c r="AM38">
        <v>4868</v>
      </c>
      <c r="AN38" t="s">
        <v>1491</v>
      </c>
      <c r="AO38" t="s">
        <v>19</v>
      </c>
    </row>
    <row r="39" spans="1:41" x14ac:dyDescent="0.45">
      <c r="A39" t="s">
        <v>1264</v>
      </c>
      <c r="B39">
        <v>8</v>
      </c>
      <c r="C39" t="str">
        <f>HYPERLINK("http://www.ncbi.nlm.nih.gov/protein/XP_056253076.1","XP_056253076.1")</f>
        <v>XP_056253076.1</v>
      </c>
      <c r="D39">
        <v>42717</v>
      </c>
      <c r="E39" t="str">
        <f>HYPERLINK("http://www.ncbi.nlm.nih.gov/Taxonomy/Browser/wwwtax.cgi?mode=Info&amp;id=2871759&amp;lvl=3&amp;lin=f&amp;keep=1&amp;srchmode=1&amp;unlock","2871759")</f>
        <v>2871759</v>
      </c>
      <c r="F39" t="s">
        <v>17</v>
      </c>
      <c r="G39" t="str">
        <f>HYPERLINK("http://www.ncbi.nlm.nih.gov/Taxonomy/Browser/wwwtax.cgi?mode=Info&amp;id=2871759&amp;lvl=3&amp;lin=f&amp;keep=1&amp;srchmode=1&amp;unlock","Seriola aureovittata")</f>
        <v>Seriola aureovittata</v>
      </c>
      <c r="H39" t="s">
        <v>54</v>
      </c>
      <c r="I39" t="str">
        <f>HYPERLINK("http://www.ncbi.nlm.nih.gov/protein/XP_056253076.1","ryanodine receptor 1-like")</f>
        <v>ryanodine receptor 1-like</v>
      </c>
      <c r="J39" t="s">
        <v>1485</v>
      </c>
      <c r="K39" t="s">
        <v>19</v>
      </c>
      <c r="L39">
        <v>4601</v>
      </c>
      <c r="M39" t="s">
        <v>19</v>
      </c>
      <c r="N39" t="s">
        <v>19</v>
      </c>
      <c r="O39">
        <v>4604</v>
      </c>
      <c r="P39" t="s">
        <v>1486</v>
      </c>
      <c r="Q39" t="s">
        <v>19</v>
      </c>
      <c r="R39">
        <v>4605</v>
      </c>
      <c r="S39" t="s">
        <v>1487</v>
      </c>
      <c r="T39" t="s">
        <v>19</v>
      </c>
      <c r="U39">
        <v>4608</v>
      </c>
      <c r="V39" t="s">
        <v>1488</v>
      </c>
      <c r="W39" t="s">
        <v>19</v>
      </c>
      <c r="X39">
        <v>4704</v>
      </c>
      <c r="Y39" t="s">
        <v>1493</v>
      </c>
      <c r="Z39" t="s">
        <v>19</v>
      </c>
      <c r="AA39">
        <v>4837</v>
      </c>
      <c r="AB39" t="s">
        <v>19</v>
      </c>
      <c r="AC39" t="s">
        <v>19</v>
      </c>
      <c r="AD39">
        <v>4838</v>
      </c>
      <c r="AE39" t="s">
        <v>1488</v>
      </c>
      <c r="AF39" t="s">
        <v>19</v>
      </c>
      <c r="AG39">
        <v>4841</v>
      </c>
      <c r="AH39" t="s">
        <v>19</v>
      </c>
      <c r="AI39" t="s">
        <v>19</v>
      </c>
      <c r="AJ39">
        <v>4861</v>
      </c>
      <c r="AK39" t="s">
        <v>1490</v>
      </c>
      <c r="AL39" t="s">
        <v>19</v>
      </c>
      <c r="AM39">
        <v>4865</v>
      </c>
      <c r="AN39" t="s">
        <v>1491</v>
      </c>
      <c r="AO39" t="s">
        <v>19</v>
      </c>
    </row>
    <row r="40" spans="1:41" x14ac:dyDescent="0.45">
      <c r="A40" t="s">
        <v>1264</v>
      </c>
      <c r="B40">
        <v>8</v>
      </c>
      <c r="C40" t="str">
        <f>HYPERLINK("http://www.ncbi.nlm.nih.gov/protein/XP_019108762.2","XP_019108762.2")</f>
        <v>XP_019108762.2</v>
      </c>
      <c r="D40">
        <v>94610</v>
      </c>
      <c r="E40" t="str">
        <f>HYPERLINK("http://www.ncbi.nlm.nih.gov/Taxonomy/Browser/wwwtax.cgi?mode=Info&amp;id=215358&amp;lvl=3&amp;lin=f&amp;keep=1&amp;srchmode=1&amp;unlock","215358")</f>
        <v>215358</v>
      </c>
      <c r="F40" t="s">
        <v>17</v>
      </c>
      <c r="G40" t="str">
        <f>HYPERLINK("http://www.ncbi.nlm.nih.gov/Taxonomy/Browser/wwwtax.cgi?mode=Info&amp;id=215358&amp;lvl=3&amp;lin=f&amp;keep=1&amp;srchmode=1&amp;unlock","Larimichthys crocea")</f>
        <v>Larimichthys crocea</v>
      </c>
      <c r="H40" t="s">
        <v>55</v>
      </c>
      <c r="I40" t="str">
        <f>HYPERLINK("http://www.ncbi.nlm.nih.gov/protein/XP_019108762.2","ryanodine receptor 1 isoform X1")</f>
        <v>ryanodine receptor 1 isoform X1</v>
      </c>
      <c r="J40" t="s">
        <v>1485</v>
      </c>
      <c r="K40" t="s">
        <v>19</v>
      </c>
      <c r="L40">
        <v>4606</v>
      </c>
      <c r="M40" t="s">
        <v>19</v>
      </c>
      <c r="N40" t="s">
        <v>19</v>
      </c>
      <c r="O40">
        <v>4609</v>
      </c>
      <c r="P40" t="s">
        <v>1486</v>
      </c>
      <c r="Q40" t="s">
        <v>19</v>
      </c>
      <c r="R40">
        <v>4610</v>
      </c>
      <c r="S40" t="s">
        <v>1487</v>
      </c>
      <c r="T40" t="s">
        <v>19</v>
      </c>
      <c r="U40">
        <v>4613</v>
      </c>
      <c r="V40" t="s">
        <v>1488</v>
      </c>
      <c r="W40" t="s">
        <v>19</v>
      </c>
      <c r="X40">
        <v>4710</v>
      </c>
      <c r="Y40" t="s">
        <v>1493</v>
      </c>
      <c r="Z40" t="s">
        <v>19</v>
      </c>
      <c r="AA40">
        <v>4845</v>
      </c>
      <c r="AB40" t="s">
        <v>19</v>
      </c>
      <c r="AC40" t="s">
        <v>19</v>
      </c>
      <c r="AD40">
        <v>4846</v>
      </c>
      <c r="AE40" t="s">
        <v>1488</v>
      </c>
      <c r="AF40" t="s">
        <v>19</v>
      </c>
      <c r="AG40">
        <v>4849</v>
      </c>
      <c r="AH40" t="s">
        <v>19</v>
      </c>
      <c r="AI40" t="s">
        <v>19</v>
      </c>
      <c r="AJ40">
        <v>4869</v>
      </c>
      <c r="AK40" t="s">
        <v>1490</v>
      </c>
      <c r="AL40" t="s">
        <v>19</v>
      </c>
      <c r="AM40">
        <v>4873</v>
      </c>
      <c r="AN40" t="s">
        <v>1491</v>
      </c>
      <c r="AO40" t="s">
        <v>19</v>
      </c>
    </row>
    <row r="41" spans="1:41" x14ac:dyDescent="0.45">
      <c r="A41" t="s">
        <v>1264</v>
      </c>
      <c r="B41">
        <v>8</v>
      </c>
      <c r="C41" t="str">
        <f>HYPERLINK("http://www.ncbi.nlm.nih.gov/protein/XP_035803039.2","XP_035803039.2")</f>
        <v>XP_035803039.2</v>
      </c>
      <c r="D41">
        <v>47453</v>
      </c>
      <c r="E41" t="str">
        <f>HYPERLINK("http://www.ncbi.nlm.nih.gov/Taxonomy/Browser/wwwtax.cgi?mode=Info&amp;id=80972&amp;lvl=3&amp;lin=f&amp;keep=1&amp;srchmode=1&amp;unlock","80972")</f>
        <v>80972</v>
      </c>
      <c r="F41" t="s">
        <v>17</v>
      </c>
      <c r="G41" t="str">
        <f>HYPERLINK("http://www.ncbi.nlm.nih.gov/Taxonomy/Browser/wwwtax.cgi?mode=Info&amp;id=80972&amp;lvl=3&amp;lin=f&amp;keep=1&amp;srchmode=1&amp;unlock","Amphiprion ocellaris")</f>
        <v>Amphiprion ocellaris</v>
      </c>
      <c r="H41" t="s">
        <v>56</v>
      </c>
      <c r="I41" t="str">
        <f>HYPERLINK("http://www.ncbi.nlm.nih.gov/protein/XP_035803039.2","ryanodine receptor 1-like isoform X4")</f>
        <v>ryanodine receptor 1-like isoform X4</v>
      </c>
      <c r="J41" t="s">
        <v>1485</v>
      </c>
      <c r="K41" t="s">
        <v>19</v>
      </c>
      <c r="L41">
        <v>4599</v>
      </c>
      <c r="M41" t="s">
        <v>19</v>
      </c>
      <c r="N41" t="s">
        <v>19</v>
      </c>
      <c r="O41">
        <v>4602</v>
      </c>
      <c r="P41" t="s">
        <v>1486</v>
      </c>
      <c r="Q41" t="s">
        <v>19</v>
      </c>
      <c r="R41">
        <v>4603</v>
      </c>
      <c r="S41" t="s">
        <v>1487</v>
      </c>
      <c r="T41" t="s">
        <v>19</v>
      </c>
      <c r="U41">
        <v>4606</v>
      </c>
      <c r="V41" t="s">
        <v>1488</v>
      </c>
      <c r="W41" t="s">
        <v>19</v>
      </c>
      <c r="X41">
        <v>4702</v>
      </c>
      <c r="Y41" t="s">
        <v>1493</v>
      </c>
      <c r="Z41" t="s">
        <v>19</v>
      </c>
      <c r="AA41">
        <v>4837</v>
      </c>
      <c r="AB41" t="s">
        <v>19</v>
      </c>
      <c r="AC41" t="s">
        <v>19</v>
      </c>
      <c r="AD41">
        <v>4838</v>
      </c>
      <c r="AE41" t="s">
        <v>1488</v>
      </c>
      <c r="AF41" t="s">
        <v>19</v>
      </c>
      <c r="AG41">
        <v>4841</v>
      </c>
      <c r="AH41" t="s">
        <v>19</v>
      </c>
      <c r="AI41" t="s">
        <v>19</v>
      </c>
      <c r="AJ41">
        <v>4861</v>
      </c>
      <c r="AK41" t="s">
        <v>1490</v>
      </c>
      <c r="AL41" t="s">
        <v>19</v>
      </c>
      <c r="AM41">
        <v>4865</v>
      </c>
      <c r="AN41" t="s">
        <v>1491</v>
      </c>
      <c r="AO41" t="s">
        <v>19</v>
      </c>
    </row>
    <row r="42" spans="1:41" x14ac:dyDescent="0.45">
      <c r="A42" t="s">
        <v>1264</v>
      </c>
      <c r="B42">
        <v>8</v>
      </c>
      <c r="C42" t="str">
        <f>HYPERLINK("http://www.ncbi.nlm.nih.gov/protein/XP_022618410.1","XP_022618410.1")</f>
        <v>XP_022618410.1</v>
      </c>
      <c r="D42">
        <v>32913</v>
      </c>
      <c r="E42" t="str">
        <f>HYPERLINK("http://www.ncbi.nlm.nih.gov/Taxonomy/Browser/wwwtax.cgi?mode=Info&amp;id=41447&amp;lvl=3&amp;lin=f&amp;keep=1&amp;srchmode=1&amp;unlock","41447")</f>
        <v>41447</v>
      </c>
      <c r="F42" t="s">
        <v>17</v>
      </c>
      <c r="G42" t="str">
        <f>HYPERLINK("http://www.ncbi.nlm.nih.gov/Taxonomy/Browser/wwwtax.cgi?mode=Info&amp;id=41447&amp;lvl=3&amp;lin=f&amp;keep=1&amp;srchmode=1&amp;unlock","Seriola dumerili")</f>
        <v>Seriola dumerili</v>
      </c>
      <c r="H42" t="s">
        <v>57</v>
      </c>
      <c r="I42" t="str">
        <f>HYPERLINK("http://www.ncbi.nlm.nih.gov/protein/XP_022618410.1","ryanodine receptor 1-like")</f>
        <v>ryanodine receptor 1-like</v>
      </c>
      <c r="J42" t="s">
        <v>1485</v>
      </c>
      <c r="K42" t="s">
        <v>19</v>
      </c>
      <c r="L42">
        <v>4501</v>
      </c>
      <c r="M42" t="s">
        <v>19</v>
      </c>
      <c r="N42" t="s">
        <v>19</v>
      </c>
      <c r="O42">
        <v>4504</v>
      </c>
      <c r="P42" t="s">
        <v>1486</v>
      </c>
      <c r="Q42" t="s">
        <v>19</v>
      </c>
      <c r="R42">
        <v>4505</v>
      </c>
      <c r="S42" t="s">
        <v>1487</v>
      </c>
      <c r="T42" t="s">
        <v>19</v>
      </c>
      <c r="U42">
        <v>4508</v>
      </c>
      <c r="V42" t="s">
        <v>1488</v>
      </c>
      <c r="W42" t="s">
        <v>19</v>
      </c>
      <c r="X42">
        <v>4604</v>
      </c>
      <c r="Y42" t="s">
        <v>1493</v>
      </c>
      <c r="Z42" t="s">
        <v>19</v>
      </c>
      <c r="AA42">
        <v>4737</v>
      </c>
      <c r="AB42" t="s">
        <v>19</v>
      </c>
      <c r="AC42" t="s">
        <v>19</v>
      </c>
      <c r="AD42">
        <v>4738</v>
      </c>
      <c r="AE42" t="s">
        <v>1488</v>
      </c>
      <c r="AF42" t="s">
        <v>19</v>
      </c>
      <c r="AG42">
        <v>4741</v>
      </c>
      <c r="AH42" t="s">
        <v>19</v>
      </c>
      <c r="AI42" t="s">
        <v>19</v>
      </c>
      <c r="AJ42">
        <v>4761</v>
      </c>
      <c r="AK42" t="s">
        <v>1490</v>
      </c>
      <c r="AL42" t="s">
        <v>19</v>
      </c>
      <c r="AM42">
        <v>4765</v>
      </c>
      <c r="AN42" t="s">
        <v>1491</v>
      </c>
      <c r="AO42" t="s">
        <v>19</v>
      </c>
    </row>
    <row r="43" spans="1:41" x14ac:dyDescent="0.45">
      <c r="A43" t="s">
        <v>1264</v>
      </c>
      <c r="B43">
        <v>8</v>
      </c>
      <c r="C43" t="str">
        <f>HYPERLINK("http://www.ncbi.nlm.nih.gov/protein/AWP00097.1","AWP00097.1")</f>
        <v>AWP00097.1</v>
      </c>
      <c r="D43">
        <v>104790</v>
      </c>
      <c r="E43" t="str">
        <f>HYPERLINK("http://www.ncbi.nlm.nih.gov/Taxonomy/Browser/wwwtax.cgi?mode=Info&amp;id=52904&amp;lvl=3&amp;lin=f&amp;keep=1&amp;srchmode=1&amp;unlock","52904")</f>
        <v>52904</v>
      </c>
      <c r="F43" t="s">
        <v>17</v>
      </c>
      <c r="G43" t="str">
        <f>HYPERLINK("http://www.ncbi.nlm.nih.gov/Taxonomy/Browser/wwwtax.cgi?mode=Info&amp;id=52904&amp;lvl=3&amp;lin=f&amp;keep=1&amp;srchmode=1&amp;unlock","Scophthalmus maximus")</f>
        <v>Scophthalmus maximus</v>
      </c>
      <c r="H43" t="s">
        <v>58</v>
      </c>
      <c r="I43" t="str">
        <f>HYPERLINK("http://www.ncbi.nlm.nih.gov/protein/AWP00097.1","putative ryanodine receptor 1-like")</f>
        <v>putative ryanodine receptor 1-like</v>
      </c>
      <c r="J43" t="s">
        <v>1485</v>
      </c>
      <c r="K43" t="s">
        <v>19</v>
      </c>
      <c r="L43">
        <v>4528</v>
      </c>
      <c r="M43" t="s">
        <v>19</v>
      </c>
      <c r="N43" t="s">
        <v>19</v>
      </c>
      <c r="O43">
        <v>4531</v>
      </c>
      <c r="P43" t="s">
        <v>1486</v>
      </c>
      <c r="Q43" t="s">
        <v>19</v>
      </c>
      <c r="R43">
        <v>4532</v>
      </c>
      <c r="S43" t="s">
        <v>1487</v>
      </c>
      <c r="T43" t="s">
        <v>19</v>
      </c>
      <c r="U43">
        <v>4535</v>
      </c>
      <c r="V43" t="s">
        <v>1488</v>
      </c>
      <c r="W43" t="s">
        <v>19</v>
      </c>
      <c r="X43">
        <v>4632</v>
      </c>
      <c r="Y43" t="s">
        <v>1493</v>
      </c>
      <c r="Z43" t="s">
        <v>19</v>
      </c>
      <c r="AA43">
        <v>4767</v>
      </c>
      <c r="AB43" t="s">
        <v>19</v>
      </c>
      <c r="AC43" t="s">
        <v>19</v>
      </c>
      <c r="AD43">
        <v>4768</v>
      </c>
      <c r="AE43" t="s">
        <v>1488</v>
      </c>
      <c r="AF43" t="s">
        <v>19</v>
      </c>
      <c r="AG43">
        <v>4771</v>
      </c>
      <c r="AH43" t="s">
        <v>19</v>
      </c>
      <c r="AI43" t="s">
        <v>19</v>
      </c>
      <c r="AJ43">
        <v>4791</v>
      </c>
      <c r="AK43" t="s">
        <v>1490</v>
      </c>
      <c r="AL43" t="s">
        <v>19</v>
      </c>
      <c r="AM43">
        <v>4795</v>
      </c>
      <c r="AN43" t="s">
        <v>1491</v>
      </c>
      <c r="AO43" t="s">
        <v>19</v>
      </c>
    </row>
    <row r="44" spans="1:41" x14ac:dyDescent="0.45">
      <c r="A44" t="s">
        <v>1264</v>
      </c>
      <c r="B44">
        <v>8</v>
      </c>
      <c r="C44" t="str">
        <f>HYPERLINK("http://www.ncbi.nlm.nih.gov/protein/KAG7516592.1","KAG7516592.1")</f>
        <v>KAG7516592.1</v>
      </c>
      <c r="D44">
        <v>91952</v>
      </c>
      <c r="E44" t="str">
        <f>HYPERLINK("http://www.ncbi.nlm.nih.gov/Taxonomy/Browser/wwwtax.cgi?mode=Info&amp;id=28829&amp;lvl=3&amp;lin=f&amp;keep=1&amp;srchmode=1&amp;unlock","28829")</f>
        <v>28829</v>
      </c>
      <c r="F44" t="s">
        <v>17</v>
      </c>
      <c r="G44" t="str">
        <f>HYPERLINK("http://www.ncbi.nlm.nih.gov/Taxonomy/Browser/wwwtax.cgi?mode=Info&amp;id=28829&amp;lvl=3&amp;lin=f&amp;keep=1&amp;srchmode=1&amp;unlock","Solea senegalensis")</f>
        <v>Solea senegalensis</v>
      </c>
      <c r="H44" t="s">
        <v>60</v>
      </c>
      <c r="I44" t="str">
        <f>HYPERLINK("http://www.ncbi.nlm.nih.gov/protein/KAG7516592.1","ryanodine receptor 1-like isoform X2")</f>
        <v>ryanodine receptor 1-like isoform X2</v>
      </c>
      <c r="J44" t="s">
        <v>1485</v>
      </c>
      <c r="K44" t="s">
        <v>19</v>
      </c>
      <c r="L44">
        <v>4590</v>
      </c>
      <c r="M44" t="s">
        <v>19</v>
      </c>
      <c r="N44" t="s">
        <v>19</v>
      </c>
      <c r="O44">
        <v>4593</v>
      </c>
      <c r="P44" t="s">
        <v>1486</v>
      </c>
      <c r="Q44" t="s">
        <v>19</v>
      </c>
      <c r="R44">
        <v>4594</v>
      </c>
      <c r="S44" t="s">
        <v>1487</v>
      </c>
      <c r="T44" t="s">
        <v>19</v>
      </c>
      <c r="U44">
        <v>4597</v>
      </c>
      <c r="V44" t="s">
        <v>1488</v>
      </c>
      <c r="W44" t="s">
        <v>19</v>
      </c>
      <c r="X44">
        <v>4694</v>
      </c>
      <c r="Y44" t="s">
        <v>1493</v>
      </c>
      <c r="Z44" t="s">
        <v>19</v>
      </c>
      <c r="AA44">
        <v>4829</v>
      </c>
      <c r="AB44" t="s">
        <v>19</v>
      </c>
      <c r="AC44" t="s">
        <v>19</v>
      </c>
      <c r="AD44">
        <v>4830</v>
      </c>
      <c r="AE44" t="s">
        <v>1488</v>
      </c>
      <c r="AF44" t="s">
        <v>19</v>
      </c>
      <c r="AG44">
        <v>4833</v>
      </c>
      <c r="AH44" t="s">
        <v>19</v>
      </c>
      <c r="AI44" t="s">
        <v>19</v>
      </c>
      <c r="AJ44">
        <v>4853</v>
      </c>
      <c r="AK44" t="s">
        <v>1490</v>
      </c>
      <c r="AL44" t="s">
        <v>19</v>
      </c>
      <c r="AM44">
        <v>4857</v>
      </c>
      <c r="AN44" t="s">
        <v>1491</v>
      </c>
      <c r="AO44" t="s">
        <v>19</v>
      </c>
    </row>
    <row r="45" spans="1:41" x14ac:dyDescent="0.45">
      <c r="A45" t="s">
        <v>1264</v>
      </c>
      <c r="B45">
        <v>8</v>
      </c>
      <c r="C45" t="str">
        <f>HYPERLINK("http://www.ncbi.nlm.nih.gov/protein/XP_044079569.1","XP_044079569.1")</f>
        <v>XP_044079569.1</v>
      </c>
      <c r="D45">
        <v>59434</v>
      </c>
      <c r="E45" t="str">
        <f>HYPERLINK("http://www.ncbi.nlm.nih.gov/Taxonomy/Browser/wwwtax.cgi?mode=Info&amp;id=119488&amp;lvl=3&amp;lin=f&amp;keep=1&amp;srchmode=1&amp;unlock","119488")</f>
        <v>119488</v>
      </c>
      <c r="F45" t="s">
        <v>17</v>
      </c>
      <c r="G45" t="str">
        <f>HYPERLINK("http://www.ncbi.nlm.nih.gov/Taxonomy/Browser/wwwtax.cgi?mode=Info&amp;id=119488&amp;lvl=3&amp;lin=f&amp;keep=1&amp;srchmode=1&amp;unlock","Siniperca chuatsi")</f>
        <v>Siniperca chuatsi</v>
      </c>
      <c r="H45" t="s">
        <v>62</v>
      </c>
      <c r="I45" t="str">
        <f>HYPERLINK("http://www.ncbi.nlm.nih.gov/protein/XP_044079569.1","ryanodine receptor 1-like isoform X12")</f>
        <v>ryanodine receptor 1-like isoform X12</v>
      </c>
      <c r="J45" t="s">
        <v>1485</v>
      </c>
      <c r="K45" t="s">
        <v>19</v>
      </c>
      <c r="L45">
        <v>4589</v>
      </c>
      <c r="M45" t="s">
        <v>19</v>
      </c>
      <c r="N45" t="s">
        <v>19</v>
      </c>
      <c r="O45">
        <v>4592</v>
      </c>
      <c r="P45" t="s">
        <v>1486</v>
      </c>
      <c r="Q45" t="s">
        <v>19</v>
      </c>
      <c r="R45">
        <v>4593</v>
      </c>
      <c r="S45" t="s">
        <v>1487</v>
      </c>
      <c r="T45" t="s">
        <v>19</v>
      </c>
      <c r="U45">
        <v>4596</v>
      </c>
      <c r="V45" t="s">
        <v>1488</v>
      </c>
      <c r="W45" t="s">
        <v>19</v>
      </c>
      <c r="X45">
        <v>4693</v>
      </c>
      <c r="Y45" t="s">
        <v>1493</v>
      </c>
      <c r="Z45" t="s">
        <v>19</v>
      </c>
      <c r="AA45">
        <v>4828</v>
      </c>
      <c r="AB45" t="s">
        <v>19</v>
      </c>
      <c r="AC45" t="s">
        <v>19</v>
      </c>
      <c r="AD45">
        <v>4829</v>
      </c>
      <c r="AE45" t="s">
        <v>1488</v>
      </c>
      <c r="AF45" t="s">
        <v>19</v>
      </c>
      <c r="AG45">
        <v>4832</v>
      </c>
      <c r="AH45" t="s">
        <v>19</v>
      </c>
      <c r="AI45" t="s">
        <v>19</v>
      </c>
      <c r="AJ45">
        <v>4852</v>
      </c>
      <c r="AK45" t="s">
        <v>1490</v>
      </c>
      <c r="AL45" t="s">
        <v>19</v>
      </c>
      <c r="AM45">
        <v>4856</v>
      </c>
      <c r="AN45" t="s">
        <v>1491</v>
      </c>
      <c r="AO45" t="s">
        <v>19</v>
      </c>
    </row>
    <row r="46" spans="1:41" x14ac:dyDescent="0.45">
      <c r="A46" t="s">
        <v>1264</v>
      </c>
      <c r="B46">
        <v>8</v>
      </c>
      <c r="C46" t="str">
        <f>HYPERLINK("http://www.ncbi.nlm.nih.gov/protein/XP_023277189.1","XP_023277189.1")</f>
        <v>XP_023277189.1</v>
      </c>
      <c r="D46">
        <v>38591</v>
      </c>
      <c r="E46" t="str">
        <f>HYPERLINK("http://www.ncbi.nlm.nih.gov/Taxonomy/Browser/wwwtax.cgi?mode=Info&amp;id=1841481&amp;lvl=3&amp;lin=f&amp;keep=1&amp;srchmode=1&amp;unlock","1841481")</f>
        <v>1841481</v>
      </c>
      <c r="F46" t="s">
        <v>17</v>
      </c>
      <c r="G46" t="str">
        <f>HYPERLINK("http://www.ncbi.nlm.nih.gov/Taxonomy/Browser/wwwtax.cgi?mode=Info&amp;id=1841481&amp;lvl=3&amp;lin=f&amp;keep=1&amp;srchmode=1&amp;unlock","Seriola lalandi dorsalis")</f>
        <v>Seriola lalandi dorsalis</v>
      </c>
      <c r="H46" t="s">
        <v>61</v>
      </c>
      <c r="I46" t="str">
        <f>HYPERLINK("http://www.ncbi.nlm.nih.gov/protein/XP_023277189.1","ryanodine receptor 1-like isoform X1")</f>
        <v>ryanodine receptor 1-like isoform X1</v>
      </c>
      <c r="J46" t="s">
        <v>1485</v>
      </c>
      <c r="K46" t="s">
        <v>19</v>
      </c>
      <c r="L46">
        <v>4609</v>
      </c>
      <c r="M46" t="s">
        <v>19</v>
      </c>
      <c r="N46" t="s">
        <v>19</v>
      </c>
      <c r="O46">
        <v>4612</v>
      </c>
      <c r="P46" t="s">
        <v>1486</v>
      </c>
      <c r="Q46" t="s">
        <v>19</v>
      </c>
      <c r="R46">
        <v>4613</v>
      </c>
      <c r="S46" t="s">
        <v>1487</v>
      </c>
      <c r="T46" t="s">
        <v>19</v>
      </c>
      <c r="U46">
        <v>4616</v>
      </c>
      <c r="V46" t="s">
        <v>1488</v>
      </c>
      <c r="W46" t="s">
        <v>19</v>
      </c>
      <c r="X46">
        <v>4712</v>
      </c>
      <c r="Y46" t="s">
        <v>1493</v>
      </c>
      <c r="Z46" t="s">
        <v>19</v>
      </c>
      <c r="AA46">
        <v>4845</v>
      </c>
      <c r="AB46" t="s">
        <v>19</v>
      </c>
      <c r="AC46" t="s">
        <v>19</v>
      </c>
      <c r="AD46">
        <v>4846</v>
      </c>
      <c r="AE46" t="s">
        <v>1488</v>
      </c>
      <c r="AF46" t="s">
        <v>19</v>
      </c>
      <c r="AG46">
        <v>4849</v>
      </c>
      <c r="AH46" t="s">
        <v>19</v>
      </c>
      <c r="AI46" t="s">
        <v>19</v>
      </c>
      <c r="AJ46">
        <v>4869</v>
      </c>
      <c r="AK46" t="s">
        <v>1490</v>
      </c>
      <c r="AL46" t="s">
        <v>19</v>
      </c>
      <c r="AM46">
        <v>4873</v>
      </c>
      <c r="AN46" t="s">
        <v>1491</v>
      </c>
      <c r="AO46" t="s">
        <v>19</v>
      </c>
    </row>
    <row r="47" spans="1:41" x14ac:dyDescent="0.45">
      <c r="A47" t="s">
        <v>1264</v>
      </c>
      <c r="B47">
        <v>8</v>
      </c>
      <c r="C47" t="str">
        <f>HYPERLINK("http://www.ncbi.nlm.nih.gov/protein/XP_054482335.1","XP_054482335.1")</f>
        <v>XP_054482335.1</v>
      </c>
      <c r="D47">
        <v>33066</v>
      </c>
      <c r="E47" t="str">
        <f>HYPERLINK("http://www.ncbi.nlm.nih.gov/Taxonomy/Browser/wwwtax.cgi?mode=Info&amp;id=229290&amp;lvl=3&amp;lin=f&amp;keep=1&amp;srchmode=1&amp;unlock","229290")</f>
        <v>229290</v>
      </c>
      <c r="F47" t="s">
        <v>17</v>
      </c>
      <c r="G47" t="str">
        <f>HYPERLINK("http://www.ncbi.nlm.nih.gov/Taxonomy/Browser/wwwtax.cgi?mode=Info&amp;id=229290&amp;lvl=3&amp;lin=f&amp;keep=1&amp;srchmode=1&amp;unlock","Anoplopoma fimbria")</f>
        <v>Anoplopoma fimbria</v>
      </c>
      <c r="H47" t="s">
        <v>63</v>
      </c>
      <c r="I47" t="str">
        <f>HYPERLINK("http://www.ncbi.nlm.nih.gov/protein/XP_054482335.1","ryanodine receptor 1-like")</f>
        <v>ryanodine receptor 1-like</v>
      </c>
      <c r="J47" t="s">
        <v>1485</v>
      </c>
      <c r="K47" t="s">
        <v>19</v>
      </c>
      <c r="L47">
        <v>4533</v>
      </c>
      <c r="M47" t="s">
        <v>19</v>
      </c>
      <c r="N47" t="s">
        <v>19</v>
      </c>
      <c r="O47">
        <v>4536</v>
      </c>
      <c r="P47" t="s">
        <v>1486</v>
      </c>
      <c r="Q47" t="s">
        <v>19</v>
      </c>
      <c r="R47">
        <v>4537</v>
      </c>
      <c r="S47" t="s">
        <v>1487</v>
      </c>
      <c r="T47" t="s">
        <v>19</v>
      </c>
      <c r="U47">
        <v>4540</v>
      </c>
      <c r="V47" t="s">
        <v>1488</v>
      </c>
      <c r="W47" t="s">
        <v>19</v>
      </c>
      <c r="X47">
        <v>4636</v>
      </c>
      <c r="Y47" t="s">
        <v>1493</v>
      </c>
      <c r="Z47" t="s">
        <v>19</v>
      </c>
      <c r="AA47">
        <v>4771</v>
      </c>
      <c r="AB47" t="s">
        <v>19</v>
      </c>
      <c r="AC47" t="s">
        <v>19</v>
      </c>
      <c r="AD47">
        <v>4772</v>
      </c>
      <c r="AE47" t="s">
        <v>1488</v>
      </c>
      <c r="AF47" t="s">
        <v>19</v>
      </c>
      <c r="AG47">
        <v>4775</v>
      </c>
      <c r="AH47" t="s">
        <v>19</v>
      </c>
      <c r="AI47" t="s">
        <v>19</v>
      </c>
      <c r="AJ47">
        <v>4795</v>
      </c>
      <c r="AK47" t="s">
        <v>1490</v>
      </c>
      <c r="AL47" t="s">
        <v>19</v>
      </c>
      <c r="AM47">
        <v>4799</v>
      </c>
      <c r="AN47" t="s">
        <v>1491</v>
      </c>
      <c r="AO47" t="s">
        <v>19</v>
      </c>
    </row>
    <row r="48" spans="1:41" x14ac:dyDescent="0.45">
      <c r="A48" t="s">
        <v>1264</v>
      </c>
      <c r="B48">
        <v>8</v>
      </c>
      <c r="C48" t="str">
        <f>HYPERLINK("http://www.ncbi.nlm.nih.gov/protein/XP_041808336.1","XP_041808336.1")</f>
        <v>XP_041808336.1</v>
      </c>
      <c r="D48">
        <v>33964</v>
      </c>
      <c r="E48" t="str">
        <f>HYPERLINK("http://www.ncbi.nlm.nih.gov/Taxonomy/Browser/wwwtax.cgi?mode=Info&amp;id=109905&amp;lvl=3&amp;lin=f&amp;keep=1&amp;srchmode=1&amp;unlock","109905")</f>
        <v>109905</v>
      </c>
      <c r="F48" t="s">
        <v>17</v>
      </c>
      <c r="G48" t="str">
        <f>HYPERLINK("http://www.ncbi.nlm.nih.gov/Taxonomy/Browser/wwwtax.cgi?mode=Info&amp;id=109905&amp;lvl=3&amp;lin=f&amp;keep=1&amp;srchmode=1&amp;unlock","Chelmon rostratus")</f>
        <v>Chelmon rostratus</v>
      </c>
      <c r="H48" t="s">
        <v>64</v>
      </c>
      <c r="I48" t="str">
        <f>HYPERLINK("http://www.ncbi.nlm.nih.gov/protein/XP_041808336.1","ryanodine receptor 1-like")</f>
        <v>ryanodine receptor 1-like</v>
      </c>
      <c r="J48" t="s">
        <v>1485</v>
      </c>
      <c r="K48" t="s">
        <v>19</v>
      </c>
      <c r="L48">
        <v>4536</v>
      </c>
      <c r="M48" t="s">
        <v>19</v>
      </c>
      <c r="N48" t="s">
        <v>19</v>
      </c>
      <c r="O48">
        <v>4539</v>
      </c>
      <c r="P48" t="s">
        <v>1486</v>
      </c>
      <c r="Q48" t="s">
        <v>19</v>
      </c>
      <c r="R48">
        <v>4540</v>
      </c>
      <c r="S48" t="s">
        <v>1487</v>
      </c>
      <c r="T48" t="s">
        <v>19</v>
      </c>
      <c r="U48">
        <v>4543</v>
      </c>
      <c r="V48" t="s">
        <v>1488</v>
      </c>
      <c r="W48" t="s">
        <v>19</v>
      </c>
      <c r="X48">
        <v>4640</v>
      </c>
      <c r="Y48" t="s">
        <v>1493</v>
      </c>
      <c r="Z48" t="s">
        <v>19</v>
      </c>
      <c r="AA48">
        <v>4775</v>
      </c>
      <c r="AB48" t="s">
        <v>19</v>
      </c>
      <c r="AC48" t="s">
        <v>19</v>
      </c>
      <c r="AD48">
        <v>4776</v>
      </c>
      <c r="AE48" t="s">
        <v>1488</v>
      </c>
      <c r="AF48" t="s">
        <v>19</v>
      </c>
      <c r="AG48">
        <v>4779</v>
      </c>
      <c r="AH48" t="s">
        <v>19</v>
      </c>
      <c r="AI48" t="s">
        <v>19</v>
      </c>
      <c r="AJ48">
        <v>4799</v>
      </c>
      <c r="AK48" t="s">
        <v>1490</v>
      </c>
      <c r="AL48" t="s">
        <v>19</v>
      </c>
      <c r="AM48">
        <v>4803</v>
      </c>
      <c r="AN48" t="s">
        <v>1491</v>
      </c>
      <c r="AO48" t="s">
        <v>19</v>
      </c>
    </row>
    <row r="49" spans="1:41" x14ac:dyDescent="0.45">
      <c r="A49" t="s">
        <v>1264</v>
      </c>
      <c r="B49">
        <v>8</v>
      </c>
      <c r="C49" t="str">
        <f>HYPERLINK("http://www.ncbi.nlm.nih.gov/protein/XP_015816253.1","XP_015816253.1")</f>
        <v>XP_015816253.1</v>
      </c>
      <c r="D49">
        <v>79907</v>
      </c>
      <c r="E49" t="str">
        <f>HYPERLINK("http://www.ncbi.nlm.nih.gov/Taxonomy/Browser/wwwtax.cgi?mode=Info&amp;id=105023&amp;lvl=3&amp;lin=f&amp;keep=1&amp;srchmode=1&amp;unlock","105023")</f>
        <v>105023</v>
      </c>
      <c r="F49" t="s">
        <v>17</v>
      </c>
      <c r="G49" t="str">
        <f>HYPERLINK("http://www.ncbi.nlm.nih.gov/Taxonomy/Browser/wwwtax.cgi?mode=Info&amp;id=105023&amp;lvl=3&amp;lin=f&amp;keep=1&amp;srchmode=1&amp;unlock","Nothobranchius furzeri")</f>
        <v>Nothobranchius furzeri</v>
      </c>
      <c r="H49" t="s">
        <v>65</v>
      </c>
      <c r="I49" t="str">
        <f>HYPERLINK("http://www.ncbi.nlm.nih.gov/protein/XP_015816253.1","ryanodine receptor 1 isoform X3")</f>
        <v>ryanodine receptor 1 isoform X3</v>
      </c>
      <c r="J49" t="s">
        <v>1485</v>
      </c>
      <c r="K49" t="s">
        <v>19</v>
      </c>
      <c r="L49">
        <v>4589</v>
      </c>
      <c r="M49" t="s">
        <v>19</v>
      </c>
      <c r="N49" t="s">
        <v>19</v>
      </c>
      <c r="O49">
        <v>4592</v>
      </c>
      <c r="P49" t="s">
        <v>1486</v>
      </c>
      <c r="Q49" t="s">
        <v>19</v>
      </c>
      <c r="R49">
        <v>4593</v>
      </c>
      <c r="S49" t="s">
        <v>1487</v>
      </c>
      <c r="T49" t="s">
        <v>19</v>
      </c>
      <c r="U49">
        <v>4596</v>
      </c>
      <c r="V49" t="s">
        <v>1488</v>
      </c>
      <c r="W49" t="s">
        <v>19</v>
      </c>
      <c r="X49">
        <v>4690</v>
      </c>
      <c r="Y49" t="s">
        <v>1493</v>
      </c>
      <c r="Z49" t="s">
        <v>19</v>
      </c>
      <c r="AA49">
        <v>4825</v>
      </c>
      <c r="AB49" t="s">
        <v>19</v>
      </c>
      <c r="AC49" t="s">
        <v>19</v>
      </c>
      <c r="AD49">
        <v>4826</v>
      </c>
      <c r="AE49" t="s">
        <v>1488</v>
      </c>
      <c r="AF49" t="s">
        <v>19</v>
      </c>
      <c r="AG49">
        <v>4829</v>
      </c>
      <c r="AH49" t="s">
        <v>19</v>
      </c>
      <c r="AI49" t="s">
        <v>19</v>
      </c>
      <c r="AJ49">
        <v>4849</v>
      </c>
      <c r="AK49" t="s">
        <v>1490</v>
      </c>
      <c r="AL49" t="s">
        <v>19</v>
      </c>
      <c r="AM49">
        <v>4853</v>
      </c>
      <c r="AN49" t="s">
        <v>1491</v>
      </c>
      <c r="AO49" t="s">
        <v>19</v>
      </c>
    </row>
    <row r="50" spans="1:41" x14ac:dyDescent="0.45">
      <c r="A50" t="s">
        <v>1264</v>
      </c>
      <c r="B50">
        <v>8</v>
      </c>
      <c r="C50" t="str">
        <f>HYPERLINK("http://www.ncbi.nlm.nih.gov/protein/XP_029376057.1","XP_029376057.1")</f>
        <v>XP_029376057.1</v>
      </c>
      <c r="D50">
        <v>38281</v>
      </c>
      <c r="E50" t="str">
        <f>HYPERLINK("http://www.ncbi.nlm.nih.gov/Taxonomy/Browser/wwwtax.cgi?mode=Info&amp;id=173247&amp;lvl=3&amp;lin=f&amp;keep=1&amp;srchmode=1&amp;unlock","173247")</f>
        <v>173247</v>
      </c>
      <c r="F50" t="s">
        <v>17</v>
      </c>
      <c r="G50" t="str">
        <f>HYPERLINK("http://www.ncbi.nlm.nih.gov/Taxonomy/Browser/wwwtax.cgi?mode=Info&amp;id=173247&amp;lvl=3&amp;lin=f&amp;keep=1&amp;srchmode=1&amp;unlock","Echeneis naucrates")</f>
        <v>Echeneis naucrates</v>
      </c>
      <c r="H50" t="s">
        <v>66</v>
      </c>
      <c r="I50" t="str">
        <f>HYPERLINK("http://www.ncbi.nlm.nih.gov/protein/XP_029376057.1","ryanodine receptor 1-like isoform X3")</f>
        <v>ryanodine receptor 1-like isoform X3</v>
      </c>
      <c r="J50" t="s">
        <v>1485</v>
      </c>
      <c r="K50" t="s">
        <v>19</v>
      </c>
      <c r="L50">
        <v>4616</v>
      </c>
      <c r="M50" t="s">
        <v>19</v>
      </c>
      <c r="N50" t="s">
        <v>19</v>
      </c>
      <c r="O50">
        <v>4619</v>
      </c>
      <c r="P50" t="s">
        <v>1486</v>
      </c>
      <c r="Q50" t="s">
        <v>19</v>
      </c>
      <c r="R50">
        <v>4620</v>
      </c>
      <c r="S50" t="s">
        <v>1487</v>
      </c>
      <c r="T50" t="s">
        <v>19</v>
      </c>
      <c r="U50">
        <v>4623</v>
      </c>
      <c r="V50" t="s">
        <v>1488</v>
      </c>
      <c r="W50" t="s">
        <v>19</v>
      </c>
      <c r="X50">
        <v>4717</v>
      </c>
      <c r="Y50" t="s">
        <v>1493</v>
      </c>
      <c r="Z50" t="s">
        <v>19</v>
      </c>
      <c r="AA50">
        <v>4852</v>
      </c>
      <c r="AB50" t="s">
        <v>19</v>
      </c>
      <c r="AC50" t="s">
        <v>19</v>
      </c>
      <c r="AD50">
        <v>4853</v>
      </c>
      <c r="AE50" t="s">
        <v>1488</v>
      </c>
      <c r="AF50" t="s">
        <v>19</v>
      </c>
      <c r="AG50">
        <v>4856</v>
      </c>
      <c r="AH50" t="s">
        <v>19</v>
      </c>
      <c r="AI50" t="s">
        <v>19</v>
      </c>
      <c r="AJ50">
        <v>4876</v>
      </c>
      <c r="AK50" t="s">
        <v>1490</v>
      </c>
      <c r="AL50" t="s">
        <v>19</v>
      </c>
      <c r="AM50">
        <v>4880</v>
      </c>
      <c r="AN50" t="s">
        <v>1491</v>
      </c>
      <c r="AO50" t="s">
        <v>19</v>
      </c>
    </row>
    <row r="51" spans="1:41" x14ac:dyDescent="0.45">
      <c r="A51" t="s">
        <v>1264</v>
      </c>
      <c r="B51">
        <v>8</v>
      </c>
      <c r="C51" t="str">
        <f>HYPERLINK("http://www.ncbi.nlm.nih.gov/protein/XP_028451085.1","XP_028451085.1")</f>
        <v>XP_028451085.1</v>
      </c>
      <c r="D51">
        <v>65002</v>
      </c>
      <c r="E51" t="str">
        <f>HYPERLINK("http://www.ncbi.nlm.nih.gov/Taxonomy/Browser/wwwtax.cgi?mode=Info&amp;id=8167&amp;lvl=3&amp;lin=f&amp;keep=1&amp;srchmode=1&amp;unlock","8167")</f>
        <v>8167</v>
      </c>
      <c r="F51" t="s">
        <v>17</v>
      </c>
      <c r="G51" t="str">
        <f>HYPERLINK("http://www.ncbi.nlm.nih.gov/Taxonomy/Browser/wwwtax.cgi?mode=Info&amp;id=8167&amp;lvl=3&amp;lin=f&amp;keep=1&amp;srchmode=1&amp;unlock","Perca flavescens")</f>
        <v>Perca flavescens</v>
      </c>
      <c r="H51" t="s">
        <v>67</v>
      </c>
      <c r="I51" t="str">
        <f>HYPERLINK("http://www.ncbi.nlm.nih.gov/protein/XP_028451085.1","ryanodine receptor 1-like")</f>
        <v>ryanodine receptor 1-like</v>
      </c>
      <c r="J51" t="s">
        <v>1485</v>
      </c>
      <c r="K51" t="s">
        <v>19</v>
      </c>
      <c r="L51">
        <v>4592</v>
      </c>
      <c r="M51" t="s">
        <v>19</v>
      </c>
      <c r="N51" t="s">
        <v>19</v>
      </c>
      <c r="O51">
        <v>4595</v>
      </c>
      <c r="P51" t="s">
        <v>1486</v>
      </c>
      <c r="Q51" t="s">
        <v>19</v>
      </c>
      <c r="R51">
        <v>4596</v>
      </c>
      <c r="S51" t="s">
        <v>1487</v>
      </c>
      <c r="T51" t="s">
        <v>19</v>
      </c>
      <c r="U51">
        <v>4599</v>
      </c>
      <c r="V51" t="s">
        <v>1488</v>
      </c>
      <c r="W51" t="s">
        <v>19</v>
      </c>
      <c r="X51">
        <v>4695</v>
      </c>
      <c r="Y51" t="s">
        <v>1493</v>
      </c>
      <c r="Z51" t="s">
        <v>19</v>
      </c>
      <c r="AA51">
        <v>4830</v>
      </c>
      <c r="AB51" t="s">
        <v>19</v>
      </c>
      <c r="AC51" t="s">
        <v>19</v>
      </c>
      <c r="AD51">
        <v>4831</v>
      </c>
      <c r="AE51" t="s">
        <v>1488</v>
      </c>
      <c r="AF51" t="s">
        <v>19</v>
      </c>
      <c r="AG51">
        <v>4834</v>
      </c>
      <c r="AH51" t="s">
        <v>19</v>
      </c>
      <c r="AI51" t="s">
        <v>19</v>
      </c>
      <c r="AJ51">
        <v>4854</v>
      </c>
      <c r="AK51" t="s">
        <v>1490</v>
      </c>
      <c r="AL51" t="s">
        <v>19</v>
      </c>
      <c r="AM51">
        <v>4858</v>
      </c>
      <c r="AN51" t="s">
        <v>1491</v>
      </c>
      <c r="AO51" t="s">
        <v>19</v>
      </c>
    </row>
    <row r="52" spans="1:41" x14ac:dyDescent="0.45">
      <c r="A52" t="s">
        <v>1264</v>
      </c>
      <c r="B52">
        <v>8</v>
      </c>
      <c r="C52" t="str">
        <f>HYPERLINK("http://www.ncbi.nlm.nih.gov/protein/XP_047462896.1","XP_047462896.1")</f>
        <v>XP_047462896.1</v>
      </c>
      <c r="D52">
        <v>45447</v>
      </c>
      <c r="E52" t="str">
        <f>HYPERLINK("http://www.ncbi.nlm.nih.gov/Taxonomy/Browser/wwwtax.cgi?mode=Info&amp;id=48193&amp;lvl=3&amp;lin=f&amp;keep=1&amp;srchmode=1&amp;unlock","48193")</f>
        <v>48193</v>
      </c>
      <c r="F52" t="s">
        <v>17</v>
      </c>
      <c r="G52" t="str">
        <f>HYPERLINK("http://www.ncbi.nlm.nih.gov/Taxonomy/Browser/wwwtax.cgi?mode=Info&amp;id=48193&amp;lvl=3&amp;lin=f&amp;keep=1&amp;srchmode=1&amp;unlock","Mugil cephalus")</f>
        <v>Mugil cephalus</v>
      </c>
      <c r="H52" t="s">
        <v>68</v>
      </c>
      <c r="I52" t="str">
        <f>HYPERLINK("http://www.ncbi.nlm.nih.gov/protein/XP_047462896.1","ryanodine receptor 1-like isoform X8")</f>
        <v>ryanodine receptor 1-like isoform X8</v>
      </c>
      <c r="J52" t="s">
        <v>1485</v>
      </c>
      <c r="K52" t="s">
        <v>19</v>
      </c>
      <c r="L52">
        <v>4611</v>
      </c>
      <c r="M52" t="s">
        <v>19</v>
      </c>
      <c r="N52" t="s">
        <v>19</v>
      </c>
      <c r="O52">
        <v>4614</v>
      </c>
      <c r="P52" t="s">
        <v>1486</v>
      </c>
      <c r="Q52" t="s">
        <v>19</v>
      </c>
      <c r="R52">
        <v>4615</v>
      </c>
      <c r="S52" t="s">
        <v>1487</v>
      </c>
      <c r="T52" t="s">
        <v>19</v>
      </c>
      <c r="U52">
        <v>4618</v>
      </c>
      <c r="V52" t="s">
        <v>1488</v>
      </c>
      <c r="W52" t="s">
        <v>19</v>
      </c>
      <c r="X52">
        <v>4715</v>
      </c>
      <c r="Y52" t="s">
        <v>1493</v>
      </c>
      <c r="Z52" t="s">
        <v>19</v>
      </c>
      <c r="AA52">
        <v>4850</v>
      </c>
      <c r="AB52" t="s">
        <v>19</v>
      </c>
      <c r="AC52" t="s">
        <v>19</v>
      </c>
      <c r="AD52">
        <v>4851</v>
      </c>
      <c r="AE52" t="s">
        <v>1488</v>
      </c>
      <c r="AF52" t="s">
        <v>19</v>
      </c>
      <c r="AG52">
        <v>4854</v>
      </c>
      <c r="AH52" t="s">
        <v>19</v>
      </c>
      <c r="AI52" t="s">
        <v>19</v>
      </c>
      <c r="AJ52">
        <v>4874</v>
      </c>
      <c r="AK52" t="s">
        <v>1490</v>
      </c>
      <c r="AL52" t="s">
        <v>19</v>
      </c>
      <c r="AM52">
        <v>4878</v>
      </c>
      <c r="AN52" t="s">
        <v>1491</v>
      </c>
      <c r="AO52" t="s">
        <v>19</v>
      </c>
    </row>
    <row r="53" spans="1:41" x14ac:dyDescent="0.45">
      <c r="A53" t="s">
        <v>1264</v>
      </c>
      <c r="B53">
        <v>8</v>
      </c>
      <c r="C53" t="str">
        <f>HYPERLINK("http://www.ncbi.nlm.nih.gov/protein/XP_024120892.1","XP_024120892.1")</f>
        <v>XP_024120892.1</v>
      </c>
      <c r="D53">
        <v>69270</v>
      </c>
      <c r="E53" t="str">
        <f>HYPERLINK("http://www.ncbi.nlm.nih.gov/Taxonomy/Browser/wwwtax.cgi?mode=Info&amp;id=30732&amp;lvl=3&amp;lin=f&amp;keep=1&amp;srchmode=1&amp;unlock","30732")</f>
        <v>30732</v>
      </c>
      <c r="F53" t="s">
        <v>17</v>
      </c>
      <c r="G53" t="str">
        <f>HYPERLINK("http://www.ncbi.nlm.nih.gov/Taxonomy/Browser/wwwtax.cgi?mode=Info&amp;id=30732&amp;lvl=3&amp;lin=f&amp;keep=1&amp;srchmode=1&amp;unlock","Oryzias melastigma")</f>
        <v>Oryzias melastigma</v>
      </c>
      <c r="H53" t="s">
        <v>69</v>
      </c>
      <c r="I53" t="str">
        <f>HYPERLINK("http://www.ncbi.nlm.nih.gov/protein/XP_024120892.1","ryanodine receptor 1 isoform X2")</f>
        <v>ryanodine receptor 1 isoform X2</v>
      </c>
      <c r="J53" t="s">
        <v>1485</v>
      </c>
      <c r="K53" t="s">
        <v>19</v>
      </c>
      <c r="L53">
        <v>4588</v>
      </c>
      <c r="M53" t="s">
        <v>19</v>
      </c>
      <c r="N53" t="s">
        <v>19</v>
      </c>
      <c r="O53">
        <v>4591</v>
      </c>
      <c r="P53" t="s">
        <v>1486</v>
      </c>
      <c r="Q53" t="s">
        <v>19</v>
      </c>
      <c r="R53">
        <v>4592</v>
      </c>
      <c r="S53" t="s">
        <v>1487</v>
      </c>
      <c r="T53" t="s">
        <v>19</v>
      </c>
      <c r="U53">
        <v>4595</v>
      </c>
      <c r="V53" t="s">
        <v>1488</v>
      </c>
      <c r="W53" t="s">
        <v>19</v>
      </c>
      <c r="X53">
        <v>4692</v>
      </c>
      <c r="Y53" t="s">
        <v>1493</v>
      </c>
      <c r="Z53" t="s">
        <v>19</v>
      </c>
      <c r="AA53">
        <v>4827</v>
      </c>
      <c r="AB53" t="s">
        <v>19</v>
      </c>
      <c r="AC53" t="s">
        <v>19</v>
      </c>
      <c r="AD53">
        <v>4828</v>
      </c>
      <c r="AE53" t="s">
        <v>1488</v>
      </c>
      <c r="AF53" t="s">
        <v>19</v>
      </c>
      <c r="AG53">
        <v>4831</v>
      </c>
      <c r="AH53" t="s">
        <v>19</v>
      </c>
      <c r="AI53" t="s">
        <v>19</v>
      </c>
      <c r="AJ53">
        <v>4851</v>
      </c>
      <c r="AK53" t="s">
        <v>1490</v>
      </c>
      <c r="AL53" t="s">
        <v>19</v>
      </c>
      <c r="AM53">
        <v>4855</v>
      </c>
      <c r="AN53" t="s">
        <v>1491</v>
      </c>
      <c r="AO53" t="s">
        <v>19</v>
      </c>
    </row>
    <row r="54" spans="1:41" x14ac:dyDescent="0.45">
      <c r="A54" t="s">
        <v>1264</v>
      </c>
      <c r="B54">
        <v>8</v>
      </c>
      <c r="C54" t="str">
        <f>HYPERLINK("http://www.ncbi.nlm.nih.gov/protein/XP_046876660.1","XP_046876660.1")</f>
        <v>XP_046876660.1</v>
      </c>
      <c r="D54">
        <v>38520</v>
      </c>
      <c r="E54" t="str">
        <f>HYPERLINK("http://www.ncbi.nlm.nih.gov/Taxonomy/Browser/wwwtax.cgi?mode=Info&amp;id=137520&amp;lvl=3&amp;lin=f&amp;keep=1&amp;srchmode=1&amp;unlock","137520")</f>
        <v>137520</v>
      </c>
      <c r="F54" t="s">
        <v>17</v>
      </c>
      <c r="G54" t="str">
        <f>HYPERLINK("http://www.ncbi.nlm.nih.gov/Taxonomy/Browser/wwwtax.cgi?mode=Info&amp;id=137520&amp;lvl=3&amp;lin=f&amp;keep=1&amp;srchmode=1&amp;unlock","Hypomesus transpacificus")</f>
        <v>Hypomesus transpacificus</v>
      </c>
      <c r="H54" t="s">
        <v>70</v>
      </c>
      <c r="I54" t="str">
        <f>HYPERLINK("http://www.ncbi.nlm.nih.gov/protein/XP_046876660.1","ryanodine receptor 1 isoform X15")</f>
        <v>ryanodine receptor 1 isoform X15</v>
      </c>
      <c r="J54" t="s">
        <v>1485</v>
      </c>
      <c r="K54" t="s">
        <v>22</v>
      </c>
      <c r="L54">
        <v>4599</v>
      </c>
      <c r="M54" t="s">
        <v>19</v>
      </c>
      <c r="N54" t="s">
        <v>19</v>
      </c>
      <c r="O54">
        <v>4602</v>
      </c>
      <c r="P54" t="s">
        <v>1486</v>
      </c>
      <c r="Q54" t="s">
        <v>19</v>
      </c>
      <c r="R54">
        <v>4603</v>
      </c>
      <c r="S54" t="s">
        <v>1487</v>
      </c>
      <c r="T54" t="s">
        <v>19</v>
      </c>
      <c r="U54">
        <v>4606</v>
      </c>
      <c r="V54" t="s">
        <v>1488</v>
      </c>
      <c r="W54" t="s">
        <v>19</v>
      </c>
      <c r="X54">
        <v>4697</v>
      </c>
      <c r="Y54" t="s">
        <v>1493</v>
      </c>
      <c r="Z54" t="s">
        <v>19</v>
      </c>
      <c r="AA54">
        <v>4832</v>
      </c>
      <c r="AB54" t="s">
        <v>19</v>
      </c>
      <c r="AC54" t="s">
        <v>19</v>
      </c>
      <c r="AD54">
        <v>4833</v>
      </c>
      <c r="AE54" t="s">
        <v>1488</v>
      </c>
      <c r="AF54" t="s">
        <v>19</v>
      </c>
      <c r="AG54">
        <v>4836</v>
      </c>
      <c r="AH54" t="s">
        <v>19</v>
      </c>
      <c r="AI54" t="s">
        <v>19</v>
      </c>
      <c r="AJ54">
        <v>4856</v>
      </c>
      <c r="AK54" t="s">
        <v>1490</v>
      </c>
      <c r="AL54" t="s">
        <v>19</v>
      </c>
      <c r="AM54">
        <v>4860</v>
      </c>
      <c r="AN54" t="s">
        <v>1492</v>
      </c>
      <c r="AO54" t="s">
        <v>22</v>
      </c>
    </row>
    <row r="55" spans="1:41" x14ac:dyDescent="0.45">
      <c r="A55" t="s">
        <v>1264</v>
      </c>
      <c r="B55">
        <v>8</v>
      </c>
      <c r="C55" t="str">
        <f>HYPERLINK("http://www.ncbi.nlm.nih.gov/protein/XP_038565134.1","XP_038565134.1")</f>
        <v>XP_038565134.1</v>
      </c>
      <c r="D55">
        <v>48388</v>
      </c>
      <c r="E55" t="str">
        <f>HYPERLINK("http://www.ncbi.nlm.nih.gov/Taxonomy/Browser/wwwtax.cgi?mode=Info&amp;id=27706&amp;lvl=3&amp;lin=f&amp;keep=1&amp;srchmode=1&amp;unlock","27706")</f>
        <v>27706</v>
      </c>
      <c r="F55" t="s">
        <v>17</v>
      </c>
      <c r="G55" t="str">
        <f>HYPERLINK("http://www.ncbi.nlm.nih.gov/Taxonomy/Browser/wwwtax.cgi?mode=Info&amp;id=27706&amp;lvl=3&amp;lin=f&amp;keep=1&amp;srchmode=1&amp;unlock","Micropterus salmoides")</f>
        <v>Micropterus salmoides</v>
      </c>
      <c r="H55" t="s">
        <v>71</v>
      </c>
      <c r="I55" t="str">
        <f>HYPERLINK("http://www.ncbi.nlm.nih.gov/protein/XP_038565134.1","ryanodine receptor 1-like isoform X9")</f>
        <v>ryanodine receptor 1-like isoform X9</v>
      </c>
      <c r="J55" t="s">
        <v>1485</v>
      </c>
      <c r="K55" t="s">
        <v>19</v>
      </c>
      <c r="L55">
        <v>4598</v>
      </c>
      <c r="M55" t="s">
        <v>19</v>
      </c>
      <c r="N55" t="s">
        <v>19</v>
      </c>
      <c r="O55">
        <v>4601</v>
      </c>
      <c r="P55" t="s">
        <v>1486</v>
      </c>
      <c r="Q55" t="s">
        <v>19</v>
      </c>
      <c r="R55">
        <v>4602</v>
      </c>
      <c r="S55" t="s">
        <v>1487</v>
      </c>
      <c r="T55" t="s">
        <v>19</v>
      </c>
      <c r="U55">
        <v>4605</v>
      </c>
      <c r="V55" t="s">
        <v>1488</v>
      </c>
      <c r="W55" t="s">
        <v>19</v>
      </c>
      <c r="X55">
        <v>4701</v>
      </c>
      <c r="Y55" t="s">
        <v>1493</v>
      </c>
      <c r="Z55" t="s">
        <v>19</v>
      </c>
      <c r="AA55">
        <v>4836</v>
      </c>
      <c r="AB55" t="s">
        <v>19</v>
      </c>
      <c r="AC55" t="s">
        <v>19</v>
      </c>
      <c r="AD55">
        <v>4837</v>
      </c>
      <c r="AE55" t="s">
        <v>1488</v>
      </c>
      <c r="AF55" t="s">
        <v>19</v>
      </c>
      <c r="AG55">
        <v>4840</v>
      </c>
      <c r="AH55" t="s">
        <v>19</v>
      </c>
      <c r="AI55" t="s">
        <v>19</v>
      </c>
      <c r="AJ55">
        <v>4860</v>
      </c>
      <c r="AK55" t="s">
        <v>1490</v>
      </c>
      <c r="AL55" t="s">
        <v>19</v>
      </c>
      <c r="AM55">
        <v>4864</v>
      </c>
      <c r="AN55" t="s">
        <v>1491</v>
      </c>
      <c r="AO55" t="s">
        <v>19</v>
      </c>
    </row>
    <row r="56" spans="1:41" x14ac:dyDescent="0.45">
      <c r="A56" t="s">
        <v>1264</v>
      </c>
      <c r="B56">
        <v>8</v>
      </c>
      <c r="C56" t="str">
        <f>HYPERLINK("http://www.ncbi.nlm.nih.gov/protein/XP_013766917.1","XP_013766917.1")</f>
        <v>XP_013766917.1</v>
      </c>
      <c r="D56">
        <v>38743</v>
      </c>
      <c r="E56" t="str">
        <f>HYPERLINK("http://www.ncbi.nlm.nih.gov/Taxonomy/Browser/wwwtax.cgi?mode=Info&amp;id=303518&amp;lvl=3&amp;lin=f&amp;keep=1&amp;srchmode=1&amp;unlock","303518")</f>
        <v>303518</v>
      </c>
      <c r="F56" t="s">
        <v>17</v>
      </c>
      <c r="G56" t="str">
        <f>HYPERLINK("http://www.ncbi.nlm.nih.gov/Taxonomy/Browser/wwwtax.cgi?mode=Info&amp;id=303518&amp;lvl=3&amp;lin=f&amp;keep=1&amp;srchmode=1&amp;unlock","Pundamilia nyererei")</f>
        <v>Pundamilia nyererei</v>
      </c>
      <c r="H56" t="s">
        <v>73</v>
      </c>
      <c r="I56" t="str">
        <f>HYPERLINK("http://www.ncbi.nlm.nih.gov/protein/XP_013766917.1","PREDICTED: ryanodine receptor 1-like isoform X2")</f>
        <v>PREDICTED: ryanodine receptor 1-like isoform X2</v>
      </c>
      <c r="J56" t="s">
        <v>1485</v>
      </c>
      <c r="K56" t="s">
        <v>19</v>
      </c>
      <c r="L56">
        <v>4597</v>
      </c>
      <c r="M56" t="s">
        <v>19</v>
      </c>
      <c r="N56" t="s">
        <v>19</v>
      </c>
      <c r="O56">
        <v>4600</v>
      </c>
      <c r="P56" t="s">
        <v>1486</v>
      </c>
      <c r="Q56" t="s">
        <v>19</v>
      </c>
      <c r="R56">
        <v>4601</v>
      </c>
      <c r="S56" t="s">
        <v>1487</v>
      </c>
      <c r="T56" t="s">
        <v>19</v>
      </c>
      <c r="U56">
        <v>4604</v>
      </c>
      <c r="V56" t="s">
        <v>1488</v>
      </c>
      <c r="W56" t="s">
        <v>19</v>
      </c>
      <c r="X56">
        <v>4701</v>
      </c>
      <c r="Y56" t="s">
        <v>1493</v>
      </c>
      <c r="Z56" t="s">
        <v>19</v>
      </c>
      <c r="AA56">
        <v>4836</v>
      </c>
      <c r="AB56" t="s">
        <v>19</v>
      </c>
      <c r="AC56" t="s">
        <v>19</v>
      </c>
      <c r="AD56">
        <v>4837</v>
      </c>
      <c r="AE56" t="s">
        <v>1488</v>
      </c>
      <c r="AF56" t="s">
        <v>19</v>
      </c>
      <c r="AG56">
        <v>4840</v>
      </c>
      <c r="AH56" t="s">
        <v>19</v>
      </c>
      <c r="AI56" t="s">
        <v>19</v>
      </c>
      <c r="AJ56">
        <v>4860</v>
      </c>
      <c r="AK56" t="s">
        <v>1490</v>
      </c>
      <c r="AL56" t="s">
        <v>19</v>
      </c>
      <c r="AM56">
        <v>4864</v>
      </c>
      <c r="AN56" t="s">
        <v>1491</v>
      </c>
      <c r="AO56" t="s">
        <v>19</v>
      </c>
    </row>
    <row r="57" spans="1:41" x14ac:dyDescent="0.45">
      <c r="A57" t="s">
        <v>1264</v>
      </c>
      <c r="B57">
        <v>8</v>
      </c>
      <c r="C57" t="str">
        <f>HYPERLINK("http://www.ncbi.nlm.nih.gov/protein/XP_035767617.1","XP_035767617.1")</f>
        <v>XP_035767617.1</v>
      </c>
      <c r="D57">
        <v>36437</v>
      </c>
      <c r="E57" t="str">
        <f>HYPERLINK("http://www.ncbi.nlm.nih.gov/Taxonomy/Browser/wwwtax.cgi?mode=Info&amp;id=32507&amp;lvl=3&amp;lin=f&amp;keep=1&amp;srchmode=1&amp;unlock","32507")</f>
        <v>32507</v>
      </c>
      <c r="F57" t="s">
        <v>17</v>
      </c>
      <c r="G57" t="str">
        <f>HYPERLINK("http://www.ncbi.nlm.nih.gov/Taxonomy/Browser/wwwtax.cgi?mode=Info&amp;id=32507&amp;lvl=3&amp;lin=f&amp;keep=1&amp;srchmode=1&amp;unlock","Neolamprologus brichardi")</f>
        <v>Neolamprologus brichardi</v>
      </c>
      <c r="H57" t="s">
        <v>72</v>
      </c>
      <c r="I57" t="str">
        <f>HYPERLINK("http://www.ncbi.nlm.nih.gov/protein/XP_035767617.1","ryanodine receptor 1-like isoform X4")</f>
        <v>ryanodine receptor 1-like isoform X4</v>
      </c>
      <c r="J57" t="s">
        <v>1485</v>
      </c>
      <c r="K57" t="s">
        <v>19</v>
      </c>
      <c r="L57">
        <v>4599</v>
      </c>
      <c r="M57" t="s">
        <v>19</v>
      </c>
      <c r="N57" t="s">
        <v>19</v>
      </c>
      <c r="O57">
        <v>4602</v>
      </c>
      <c r="P57" t="s">
        <v>1486</v>
      </c>
      <c r="Q57" t="s">
        <v>19</v>
      </c>
      <c r="R57">
        <v>4603</v>
      </c>
      <c r="S57" t="s">
        <v>1487</v>
      </c>
      <c r="T57" t="s">
        <v>19</v>
      </c>
      <c r="U57">
        <v>4606</v>
      </c>
      <c r="V57" t="s">
        <v>1488</v>
      </c>
      <c r="W57" t="s">
        <v>19</v>
      </c>
      <c r="X57">
        <v>4703</v>
      </c>
      <c r="Y57" t="s">
        <v>1493</v>
      </c>
      <c r="Z57" t="s">
        <v>19</v>
      </c>
      <c r="AA57">
        <v>4838</v>
      </c>
      <c r="AB57" t="s">
        <v>19</v>
      </c>
      <c r="AC57" t="s">
        <v>19</v>
      </c>
      <c r="AD57">
        <v>4839</v>
      </c>
      <c r="AE57" t="s">
        <v>1488</v>
      </c>
      <c r="AF57" t="s">
        <v>19</v>
      </c>
      <c r="AG57">
        <v>4842</v>
      </c>
      <c r="AH57" t="s">
        <v>19</v>
      </c>
      <c r="AI57" t="s">
        <v>19</v>
      </c>
      <c r="AJ57">
        <v>4862</v>
      </c>
      <c r="AK57" t="s">
        <v>1490</v>
      </c>
      <c r="AL57" t="s">
        <v>19</v>
      </c>
      <c r="AM57">
        <v>4866</v>
      </c>
      <c r="AN57" t="s">
        <v>1491</v>
      </c>
      <c r="AO57" t="s">
        <v>19</v>
      </c>
    </row>
    <row r="58" spans="1:41" x14ac:dyDescent="0.45">
      <c r="A58" t="s">
        <v>1264</v>
      </c>
      <c r="B58">
        <v>8</v>
      </c>
      <c r="C58" t="str">
        <f>HYPERLINK("http://www.ncbi.nlm.nih.gov/protein/XP_026036786.1","XP_026036786.1")</f>
        <v>XP_026036786.1</v>
      </c>
      <c r="D58">
        <v>52755</v>
      </c>
      <c r="E58" t="str">
        <f>HYPERLINK("http://www.ncbi.nlm.nih.gov/Taxonomy/Browser/wwwtax.cgi?mode=Info&amp;id=8154&amp;lvl=3&amp;lin=f&amp;keep=1&amp;srchmode=1&amp;unlock","8154")</f>
        <v>8154</v>
      </c>
      <c r="F58" t="s">
        <v>17</v>
      </c>
      <c r="G58" t="str">
        <f>HYPERLINK("http://www.ncbi.nlm.nih.gov/Taxonomy/Browser/wwwtax.cgi?mode=Info&amp;id=8154&amp;lvl=3&amp;lin=f&amp;keep=1&amp;srchmode=1&amp;unlock","Astatotilapia calliptera")</f>
        <v>Astatotilapia calliptera</v>
      </c>
      <c r="H58" t="s">
        <v>74</v>
      </c>
      <c r="I58" t="str">
        <f>HYPERLINK("http://www.ncbi.nlm.nih.gov/protein/XP_026036786.1","ryanodine receptor 1-like isoform X4")</f>
        <v>ryanodine receptor 1-like isoform X4</v>
      </c>
      <c r="J58" t="s">
        <v>1485</v>
      </c>
      <c r="K58" t="s">
        <v>19</v>
      </c>
      <c r="L58">
        <v>4599</v>
      </c>
      <c r="M58" t="s">
        <v>19</v>
      </c>
      <c r="N58" t="s">
        <v>19</v>
      </c>
      <c r="O58">
        <v>4602</v>
      </c>
      <c r="P58" t="s">
        <v>1486</v>
      </c>
      <c r="Q58" t="s">
        <v>19</v>
      </c>
      <c r="R58">
        <v>4603</v>
      </c>
      <c r="S58" t="s">
        <v>1487</v>
      </c>
      <c r="T58" t="s">
        <v>19</v>
      </c>
      <c r="U58">
        <v>4606</v>
      </c>
      <c r="V58" t="s">
        <v>1488</v>
      </c>
      <c r="W58" t="s">
        <v>19</v>
      </c>
      <c r="X58">
        <v>4703</v>
      </c>
      <c r="Y58" t="s">
        <v>1493</v>
      </c>
      <c r="Z58" t="s">
        <v>19</v>
      </c>
      <c r="AA58">
        <v>4838</v>
      </c>
      <c r="AB58" t="s">
        <v>19</v>
      </c>
      <c r="AC58" t="s">
        <v>19</v>
      </c>
      <c r="AD58">
        <v>4839</v>
      </c>
      <c r="AE58" t="s">
        <v>1488</v>
      </c>
      <c r="AF58" t="s">
        <v>19</v>
      </c>
      <c r="AG58">
        <v>4842</v>
      </c>
      <c r="AH58" t="s">
        <v>19</v>
      </c>
      <c r="AI58" t="s">
        <v>19</v>
      </c>
      <c r="AJ58">
        <v>4862</v>
      </c>
      <c r="AK58" t="s">
        <v>1490</v>
      </c>
      <c r="AL58" t="s">
        <v>19</v>
      </c>
      <c r="AM58">
        <v>4866</v>
      </c>
      <c r="AN58" t="s">
        <v>1491</v>
      </c>
      <c r="AO58" t="s">
        <v>19</v>
      </c>
    </row>
    <row r="59" spans="1:41" x14ac:dyDescent="0.45">
      <c r="A59" t="s">
        <v>1264</v>
      </c>
      <c r="B59">
        <v>8</v>
      </c>
      <c r="C59" t="str">
        <f>HYPERLINK("http://www.ncbi.nlm.nih.gov/protein/XP_042084247.1","XP_042084247.1")</f>
        <v>XP_042084247.1</v>
      </c>
      <c r="D59">
        <v>49303</v>
      </c>
      <c r="E59" t="str">
        <f>HYPERLINK("http://www.ncbi.nlm.nih.gov/Taxonomy/Browser/wwwtax.cgi?mode=Info&amp;id=8153&amp;lvl=3&amp;lin=f&amp;keep=1&amp;srchmode=1&amp;unlock","8153")</f>
        <v>8153</v>
      </c>
      <c r="F59" t="s">
        <v>17</v>
      </c>
      <c r="G59" t="str">
        <f>HYPERLINK("http://www.ncbi.nlm.nih.gov/Taxonomy/Browser/wwwtax.cgi?mode=Info&amp;id=8153&amp;lvl=3&amp;lin=f&amp;keep=1&amp;srchmode=1&amp;unlock","Haplochromis burtoni")</f>
        <v>Haplochromis burtoni</v>
      </c>
      <c r="H59" t="s">
        <v>75</v>
      </c>
      <c r="I59" t="str">
        <f>HYPERLINK("http://www.ncbi.nlm.nih.gov/protein/XP_042084247.1","ryanodine receptor 1 isoform X4")</f>
        <v>ryanodine receptor 1 isoform X4</v>
      </c>
      <c r="J59" t="s">
        <v>1485</v>
      </c>
      <c r="K59" t="s">
        <v>19</v>
      </c>
      <c r="L59">
        <v>4599</v>
      </c>
      <c r="M59" t="s">
        <v>19</v>
      </c>
      <c r="N59" t="s">
        <v>19</v>
      </c>
      <c r="O59">
        <v>4602</v>
      </c>
      <c r="P59" t="s">
        <v>1486</v>
      </c>
      <c r="Q59" t="s">
        <v>19</v>
      </c>
      <c r="R59">
        <v>4603</v>
      </c>
      <c r="S59" t="s">
        <v>1487</v>
      </c>
      <c r="T59" t="s">
        <v>19</v>
      </c>
      <c r="U59">
        <v>4606</v>
      </c>
      <c r="V59" t="s">
        <v>1488</v>
      </c>
      <c r="W59" t="s">
        <v>19</v>
      </c>
      <c r="X59">
        <v>4703</v>
      </c>
      <c r="Y59" t="s">
        <v>1493</v>
      </c>
      <c r="Z59" t="s">
        <v>19</v>
      </c>
      <c r="AA59">
        <v>4838</v>
      </c>
      <c r="AB59" t="s">
        <v>19</v>
      </c>
      <c r="AC59" t="s">
        <v>19</v>
      </c>
      <c r="AD59">
        <v>4839</v>
      </c>
      <c r="AE59" t="s">
        <v>1488</v>
      </c>
      <c r="AF59" t="s">
        <v>19</v>
      </c>
      <c r="AG59">
        <v>4842</v>
      </c>
      <c r="AH59" t="s">
        <v>19</v>
      </c>
      <c r="AI59" t="s">
        <v>19</v>
      </c>
      <c r="AJ59">
        <v>4862</v>
      </c>
      <c r="AK59" t="s">
        <v>1490</v>
      </c>
      <c r="AL59" t="s">
        <v>19</v>
      </c>
      <c r="AM59">
        <v>4866</v>
      </c>
      <c r="AN59" t="s">
        <v>1491</v>
      </c>
      <c r="AO59" t="s">
        <v>19</v>
      </c>
    </row>
    <row r="60" spans="1:41" x14ac:dyDescent="0.45">
      <c r="A60" t="s">
        <v>1264</v>
      </c>
      <c r="B60">
        <v>8</v>
      </c>
      <c r="C60" t="str">
        <f>HYPERLINK("http://www.ncbi.nlm.nih.gov/protein/XP_039888935.1","XP_039888935.1")</f>
        <v>XP_039888935.1</v>
      </c>
      <c r="D60">
        <v>53697</v>
      </c>
      <c r="E60" t="str">
        <f>HYPERLINK("http://www.ncbi.nlm.nih.gov/Taxonomy/Browser/wwwtax.cgi?mode=Info&amp;id=43689&amp;lvl=3&amp;lin=f&amp;keep=1&amp;srchmode=1&amp;unlock","43689")</f>
        <v>43689</v>
      </c>
      <c r="F60" t="s">
        <v>17</v>
      </c>
      <c r="G60" t="str">
        <f>HYPERLINK("http://www.ncbi.nlm.nih.gov/Taxonomy/Browser/wwwtax.cgi?mode=Info&amp;id=43689&amp;lvl=3&amp;lin=f&amp;keep=1&amp;srchmode=1&amp;unlock","Simochromis diagramma")</f>
        <v>Simochromis diagramma</v>
      </c>
      <c r="H60" t="s">
        <v>73</v>
      </c>
      <c r="I60" t="str">
        <f>HYPERLINK("http://www.ncbi.nlm.nih.gov/protein/XP_039888935.1","ryanodine receptor 1-like isoform X4")</f>
        <v>ryanodine receptor 1-like isoform X4</v>
      </c>
      <c r="J60" t="s">
        <v>1485</v>
      </c>
      <c r="K60" t="s">
        <v>19</v>
      </c>
      <c r="L60">
        <v>4599</v>
      </c>
      <c r="M60" t="s">
        <v>19</v>
      </c>
      <c r="N60" t="s">
        <v>19</v>
      </c>
      <c r="O60">
        <v>4602</v>
      </c>
      <c r="P60" t="s">
        <v>1486</v>
      </c>
      <c r="Q60" t="s">
        <v>19</v>
      </c>
      <c r="R60">
        <v>4603</v>
      </c>
      <c r="S60" t="s">
        <v>1487</v>
      </c>
      <c r="T60" t="s">
        <v>19</v>
      </c>
      <c r="U60">
        <v>4606</v>
      </c>
      <c r="V60" t="s">
        <v>1488</v>
      </c>
      <c r="W60" t="s">
        <v>19</v>
      </c>
      <c r="X60">
        <v>4703</v>
      </c>
      <c r="Y60" t="s">
        <v>1493</v>
      </c>
      <c r="Z60" t="s">
        <v>19</v>
      </c>
      <c r="AA60">
        <v>4838</v>
      </c>
      <c r="AB60" t="s">
        <v>19</v>
      </c>
      <c r="AC60" t="s">
        <v>19</v>
      </c>
      <c r="AD60">
        <v>4839</v>
      </c>
      <c r="AE60" t="s">
        <v>1488</v>
      </c>
      <c r="AF60" t="s">
        <v>19</v>
      </c>
      <c r="AG60">
        <v>4842</v>
      </c>
      <c r="AH60" t="s">
        <v>19</v>
      </c>
      <c r="AI60" t="s">
        <v>19</v>
      </c>
      <c r="AJ60">
        <v>4862</v>
      </c>
      <c r="AK60" t="s">
        <v>1490</v>
      </c>
      <c r="AL60" t="s">
        <v>19</v>
      </c>
      <c r="AM60">
        <v>4866</v>
      </c>
      <c r="AN60" t="s">
        <v>1491</v>
      </c>
      <c r="AO60" t="s">
        <v>19</v>
      </c>
    </row>
    <row r="61" spans="1:41" x14ac:dyDescent="0.45">
      <c r="A61" t="s">
        <v>1264</v>
      </c>
      <c r="B61">
        <v>8</v>
      </c>
      <c r="C61" t="str">
        <f>HYPERLINK("http://www.ncbi.nlm.nih.gov/protein/XP_034746477.1","XP_034746477.1")</f>
        <v>XP_034746477.1</v>
      </c>
      <c r="D61">
        <v>45233</v>
      </c>
      <c r="E61" t="str">
        <f>HYPERLINK("http://www.ncbi.nlm.nih.gov/Taxonomy/Browser/wwwtax.cgi?mode=Info&amp;id=417921&amp;lvl=3&amp;lin=f&amp;keep=1&amp;srchmode=1&amp;unlock","417921")</f>
        <v>417921</v>
      </c>
      <c r="F61" t="s">
        <v>17</v>
      </c>
      <c r="G61" t="str">
        <f>HYPERLINK("http://www.ncbi.nlm.nih.gov/Taxonomy/Browser/wwwtax.cgi?mode=Info&amp;id=417921&amp;lvl=3&amp;lin=f&amp;keep=1&amp;srchmode=1&amp;unlock","Etheostoma cragini")</f>
        <v>Etheostoma cragini</v>
      </c>
      <c r="H61" t="s">
        <v>76</v>
      </c>
      <c r="I61" t="str">
        <f>HYPERLINK("http://www.ncbi.nlm.nih.gov/protein/XP_034746477.1","ryanodine receptor 1-like isoform X7")</f>
        <v>ryanodine receptor 1-like isoform X7</v>
      </c>
      <c r="J61" t="s">
        <v>1485</v>
      </c>
      <c r="K61" t="s">
        <v>19</v>
      </c>
      <c r="L61">
        <v>4579</v>
      </c>
      <c r="M61" t="s">
        <v>19</v>
      </c>
      <c r="N61" t="s">
        <v>19</v>
      </c>
      <c r="O61">
        <v>4582</v>
      </c>
      <c r="P61" t="s">
        <v>1486</v>
      </c>
      <c r="Q61" t="s">
        <v>19</v>
      </c>
      <c r="R61">
        <v>4583</v>
      </c>
      <c r="S61" t="s">
        <v>1487</v>
      </c>
      <c r="T61" t="s">
        <v>19</v>
      </c>
      <c r="U61">
        <v>4586</v>
      </c>
      <c r="V61" t="s">
        <v>1488</v>
      </c>
      <c r="W61" t="s">
        <v>19</v>
      </c>
      <c r="X61">
        <v>4682</v>
      </c>
      <c r="Y61" t="s">
        <v>1493</v>
      </c>
      <c r="Z61" t="s">
        <v>19</v>
      </c>
      <c r="AA61">
        <v>4817</v>
      </c>
      <c r="AB61" t="s">
        <v>19</v>
      </c>
      <c r="AC61" t="s">
        <v>19</v>
      </c>
      <c r="AD61">
        <v>4818</v>
      </c>
      <c r="AE61" t="s">
        <v>1488</v>
      </c>
      <c r="AF61" t="s">
        <v>19</v>
      </c>
      <c r="AG61">
        <v>4821</v>
      </c>
      <c r="AH61" t="s">
        <v>19</v>
      </c>
      <c r="AI61" t="s">
        <v>19</v>
      </c>
      <c r="AJ61">
        <v>4841</v>
      </c>
      <c r="AK61" t="s">
        <v>1490</v>
      </c>
      <c r="AL61" t="s">
        <v>19</v>
      </c>
      <c r="AM61">
        <v>4845</v>
      </c>
      <c r="AN61" t="s">
        <v>1491</v>
      </c>
      <c r="AO61" t="s">
        <v>19</v>
      </c>
    </row>
    <row r="62" spans="1:41" x14ac:dyDescent="0.45">
      <c r="A62" t="s">
        <v>1264</v>
      </c>
      <c r="B62">
        <v>8</v>
      </c>
      <c r="C62" t="str">
        <f>HYPERLINK("http://www.ncbi.nlm.nih.gov/protein/XP_040908297.1","XP_040908297.1")</f>
        <v>XP_040908297.1</v>
      </c>
      <c r="D62">
        <v>38459</v>
      </c>
      <c r="E62" t="str">
        <f>HYPERLINK("http://www.ncbi.nlm.nih.gov/Taxonomy/Browser/wwwtax.cgi?mode=Info&amp;id=941984&amp;lvl=3&amp;lin=f&amp;keep=1&amp;srchmode=1&amp;unlock","941984")</f>
        <v>941984</v>
      </c>
      <c r="F62" t="s">
        <v>17</v>
      </c>
      <c r="G62" t="str">
        <f>HYPERLINK("http://www.ncbi.nlm.nih.gov/Taxonomy/Browser/wwwtax.cgi?mode=Info&amp;id=941984&amp;lvl=3&amp;lin=f&amp;keep=1&amp;srchmode=1&amp;unlock","Toxotes jaculatrix")</f>
        <v>Toxotes jaculatrix</v>
      </c>
      <c r="H62" t="s">
        <v>78</v>
      </c>
      <c r="I62" t="str">
        <f>HYPERLINK("http://www.ncbi.nlm.nih.gov/protein/XP_040908297.1","ryanodine receptor 1-like")</f>
        <v>ryanodine receptor 1-like</v>
      </c>
      <c r="J62" t="s">
        <v>1485</v>
      </c>
      <c r="K62" t="s">
        <v>19</v>
      </c>
      <c r="L62">
        <v>4598</v>
      </c>
      <c r="M62" t="s">
        <v>19</v>
      </c>
      <c r="N62" t="s">
        <v>19</v>
      </c>
      <c r="O62">
        <v>4601</v>
      </c>
      <c r="P62" t="s">
        <v>1486</v>
      </c>
      <c r="Q62" t="s">
        <v>19</v>
      </c>
      <c r="R62">
        <v>4602</v>
      </c>
      <c r="S62" t="s">
        <v>1487</v>
      </c>
      <c r="T62" t="s">
        <v>19</v>
      </c>
      <c r="U62">
        <v>4605</v>
      </c>
      <c r="V62" t="s">
        <v>1488</v>
      </c>
      <c r="W62" t="s">
        <v>19</v>
      </c>
      <c r="X62">
        <v>4702</v>
      </c>
      <c r="Y62" t="s">
        <v>1493</v>
      </c>
      <c r="Z62" t="s">
        <v>19</v>
      </c>
      <c r="AA62">
        <v>4837</v>
      </c>
      <c r="AB62" t="s">
        <v>19</v>
      </c>
      <c r="AC62" t="s">
        <v>19</v>
      </c>
      <c r="AD62">
        <v>4838</v>
      </c>
      <c r="AE62" t="s">
        <v>1488</v>
      </c>
      <c r="AF62" t="s">
        <v>19</v>
      </c>
      <c r="AG62">
        <v>4841</v>
      </c>
      <c r="AH62" t="s">
        <v>19</v>
      </c>
      <c r="AI62" t="s">
        <v>19</v>
      </c>
      <c r="AJ62">
        <v>4861</v>
      </c>
      <c r="AK62" t="s">
        <v>1490</v>
      </c>
      <c r="AL62" t="s">
        <v>19</v>
      </c>
      <c r="AM62">
        <v>4865</v>
      </c>
      <c r="AN62" t="s">
        <v>1491</v>
      </c>
      <c r="AO62" t="s">
        <v>19</v>
      </c>
    </row>
    <row r="63" spans="1:41" x14ac:dyDescent="0.45">
      <c r="A63" t="s">
        <v>1264</v>
      </c>
      <c r="B63">
        <v>8</v>
      </c>
      <c r="C63" t="str">
        <f>HYPERLINK("http://www.ncbi.nlm.nih.gov/protein/XP_051257102.1","XP_051257102.1")</f>
        <v>XP_051257102.1</v>
      </c>
      <c r="D63">
        <v>57329</v>
      </c>
      <c r="E63" t="str">
        <f>HYPERLINK("http://www.ncbi.nlm.nih.gov/Taxonomy/Browser/wwwtax.cgi?mode=Info&amp;id=13489&amp;lvl=3&amp;lin=f&amp;keep=1&amp;srchmode=1&amp;unlock","13489")</f>
        <v>13489</v>
      </c>
      <c r="F63" t="s">
        <v>17</v>
      </c>
      <c r="G63" t="str">
        <f>HYPERLINK("http://www.ncbi.nlm.nih.gov/Taxonomy/Browser/wwwtax.cgi?mode=Info&amp;id=13489&amp;lvl=3&amp;lin=f&amp;keep=1&amp;srchmode=1&amp;unlock","Dicentrarchus labrax")</f>
        <v>Dicentrarchus labrax</v>
      </c>
      <c r="H63" t="s">
        <v>77</v>
      </c>
      <c r="I63" t="str">
        <f>HYPERLINK("http://www.ncbi.nlm.nih.gov/protein/XP_051257102.1","ryanodine receptor 1 isoform X4")</f>
        <v>ryanodine receptor 1 isoform X4</v>
      </c>
      <c r="J63" t="s">
        <v>1485</v>
      </c>
      <c r="K63" t="s">
        <v>19</v>
      </c>
      <c r="L63">
        <v>4599</v>
      </c>
      <c r="M63" t="s">
        <v>19</v>
      </c>
      <c r="N63" t="s">
        <v>19</v>
      </c>
      <c r="O63">
        <v>4602</v>
      </c>
      <c r="P63" t="s">
        <v>1486</v>
      </c>
      <c r="Q63" t="s">
        <v>19</v>
      </c>
      <c r="R63">
        <v>4603</v>
      </c>
      <c r="S63" t="s">
        <v>1487</v>
      </c>
      <c r="T63" t="s">
        <v>19</v>
      </c>
      <c r="U63">
        <v>4606</v>
      </c>
      <c r="V63" t="s">
        <v>1488</v>
      </c>
      <c r="W63" t="s">
        <v>19</v>
      </c>
      <c r="X63">
        <v>4703</v>
      </c>
      <c r="Y63" t="s">
        <v>1493</v>
      </c>
      <c r="Z63" t="s">
        <v>19</v>
      </c>
      <c r="AA63">
        <v>4838</v>
      </c>
      <c r="AB63" t="s">
        <v>19</v>
      </c>
      <c r="AC63" t="s">
        <v>19</v>
      </c>
      <c r="AD63">
        <v>4839</v>
      </c>
      <c r="AE63" t="s">
        <v>1488</v>
      </c>
      <c r="AF63" t="s">
        <v>19</v>
      </c>
      <c r="AG63">
        <v>4842</v>
      </c>
      <c r="AH63" t="s">
        <v>19</v>
      </c>
      <c r="AI63" t="s">
        <v>19</v>
      </c>
      <c r="AJ63">
        <v>4862</v>
      </c>
      <c r="AK63" t="s">
        <v>1490</v>
      </c>
      <c r="AL63" t="s">
        <v>19</v>
      </c>
      <c r="AM63">
        <v>4866</v>
      </c>
      <c r="AN63" t="s">
        <v>1491</v>
      </c>
      <c r="AO63" t="s">
        <v>19</v>
      </c>
    </row>
    <row r="64" spans="1:41" x14ac:dyDescent="0.45">
      <c r="A64" t="s">
        <v>1264</v>
      </c>
      <c r="B64">
        <v>8</v>
      </c>
      <c r="C64" t="str">
        <f>HYPERLINK("http://www.ncbi.nlm.nih.gov/protein/XP_048840050.1","XP_048840050.1")</f>
        <v>XP_048840050.1</v>
      </c>
      <c r="D64">
        <v>62344</v>
      </c>
      <c r="E64" t="str">
        <f>HYPERLINK("http://www.ncbi.nlm.nih.gov/Taxonomy/Browser/wwwtax.cgi?mode=Info&amp;id=42636&amp;lvl=3&amp;lin=f&amp;keep=1&amp;srchmode=1&amp;unlock","42636")</f>
        <v>42636</v>
      </c>
      <c r="F64" t="s">
        <v>17</v>
      </c>
      <c r="G64" t="str">
        <f>HYPERLINK("http://www.ncbi.nlm.nih.gov/Taxonomy/Browser/wwwtax.cgi?mode=Info&amp;id=42636&amp;lvl=3&amp;lin=f&amp;keep=1&amp;srchmode=1&amp;unlock","Brienomyrus brachyistius")</f>
        <v>Brienomyrus brachyistius</v>
      </c>
      <c r="H64" t="s">
        <v>79</v>
      </c>
      <c r="I64" t="str">
        <f>HYPERLINK("http://www.ncbi.nlm.nih.gov/protein/XP_048840050.1","ryanodine receptor 1 isoform X1")</f>
        <v>ryanodine receptor 1 isoform X1</v>
      </c>
      <c r="J64" t="s">
        <v>1485</v>
      </c>
      <c r="K64" t="s">
        <v>19</v>
      </c>
      <c r="L64">
        <v>4609</v>
      </c>
      <c r="M64" t="s">
        <v>19</v>
      </c>
      <c r="N64" t="s">
        <v>19</v>
      </c>
      <c r="O64">
        <v>4612</v>
      </c>
      <c r="P64" t="s">
        <v>1486</v>
      </c>
      <c r="Q64" t="s">
        <v>19</v>
      </c>
      <c r="R64">
        <v>4613</v>
      </c>
      <c r="S64" t="s">
        <v>19</v>
      </c>
      <c r="T64" t="s">
        <v>19</v>
      </c>
      <c r="U64">
        <v>4616</v>
      </c>
      <c r="V64" t="s">
        <v>1488</v>
      </c>
      <c r="W64" t="s">
        <v>19</v>
      </c>
      <c r="X64">
        <v>4708</v>
      </c>
      <c r="Y64" t="s">
        <v>1493</v>
      </c>
      <c r="Z64" t="s">
        <v>19</v>
      </c>
      <c r="AA64">
        <v>4844</v>
      </c>
      <c r="AB64" t="s">
        <v>19</v>
      </c>
      <c r="AC64" t="s">
        <v>19</v>
      </c>
      <c r="AD64">
        <v>4845</v>
      </c>
      <c r="AE64" t="s">
        <v>1488</v>
      </c>
      <c r="AF64" t="s">
        <v>19</v>
      </c>
      <c r="AG64">
        <v>4848</v>
      </c>
      <c r="AH64" t="s">
        <v>19</v>
      </c>
      <c r="AI64" t="s">
        <v>19</v>
      </c>
      <c r="AJ64">
        <v>4868</v>
      </c>
      <c r="AK64" t="s">
        <v>1490</v>
      </c>
      <c r="AL64" t="s">
        <v>19</v>
      </c>
      <c r="AM64">
        <v>4872</v>
      </c>
      <c r="AN64" t="s">
        <v>1491</v>
      </c>
      <c r="AO64" t="s">
        <v>19</v>
      </c>
    </row>
    <row r="65" spans="1:41" x14ac:dyDescent="0.45">
      <c r="A65" t="s">
        <v>1264</v>
      </c>
      <c r="B65">
        <v>8</v>
      </c>
      <c r="C65" t="str">
        <f>HYPERLINK("http://www.ncbi.nlm.nih.gov/protein/XP_012778144.1","XP_012778144.1")</f>
        <v>XP_012778144.1</v>
      </c>
      <c r="D65">
        <v>46437</v>
      </c>
      <c r="E65" t="str">
        <f>HYPERLINK("http://www.ncbi.nlm.nih.gov/Taxonomy/Browser/wwwtax.cgi?mode=Info&amp;id=106582&amp;lvl=3&amp;lin=f&amp;keep=1&amp;srchmode=1&amp;unlock","106582")</f>
        <v>106582</v>
      </c>
      <c r="F65" t="s">
        <v>17</v>
      </c>
      <c r="G65" t="str">
        <f>HYPERLINK("http://www.ncbi.nlm.nih.gov/Taxonomy/Browser/wwwtax.cgi?mode=Info&amp;id=106582&amp;lvl=3&amp;lin=f&amp;keep=1&amp;srchmode=1&amp;unlock","Maylandia zebra")</f>
        <v>Maylandia zebra</v>
      </c>
      <c r="H65" t="s">
        <v>80</v>
      </c>
      <c r="I65" t="str">
        <f>HYPERLINK("http://www.ncbi.nlm.nih.gov/protein/XP_012778144.1","ryanodine receptor 1 isoform X1")</f>
        <v>ryanodine receptor 1 isoform X1</v>
      </c>
      <c r="J65" t="s">
        <v>1485</v>
      </c>
      <c r="K65" t="s">
        <v>19</v>
      </c>
      <c r="L65">
        <v>4605</v>
      </c>
      <c r="M65" t="s">
        <v>19</v>
      </c>
      <c r="N65" t="s">
        <v>19</v>
      </c>
      <c r="O65">
        <v>4608</v>
      </c>
      <c r="P65" t="s">
        <v>1486</v>
      </c>
      <c r="Q65" t="s">
        <v>19</v>
      </c>
      <c r="R65">
        <v>4609</v>
      </c>
      <c r="S65" t="s">
        <v>1487</v>
      </c>
      <c r="T65" t="s">
        <v>19</v>
      </c>
      <c r="U65">
        <v>4612</v>
      </c>
      <c r="V65" t="s">
        <v>1488</v>
      </c>
      <c r="W65" t="s">
        <v>19</v>
      </c>
      <c r="X65">
        <v>4709</v>
      </c>
      <c r="Y65" t="s">
        <v>1493</v>
      </c>
      <c r="Z65" t="s">
        <v>19</v>
      </c>
      <c r="AA65">
        <v>4844</v>
      </c>
      <c r="AB65" t="s">
        <v>19</v>
      </c>
      <c r="AC65" t="s">
        <v>19</v>
      </c>
      <c r="AD65">
        <v>4845</v>
      </c>
      <c r="AE65" t="s">
        <v>1488</v>
      </c>
      <c r="AF65" t="s">
        <v>19</v>
      </c>
      <c r="AG65">
        <v>4848</v>
      </c>
      <c r="AH65" t="s">
        <v>19</v>
      </c>
      <c r="AI65" t="s">
        <v>19</v>
      </c>
      <c r="AJ65">
        <v>4868</v>
      </c>
      <c r="AK65" t="s">
        <v>1490</v>
      </c>
      <c r="AL65" t="s">
        <v>19</v>
      </c>
      <c r="AM65">
        <v>4872</v>
      </c>
      <c r="AN65" t="s">
        <v>1491</v>
      </c>
      <c r="AO65" t="s">
        <v>19</v>
      </c>
    </row>
    <row r="66" spans="1:41" x14ac:dyDescent="0.45">
      <c r="A66" t="s">
        <v>1264</v>
      </c>
      <c r="B66">
        <v>8</v>
      </c>
      <c r="C66" t="str">
        <f>HYPERLINK("http://www.ncbi.nlm.nih.gov/protein/XP_057942190.1","XP_057942190.1")</f>
        <v>XP_057942190.1</v>
      </c>
      <c r="D66">
        <v>45989</v>
      </c>
      <c r="E66" t="str">
        <f>HYPERLINK("http://www.ncbi.nlm.nih.gov/Taxonomy/Browser/wwwtax.cgi?mode=Info&amp;id=161450&amp;lvl=3&amp;lin=f&amp;keep=1&amp;srchmode=1&amp;unlock","161450")</f>
        <v>161450</v>
      </c>
      <c r="F66" t="s">
        <v>17</v>
      </c>
      <c r="G66" t="str">
        <f>HYPERLINK("http://www.ncbi.nlm.nih.gov/Taxonomy/Browser/wwwtax.cgi?mode=Info&amp;id=161450&amp;lvl=3&amp;lin=f&amp;keep=1&amp;srchmode=1&amp;unlock","Doryrhamphus excisus")</f>
        <v>Doryrhamphus excisus</v>
      </c>
      <c r="H66" t="s">
        <v>81</v>
      </c>
      <c r="I66" t="str">
        <f>HYPERLINK("http://www.ncbi.nlm.nih.gov/protein/XP_057942190.1","ryanodine receptor 1-like isoform X5")</f>
        <v>ryanodine receptor 1-like isoform X5</v>
      </c>
      <c r="J66" t="s">
        <v>1485</v>
      </c>
      <c r="K66" t="s">
        <v>19</v>
      </c>
      <c r="L66">
        <v>4597</v>
      </c>
      <c r="M66" t="s">
        <v>19</v>
      </c>
      <c r="N66" t="s">
        <v>19</v>
      </c>
      <c r="O66">
        <v>4600</v>
      </c>
      <c r="P66" t="s">
        <v>1486</v>
      </c>
      <c r="Q66" t="s">
        <v>19</v>
      </c>
      <c r="R66">
        <v>4601</v>
      </c>
      <c r="S66" t="s">
        <v>1487</v>
      </c>
      <c r="T66" t="s">
        <v>19</v>
      </c>
      <c r="U66">
        <v>4604</v>
      </c>
      <c r="V66" t="s">
        <v>1488</v>
      </c>
      <c r="W66" t="s">
        <v>19</v>
      </c>
      <c r="X66">
        <v>4700</v>
      </c>
      <c r="Y66" t="s">
        <v>1493</v>
      </c>
      <c r="Z66" t="s">
        <v>19</v>
      </c>
      <c r="AA66">
        <v>4835</v>
      </c>
      <c r="AB66" t="s">
        <v>19</v>
      </c>
      <c r="AC66" t="s">
        <v>19</v>
      </c>
      <c r="AD66">
        <v>4836</v>
      </c>
      <c r="AE66" t="s">
        <v>1488</v>
      </c>
      <c r="AF66" t="s">
        <v>19</v>
      </c>
      <c r="AG66">
        <v>4839</v>
      </c>
      <c r="AH66" t="s">
        <v>19</v>
      </c>
      <c r="AI66" t="s">
        <v>19</v>
      </c>
      <c r="AJ66">
        <v>4859</v>
      </c>
      <c r="AK66" t="s">
        <v>1490</v>
      </c>
      <c r="AL66" t="s">
        <v>19</v>
      </c>
      <c r="AM66">
        <v>4863</v>
      </c>
      <c r="AN66" t="s">
        <v>1491</v>
      </c>
      <c r="AO66" t="s">
        <v>19</v>
      </c>
    </row>
    <row r="67" spans="1:41" x14ac:dyDescent="0.45">
      <c r="A67" t="s">
        <v>1264</v>
      </c>
      <c r="B67">
        <v>8</v>
      </c>
      <c r="C67" t="str">
        <f>HYPERLINK("http://www.ncbi.nlm.nih.gov/protein/XP_045896834.1","XP_045896834.1")</f>
        <v>XP_045896834.1</v>
      </c>
      <c r="D67">
        <v>48490</v>
      </c>
      <c r="E67" t="str">
        <f>HYPERLINK("http://www.ncbi.nlm.nih.gov/Taxonomy/Browser/wwwtax.cgi?mode=Info&amp;id=147949&amp;lvl=3&amp;lin=f&amp;keep=1&amp;srchmode=1&amp;unlock","147949")</f>
        <v>147949</v>
      </c>
      <c r="F67" t="s">
        <v>17</v>
      </c>
      <c r="G67" t="str">
        <f>HYPERLINK("http://www.ncbi.nlm.nih.gov/Taxonomy/Browser/wwwtax.cgi?mode=Info&amp;id=147949&amp;lvl=3&amp;lin=f&amp;keep=1&amp;srchmode=1&amp;unlock","Micropterus dolomieu")</f>
        <v>Micropterus dolomieu</v>
      </c>
      <c r="H67" t="s">
        <v>82</v>
      </c>
      <c r="I67" t="str">
        <f>HYPERLINK("http://www.ncbi.nlm.nih.gov/protein/XP_045896834.1","ryanodine receptor 1-like")</f>
        <v>ryanodine receptor 1-like</v>
      </c>
      <c r="J67" t="s">
        <v>1485</v>
      </c>
      <c r="K67" t="s">
        <v>19</v>
      </c>
      <c r="L67">
        <v>4604</v>
      </c>
      <c r="M67" t="s">
        <v>19</v>
      </c>
      <c r="N67" t="s">
        <v>19</v>
      </c>
      <c r="O67">
        <v>4607</v>
      </c>
      <c r="P67" t="s">
        <v>1486</v>
      </c>
      <c r="Q67" t="s">
        <v>19</v>
      </c>
      <c r="R67">
        <v>4608</v>
      </c>
      <c r="S67" t="s">
        <v>1487</v>
      </c>
      <c r="T67" t="s">
        <v>19</v>
      </c>
      <c r="U67">
        <v>4611</v>
      </c>
      <c r="V67" t="s">
        <v>1488</v>
      </c>
      <c r="W67" t="s">
        <v>19</v>
      </c>
      <c r="X67">
        <v>4707</v>
      </c>
      <c r="Y67" t="s">
        <v>1493</v>
      </c>
      <c r="Z67" t="s">
        <v>19</v>
      </c>
      <c r="AA67">
        <v>4842</v>
      </c>
      <c r="AB67" t="s">
        <v>19</v>
      </c>
      <c r="AC67" t="s">
        <v>19</v>
      </c>
      <c r="AD67">
        <v>4843</v>
      </c>
      <c r="AE67" t="s">
        <v>1488</v>
      </c>
      <c r="AF67" t="s">
        <v>19</v>
      </c>
      <c r="AG67">
        <v>4846</v>
      </c>
      <c r="AH67" t="s">
        <v>19</v>
      </c>
      <c r="AI67" t="s">
        <v>19</v>
      </c>
      <c r="AJ67">
        <v>4866</v>
      </c>
      <c r="AK67" t="s">
        <v>1490</v>
      </c>
      <c r="AL67" t="s">
        <v>19</v>
      </c>
      <c r="AM67">
        <v>4870</v>
      </c>
      <c r="AN67" t="s">
        <v>1491</v>
      </c>
      <c r="AO67" t="s">
        <v>19</v>
      </c>
    </row>
    <row r="68" spans="1:41" x14ac:dyDescent="0.45">
      <c r="A68" t="s">
        <v>1264</v>
      </c>
      <c r="B68">
        <v>8</v>
      </c>
      <c r="C68" t="str">
        <f>HYPERLINK("http://www.ncbi.nlm.nih.gov/protein/XP_019941589.1","XP_019941589.1")</f>
        <v>XP_019941589.1</v>
      </c>
      <c r="D68">
        <v>37917</v>
      </c>
      <c r="E68" t="str">
        <f>HYPERLINK("http://www.ncbi.nlm.nih.gov/Taxonomy/Browser/wwwtax.cgi?mode=Info&amp;id=8255&amp;lvl=3&amp;lin=f&amp;keep=1&amp;srchmode=1&amp;unlock","8255")</f>
        <v>8255</v>
      </c>
      <c r="F68" t="s">
        <v>17</v>
      </c>
      <c r="G68" t="str">
        <f>HYPERLINK("http://www.ncbi.nlm.nih.gov/Taxonomy/Browser/wwwtax.cgi?mode=Info&amp;id=8255&amp;lvl=3&amp;lin=f&amp;keep=1&amp;srchmode=1&amp;unlock","Paralichthys olivaceus")</f>
        <v>Paralichthys olivaceus</v>
      </c>
      <c r="H68" t="s">
        <v>83</v>
      </c>
      <c r="I68" t="str">
        <f>HYPERLINK("http://www.ncbi.nlm.nih.gov/protein/XP_019941589.1","PREDICTED: ryanodine receptor 1-like isoform X2")</f>
        <v>PREDICTED: ryanodine receptor 1-like isoform X2</v>
      </c>
      <c r="J68" t="s">
        <v>1485</v>
      </c>
      <c r="K68" t="s">
        <v>19</v>
      </c>
      <c r="L68">
        <v>4599</v>
      </c>
      <c r="M68" t="s">
        <v>19</v>
      </c>
      <c r="N68" t="s">
        <v>19</v>
      </c>
      <c r="O68">
        <v>4602</v>
      </c>
      <c r="P68" t="s">
        <v>1486</v>
      </c>
      <c r="Q68" t="s">
        <v>19</v>
      </c>
      <c r="R68">
        <v>4603</v>
      </c>
      <c r="S68" t="s">
        <v>1487</v>
      </c>
      <c r="T68" t="s">
        <v>19</v>
      </c>
      <c r="U68">
        <v>4606</v>
      </c>
      <c r="V68" t="s">
        <v>1488</v>
      </c>
      <c r="W68" t="s">
        <v>19</v>
      </c>
      <c r="X68">
        <v>4703</v>
      </c>
      <c r="Y68" t="s">
        <v>1493</v>
      </c>
      <c r="Z68" t="s">
        <v>19</v>
      </c>
      <c r="AA68">
        <v>4838</v>
      </c>
      <c r="AB68" t="s">
        <v>19</v>
      </c>
      <c r="AC68" t="s">
        <v>19</v>
      </c>
      <c r="AD68">
        <v>4839</v>
      </c>
      <c r="AE68" t="s">
        <v>1488</v>
      </c>
      <c r="AF68" t="s">
        <v>19</v>
      </c>
      <c r="AG68">
        <v>4842</v>
      </c>
      <c r="AH68" t="s">
        <v>19</v>
      </c>
      <c r="AI68" t="s">
        <v>19</v>
      </c>
      <c r="AJ68">
        <v>4862</v>
      </c>
      <c r="AK68" t="s">
        <v>1490</v>
      </c>
      <c r="AL68" t="s">
        <v>19</v>
      </c>
      <c r="AM68">
        <v>4866</v>
      </c>
      <c r="AN68" t="s">
        <v>1491</v>
      </c>
      <c r="AO68" t="s">
        <v>19</v>
      </c>
    </row>
    <row r="69" spans="1:41" x14ac:dyDescent="0.45">
      <c r="A69" t="s">
        <v>1264</v>
      </c>
      <c r="B69">
        <v>8</v>
      </c>
      <c r="C69" t="str">
        <f>HYPERLINK("http://www.ncbi.nlm.nih.gov/protein/XP_030294667.1","XP_030294667.1")</f>
        <v>XP_030294667.1</v>
      </c>
      <c r="D69">
        <v>54212</v>
      </c>
      <c r="E69" t="str">
        <f>HYPERLINK("http://www.ncbi.nlm.nih.gov/Taxonomy/Browser/wwwtax.cgi?mode=Info&amp;id=8175&amp;lvl=3&amp;lin=f&amp;keep=1&amp;srchmode=1&amp;unlock","8175")</f>
        <v>8175</v>
      </c>
      <c r="F69" t="s">
        <v>17</v>
      </c>
      <c r="G69" t="str">
        <f>HYPERLINK("http://www.ncbi.nlm.nih.gov/Taxonomy/Browser/wwwtax.cgi?mode=Info&amp;id=8175&amp;lvl=3&amp;lin=f&amp;keep=1&amp;srchmode=1&amp;unlock","Sparus aurata")</f>
        <v>Sparus aurata</v>
      </c>
      <c r="H69" t="s">
        <v>84</v>
      </c>
      <c r="I69" t="str">
        <f>HYPERLINK("http://www.ncbi.nlm.nih.gov/protein/XP_030294667.1","ryanodine receptor 1-like isoform X10")</f>
        <v>ryanodine receptor 1-like isoform X10</v>
      </c>
      <c r="J69" t="s">
        <v>1485</v>
      </c>
      <c r="K69" t="s">
        <v>19</v>
      </c>
      <c r="L69">
        <v>4595</v>
      </c>
      <c r="M69" t="s">
        <v>19</v>
      </c>
      <c r="N69" t="s">
        <v>19</v>
      </c>
      <c r="O69">
        <v>4598</v>
      </c>
      <c r="P69" t="s">
        <v>1486</v>
      </c>
      <c r="Q69" t="s">
        <v>19</v>
      </c>
      <c r="R69">
        <v>4599</v>
      </c>
      <c r="S69" t="s">
        <v>1487</v>
      </c>
      <c r="T69" t="s">
        <v>19</v>
      </c>
      <c r="U69">
        <v>4602</v>
      </c>
      <c r="V69" t="s">
        <v>1488</v>
      </c>
      <c r="W69" t="s">
        <v>19</v>
      </c>
      <c r="X69">
        <v>4699</v>
      </c>
      <c r="Y69" t="s">
        <v>1493</v>
      </c>
      <c r="Z69" t="s">
        <v>19</v>
      </c>
      <c r="AA69">
        <v>4834</v>
      </c>
      <c r="AB69" t="s">
        <v>19</v>
      </c>
      <c r="AC69" t="s">
        <v>19</v>
      </c>
      <c r="AD69">
        <v>4835</v>
      </c>
      <c r="AE69" t="s">
        <v>1488</v>
      </c>
      <c r="AF69" t="s">
        <v>19</v>
      </c>
      <c r="AG69">
        <v>4838</v>
      </c>
      <c r="AH69" t="s">
        <v>19</v>
      </c>
      <c r="AI69" t="s">
        <v>19</v>
      </c>
      <c r="AJ69">
        <v>4858</v>
      </c>
      <c r="AK69" t="s">
        <v>1490</v>
      </c>
      <c r="AL69" t="s">
        <v>19</v>
      </c>
      <c r="AM69">
        <v>4862</v>
      </c>
      <c r="AN69" t="s">
        <v>1491</v>
      </c>
      <c r="AO69" t="s">
        <v>19</v>
      </c>
    </row>
    <row r="70" spans="1:41" x14ac:dyDescent="0.45">
      <c r="A70" t="s">
        <v>1264</v>
      </c>
      <c r="B70">
        <v>8</v>
      </c>
      <c r="C70" t="str">
        <f>HYPERLINK("http://www.ncbi.nlm.nih.gov/protein/XP_008294796.1","XP_008294796.1")</f>
        <v>XP_008294796.1</v>
      </c>
      <c r="D70">
        <v>31764</v>
      </c>
      <c r="E70" t="str">
        <f>HYPERLINK("http://www.ncbi.nlm.nih.gov/Taxonomy/Browser/wwwtax.cgi?mode=Info&amp;id=144197&amp;lvl=3&amp;lin=f&amp;keep=1&amp;srchmode=1&amp;unlock","144197")</f>
        <v>144197</v>
      </c>
      <c r="F70" t="s">
        <v>17</v>
      </c>
      <c r="G70" t="str">
        <f>HYPERLINK("http://www.ncbi.nlm.nih.gov/Taxonomy/Browser/wwwtax.cgi?mode=Info&amp;id=144197&amp;lvl=3&amp;lin=f&amp;keep=1&amp;srchmode=1&amp;unlock","Stegastes partitus")</f>
        <v>Stegastes partitus</v>
      </c>
      <c r="H70" t="s">
        <v>85</v>
      </c>
      <c r="I70" t="str">
        <f>HYPERLINK("http://www.ncbi.nlm.nih.gov/protein/XP_008294796.1","PREDICTED: ryanodine receptor 1-like isoform X4")</f>
        <v>PREDICTED: ryanodine receptor 1-like isoform X4</v>
      </c>
      <c r="J70" t="s">
        <v>1485</v>
      </c>
      <c r="K70" t="s">
        <v>19</v>
      </c>
      <c r="L70">
        <v>4603</v>
      </c>
      <c r="M70" t="s">
        <v>19</v>
      </c>
      <c r="N70" t="s">
        <v>19</v>
      </c>
      <c r="O70">
        <v>4606</v>
      </c>
      <c r="P70" t="s">
        <v>1486</v>
      </c>
      <c r="Q70" t="s">
        <v>19</v>
      </c>
      <c r="R70">
        <v>4607</v>
      </c>
      <c r="S70" t="s">
        <v>1487</v>
      </c>
      <c r="T70" t="s">
        <v>19</v>
      </c>
      <c r="U70">
        <v>4610</v>
      </c>
      <c r="V70" t="s">
        <v>1488</v>
      </c>
      <c r="W70" t="s">
        <v>19</v>
      </c>
      <c r="X70">
        <v>4707</v>
      </c>
      <c r="Y70" t="s">
        <v>1493</v>
      </c>
      <c r="Z70" t="s">
        <v>19</v>
      </c>
      <c r="AA70">
        <v>4842</v>
      </c>
      <c r="AB70" t="s">
        <v>19</v>
      </c>
      <c r="AC70" t="s">
        <v>19</v>
      </c>
      <c r="AD70">
        <v>4843</v>
      </c>
      <c r="AE70" t="s">
        <v>1488</v>
      </c>
      <c r="AF70" t="s">
        <v>19</v>
      </c>
      <c r="AG70">
        <v>4846</v>
      </c>
      <c r="AH70" t="s">
        <v>19</v>
      </c>
      <c r="AI70" t="s">
        <v>19</v>
      </c>
      <c r="AJ70">
        <v>4866</v>
      </c>
      <c r="AK70" t="s">
        <v>1490</v>
      </c>
      <c r="AL70" t="s">
        <v>19</v>
      </c>
      <c r="AM70">
        <v>4870</v>
      </c>
      <c r="AN70" t="s">
        <v>1491</v>
      </c>
      <c r="AO70" t="s">
        <v>19</v>
      </c>
    </row>
    <row r="71" spans="1:41" x14ac:dyDescent="0.45">
      <c r="A71" t="s">
        <v>1264</v>
      </c>
      <c r="B71">
        <v>8</v>
      </c>
      <c r="C71" t="str">
        <f>HYPERLINK("http://www.ncbi.nlm.nih.gov/protein/XP_025766651.1","XP_025766651.1")</f>
        <v>XP_025766651.1</v>
      </c>
      <c r="D71">
        <v>63723</v>
      </c>
      <c r="E71" t="str">
        <f>HYPERLINK("http://www.ncbi.nlm.nih.gov/Taxonomy/Browser/wwwtax.cgi?mode=Info&amp;id=8128&amp;lvl=3&amp;lin=f&amp;keep=1&amp;srchmode=1&amp;unlock","8128")</f>
        <v>8128</v>
      </c>
      <c r="F71" t="s">
        <v>17</v>
      </c>
      <c r="G71" t="str">
        <f>HYPERLINK("http://www.ncbi.nlm.nih.gov/Taxonomy/Browser/wwwtax.cgi?mode=Info&amp;id=8128&amp;lvl=3&amp;lin=f&amp;keep=1&amp;srchmode=1&amp;unlock","Oreochromis niloticus")</f>
        <v>Oreochromis niloticus</v>
      </c>
      <c r="H71" t="s">
        <v>86</v>
      </c>
      <c r="I71" t="str">
        <f>HYPERLINK("http://www.ncbi.nlm.nih.gov/protein/XP_025766651.1","ryanodine receptor 1")</f>
        <v>ryanodine receptor 1</v>
      </c>
      <c r="J71" t="s">
        <v>1485</v>
      </c>
      <c r="K71" t="s">
        <v>19</v>
      </c>
      <c r="L71">
        <v>4603</v>
      </c>
      <c r="M71" t="s">
        <v>19</v>
      </c>
      <c r="N71" t="s">
        <v>19</v>
      </c>
      <c r="O71">
        <v>4606</v>
      </c>
      <c r="P71" t="s">
        <v>1486</v>
      </c>
      <c r="Q71" t="s">
        <v>19</v>
      </c>
      <c r="R71">
        <v>4607</v>
      </c>
      <c r="S71" t="s">
        <v>1487</v>
      </c>
      <c r="T71" t="s">
        <v>19</v>
      </c>
      <c r="U71">
        <v>4610</v>
      </c>
      <c r="V71" t="s">
        <v>1488</v>
      </c>
      <c r="W71" t="s">
        <v>19</v>
      </c>
      <c r="X71">
        <v>4707</v>
      </c>
      <c r="Y71" t="s">
        <v>1493</v>
      </c>
      <c r="Z71" t="s">
        <v>19</v>
      </c>
      <c r="AA71">
        <v>4842</v>
      </c>
      <c r="AB71" t="s">
        <v>19</v>
      </c>
      <c r="AC71" t="s">
        <v>19</v>
      </c>
      <c r="AD71">
        <v>4843</v>
      </c>
      <c r="AE71" t="s">
        <v>1488</v>
      </c>
      <c r="AF71" t="s">
        <v>19</v>
      </c>
      <c r="AG71">
        <v>4846</v>
      </c>
      <c r="AH71" t="s">
        <v>19</v>
      </c>
      <c r="AI71" t="s">
        <v>19</v>
      </c>
      <c r="AJ71">
        <v>4866</v>
      </c>
      <c r="AK71" t="s">
        <v>1490</v>
      </c>
      <c r="AL71" t="s">
        <v>19</v>
      </c>
      <c r="AM71">
        <v>4870</v>
      </c>
      <c r="AN71" t="s">
        <v>1491</v>
      </c>
      <c r="AO71" t="s">
        <v>19</v>
      </c>
    </row>
    <row r="72" spans="1:41" x14ac:dyDescent="0.45">
      <c r="A72" t="s">
        <v>1264</v>
      </c>
      <c r="B72">
        <v>8</v>
      </c>
      <c r="C72" t="str">
        <f>HYPERLINK("http://www.ncbi.nlm.nih.gov/protein/XP_053188001.1","XP_053188001.1")</f>
        <v>XP_053188001.1</v>
      </c>
      <c r="D72">
        <v>30754</v>
      </c>
      <c r="E72" t="str">
        <f>HYPERLINK("http://www.ncbi.nlm.nih.gov/Taxonomy/Browser/wwwtax.cgi?mode=Info&amp;id=13676&amp;lvl=3&amp;lin=f&amp;keep=1&amp;srchmode=1&amp;unlock","13676")</f>
        <v>13676</v>
      </c>
      <c r="F72" t="s">
        <v>17</v>
      </c>
      <c r="G72" t="str">
        <f>HYPERLINK("http://www.ncbi.nlm.nih.gov/Taxonomy/Browser/wwwtax.cgi?mode=Info&amp;id=13676&amp;lvl=3&amp;lin=f&amp;keep=1&amp;srchmode=1&amp;unlock","Scomber japonicus")</f>
        <v>Scomber japonicus</v>
      </c>
      <c r="H72" t="s">
        <v>87</v>
      </c>
      <c r="I72" t="str">
        <f>HYPERLINK("http://www.ncbi.nlm.nih.gov/protein/XP_053188001.1","ryanodine receptor 1-like")</f>
        <v>ryanodine receptor 1-like</v>
      </c>
      <c r="J72" t="s">
        <v>1485</v>
      </c>
      <c r="K72" t="s">
        <v>19</v>
      </c>
      <c r="L72">
        <v>4542</v>
      </c>
      <c r="M72" t="s">
        <v>19</v>
      </c>
      <c r="N72" t="s">
        <v>19</v>
      </c>
      <c r="O72">
        <v>4545</v>
      </c>
      <c r="P72" t="s">
        <v>1486</v>
      </c>
      <c r="Q72" t="s">
        <v>19</v>
      </c>
      <c r="R72">
        <v>4546</v>
      </c>
      <c r="S72" t="s">
        <v>1487</v>
      </c>
      <c r="T72" t="s">
        <v>19</v>
      </c>
      <c r="U72">
        <v>4549</v>
      </c>
      <c r="V72" t="s">
        <v>1488</v>
      </c>
      <c r="W72" t="s">
        <v>19</v>
      </c>
      <c r="X72">
        <v>4645</v>
      </c>
      <c r="Y72" t="s">
        <v>1493</v>
      </c>
      <c r="Z72" t="s">
        <v>19</v>
      </c>
      <c r="AA72">
        <v>4780</v>
      </c>
      <c r="AB72" t="s">
        <v>19</v>
      </c>
      <c r="AC72" t="s">
        <v>19</v>
      </c>
      <c r="AD72">
        <v>4781</v>
      </c>
      <c r="AE72" t="s">
        <v>1488</v>
      </c>
      <c r="AF72" t="s">
        <v>19</v>
      </c>
      <c r="AG72">
        <v>4784</v>
      </c>
      <c r="AH72" t="s">
        <v>19</v>
      </c>
      <c r="AI72" t="s">
        <v>19</v>
      </c>
      <c r="AJ72">
        <v>4804</v>
      </c>
      <c r="AK72" t="s">
        <v>1490</v>
      </c>
      <c r="AL72" t="s">
        <v>19</v>
      </c>
      <c r="AM72">
        <v>4808</v>
      </c>
      <c r="AN72" t="s">
        <v>1491</v>
      </c>
      <c r="AO72" t="s">
        <v>19</v>
      </c>
    </row>
    <row r="73" spans="1:41" x14ac:dyDescent="0.45">
      <c r="A73" t="s">
        <v>1264</v>
      </c>
      <c r="B73">
        <v>8</v>
      </c>
      <c r="C73" t="str">
        <f>HYPERLINK("http://www.ncbi.nlm.nih.gov/protein/XP_051793501.1","XP_051793501.1")</f>
        <v>XP_051793501.1</v>
      </c>
      <c r="D73">
        <v>46396</v>
      </c>
      <c r="E73" t="str">
        <f>HYPERLINK("http://www.ncbi.nlm.nih.gov/Taxonomy/Browser/wwwtax.cgi?mode=Info&amp;id=80966&amp;lvl=3&amp;lin=f&amp;keep=1&amp;srchmode=1&amp;unlock","80966")</f>
        <v>80966</v>
      </c>
      <c r="F73" t="s">
        <v>17</v>
      </c>
      <c r="G73" t="str">
        <f>HYPERLINK("http://www.ncbi.nlm.nih.gov/Taxonomy/Browser/wwwtax.cgi?mode=Info&amp;id=80966&amp;lvl=3&amp;lin=f&amp;keep=1&amp;srchmode=1&amp;unlock","Acanthochromis polyacanthus")</f>
        <v>Acanthochromis polyacanthus</v>
      </c>
      <c r="H73" t="s">
        <v>88</v>
      </c>
      <c r="I73" t="str">
        <f>HYPERLINK("http://www.ncbi.nlm.nih.gov/protein/XP_051793501.1","ryanodine receptor 1-like")</f>
        <v>ryanodine receptor 1-like</v>
      </c>
      <c r="J73" t="s">
        <v>1485</v>
      </c>
      <c r="K73" t="s">
        <v>19</v>
      </c>
      <c r="L73">
        <v>4595</v>
      </c>
      <c r="M73" t="s">
        <v>19</v>
      </c>
      <c r="N73" t="s">
        <v>19</v>
      </c>
      <c r="O73">
        <v>4598</v>
      </c>
      <c r="P73" t="s">
        <v>1486</v>
      </c>
      <c r="Q73" t="s">
        <v>19</v>
      </c>
      <c r="R73">
        <v>4599</v>
      </c>
      <c r="S73" t="s">
        <v>1487</v>
      </c>
      <c r="T73" t="s">
        <v>19</v>
      </c>
      <c r="U73">
        <v>4602</v>
      </c>
      <c r="V73" t="s">
        <v>1488</v>
      </c>
      <c r="W73" t="s">
        <v>19</v>
      </c>
      <c r="X73">
        <v>4698</v>
      </c>
      <c r="Y73" t="s">
        <v>1493</v>
      </c>
      <c r="Z73" t="s">
        <v>19</v>
      </c>
      <c r="AA73">
        <v>4833</v>
      </c>
      <c r="AB73" t="s">
        <v>19</v>
      </c>
      <c r="AC73" t="s">
        <v>19</v>
      </c>
      <c r="AD73">
        <v>4834</v>
      </c>
      <c r="AE73" t="s">
        <v>1488</v>
      </c>
      <c r="AF73" t="s">
        <v>19</v>
      </c>
      <c r="AG73">
        <v>4837</v>
      </c>
      <c r="AH73" t="s">
        <v>19</v>
      </c>
      <c r="AI73" t="s">
        <v>19</v>
      </c>
      <c r="AJ73">
        <v>4857</v>
      </c>
      <c r="AK73" t="s">
        <v>1490</v>
      </c>
      <c r="AL73" t="s">
        <v>19</v>
      </c>
      <c r="AM73">
        <v>4861</v>
      </c>
      <c r="AN73" t="s">
        <v>1491</v>
      </c>
      <c r="AO73" t="s">
        <v>19</v>
      </c>
    </row>
    <row r="74" spans="1:41" x14ac:dyDescent="0.45">
      <c r="A74" t="s">
        <v>1264</v>
      </c>
      <c r="B74">
        <v>8</v>
      </c>
      <c r="C74" t="str">
        <f>HYPERLINK("http://www.ncbi.nlm.nih.gov/protein/XP_032388917.1","XP_032388917.1")</f>
        <v>XP_032388917.1</v>
      </c>
      <c r="D74">
        <v>64511</v>
      </c>
      <c r="E74" t="str">
        <f>HYPERLINK("http://www.ncbi.nlm.nih.gov/Taxonomy/Browser/wwwtax.cgi?mode=Info&amp;id=54343&amp;lvl=3&amp;lin=f&amp;keep=1&amp;srchmode=1&amp;unlock","54343")</f>
        <v>54343</v>
      </c>
      <c r="F74" t="s">
        <v>17</v>
      </c>
      <c r="G74" t="str">
        <f>HYPERLINK("http://www.ncbi.nlm.nih.gov/Taxonomy/Browser/wwwtax.cgi?mode=Info&amp;id=54343&amp;lvl=3&amp;lin=f&amp;keep=1&amp;srchmode=1&amp;unlock","Etheostoma spectabile")</f>
        <v>Etheostoma spectabile</v>
      </c>
      <c r="H74" t="s">
        <v>89</v>
      </c>
      <c r="I74" t="str">
        <f>HYPERLINK("http://www.ncbi.nlm.nih.gov/protein/XP_032388917.1","ryanodine receptor 1-like isoform X7")</f>
        <v>ryanodine receptor 1-like isoform X7</v>
      </c>
      <c r="J74" t="s">
        <v>1485</v>
      </c>
      <c r="K74" t="s">
        <v>19</v>
      </c>
      <c r="L74">
        <v>4579</v>
      </c>
      <c r="M74" t="s">
        <v>19</v>
      </c>
      <c r="N74" t="s">
        <v>19</v>
      </c>
      <c r="O74">
        <v>4582</v>
      </c>
      <c r="P74" t="s">
        <v>1486</v>
      </c>
      <c r="Q74" t="s">
        <v>19</v>
      </c>
      <c r="R74">
        <v>4583</v>
      </c>
      <c r="S74" t="s">
        <v>1487</v>
      </c>
      <c r="T74" t="s">
        <v>19</v>
      </c>
      <c r="U74">
        <v>4586</v>
      </c>
      <c r="V74" t="s">
        <v>1488</v>
      </c>
      <c r="W74" t="s">
        <v>19</v>
      </c>
      <c r="X74">
        <v>4682</v>
      </c>
      <c r="Y74" t="s">
        <v>1493</v>
      </c>
      <c r="Z74" t="s">
        <v>19</v>
      </c>
      <c r="AA74">
        <v>4817</v>
      </c>
      <c r="AB74" t="s">
        <v>19</v>
      </c>
      <c r="AC74" t="s">
        <v>19</v>
      </c>
      <c r="AD74">
        <v>4818</v>
      </c>
      <c r="AE74" t="s">
        <v>1488</v>
      </c>
      <c r="AF74" t="s">
        <v>19</v>
      </c>
      <c r="AG74">
        <v>4821</v>
      </c>
      <c r="AH74" t="s">
        <v>19</v>
      </c>
      <c r="AI74" t="s">
        <v>19</v>
      </c>
      <c r="AJ74">
        <v>4841</v>
      </c>
      <c r="AK74" t="s">
        <v>1490</v>
      </c>
      <c r="AL74" t="s">
        <v>19</v>
      </c>
      <c r="AM74">
        <v>4845</v>
      </c>
      <c r="AN74" t="s">
        <v>1491</v>
      </c>
      <c r="AO74" t="s">
        <v>19</v>
      </c>
    </row>
    <row r="75" spans="1:41" x14ac:dyDescent="0.45">
      <c r="A75" t="s">
        <v>1264</v>
      </c>
      <c r="B75">
        <v>8</v>
      </c>
      <c r="C75" t="str">
        <f>HYPERLINK("http://www.ncbi.nlm.nih.gov/protein/XP_058483201.1","XP_058483201.1")</f>
        <v>XP_058483201.1</v>
      </c>
      <c r="D75">
        <v>43057</v>
      </c>
      <c r="E75" t="str">
        <f>HYPERLINK("http://www.ncbi.nlm.nih.gov/Taxonomy/Browser/wwwtax.cgi?mode=Info&amp;id=90069&amp;lvl=3&amp;lin=f&amp;keep=1&amp;srchmode=1&amp;unlock","90069")</f>
        <v>90069</v>
      </c>
      <c r="F75" t="s">
        <v>17</v>
      </c>
      <c r="G75" t="str">
        <f>HYPERLINK("http://www.ncbi.nlm.nih.gov/Taxonomy/Browser/wwwtax.cgi?mode=Info&amp;id=90069&amp;lvl=3&amp;lin=f&amp;keep=1&amp;srchmode=1&amp;unlock","Solea solea")</f>
        <v>Solea solea</v>
      </c>
      <c r="H75" t="s">
        <v>90</v>
      </c>
      <c r="I75" t="str">
        <f>HYPERLINK("http://www.ncbi.nlm.nih.gov/protein/XP_058483201.1","ryanodine receptor 1 isoform X4")</f>
        <v>ryanodine receptor 1 isoform X4</v>
      </c>
      <c r="J75" t="s">
        <v>1485</v>
      </c>
      <c r="K75" t="s">
        <v>19</v>
      </c>
      <c r="L75">
        <v>4576</v>
      </c>
      <c r="M75" t="s">
        <v>19</v>
      </c>
      <c r="N75" t="s">
        <v>19</v>
      </c>
      <c r="O75">
        <v>4579</v>
      </c>
      <c r="P75" t="s">
        <v>1486</v>
      </c>
      <c r="Q75" t="s">
        <v>19</v>
      </c>
      <c r="R75">
        <v>4580</v>
      </c>
      <c r="S75" t="s">
        <v>1487</v>
      </c>
      <c r="T75" t="s">
        <v>19</v>
      </c>
      <c r="U75">
        <v>4583</v>
      </c>
      <c r="V75" t="s">
        <v>1488</v>
      </c>
      <c r="W75" t="s">
        <v>19</v>
      </c>
      <c r="X75">
        <v>4680</v>
      </c>
      <c r="Y75" t="s">
        <v>1493</v>
      </c>
      <c r="Z75" t="s">
        <v>19</v>
      </c>
      <c r="AA75">
        <v>4815</v>
      </c>
      <c r="AB75" t="s">
        <v>19</v>
      </c>
      <c r="AC75" t="s">
        <v>19</v>
      </c>
      <c r="AD75">
        <v>4816</v>
      </c>
      <c r="AE75" t="s">
        <v>1488</v>
      </c>
      <c r="AF75" t="s">
        <v>19</v>
      </c>
      <c r="AG75">
        <v>4819</v>
      </c>
      <c r="AH75" t="s">
        <v>19</v>
      </c>
      <c r="AI75" t="s">
        <v>19</v>
      </c>
      <c r="AJ75">
        <v>4839</v>
      </c>
      <c r="AK75" t="s">
        <v>1490</v>
      </c>
      <c r="AL75" t="s">
        <v>19</v>
      </c>
      <c r="AM75">
        <v>4843</v>
      </c>
      <c r="AN75" t="s">
        <v>1491</v>
      </c>
      <c r="AO75" t="s">
        <v>19</v>
      </c>
    </row>
    <row r="76" spans="1:41" x14ac:dyDescent="0.45">
      <c r="A76" t="s">
        <v>1264</v>
      </c>
      <c r="B76">
        <v>8</v>
      </c>
      <c r="C76" t="str">
        <f>HYPERLINK("http://www.ncbi.nlm.nih.gov/protein/XP_051902702.1","XP_051902702.1")</f>
        <v>XP_051902702.1</v>
      </c>
      <c r="D76">
        <v>42976</v>
      </c>
      <c r="E76" t="str">
        <f>HYPERLINK("http://www.ncbi.nlm.nih.gov/Taxonomy/Browser/wwwtax.cgi?mode=Info&amp;id=109293&amp;lvl=3&amp;lin=f&amp;keep=1&amp;srchmode=1&amp;unlock","109293")</f>
        <v>109293</v>
      </c>
      <c r="F76" t="s">
        <v>17</v>
      </c>
      <c r="G76" t="str">
        <f>HYPERLINK("http://www.ncbi.nlm.nih.gov/Taxonomy/Browser/wwwtax.cgi?mode=Info&amp;id=109293&amp;lvl=3&amp;lin=f&amp;keep=1&amp;srchmode=1&amp;unlock","Hippocampus zosterae")</f>
        <v>Hippocampus zosterae</v>
      </c>
      <c r="H76" t="s">
        <v>91</v>
      </c>
      <c r="I76" t="str">
        <f>HYPERLINK("http://www.ncbi.nlm.nih.gov/protein/XP_051902702.1","ryanodine receptor 1-like isoform X3")</f>
        <v>ryanodine receptor 1-like isoform X3</v>
      </c>
      <c r="J76" t="s">
        <v>1485</v>
      </c>
      <c r="K76" t="s">
        <v>19</v>
      </c>
      <c r="L76">
        <v>4589</v>
      </c>
      <c r="M76" t="s">
        <v>19</v>
      </c>
      <c r="N76" t="s">
        <v>19</v>
      </c>
      <c r="O76">
        <v>4592</v>
      </c>
      <c r="P76" t="s">
        <v>1486</v>
      </c>
      <c r="Q76" t="s">
        <v>19</v>
      </c>
      <c r="R76">
        <v>4593</v>
      </c>
      <c r="S76" t="s">
        <v>1487</v>
      </c>
      <c r="T76" t="s">
        <v>19</v>
      </c>
      <c r="U76">
        <v>4596</v>
      </c>
      <c r="V76" t="s">
        <v>1488</v>
      </c>
      <c r="W76" t="s">
        <v>19</v>
      </c>
      <c r="X76">
        <v>4692</v>
      </c>
      <c r="Y76" t="s">
        <v>1493</v>
      </c>
      <c r="Z76" t="s">
        <v>19</v>
      </c>
      <c r="AA76">
        <v>4827</v>
      </c>
      <c r="AB76" t="s">
        <v>19</v>
      </c>
      <c r="AC76" t="s">
        <v>19</v>
      </c>
      <c r="AD76">
        <v>4828</v>
      </c>
      <c r="AE76" t="s">
        <v>1488</v>
      </c>
      <c r="AF76" t="s">
        <v>19</v>
      </c>
      <c r="AG76">
        <v>4831</v>
      </c>
      <c r="AH76" t="s">
        <v>19</v>
      </c>
      <c r="AI76" t="s">
        <v>19</v>
      </c>
      <c r="AJ76">
        <v>4851</v>
      </c>
      <c r="AK76" t="s">
        <v>1490</v>
      </c>
      <c r="AL76" t="s">
        <v>19</v>
      </c>
      <c r="AM76">
        <v>4855</v>
      </c>
      <c r="AN76" t="s">
        <v>1491</v>
      </c>
      <c r="AO76" t="s">
        <v>19</v>
      </c>
    </row>
    <row r="77" spans="1:41" x14ac:dyDescent="0.45">
      <c r="A77" t="s">
        <v>1264</v>
      </c>
      <c r="B77">
        <v>8</v>
      </c>
      <c r="C77" t="str">
        <f>HYPERLINK("http://www.ncbi.nlm.nih.gov/protein/XP_060912286.1","XP_060912286.1")</f>
        <v>XP_060912286.1</v>
      </c>
      <c r="D77">
        <v>39850</v>
      </c>
      <c r="E77" t="str">
        <f>HYPERLINK("http://www.ncbi.nlm.nih.gov/Taxonomy/Browser/wwwtax.cgi?mode=Info&amp;id=508554&amp;lvl=3&amp;lin=f&amp;keep=1&amp;srchmode=1&amp;unlock","508554")</f>
        <v>508554</v>
      </c>
      <c r="F77" t="s">
        <v>17</v>
      </c>
      <c r="G77" t="str">
        <f>HYPERLINK("http://www.ncbi.nlm.nih.gov/Taxonomy/Browser/wwwtax.cgi?mode=Info&amp;id=508554&amp;lvl=3&amp;lin=f&amp;keep=1&amp;srchmode=1&amp;unlock","Labrus mixtus")</f>
        <v>Labrus mixtus</v>
      </c>
      <c r="H77" t="s">
        <v>92</v>
      </c>
      <c r="I77" t="str">
        <f>HYPERLINK("http://www.ncbi.nlm.nih.gov/protein/XP_060912286.1","ryanodine receptor 1-like")</f>
        <v>ryanodine receptor 1-like</v>
      </c>
      <c r="J77" t="s">
        <v>1485</v>
      </c>
      <c r="K77" t="s">
        <v>19</v>
      </c>
      <c r="L77">
        <v>4586</v>
      </c>
      <c r="M77" t="s">
        <v>19</v>
      </c>
      <c r="N77" t="s">
        <v>19</v>
      </c>
      <c r="O77">
        <v>4589</v>
      </c>
      <c r="P77" t="s">
        <v>1486</v>
      </c>
      <c r="Q77" t="s">
        <v>19</v>
      </c>
      <c r="R77">
        <v>4590</v>
      </c>
      <c r="S77" t="s">
        <v>1487</v>
      </c>
      <c r="T77" t="s">
        <v>19</v>
      </c>
      <c r="U77">
        <v>4593</v>
      </c>
      <c r="V77" t="s">
        <v>1488</v>
      </c>
      <c r="W77" t="s">
        <v>19</v>
      </c>
      <c r="X77">
        <v>4690</v>
      </c>
      <c r="Y77" t="s">
        <v>1493</v>
      </c>
      <c r="Z77" t="s">
        <v>19</v>
      </c>
      <c r="AA77">
        <v>4825</v>
      </c>
      <c r="AB77" t="s">
        <v>19</v>
      </c>
      <c r="AC77" t="s">
        <v>19</v>
      </c>
      <c r="AD77">
        <v>4826</v>
      </c>
      <c r="AE77" t="s">
        <v>1488</v>
      </c>
      <c r="AF77" t="s">
        <v>19</v>
      </c>
      <c r="AG77">
        <v>4829</v>
      </c>
      <c r="AH77" t="s">
        <v>19</v>
      </c>
      <c r="AI77" t="s">
        <v>19</v>
      </c>
      <c r="AJ77">
        <v>4849</v>
      </c>
      <c r="AK77" t="s">
        <v>1490</v>
      </c>
      <c r="AL77" t="s">
        <v>19</v>
      </c>
      <c r="AM77">
        <v>4853</v>
      </c>
      <c r="AN77" t="s">
        <v>1491</v>
      </c>
      <c r="AO77" t="s">
        <v>19</v>
      </c>
    </row>
    <row r="78" spans="1:41" x14ac:dyDescent="0.45">
      <c r="A78" t="s">
        <v>1264</v>
      </c>
      <c r="B78">
        <v>8</v>
      </c>
      <c r="C78" t="str">
        <f>HYPERLINK("http://www.ncbi.nlm.nih.gov/protein/XP_039473924.1","XP_039473924.1")</f>
        <v>XP_039473924.1</v>
      </c>
      <c r="D78">
        <v>49867</v>
      </c>
      <c r="E78" t="str">
        <f>HYPERLINK("http://www.ncbi.nlm.nih.gov/Taxonomy/Browser/wwwtax.cgi?mode=Info&amp;id=47969&amp;lvl=3&amp;lin=f&amp;keep=1&amp;srchmode=1&amp;unlock","47969")</f>
        <v>47969</v>
      </c>
      <c r="F78" t="s">
        <v>17</v>
      </c>
      <c r="G78" t="str">
        <f>HYPERLINK("http://www.ncbi.nlm.nih.gov/Taxonomy/Browser/wwwtax.cgi?mode=Info&amp;id=47969&amp;lvl=3&amp;lin=f&amp;keep=1&amp;srchmode=1&amp;unlock","Oreochromis aureus")</f>
        <v>Oreochromis aureus</v>
      </c>
      <c r="H78" t="s">
        <v>93</v>
      </c>
      <c r="I78" t="str">
        <f>HYPERLINK("http://www.ncbi.nlm.nih.gov/protein/XP_039473924.1","ryanodine receptor 1-like")</f>
        <v>ryanodine receptor 1-like</v>
      </c>
      <c r="J78" t="s">
        <v>1485</v>
      </c>
      <c r="K78" t="s">
        <v>19</v>
      </c>
      <c r="L78">
        <v>4592</v>
      </c>
      <c r="M78" t="s">
        <v>19</v>
      </c>
      <c r="N78" t="s">
        <v>19</v>
      </c>
      <c r="O78">
        <v>4595</v>
      </c>
      <c r="P78" t="s">
        <v>1486</v>
      </c>
      <c r="Q78" t="s">
        <v>19</v>
      </c>
      <c r="R78">
        <v>4596</v>
      </c>
      <c r="S78" t="s">
        <v>1487</v>
      </c>
      <c r="T78" t="s">
        <v>19</v>
      </c>
      <c r="U78">
        <v>4599</v>
      </c>
      <c r="V78" t="s">
        <v>1488</v>
      </c>
      <c r="W78" t="s">
        <v>19</v>
      </c>
      <c r="X78">
        <v>4696</v>
      </c>
      <c r="Y78" t="s">
        <v>1493</v>
      </c>
      <c r="Z78" t="s">
        <v>19</v>
      </c>
      <c r="AA78">
        <v>4831</v>
      </c>
      <c r="AB78" t="s">
        <v>19</v>
      </c>
      <c r="AC78" t="s">
        <v>19</v>
      </c>
      <c r="AD78">
        <v>4832</v>
      </c>
      <c r="AE78" t="s">
        <v>1488</v>
      </c>
      <c r="AF78" t="s">
        <v>19</v>
      </c>
      <c r="AG78">
        <v>4835</v>
      </c>
      <c r="AH78" t="s">
        <v>19</v>
      </c>
      <c r="AI78" t="s">
        <v>19</v>
      </c>
      <c r="AJ78">
        <v>4855</v>
      </c>
      <c r="AK78" t="s">
        <v>1490</v>
      </c>
      <c r="AL78" t="s">
        <v>19</v>
      </c>
      <c r="AM78">
        <v>4859</v>
      </c>
      <c r="AN78" t="s">
        <v>1491</v>
      </c>
      <c r="AO78" t="s">
        <v>19</v>
      </c>
    </row>
    <row r="79" spans="1:41" x14ac:dyDescent="0.45">
      <c r="A79" t="s">
        <v>1264</v>
      </c>
      <c r="B79">
        <v>8</v>
      </c>
      <c r="C79" t="str">
        <f>HYPERLINK("http://www.ncbi.nlm.nih.gov/protein/XP_055082934.1","XP_055082934.1")</f>
        <v>XP_055082934.1</v>
      </c>
      <c r="D79">
        <v>50626</v>
      </c>
      <c r="E79" t="str">
        <f>HYPERLINK("http://www.ncbi.nlm.nih.gov/Taxonomy/Browser/wwwtax.cgi?mode=Info&amp;id=409849&amp;lvl=3&amp;lin=f&amp;keep=1&amp;srchmode=1&amp;unlock","409849")</f>
        <v>409849</v>
      </c>
      <c r="F79" t="s">
        <v>17</v>
      </c>
      <c r="G79" t="str">
        <f>HYPERLINK("http://www.ncbi.nlm.nih.gov/Taxonomy/Browser/wwwtax.cgi?mode=Info&amp;id=409849&amp;lvl=3&amp;lin=f&amp;keep=1&amp;srchmode=1&amp;unlock","Periophthalmus magnuspinnatus")</f>
        <v>Periophthalmus magnuspinnatus</v>
      </c>
      <c r="H79" t="s">
        <v>94</v>
      </c>
      <c r="I79" t="str">
        <f>HYPERLINK("http://www.ncbi.nlm.nih.gov/protein/XP_055082934.1","ryanodine receptor 1-like isoform X11")</f>
        <v>ryanodine receptor 1-like isoform X11</v>
      </c>
      <c r="J79" t="s">
        <v>1485</v>
      </c>
      <c r="K79" t="s">
        <v>19</v>
      </c>
      <c r="L79">
        <v>4582</v>
      </c>
      <c r="M79" t="s">
        <v>19</v>
      </c>
      <c r="N79" t="s">
        <v>19</v>
      </c>
      <c r="O79">
        <v>4585</v>
      </c>
      <c r="P79" t="s">
        <v>1486</v>
      </c>
      <c r="Q79" t="s">
        <v>19</v>
      </c>
      <c r="R79">
        <v>4586</v>
      </c>
      <c r="S79" t="s">
        <v>1487</v>
      </c>
      <c r="T79" t="s">
        <v>19</v>
      </c>
      <c r="U79">
        <v>4589</v>
      </c>
      <c r="V79" t="s">
        <v>1488</v>
      </c>
      <c r="W79" t="s">
        <v>19</v>
      </c>
      <c r="X79">
        <v>4683</v>
      </c>
      <c r="Y79" t="s">
        <v>1493</v>
      </c>
      <c r="Z79" t="s">
        <v>19</v>
      </c>
      <c r="AA79">
        <v>4818</v>
      </c>
      <c r="AB79" t="s">
        <v>19</v>
      </c>
      <c r="AC79" t="s">
        <v>19</v>
      </c>
      <c r="AD79">
        <v>4819</v>
      </c>
      <c r="AE79" t="s">
        <v>1488</v>
      </c>
      <c r="AF79" t="s">
        <v>19</v>
      </c>
      <c r="AG79">
        <v>4822</v>
      </c>
      <c r="AH79" t="s">
        <v>19</v>
      </c>
      <c r="AI79" t="s">
        <v>19</v>
      </c>
      <c r="AJ79">
        <v>4842</v>
      </c>
      <c r="AK79" t="s">
        <v>1490</v>
      </c>
      <c r="AL79" t="s">
        <v>19</v>
      </c>
      <c r="AM79">
        <v>4846</v>
      </c>
      <c r="AN79" t="s">
        <v>1491</v>
      </c>
      <c r="AO79" t="s">
        <v>19</v>
      </c>
    </row>
    <row r="80" spans="1:41" x14ac:dyDescent="0.45">
      <c r="A80" t="s">
        <v>1264</v>
      </c>
      <c r="B80">
        <v>8</v>
      </c>
      <c r="C80" t="str">
        <f>HYPERLINK("http://www.ncbi.nlm.nih.gov/protein/XP_031724958.1","XP_031724958.1")</f>
        <v>XP_031724958.1</v>
      </c>
      <c r="D80">
        <v>41917</v>
      </c>
      <c r="E80" t="str">
        <f>HYPERLINK("http://www.ncbi.nlm.nih.gov/Taxonomy/Browser/wwwtax.cgi?mode=Info&amp;id=433405&amp;lvl=3&amp;lin=f&amp;keep=1&amp;srchmode=1&amp;unlock","433405")</f>
        <v>433405</v>
      </c>
      <c r="F80" t="s">
        <v>17</v>
      </c>
      <c r="G80" t="str">
        <f>HYPERLINK("http://www.ncbi.nlm.nih.gov/Taxonomy/Browser/wwwtax.cgi?mode=Info&amp;id=433405&amp;lvl=3&amp;lin=f&amp;keep=1&amp;srchmode=1&amp;unlock","Anarrhichthys ocellatus")</f>
        <v>Anarrhichthys ocellatus</v>
      </c>
      <c r="H80" t="s">
        <v>98</v>
      </c>
      <c r="I80" t="str">
        <f>HYPERLINK("http://www.ncbi.nlm.nih.gov/protein/XP_031724958.1","ryanodine receptor 1-like")</f>
        <v>ryanodine receptor 1-like</v>
      </c>
      <c r="J80" t="s">
        <v>1485</v>
      </c>
      <c r="K80" t="s">
        <v>19</v>
      </c>
      <c r="L80">
        <v>4527</v>
      </c>
      <c r="M80" t="s">
        <v>19</v>
      </c>
      <c r="N80" t="s">
        <v>19</v>
      </c>
      <c r="O80">
        <v>4530</v>
      </c>
      <c r="P80" t="s">
        <v>1486</v>
      </c>
      <c r="Q80" t="s">
        <v>19</v>
      </c>
      <c r="R80">
        <v>4531</v>
      </c>
      <c r="S80" t="s">
        <v>1487</v>
      </c>
      <c r="T80" t="s">
        <v>19</v>
      </c>
      <c r="U80">
        <v>4534</v>
      </c>
      <c r="V80" t="s">
        <v>1488</v>
      </c>
      <c r="W80" t="s">
        <v>19</v>
      </c>
      <c r="X80">
        <v>4631</v>
      </c>
      <c r="Y80" t="s">
        <v>1493</v>
      </c>
      <c r="Z80" t="s">
        <v>19</v>
      </c>
      <c r="AA80">
        <v>4766</v>
      </c>
      <c r="AB80" t="s">
        <v>19</v>
      </c>
      <c r="AC80" t="s">
        <v>19</v>
      </c>
      <c r="AD80">
        <v>4767</v>
      </c>
      <c r="AE80" t="s">
        <v>1488</v>
      </c>
      <c r="AF80" t="s">
        <v>19</v>
      </c>
      <c r="AG80">
        <v>4770</v>
      </c>
      <c r="AH80" t="s">
        <v>19</v>
      </c>
      <c r="AI80" t="s">
        <v>19</v>
      </c>
      <c r="AJ80">
        <v>4790</v>
      </c>
      <c r="AK80" t="s">
        <v>1490</v>
      </c>
      <c r="AL80" t="s">
        <v>19</v>
      </c>
      <c r="AM80">
        <v>4794</v>
      </c>
      <c r="AN80" t="s">
        <v>1491</v>
      </c>
      <c r="AO80" t="s">
        <v>19</v>
      </c>
    </row>
    <row r="81" spans="1:41" x14ac:dyDescent="0.45">
      <c r="A81" t="s">
        <v>1264</v>
      </c>
      <c r="B81">
        <v>8</v>
      </c>
      <c r="C81" t="str">
        <f>HYPERLINK("http://www.ncbi.nlm.nih.gov/protein/XP_035846780.1","XP_035846780.1")</f>
        <v>XP_035846780.1</v>
      </c>
      <c r="D81">
        <v>56708</v>
      </c>
      <c r="E81" t="str">
        <f>HYPERLINK("http://www.ncbi.nlm.nih.gov/Taxonomy/Browser/wwwtax.cgi?mode=Info&amp;id=283035&amp;lvl=3&amp;lin=f&amp;keep=1&amp;srchmode=1&amp;unlock","283035")</f>
        <v>283035</v>
      </c>
      <c r="F81" t="s">
        <v>17</v>
      </c>
      <c r="G81" t="str">
        <f>HYPERLINK("http://www.ncbi.nlm.nih.gov/Taxonomy/Browser/wwwtax.cgi?mode=Info&amp;id=283035&amp;lvl=3&amp;lin=f&amp;keep=1&amp;srchmode=1&amp;unlock","Sander lucioperca")</f>
        <v>Sander lucioperca</v>
      </c>
      <c r="H81" t="s">
        <v>99</v>
      </c>
      <c r="I81" t="str">
        <f>HYPERLINK("http://www.ncbi.nlm.nih.gov/protein/XP_035846780.1","ryanodine receptor 1 isoform X7")</f>
        <v>ryanodine receptor 1 isoform X7</v>
      </c>
      <c r="J81" t="s">
        <v>1485</v>
      </c>
      <c r="K81" t="s">
        <v>19</v>
      </c>
      <c r="L81">
        <v>4587</v>
      </c>
      <c r="M81" t="s">
        <v>19</v>
      </c>
      <c r="N81" t="s">
        <v>19</v>
      </c>
      <c r="O81">
        <v>4590</v>
      </c>
      <c r="P81" t="s">
        <v>1486</v>
      </c>
      <c r="Q81" t="s">
        <v>19</v>
      </c>
      <c r="R81">
        <v>4591</v>
      </c>
      <c r="S81" t="s">
        <v>1487</v>
      </c>
      <c r="T81" t="s">
        <v>19</v>
      </c>
      <c r="U81">
        <v>4594</v>
      </c>
      <c r="V81" t="s">
        <v>1488</v>
      </c>
      <c r="W81" t="s">
        <v>19</v>
      </c>
      <c r="X81">
        <v>4690</v>
      </c>
      <c r="Y81" t="s">
        <v>1493</v>
      </c>
      <c r="Z81" t="s">
        <v>19</v>
      </c>
      <c r="AA81">
        <v>4825</v>
      </c>
      <c r="AB81" t="s">
        <v>19</v>
      </c>
      <c r="AC81" t="s">
        <v>19</v>
      </c>
      <c r="AD81">
        <v>4826</v>
      </c>
      <c r="AE81" t="s">
        <v>1488</v>
      </c>
      <c r="AF81" t="s">
        <v>19</v>
      </c>
      <c r="AG81">
        <v>4829</v>
      </c>
      <c r="AH81" t="s">
        <v>19</v>
      </c>
      <c r="AI81" t="s">
        <v>19</v>
      </c>
      <c r="AJ81">
        <v>4849</v>
      </c>
      <c r="AK81" t="s">
        <v>1490</v>
      </c>
      <c r="AL81" t="s">
        <v>19</v>
      </c>
      <c r="AM81">
        <v>4853</v>
      </c>
      <c r="AN81" t="s">
        <v>1491</v>
      </c>
      <c r="AO81" t="s">
        <v>19</v>
      </c>
    </row>
    <row r="82" spans="1:41" x14ac:dyDescent="0.45">
      <c r="A82" t="s">
        <v>1264</v>
      </c>
      <c r="B82">
        <v>8</v>
      </c>
      <c r="C82" t="str">
        <f>HYPERLINK("http://www.ncbi.nlm.nih.gov/protein/XP_036974565.1","XP_036974565.1")</f>
        <v>XP_036974565.1</v>
      </c>
      <c r="D82">
        <v>54713</v>
      </c>
      <c r="E82" t="str">
        <f>HYPERLINK("http://www.ncbi.nlm.nih.gov/Taxonomy/Browser/wwwtax.cgi?mode=Info&amp;id=8177&amp;lvl=3&amp;lin=f&amp;keep=1&amp;srchmode=1&amp;unlock","8177")</f>
        <v>8177</v>
      </c>
      <c r="F82" t="s">
        <v>17</v>
      </c>
      <c r="G82" t="str">
        <f>HYPERLINK("http://www.ncbi.nlm.nih.gov/Taxonomy/Browser/wwwtax.cgi?mode=Info&amp;id=8177&amp;lvl=3&amp;lin=f&amp;keep=1&amp;srchmode=1&amp;unlock","Acanthopagrus latus")</f>
        <v>Acanthopagrus latus</v>
      </c>
      <c r="H82" t="s">
        <v>100</v>
      </c>
      <c r="I82" t="str">
        <f>HYPERLINK("http://www.ncbi.nlm.nih.gov/protein/XP_036974565.1","ryanodine receptor 1-like")</f>
        <v>ryanodine receptor 1-like</v>
      </c>
      <c r="J82" t="s">
        <v>1485</v>
      </c>
      <c r="K82" t="s">
        <v>19</v>
      </c>
      <c r="L82">
        <v>4595</v>
      </c>
      <c r="M82" t="s">
        <v>19</v>
      </c>
      <c r="N82" t="s">
        <v>19</v>
      </c>
      <c r="O82">
        <v>4598</v>
      </c>
      <c r="P82" t="s">
        <v>1486</v>
      </c>
      <c r="Q82" t="s">
        <v>19</v>
      </c>
      <c r="R82">
        <v>4599</v>
      </c>
      <c r="S82" t="s">
        <v>1487</v>
      </c>
      <c r="T82" t="s">
        <v>19</v>
      </c>
      <c r="U82">
        <v>4602</v>
      </c>
      <c r="V82" t="s">
        <v>1488</v>
      </c>
      <c r="W82" t="s">
        <v>19</v>
      </c>
      <c r="X82">
        <v>4699</v>
      </c>
      <c r="Y82" t="s">
        <v>1493</v>
      </c>
      <c r="Z82" t="s">
        <v>19</v>
      </c>
      <c r="AA82">
        <v>4834</v>
      </c>
      <c r="AB82" t="s">
        <v>19</v>
      </c>
      <c r="AC82" t="s">
        <v>19</v>
      </c>
      <c r="AD82">
        <v>4835</v>
      </c>
      <c r="AE82" t="s">
        <v>1488</v>
      </c>
      <c r="AF82" t="s">
        <v>19</v>
      </c>
      <c r="AG82">
        <v>4838</v>
      </c>
      <c r="AH82" t="s">
        <v>19</v>
      </c>
      <c r="AI82" t="s">
        <v>19</v>
      </c>
      <c r="AJ82">
        <v>4858</v>
      </c>
      <c r="AK82" t="s">
        <v>1490</v>
      </c>
      <c r="AL82" t="s">
        <v>19</v>
      </c>
      <c r="AM82">
        <v>4862</v>
      </c>
      <c r="AN82" t="s">
        <v>1491</v>
      </c>
      <c r="AO82" t="s">
        <v>19</v>
      </c>
    </row>
    <row r="83" spans="1:41" x14ac:dyDescent="0.45">
      <c r="A83" t="s">
        <v>1264</v>
      </c>
      <c r="B83">
        <v>8</v>
      </c>
      <c r="C83" t="str">
        <f>HYPERLINK("http://www.ncbi.nlm.nih.gov/protein/XP_055370319.1","XP_055370319.1")</f>
        <v>XP_055370319.1</v>
      </c>
      <c r="D83">
        <v>52191</v>
      </c>
      <c r="E83" t="str">
        <f>HYPERLINK("http://www.ncbi.nlm.nih.gov/Taxonomy/Browser/wwwtax.cgi?mode=Info&amp;id=158456&amp;lvl=3&amp;lin=f&amp;keep=1&amp;srchmode=1&amp;unlock","158456")</f>
        <v>158456</v>
      </c>
      <c r="F83" t="s">
        <v>17</v>
      </c>
      <c r="G83" t="str">
        <f>HYPERLINK("http://www.ncbi.nlm.nih.gov/Taxonomy/Browser/wwwtax.cgi?mode=Info&amp;id=158456&amp;lvl=3&amp;lin=f&amp;keep=1&amp;srchmode=1&amp;unlock","Betta splendens")</f>
        <v>Betta splendens</v>
      </c>
      <c r="H83" t="s">
        <v>102</v>
      </c>
      <c r="I83" t="str">
        <f>HYPERLINK("http://www.ncbi.nlm.nih.gov/protein/XP_055370319.1","ryanodine receptor 1-like isoform X5")</f>
        <v>ryanodine receptor 1-like isoform X5</v>
      </c>
      <c r="J83" t="s">
        <v>1485</v>
      </c>
      <c r="K83" t="s">
        <v>19</v>
      </c>
      <c r="L83">
        <v>4588</v>
      </c>
      <c r="M83" t="s">
        <v>19</v>
      </c>
      <c r="N83" t="s">
        <v>19</v>
      </c>
      <c r="O83">
        <v>4591</v>
      </c>
      <c r="P83" t="s">
        <v>1486</v>
      </c>
      <c r="Q83" t="s">
        <v>19</v>
      </c>
      <c r="R83">
        <v>4592</v>
      </c>
      <c r="S83" t="s">
        <v>1487</v>
      </c>
      <c r="T83" t="s">
        <v>19</v>
      </c>
      <c r="U83">
        <v>4595</v>
      </c>
      <c r="V83" t="s">
        <v>1488</v>
      </c>
      <c r="W83" t="s">
        <v>19</v>
      </c>
      <c r="X83">
        <v>4688</v>
      </c>
      <c r="Y83" t="s">
        <v>1493</v>
      </c>
      <c r="Z83" t="s">
        <v>19</v>
      </c>
      <c r="AA83">
        <v>4823</v>
      </c>
      <c r="AB83" t="s">
        <v>19</v>
      </c>
      <c r="AC83" t="s">
        <v>19</v>
      </c>
      <c r="AD83">
        <v>4824</v>
      </c>
      <c r="AE83" t="s">
        <v>1488</v>
      </c>
      <c r="AF83" t="s">
        <v>19</v>
      </c>
      <c r="AG83">
        <v>4827</v>
      </c>
      <c r="AH83" t="s">
        <v>19</v>
      </c>
      <c r="AI83" t="s">
        <v>19</v>
      </c>
      <c r="AJ83">
        <v>4847</v>
      </c>
      <c r="AK83" t="s">
        <v>1490</v>
      </c>
      <c r="AL83" t="s">
        <v>19</v>
      </c>
      <c r="AM83">
        <v>4851</v>
      </c>
      <c r="AN83" t="s">
        <v>1491</v>
      </c>
      <c r="AO83" t="s">
        <v>19</v>
      </c>
    </row>
    <row r="84" spans="1:41" x14ac:dyDescent="0.45">
      <c r="A84" t="s">
        <v>1264</v>
      </c>
      <c r="B84">
        <v>8</v>
      </c>
      <c r="C84" t="str">
        <f>HYPERLINK("http://www.ncbi.nlm.nih.gov/protein/XP_020488996.1","XP_020488996.1")</f>
        <v>XP_020488996.1</v>
      </c>
      <c r="D84">
        <v>36766</v>
      </c>
      <c r="E84" t="str">
        <f>HYPERLINK("http://www.ncbi.nlm.nih.gov/Taxonomy/Browser/wwwtax.cgi?mode=Info&amp;id=56723&amp;lvl=3&amp;lin=f&amp;keep=1&amp;srchmode=1&amp;unlock","56723")</f>
        <v>56723</v>
      </c>
      <c r="F84" t="s">
        <v>17</v>
      </c>
      <c r="G84" t="str">
        <f>HYPERLINK("http://www.ncbi.nlm.nih.gov/Taxonomy/Browser/wwwtax.cgi?mode=Info&amp;id=56723&amp;lvl=3&amp;lin=f&amp;keep=1&amp;srchmode=1&amp;unlock","Labrus bergylta")</f>
        <v>Labrus bergylta</v>
      </c>
      <c r="H84" t="s">
        <v>103</v>
      </c>
      <c r="I84" t="str">
        <f>HYPERLINK("http://www.ncbi.nlm.nih.gov/protein/XP_020488996.1","LOW QUALITY PROTEIN: ryanodine receptor 1-like")</f>
        <v>LOW QUALITY PROTEIN: ryanodine receptor 1-like</v>
      </c>
      <c r="J84" t="s">
        <v>1485</v>
      </c>
      <c r="K84" t="s">
        <v>19</v>
      </c>
      <c r="L84">
        <v>4601</v>
      </c>
      <c r="M84" t="s">
        <v>19</v>
      </c>
      <c r="N84" t="s">
        <v>19</v>
      </c>
      <c r="O84">
        <v>4604</v>
      </c>
      <c r="P84" t="s">
        <v>1486</v>
      </c>
      <c r="Q84" t="s">
        <v>19</v>
      </c>
      <c r="R84">
        <v>4605</v>
      </c>
      <c r="S84" t="s">
        <v>1487</v>
      </c>
      <c r="T84" t="s">
        <v>19</v>
      </c>
      <c r="U84">
        <v>4608</v>
      </c>
      <c r="V84" t="s">
        <v>1488</v>
      </c>
      <c r="W84" t="s">
        <v>19</v>
      </c>
      <c r="X84">
        <v>4705</v>
      </c>
      <c r="Y84" t="s">
        <v>1493</v>
      </c>
      <c r="Z84" t="s">
        <v>19</v>
      </c>
      <c r="AA84">
        <v>4840</v>
      </c>
      <c r="AB84" t="s">
        <v>19</v>
      </c>
      <c r="AC84" t="s">
        <v>19</v>
      </c>
      <c r="AD84">
        <v>4841</v>
      </c>
      <c r="AE84" t="s">
        <v>1488</v>
      </c>
      <c r="AF84" t="s">
        <v>19</v>
      </c>
      <c r="AG84">
        <v>4844</v>
      </c>
      <c r="AH84" t="s">
        <v>19</v>
      </c>
      <c r="AI84" t="s">
        <v>19</v>
      </c>
      <c r="AJ84">
        <v>4864</v>
      </c>
      <c r="AK84" t="s">
        <v>1490</v>
      </c>
      <c r="AL84" t="s">
        <v>19</v>
      </c>
      <c r="AM84">
        <v>4868</v>
      </c>
      <c r="AN84" t="s">
        <v>1491</v>
      </c>
      <c r="AO84" t="s">
        <v>19</v>
      </c>
    </row>
    <row r="85" spans="1:41" x14ac:dyDescent="0.45">
      <c r="A85" t="s">
        <v>1264</v>
      </c>
      <c r="B85">
        <v>8</v>
      </c>
      <c r="C85" t="str">
        <f>HYPERLINK("http://www.ncbi.nlm.nih.gov/protein/XP_035034774.1","XP_035034774.1")</f>
        <v>XP_035034774.1</v>
      </c>
      <c r="D85">
        <v>42151</v>
      </c>
      <c r="E85" t="str">
        <f>HYPERLINK("http://www.ncbi.nlm.nih.gov/Taxonomy/Browser/wwwtax.cgi?mode=Info&amp;id=195615&amp;lvl=3&amp;lin=f&amp;keep=1&amp;srchmode=1&amp;unlock","195615")</f>
        <v>195615</v>
      </c>
      <c r="F85" t="s">
        <v>17</v>
      </c>
      <c r="G85" t="str">
        <f>HYPERLINK("http://www.ncbi.nlm.nih.gov/Taxonomy/Browser/wwwtax.cgi?mode=Info&amp;id=195615&amp;lvl=3&amp;lin=f&amp;keep=1&amp;srchmode=1&amp;unlock","Hippoglossus stenolepis")</f>
        <v>Hippoglossus stenolepis</v>
      </c>
      <c r="H85" t="s">
        <v>104</v>
      </c>
      <c r="I85" t="str">
        <f>HYPERLINK("http://www.ncbi.nlm.nih.gov/protein/XP_035034774.1","ryanodine receptor 1 isoform X5")</f>
        <v>ryanodine receptor 1 isoform X5</v>
      </c>
      <c r="J85" t="s">
        <v>1485</v>
      </c>
      <c r="K85" t="s">
        <v>19</v>
      </c>
      <c r="L85">
        <v>4593</v>
      </c>
      <c r="M85" t="s">
        <v>19</v>
      </c>
      <c r="N85" t="s">
        <v>19</v>
      </c>
      <c r="O85">
        <v>4596</v>
      </c>
      <c r="P85" t="s">
        <v>1486</v>
      </c>
      <c r="Q85" t="s">
        <v>19</v>
      </c>
      <c r="R85">
        <v>4597</v>
      </c>
      <c r="S85" t="s">
        <v>1487</v>
      </c>
      <c r="T85" t="s">
        <v>19</v>
      </c>
      <c r="U85">
        <v>4600</v>
      </c>
      <c r="V85" t="s">
        <v>1488</v>
      </c>
      <c r="W85" t="s">
        <v>19</v>
      </c>
      <c r="X85">
        <v>4697</v>
      </c>
      <c r="Y85" t="s">
        <v>1493</v>
      </c>
      <c r="Z85" t="s">
        <v>19</v>
      </c>
      <c r="AA85">
        <v>4832</v>
      </c>
      <c r="AB85" t="s">
        <v>19</v>
      </c>
      <c r="AC85" t="s">
        <v>19</v>
      </c>
      <c r="AD85">
        <v>4833</v>
      </c>
      <c r="AE85" t="s">
        <v>1488</v>
      </c>
      <c r="AF85" t="s">
        <v>19</v>
      </c>
      <c r="AG85">
        <v>4836</v>
      </c>
      <c r="AH85" t="s">
        <v>19</v>
      </c>
      <c r="AI85" t="s">
        <v>19</v>
      </c>
      <c r="AJ85">
        <v>4856</v>
      </c>
      <c r="AK85" t="s">
        <v>1490</v>
      </c>
      <c r="AL85" t="s">
        <v>19</v>
      </c>
      <c r="AM85">
        <v>4860</v>
      </c>
      <c r="AN85" t="s">
        <v>1491</v>
      </c>
      <c r="AO85" t="s">
        <v>19</v>
      </c>
    </row>
    <row r="86" spans="1:41" x14ac:dyDescent="0.45">
      <c r="A86" t="s">
        <v>1264</v>
      </c>
      <c r="B86">
        <v>8</v>
      </c>
      <c r="C86" t="str">
        <f>HYPERLINK("http://www.ncbi.nlm.nih.gov/protein/XP_018591963.1","XP_018591963.1")</f>
        <v>XP_018591963.1</v>
      </c>
      <c r="D86">
        <v>72575</v>
      </c>
      <c r="E86" t="str">
        <f>HYPERLINK("http://www.ncbi.nlm.nih.gov/Taxonomy/Browser/wwwtax.cgi?mode=Info&amp;id=113540&amp;lvl=3&amp;lin=f&amp;keep=1&amp;srchmode=1&amp;unlock","113540")</f>
        <v>113540</v>
      </c>
      <c r="F86" t="s">
        <v>17</v>
      </c>
      <c r="G86" t="str">
        <f>HYPERLINK("http://www.ncbi.nlm.nih.gov/Taxonomy/Browser/wwwtax.cgi?mode=Info&amp;id=113540&amp;lvl=3&amp;lin=f&amp;keep=1&amp;srchmode=1&amp;unlock","Scleropages formosus")</f>
        <v>Scleropages formosus</v>
      </c>
      <c r="H86" t="s">
        <v>105</v>
      </c>
      <c r="I86" t="str">
        <f>HYPERLINK("http://www.ncbi.nlm.nih.gov/protein/XP_018591963.1","ryanodine receptor 1-like")</f>
        <v>ryanodine receptor 1-like</v>
      </c>
      <c r="J86" t="s">
        <v>1485</v>
      </c>
      <c r="K86" t="s">
        <v>19</v>
      </c>
      <c r="L86">
        <v>4543</v>
      </c>
      <c r="M86" t="s">
        <v>19</v>
      </c>
      <c r="N86" t="s">
        <v>19</v>
      </c>
      <c r="O86">
        <v>4546</v>
      </c>
      <c r="P86" t="s">
        <v>1486</v>
      </c>
      <c r="Q86" t="s">
        <v>19</v>
      </c>
      <c r="R86">
        <v>4547</v>
      </c>
      <c r="S86" t="s">
        <v>1487</v>
      </c>
      <c r="T86" t="s">
        <v>19</v>
      </c>
      <c r="U86">
        <v>4550</v>
      </c>
      <c r="V86" t="s">
        <v>1488</v>
      </c>
      <c r="W86" t="s">
        <v>19</v>
      </c>
      <c r="X86">
        <v>4641</v>
      </c>
      <c r="Y86" t="s">
        <v>1493</v>
      </c>
      <c r="Z86" t="s">
        <v>19</v>
      </c>
      <c r="AA86">
        <v>4776</v>
      </c>
      <c r="AB86" t="s">
        <v>19</v>
      </c>
      <c r="AC86" t="s">
        <v>19</v>
      </c>
      <c r="AD86">
        <v>4777</v>
      </c>
      <c r="AE86" t="s">
        <v>1488</v>
      </c>
      <c r="AF86" t="s">
        <v>19</v>
      </c>
      <c r="AG86">
        <v>4780</v>
      </c>
      <c r="AH86" t="s">
        <v>19</v>
      </c>
      <c r="AI86" t="s">
        <v>19</v>
      </c>
      <c r="AJ86">
        <v>4800</v>
      </c>
      <c r="AK86" t="s">
        <v>1490</v>
      </c>
      <c r="AL86" t="s">
        <v>19</v>
      </c>
      <c r="AM86">
        <v>4804</v>
      </c>
      <c r="AN86" t="s">
        <v>1491</v>
      </c>
      <c r="AO86" t="s">
        <v>19</v>
      </c>
    </row>
    <row r="87" spans="1:41" x14ac:dyDescent="0.45">
      <c r="A87" t="s">
        <v>1264</v>
      </c>
      <c r="B87">
        <v>8</v>
      </c>
      <c r="C87" t="str">
        <f>HYPERLINK("http://www.ncbi.nlm.nih.gov/protein/XP_020564539.1","XP_020564539.1")</f>
        <v>XP_020564539.1</v>
      </c>
      <c r="D87">
        <v>47355</v>
      </c>
      <c r="E87" t="str">
        <f>HYPERLINK("http://www.ncbi.nlm.nih.gov/Taxonomy/Browser/wwwtax.cgi?mode=Info&amp;id=8090&amp;lvl=3&amp;lin=f&amp;keep=1&amp;srchmode=1&amp;unlock","8090")</f>
        <v>8090</v>
      </c>
      <c r="F87" t="s">
        <v>17</v>
      </c>
      <c r="G87" t="str">
        <f>HYPERLINK("http://www.ncbi.nlm.nih.gov/Taxonomy/Browser/wwwtax.cgi?mode=Info&amp;id=8090&amp;lvl=3&amp;lin=f&amp;keep=1&amp;srchmode=1&amp;unlock","Oryzias latipes")</f>
        <v>Oryzias latipes</v>
      </c>
      <c r="H87" t="s">
        <v>106</v>
      </c>
      <c r="I87" t="str">
        <f>HYPERLINK("http://www.ncbi.nlm.nih.gov/protein/XP_020564539.1","ryanodine receptor 1 isoform X3")</f>
        <v>ryanodine receptor 1 isoform X3</v>
      </c>
      <c r="J87" t="s">
        <v>1485</v>
      </c>
      <c r="K87" t="s">
        <v>19</v>
      </c>
      <c r="L87">
        <v>4583</v>
      </c>
      <c r="M87" t="s">
        <v>19</v>
      </c>
      <c r="N87" t="s">
        <v>19</v>
      </c>
      <c r="O87">
        <v>4586</v>
      </c>
      <c r="P87" t="s">
        <v>1486</v>
      </c>
      <c r="Q87" t="s">
        <v>19</v>
      </c>
      <c r="R87">
        <v>4587</v>
      </c>
      <c r="S87" t="s">
        <v>1487</v>
      </c>
      <c r="T87" t="s">
        <v>19</v>
      </c>
      <c r="U87">
        <v>4590</v>
      </c>
      <c r="V87" t="s">
        <v>1488</v>
      </c>
      <c r="W87" t="s">
        <v>19</v>
      </c>
      <c r="X87">
        <v>4687</v>
      </c>
      <c r="Y87" t="s">
        <v>1493</v>
      </c>
      <c r="Z87" t="s">
        <v>19</v>
      </c>
      <c r="AA87">
        <v>4822</v>
      </c>
      <c r="AB87" t="s">
        <v>19</v>
      </c>
      <c r="AC87" t="s">
        <v>19</v>
      </c>
      <c r="AD87">
        <v>4823</v>
      </c>
      <c r="AE87" t="s">
        <v>1488</v>
      </c>
      <c r="AF87" t="s">
        <v>19</v>
      </c>
      <c r="AG87">
        <v>4826</v>
      </c>
      <c r="AH87" t="s">
        <v>19</v>
      </c>
      <c r="AI87" t="s">
        <v>19</v>
      </c>
      <c r="AJ87">
        <v>4846</v>
      </c>
      <c r="AK87" t="s">
        <v>1490</v>
      </c>
      <c r="AL87" t="s">
        <v>19</v>
      </c>
      <c r="AM87">
        <v>4850</v>
      </c>
      <c r="AN87" t="s">
        <v>1491</v>
      </c>
      <c r="AO87" t="s">
        <v>19</v>
      </c>
    </row>
    <row r="88" spans="1:41" x14ac:dyDescent="0.45">
      <c r="A88" t="s">
        <v>1264</v>
      </c>
      <c r="B88">
        <v>8</v>
      </c>
      <c r="C88" t="str">
        <f>HYPERLINK("http://www.ncbi.nlm.nih.gov/protein/XP_054610382.1","XP_054610382.1")</f>
        <v>XP_054610382.1</v>
      </c>
      <c r="D88">
        <v>48595</v>
      </c>
      <c r="E88" t="str">
        <f>HYPERLINK("http://www.ncbi.nlm.nih.gov/Taxonomy/Browser/wwwtax.cgi?mode=Info&amp;id=161453&amp;lvl=3&amp;lin=f&amp;keep=1&amp;srchmode=1&amp;unlock","161453")</f>
        <v>161453</v>
      </c>
      <c r="F88" t="s">
        <v>17</v>
      </c>
      <c r="G88" t="str">
        <f>HYPERLINK("http://www.ncbi.nlm.nih.gov/Taxonomy/Browser/wwwtax.cgi?mode=Info&amp;id=161453&amp;lvl=3&amp;lin=f&amp;keep=1&amp;srchmode=1&amp;unlock","Dunckerocampus dactyliophorus")</f>
        <v>Dunckerocampus dactyliophorus</v>
      </c>
      <c r="H88" t="s">
        <v>107</v>
      </c>
      <c r="I88" t="str">
        <f>HYPERLINK("http://www.ncbi.nlm.nih.gov/protein/XP_054610382.1","ryanodine receptor 1-like isoform X6")</f>
        <v>ryanodine receptor 1-like isoform X6</v>
      </c>
      <c r="J88" t="s">
        <v>1485</v>
      </c>
      <c r="K88" t="s">
        <v>19</v>
      </c>
      <c r="L88">
        <v>4592</v>
      </c>
      <c r="M88" t="s">
        <v>19</v>
      </c>
      <c r="N88" t="s">
        <v>19</v>
      </c>
      <c r="O88">
        <v>4595</v>
      </c>
      <c r="P88" t="s">
        <v>1486</v>
      </c>
      <c r="Q88" t="s">
        <v>19</v>
      </c>
      <c r="R88">
        <v>4596</v>
      </c>
      <c r="S88" t="s">
        <v>1487</v>
      </c>
      <c r="T88" t="s">
        <v>19</v>
      </c>
      <c r="U88">
        <v>4599</v>
      </c>
      <c r="V88" t="s">
        <v>1488</v>
      </c>
      <c r="W88" t="s">
        <v>19</v>
      </c>
      <c r="X88">
        <v>4695</v>
      </c>
      <c r="Y88" t="s">
        <v>1493</v>
      </c>
      <c r="Z88" t="s">
        <v>19</v>
      </c>
      <c r="AA88">
        <v>4830</v>
      </c>
      <c r="AB88" t="s">
        <v>19</v>
      </c>
      <c r="AC88" t="s">
        <v>19</v>
      </c>
      <c r="AD88">
        <v>4831</v>
      </c>
      <c r="AE88" t="s">
        <v>1488</v>
      </c>
      <c r="AF88" t="s">
        <v>19</v>
      </c>
      <c r="AG88">
        <v>4834</v>
      </c>
      <c r="AH88" t="s">
        <v>19</v>
      </c>
      <c r="AI88" t="s">
        <v>19</v>
      </c>
      <c r="AJ88">
        <v>4854</v>
      </c>
      <c r="AK88" t="s">
        <v>1490</v>
      </c>
      <c r="AL88" t="s">
        <v>19</v>
      </c>
      <c r="AM88">
        <v>4858</v>
      </c>
      <c r="AN88" t="s">
        <v>1491</v>
      </c>
      <c r="AO88" t="s">
        <v>19</v>
      </c>
    </row>
    <row r="89" spans="1:41" x14ac:dyDescent="0.45">
      <c r="A89" t="s">
        <v>1264</v>
      </c>
      <c r="B89">
        <v>8</v>
      </c>
      <c r="C89" t="str">
        <f>HYPERLINK("http://www.ncbi.nlm.nih.gov/protein/XP_034462574.1","XP_034462574.1")</f>
        <v>XP_034462574.1</v>
      </c>
      <c r="D89">
        <v>47303</v>
      </c>
      <c r="E89" t="str">
        <f>HYPERLINK("http://www.ncbi.nlm.nih.gov/Taxonomy/Browser/wwwtax.cgi?mode=Info&amp;id=8267&amp;lvl=3&amp;lin=f&amp;keep=1&amp;srchmode=1&amp;unlock","8267")</f>
        <v>8267</v>
      </c>
      <c r="F89" t="s">
        <v>17</v>
      </c>
      <c r="G89" t="str">
        <f>HYPERLINK("http://www.ncbi.nlm.nih.gov/Taxonomy/Browser/wwwtax.cgi?mode=Info&amp;id=8267&amp;lvl=3&amp;lin=f&amp;keep=1&amp;srchmode=1&amp;unlock","Hippoglossus hippoglossus")</f>
        <v>Hippoglossus hippoglossus</v>
      </c>
      <c r="H89" t="s">
        <v>108</v>
      </c>
      <c r="I89" t="str">
        <f>HYPERLINK("http://www.ncbi.nlm.nih.gov/protein/XP_034462574.1","ryanodine receptor 1 isoform X8")</f>
        <v>ryanodine receptor 1 isoform X8</v>
      </c>
      <c r="J89" t="s">
        <v>1485</v>
      </c>
      <c r="K89" t="s">
        <v>19</v>
      </c>
      <c r="L89">
        <v>4584</v>
      </c>
      <c r="M89" t="s">
        <v>19</v>
      </c>
      <c r="N89" t="s">
        <v>19</v>
      </c>
      <c r="O89">
        <v>4587</v>
      </c>
      <c r="P89" t="s">
        <v>1486</v>
      </c>
      <c r="Q89" t="s">
        <v>19</v>
      </c>
      <c r="R89">
        <v>4588</v>
      </c>
      <c r="S89" t="s">
        <v>1487</v>
      </c>
      <c r="T89" t="s">
        <v>19</v>
      </c>
      <c r="U89">
        <v>4591</v>
      </c>
      <c r="V89" t="s">
        <v>1488</v>
      </c>
      <c r="W89" t="s">
        <v>19</v>
      </c>
      <c r="X89">
        <v>4688</v>
      </c>
      <c r="Y89" t="s">
        <v>1493</v>
      </c>
      <c r="Z89" t="s">
        <v>19</v>
      </c>
      <c r="AA89">
        <v>4823</v>
      </c>
      <c r="AB89" t="s">
        <v>19</v>
      </c>
      <c r="AC89" t="s">
        <v>19</v>
      </c>
      <c r="AD89">
        <v>4824</v>
      </c>
      <c r="AE89" t="s">
        <v>1488</v>
      </c>
      <c r="AF89" t="s">
        <v>19</v>
      </c>
      <c r="AG89">
        <v>4827</v>
      </c>
      <c r="AH89" t="s">
        <v>19</v>
      </c>
      <c r="AI89" t="s">
        <v>19</v>
      </c>
      <c r="AJ89">
        <v>4847</v>
      </c>
      <c r="AK89" t="s">
        <v>1490</v>
      </c>
      <c r="AL89" t="s">
        <v>19</v>
      </c>
      <c r="AM89">
        <v>4851</v>
      </c>
      <c r="AN89" t="s">
        <v>1491</v>
      </c>
      <c r="AO89" t="s">
        <v>19</v>
      </c>
    </row>
    <row r="90" spans="1:41" x14ac:dyDescent="0.45">
      <c r="A90" t="s">
        <v>1264</v>
      </c>
      <c r="B90">
        <v>8</v>
      </c>
      <c r="C90" t="str">
        <f>HYPERLINK("http://www.ncbi.nlm.nih.gov/protein/XP_029704028.1","XP_029704028.1")</f>
        <v>XP_029704028.1</v>
      </c>
      <c r="D90">
        <v>49116</v>
      </c>
      <c r="E90" t="str">
        <f>HYPERLINK("http://www.ncbi.nlm.nih.gov/Taxonomy/Browser/wwwtax.cgi?mode=Info&amp;id=31033&amp;lvl=3&amp;lin=f&amp;keep=1&amp;srchmode=1&amp;unlock","31033")</f>
        <v>31033</v>
      </c>
      <c r="F90" t="s">
        <v>17</v>
      </c>
      <c r="G90" t="str">
        <f>HYPERLINK("http://www.ncbi.nlm.nih.gov/Taxonomy/Browser/wwwtax.cgi?mode=Info&amp;id=31033&amp;lvl=3&amp;lin=f&amp;keep=1&amp;srchmode=1&amp;unlock","Takifugu rubripes")</f>
        <v>Takifugu rubripes</v>
      </c>
      <c r="H90" t="s">
        <v>109</v>
      </c>
      <c r="I90" t="str">
        <f>HYPERLINK("http://www.ncbi.nlm.nih.gov/protein/XP_029704028.1","ryanodine receptor 1-like isoform X11")</f>
        <v>ryanodine receptor 1-like isoform X11</v>
      </c>
      <c r="J90" t="s">
        <v>1485</v>
      </c>
      <c r="K90" t="s">
        <v>19</v>
      </c>
      <c r="L90">
        <v>4595</v>
      </c>
      <c r="M90" t="s">
        <v>19</v>
      </c>
      <c r="N90" t="s">
        <v>19</v>
      </c>
      <c r="O90">
        <v>4598</v>
      </c>
      <c r="P90" t="s">
        <v>1486</v>
      </c>
      <c r="Q90" t="s">
        <v>19</v>
      </c>
      <c r="R90">
        <v>4599</v>
      </c>
      <c r="S90" t="s">
        <v>1487</v>
      </c>
      <c r="T90" t="s">
        <v>19</v>
      </c>
      <c r="U90">
        <v>4602</v>
      </c>
      <c r="V90" t="s">
        <v>1488</v>
      </c>
      <c r="W90" t="s">
        <v>19</v>
      </c>
      <c r="X90">
        <v>4699</v>
      </c>
      <c r="Y90" t="s">
        <v>1493</v>
      </c>
      <c r="Z90" t="s">
        <v>19</v>
      </c>
      <c r="AA90">
        <v>4834</v>
      </c>
      <c r="AB90" t="s">
        <v>19</v>
      </c>
      <c r="AC90" t="s">
        <v>19</v>
      </c>
      <c r="AD90">
        <v>4835</v>
      </c>
      <c r="AE90" t="s">
        <v>1488</v>
      </c>
      <c r="AF90" t="s">
        <v>19</v>
      </c>
      <c r="AG90">
        <v>4838</v>
      </c>
      <c r="AH90" t="s">
        <v>19</v>
      </c>
      <c r="AI90" t="s">
        <v>19</v>
      </c>
      <c r="AJ90">
        <v>4858</v>
      </c>
      <c r="AK90" t="s">
        <v>1490</v>
      </c>
      <c r="AL90" t="s">
        <v>19</v>
      </c>
      <c r="AM90">
        <v>4862</v>
      </c>
      <c r="AN90" t="s">
        <v>1491</v>
      </c>
      <c r="AO90" t="s">
        <v>19</v>
      </c>
    </row>
    <row r="91" spans="1:41" x14ac:dyDescent="0.45">
      <c r="A91" t="s">
        <v>1264</v>
      </c>
      <c r="B91">
        <v>8</v>
      </c>
      <c r="C91" t="str">
        <f>HYPERLINK("http://www.ncbi.nlm.nih.gov/protein/XP_057676727.1","XP_057676727.1")</f>
        <v>XP_057676727.1</v>
      </c>
      <c r="D91">
        <v>44748</v>
      </c>
      <c r="E91" t="str">
        <f>HYPERLINK("http://www.ncbi.nlm.nih.gov/Taxonomy/Browser/wwwtax.cgi?mode=Info&amp;id=161448&amp;lvl=3&amp;lin=f&amp;keep=1&amp;srchmode=1&amp;unlock","161448")</f>
        <v>161448</v>
      </c>
      <c r="F91" t="s">
        <v>17</v>
      </c>
      <c r="G91" t="str">
        <f>HYPERLINK("http://www.ncbi.nlm.nih.gov/Taxonomy/Browser/wwwtax.cgi?mode=Info&amp;id=161448&amp;lvl=3&amp;lin=f&amp;keep=1&amp;srchmode=1&amp;unlock","Corythoichthys intestinalis")</f>
        <v>Corythoichthys intestinalis</v>
      </c>
      <c r="H91" t="s">
        <v>111</v>
      </c>
      <c r="I91" t="str">
        <f>HYPERLINK("http://www.ncbi.nlm.nih.gov/protein/XP_057676727.1","ryanodine receptor 1-like")</f>
        <v>ryanodine receptor 1-like</v>
      </c>
      <c r="J91" t="s">
        <v>1485</v>
      </c>
      <c r="K91" t="s">
        <v>19</v>
      </c>
      <c r="L91">
        <v>4599</v>
      </c>
      <c r="M91" t="s">
        <v>19</v>
      </c>
      <c r="N91" t="s">
        <v>19</v>
      </c>
      <c r="O91">
        <v>4602</v>
      </c>
      <c r="P91" t="s">
        <v>1486</v>
      </c>
      <c r="Q91" t="s">
        <v>19</v>
      </c>
      <c r="R91">
        <v>4603</v>
      </c>
      <c r="S91" t="s">
        <v>1487</v>
      </c>
      <c r="T91" t="s">
        <v>19</v>
      </c>
      <c r="U91">
        <v>4606</v>
      </c>
      <c r="V91" t="s">
        <v>1488</v>
      </c>
      <c r="W91" t="s">
        <v>19</v>
      </c>
      <c r="X91">
        <v>4702</v>
      </c>
      <c r="Y91" t="s">
        <v>1493</v>
      </c>
      <c r="Z91" t="s">
        <v>19</v>
      </c>
      <c r="AA91">
        <v>4837</v>
      </c>
      <c r="AB91" t="s">
        <v>19</v>
      </c>
      <c r="AC91" t="s">
        <v>19</v>
      </c>
      <c r="AD91">
        <v>4838</v>
      </c>
      <c r="AE91" t="s">
        <v>1488</v>
      </c>
      <c r="AF91" t="s">
        <v>19</v>
      </c>
      <c r="AG91">
        <v>4841</v>
      </c>
      <c r="AH91" t="s">
        <v>19</v>
      </c>
      <c r="AI91" t="s">
        <v>19</v>
      </c>
      <c r="AJ91">
        <v>4861</v>
      </c>
      <c r="AK91" t="s">
        <v>1490</v>
      </c>
      <c r="AL91" t="s">
        <v>19</v>
      </c>
      <c r="AM91">
        <v>4865</v>
      </c>
      <c r="AN91" t="s">
        <v>1491</v>
      </c>
      <c r="AO91" t="s">
        <v>19</v>
      </c>
    </row>
    <row r="92" spans="1:41" x14ac:dyDescent="0.45">
      <c r="A92" t="s">
        <v>1264</v>
      </c>
      <c r="B92">
        <v>8</v>
      </c>
      <c r="C92" t="str">
        <f>HYPERLINK("http://www.ncbi.nlm.nih.gov/protein/XP_040005924.1","XP_040005924.1")</f>
        <v>XP_040005924.1</v>
      </c>
      <c r="D92">
        <v>44874</v>
      </c>
      <c r="E92" t="str">
        <f>HYPERLINK("http://www.ncbi.nlm.nih.gov/Taxonomy/Browser/wwwtax.cgi?mode=Info&amp;id=8245&amp;lvl=3&amp;lin=f&amp;keep=1&amp;srchmode=1&amp;unlock","8245")</f>
        <v>8245</v>
      </c>
      <c r="F92" t="s">
        <v>17</v>
      </c>
      <c r="G92" t="str">
        <f>HYPERLINK("http://www.ncbi.nlm.nih.gov/Taxonomy/Browser/wwwtax.cgi?mode=Info&amp;id=8245&amp;lvl=3&amp;lin=f&amp;keep=1&amp;srchmode=1&amp;unlock","Xiphias gladius")</f>
        <v>Xiphias gladius</v>
      </c>
      <c r="H92" t="s">
        <v>113</v>
      </c>
      <c r="I92" t="str">
        <f>HYPERLINK("http://www.ncbi.nlm.nih.gov/protein/XP_040005924.1","ryanodine receptor 1-like")</f>
        <v>ryanodine receptor 1-like</v>
      </c>
      <c r="J92" t="s">
        <v>1485</v>
      </c>
      <c r="K92" t="s">
        <v>19</v>
      </c>
      <c r="L92">
        <v>4532</v>
      </c>
      <c r="M92" t="s">
        <v>19</v>
      </c>
      <c r="N92" t="s">
        <v>19</v>
      </c>
      <c r="O92">
        <v>4535</v>
      </c>
      <c r="P92" t="s">
        <v>1486</v>
      </c>
      <c r="Q92" t="s">
        <v>19</v>
      </c>
      <c r="R92">
        <v>4536</v>
      </c>
      <c r="S92" t="s">
        <v>1487</v>
      </c>
      <c r="T92" t="s">
        <v>19</v>
      </c>
      <c r="U92">
        <v>4539</v>
      </c>
      <c r="V92" t="s">
        <v>1488</v>
      </c>
      <c r="W92" t="s">
        <v>19</v>
      </c>
      <c r="X92">
        <v>4636</v>
      </c>
      <c r="Y92" t="s">
        <v>1493</v>
      </c>
      <c r="Z92" t="s">
        <v>19</v>
      </c>
      <c r="AA92">
        <v>4771</v>
      </c>
      <c r="AB92" t="s">
        <v>19</v>
      </c>
      <c r="AC92" t="s">
        <v>19</v>
      </c>
      <c r="AD92">
        <v>4772</v>
      </c>
      <c r="AE92" t="s">
        <v>1488</v>
      </c>
      <c r="AF92" t="s">
        <v>19</v>
      </c>
      <c r="AG92">
        <v>4775</v>
      </c>
      <c r="AH92" t="s">
        <v>19</v>
      </c>
      <c r="AI92" t="s">
        <v>19</v>
      </c>
      <c r="AJ92">
        <v>4795</v>
      </c>
      <c r="AK92" t="s">
        <v>1490</v>
      </c>
      <c r="AL92" t="s">
        <v>19</v>
      </c>
      <c r="AM92">
        <v>4799</v>
      </c>
      <c r="AN92" t="s">
        <v>1491</v>
      </c>
      <c r="AO92" t="s">
        <v>19</v>
      </c>
    </row>
    <row r="93" spans="1:41" x14ac:dyDescent="0.45">
      <c r="A93" t="s">
        <v>1264</v>
      </c>
      <c r="B93">
        <v>8</v>
      </c>
      <c r="C93" t="str">
        <f>HYPERLINK("http://www.ncbi.nlm.nih.gov/protein/XP_035999047.1","XP_035999047.1")</f>
        <v>XP_035999047.1</v>
      </c>
      <c r="D93">
        <v>50139</v>
      </c>
      <c r="E93" t="str">
        <f>HYPERLINK("http://www.ncbi.nlm.nih.gov/Taxonomy/Browser/wwwtax.cgi?mode=Info&amp;id=8078&amp;lvl=3&amp;lin=f&amp;keep=1&amp;srchmode=1&amp;unlock","8078")</f>
        <v>8078</v>
      </c>
      <c r="F93" t="s">
        <v>17</v>
      </c>
      <c r="G93" t="str">
        <f>HYPERLINK("http://www.ncbi.nlm.nih.gov/Taxonomy/Browser/wwwtax.cgi?mode=Info&amp;id=8078&amp;lvl=3&amp;lin=f&amp;keep=1&amp;srchmode=1&amp;unlock","Fundulus heteroclitus")</f>
        <v>Fundulus heteroclitus</v>
      </c>
      <c r="H93" t="s">
        <v>114</v>
      </c>
      <c r="I93" t="str">
        <f>HYPERLINK("http://www.ncbi.nlm.nih.gov/protein/XP_035999047.1","ryanodine receptor 1 isoform X2")</f>
        <v>ryanodine receptor 1 isoform X2</v>
      </c>
      <c r="J93" t="s">
        <v>1485</v>
      </c>
      <c r="K93" t="s">
        <v>19</v>
      </c>
      <c r="L93">
        <v>4604</v>
      </c>
      <c r="M93" t="s">
        <v>19</v>
      </c>
      <c r="N93" t="s">
        <v>19</v>
      </c>
      <c r="O93">
        <v>4607</v>
      </c>
      <c r="P93" t="s">
        <v>1486</v>
      </c>
      <c r="Q93" t="s">
        <v>19</v>
      </c>
      <c r="R93">
        <v>4608</v>
      </c>
      <c r="S93" t="s">
        <v>1487</v>
      </c>
      <c r="T93" t="s">
        <v>19</v>
      </c>
      <c r="U93">
        <v>4611</v>
      </c>
      <c r="V93" t="s">
        <v>1488</v>
      </c>
      <c r="W93" t="s">
        <v>19</v>
      </c>
      <c r="X93">
        <v>4708</v>
      </c>
      <c r="Y93" t="s">
        <v>1493</v>
      </c>
      <c r="Z93" t="s">
        <v>19</v>
      </c>
      <c r="AA93">
        <v>4843</v>
      </c>
      <c r="AB93" t="s">
        <v>19</v>
      </c>
      <c r="AC93" t="s">
        <v>19</v>
      </c>
      <c r="AD93">
        <v>4844</v>
      </c>
      <c r="AE93" t="s">
        <v>1488</v>
      </c>
      <c r="AF93" t="s">
        <v>19</v>
      </c>
      <c r="AG93">
        <v>4847</v>
      </c>
      <c r="AH93" t="s">
        <v>19</v>
      </c>
      <c r="AI93" t="s">
        <v>19</v>
      </c>
      <c r="AJ93">
        <v>4867</v>
      </c>
      <c r="AK93" t="s">
        <v>1490</v>
      </c>
      <c r="AL93" t="s">
        <v>19</v>
      </c>
      <c r="AM93">
        <v>4871</v>
      </c>
      <c r="AN93" t="s">
        <v>1491</v>
      </c>
      <c r="AO93" t="s">
        <v>19</v>
      </c>
    </row>
    <row r="94" spans="1:41" x14ac:dyDescent="0.45">
      <c r="A94" t="s">
        <v>1264</v>
      </c>
      <c r="B94">
        <v>8</v>
      </c>
      <c r="C94" t="str">
        <f>HYPERLINK("http://www.ncbi.nlm.nih.gov/protein/XP_034406359.1","XP_034406359.1")</f>
        <v>XP_034406359.1</v>
      </c>
      <c r="D94">
        <v>38740</v>
      </c>
      <c r="E94" t="str">
        <f>HYPERLINK("http://www.ncbi.nlm.nih.gov/Taxonomy/Browser/wwwtax.cgi?mode=Info&amp;id=8103&amp;lvl=3&amp;lin=f&amp;keep=1&amp;srchmode=1&amp;unlock","8103")</f>
        <v>8103</v>
      </c>
      <c r="F94" t="s">
        <v>17</v>
      </c>
      <c r="G94" t="str">
        <f>HYPERLINK("http://www.ncbi.nlm.nih.gov/Taxonomy/Browser/wwwtax.cgi?mode=Info&amp;id=8103&amp;lvl=3&amp;lin=f&amp;keep=1&amp;srchmode=1&amp;unlock","Cyclopterus lumpus")</f>
        <v>Cyclopterus lumpus</v>
      </c>
      <c r="H94" t="s">
        <v>115</v>
      </c>
      <c r="I94" t="str">
        <f>HYPERLINK("http://www.ncbi.nlm.nih.gov/protein/XP_034406359.1","ryanodine receptor 1")</f>
        <v>ryanodine receptor 1</v>
      </c>
      <c r="J94" t="s">
        <v>1485</v>
      </c>
      <c r="K94" t="s">
        <v>19</v>
      </c>
      <c r="L94">
        <v>4523</v>
      </c>
      <c r="M94" t="s">
        <v>19</v>
      </c>
      <c r="N94" t="s">
        <v>19</v>
      </c>
      <c r="O94">
        <v>4526</v>
      </c>
      <c r="P94" t="s">
        <v>1486</v>
      </c>
      <c r="Q94" t="s">
        <v>19</v>
      </c>
      <c r="R94">
        <v>4527</v>
      </c>
      <c r="S94" t="s">
        <v>1487</v>
      </c>
      <c r="T94" t="s">
        <v>19</v>
      </c>
      <c r="U94">
        <v>4530</v>
      </c>
      <c r="V94" t="s">
        <v>1488</v>
      </c>
      <c r="W94" t="s">
        <v>19</v>
      </c>
      <c r="X94">
        <v>4626</v>
      </c>
      <c r="Y94" t="s">
        <v>1493</v>
      </c>
      <c r="Z94" t="s">
        <v>19</v>
      </c>
      <c r="AA94">
        <v>4761</v>
      </c>
      <c r="AB94" t="s">
        <v>19</v>
      </c>
      <c r="AC94" t="s">
        <v>19</v>
      </c>
      <c r="AD94">
        <v>4762</v>
      </c>
      <c r="AE94" t="s">
        <v>1488</v>
      </c>
      <c r="AF94" t="s">
        <v>19</v>
      </c>
      <c r="AG94">
        <v>4765</v>
      </c>
      <c r="AH94" t="s">
        <v>19</v>
      </c>
      <c r="AI94" t="s">
        <v>19</v>
      </c>
      <c r="AJ94">
        <v>4785</v>
      </c>
      <c r="AK94" t="s">
        <v>1490</v>
      </c>
      <c r="AL94" t="s">
        <v>19</v>
      </c>
      <c r="AM94">
        <v>4789</v>
      </c>
      <c r="AN94" t="s">
        <v>1491</v>
      </c>
      <c r="AO94" t="s">
        <v>19</v>
      </c>
    </row>
    <row r="95" spans="1:41" x14ac:dyDescent="0.45">
      <c r="A95" t="s">
        <v>1264</v>
      </c>
      <c r="B95">
        <v>8</v>
      </c>
      <c r="C95" t="str">
        <f>HYPERLINK("http://www.ncbi.nlm.nih.gov/protein/XP_028322457.1","XP_028322457.1")</f>
        <v>XP_028322457.1</v>
      </c>
      <c r="D95">
        <v>43575</v>
      </c>
      <c r="E95" t="str">
        <f>HYPERLINK("http://www.ncbi.nlm.nih.gov/Taxonomy/Browser/wwwtax.cgi?mode=Info&amp;id=441366&amp;lvl=3&amp;lin=f&amp;keep=1&amp;srchmode=1&amp;unlock","441366")</f>
        <v>441366</v>
      </c>
      <c r="F95" t="s">
        <v>17</v>
      </c>
      <c r="G95" t="str">
        <f>HYPERLINK("http://www.ncbi.nlm.nih.gov/Taxonomy/Browser/wwwtax.cgi?mode=Info&amp;id=441366&amp;lvl=3&amp;lin=f&amp;keep=1&amp;srchmode=1&amp;unlock","Gouania willdenowi")</f>
        <v>Gouania willdenowi</v>
      </c>
      <c r="H95" t="s">
        <v>116</v>
      </c>
      <c r="I95" t="str">
        <f>HYPERLINK("http://www.ncbi.nlm.nih.gov/protein/XP_028322457.1","LOW QUALITY PROTEIN: ryanodine receptor 1-like")</f>
        <v>LOW QUALITY PROTEIN: ryanodine receptor 1-like</v>
      </c>
      <c r="J95" t="s">
        <v>1485</v>
      </c>
      <c r="K95" t="s">
        <v>19</v>
      </c>
      <c r="L95">
        <v>4597</v>
      </c>
      <c r="M95" t="s">
        <v>19</v>
      </c>
      <c r="N95" t="s">
        <v>19</v>
      </c>
      <c r="O95">
        <v>4600</v>
      </c>
      <c r="P95" t="s">
        <v>1486</v>
      </c>
      <c r="Q95" t="s">
        <v>19</v>
      </c>
      <c r="R95">
        <v>4601</v>
      </c>
      <c r="S95" t="s">
        <v>1487</v>
      </c>
      <c r="T95" t="s">
        <v>19</v>
      </c>
      <c r="U95">
        <v>4604</v>
      </c>
      <c r="V95" t="s">
        <v>1488</v>
      </c>
      <c r="W95" t="s">
        <v>19</v>
      </c>
      <c r="X95">
        <v>4701</v>
      </c>
      <c r="Y95" t="s">
        <v>1493</v>
      </c>
      <c r="Z95" t="s">
        <v>19</v>
      </c>
      <c r="AA95">
        <v>4836</v>
      </c>
      <c r="AB95" t="s">
        <v>19</v>
      </c>
      <c r="AC95" t="s">
        <v>19</v>
      </c>
      <c r="AD95">
        <v>4837</v>
      </c>
      <c r="AE95" t="s">
        <v>1488</v>
      </c>
      <c r="AF95" t="s">
        <v>19</v>
      </c>
      <c r="AG95">
        <v>4840</v>
      </c>
      <c r="AH95" t="s">
        <v>19</v>
      </c>
      <c r="AI95" t="s">
        <v>19</v>
      </c>
      <c r="AJ95">
        <v>4860</v>
      </c>
      <c r="AK95" t="s">
        <v>1490</v>
      </c>
      <c r="AL95" t="s">
        <v>19</v>
      </c>
      <c r="AM95">
        <v>4864</v>
      </c>
      <c r="AN95" t="s">
        <v>1491</v>
      </c>
      <c r="AO95" t="s">
        <v>19</v>
      </c>
    </row>
    <row r="96" spans="1:41" x14ac:dyDescent="0.45">
      <c r="A96" t="s">
        <v>1264</v>
      </c>
      <c r="B96">
        <v>8</v>
      </c>
      <c r="C96" t="str">
        <f>HYPERLINK("http://www.ncbi.nlm.nih.gov/protein/XP_014895695.1","XP_014895695.1")</f>
        <v>XP_014895695.1</v>
      </c>
      <c r="D96">
        <v>47235</v>
      </c>
      <c r="E96" t="str">
        <f>HYPERLINK("http://www.ncbi.nlm.nih.gov/Taxonomy/Browser/wwwtax.cgi?mode=Info&amp;id=48699&amp;lvl=3&amp;lin=f&amp;keep=1&amp;srchmode=1&amp;unlock","48699")</f>
        <v>48699</v>
      </c>
      <c r="F96" t="s">
        <v>17</v>
      </c>
      <c r="G96" t="str">
        <f>HYPERLINK("http://www.ncbi.nlm.nih.gov/Taxonomy/Browser/wwwtax.cgi?mode=Info&amp;id=48699&amp;lvl=3&amp;lin=f&amp;keep=1&amp;srchmode=1&amp;unlock","Poecilia latipinna")</f>
        <v>Poecilia latipinna</v>
      </c>
      <c r="H96" t="s">
        <v>117</v>
      </c>
      <c r="I96" t="str">
        <f>HYPERLINK("http://www.ncbi.nlm.nih.gov/protein/XP_014895695.1","PREDICTED: ryanodine receptor 1-like isoform X1")</f>
        <v>PREDICTED: ryanodine receptor 1-like isoform X1</v>
      </c>
      <c r="J96" t="s">
        <v>1485</v>
      </c>
      <c r="K96" t="s">
        <v>19</v>
      </c>
      <c r="L96">
        <v>4598</v>
      </c>
      <c r="M96" t="s">
        <v>19</v>
      </c>
      <c r="N96" t="s">
        <v>19</v>
      </c>
      <c r="O96">
        <v>4601</v>
      </c>
      <c r="P96" t="s">
        <v>1486</v>
      </c>
      <c r="Q96" t="s">
        <v>19</v>
      </c>
      <c r="R96">
        <v>4602</v>
      </c>
      <c r="S96" t="s">
        <v>1487</v>
      </c>
      <c r="T96" t="s">
        <v>19</v>
      </c>
      <c r="U96">
        <v>4605</v>
      </c>
      <c r="V96" t="s">
        <v>1488</v>
      </c>
      <c r="W96" t="s">
        <v>19</v>
      </c>
      <c r="X96">
        <v>4702</v>
      </c>
      <c r="Y96" t="s">
        <v>1493</v>
      </c>
      <c r="Z96" t="s">
        <v>19</v>
      </c>
      <c r="AA96">
        <v>4837</v>
      </c>
      <c r="AB96" t="s">
        <v>19</v>
      </c>
      <c r="AC96" t="s">
        <v>19</v>
      </c>
      <c r="AD96">
        <v>4838</v>
      </c>
      <c r="AE96" t="s">
        <v>1488</v>
      </c>
      <c r="AF96" t="s">
        <v>19</v>
      </c>
      <c r="AG96">
        <v>4841</v>
      </c>
      <c r="AH96" t="s">
        <v>19</v>
      </c>
      <c r="AI96" t="s">
        <v>19</v>
      </c>
      <c r="AJ96">
        <v>4861</v>
      </c>
      <c r="AK96" t="s">
        <v>1490</v>
      </c>
      <c r="AL96" t="s">
        <v>19</v>
      </c>
      <c r="AM96">
        <v>4865</v>
      </c>
      <c r="AN96" t="s">
        <v>1491</v>
      </c>
      <c r="AO96" t="s">
        <v>19</v>
      </c>
    </row>
    <row r="97" spans="1:41" x14ac:dyDescent="0.45">
      <c r="A97" t="s">
        <v>1264</v>
      </c>
      <c r="B97">
        <v>8</v>
      </c>
      <c r="C97" t="str">
        <f>HYPERLINK("http://www.ncbi.nlm.nih.gov/protein/XP_016529586.1","XP_016529586.1")</f>
        <v>XP_016529586.1</v>
      </c>
      <c r="D97">
        <v>49657</v>
      </c>
      <c r="E97" t="str">
        <f>HYPERLINK("http://www.ncbi.nlm.nih.gov/Taxonomy/Browser/wwwtax.cgi?mode=Info&amp;id=48698&amp;lvl=3&amp;lin=f&amp;keep=1&amp;srchmode=1&amp;unlock","48698")</f>
        <v>48698</v>
      </c>
      <c r="F97" t="s">
        <v>17</v>
      </c>
      <c r="G97" t="str">
        <f>HYPERLINK("http://www.ncbi.nlm.nih.gov/Taxonomy/Browser/wwwtax.cgi?mode=Info&amp;id=48698&amp;lvl=3&amp;lin=f&amp;keep=1&amp;srchmode=1&amp;unlock","Poecilia formosa")</f>
        <v>Poecilia formosa</v>
      </c>
      <c r="H97" t="s">
        <v>119</v>
      </c>
      <c r="I97" t="str">
        <f>HYPERLINK("http://www.ncbi.nlm.nih.gov/protein/XP_016529586.1","PREDICTED: ryanodine receptor 1-like isoform X1")</f>
        <v>PREDICTED: ryanodine receptor 1-like isoform X1</v>
      </c>
      <c r="J97" t="s">
        <v>1485</v>
      </c>
      <c r="K97" t="s">
        <v>19</v>
      </c>
      <c r="L97">
        <v>4598</v>
      </c>
      <c r="M97" t="s">
        <v>19</v>
      </c>
      <c r="N97" t="s">
        <v>19</v>
      </c>
      <c r="O97">
        <v>4601</v>
      </c>
      <c r="P97" t="s">
        <v>1486</v>
      </c>
      <c r="Q97" t="s">
        <v>19</v>
      </c>
      <c r="R97">
        <v>4602</v>
      </c>
      <c r="S97" t="s">
        <v>1487</v>
      </c>
      <c r="T97" t="s">
        <v>19</v>
      </c>
      <c r="U97">
        <v>4605</v>
      </c>
      <c r="V97" t="s">
        <v>1488</v>
      </c>
      <c r="W97" t="s">
        <v>19</v>
      </c>
      <c r="X97">
        <v>4702</v>
      </c>
      <c r="Y97" t="s">
        <v>1493</v>
      </c>
      <c r="Z97" t="s">
        <v>19</v>
      </c>
      <c r="AA97">
        <v>4837</v>
      </c>
      <c r="AB97" t="s">
        <v>19</v>
      </c>
      <c r="AC97" t="s">
        <v>19</v>
      </c>
      <c r="AD97">
        <v>4838</v>
      </c>
      <c r="AE97" t="s">
        <v>1488</v>
      </c>
      <c r="AF97" t="s">
        <v>19</v>
      </c>
      <c r="AG97">
        <v>4841</v>
      </c>
      <c r="AH97" t="s">
        <v>19</v>
      </c>
      <c r="AI97" t="s">
        <v>19</v>
      </c>
      <c r="AJ97">
        <v>4861</v>
      </c>
      <c r="AK97" t="s">
        <v>1490</v>
      </c>
      <c r="AL97" t="s">
        <v>19</v>
      </c>
      <c r="AM97">
        <v>4865</v>
      </c>
      <c r="AN97" t="s">
        <v>1491</v>
      </c>
      <c r="AO97" t="s">
        <v>19</v>
      </c>
    </row>
    <row r="98" spans="1:41" x14ac:dyDescent="0.45">
      <c r="A98" t="s">
        <v>1264</v>
      </c>
      <c r="B98">
        <v>8</v>
      </c>
      <c r="C98" t="str">
        <f>HYPERLINK("http://www.ncbi.nlm.nih.gov/protein/XP_014849111.1","XP_014849111.1")</f>
        <v>XP_014849111.1</v>
      </c>
      <c r="D98">
        <v>47808</v>
      </c>
      <c r="E98" t="str">
        <f>HYPERLINK("http://www.ncbi.nlm.nih.gov/Taxonomy/Browser/wwwtax.cgi?mode=Info&amp;id=48701&amp;lvl=3&amp;lin=f&amp;keep=1&amp;srchmode=1&amp;unlock","48701")</f>
        <v>48701</v>
      </c>
      <c r="F98" t="s">
        <v>17</v>
      </c>
      <c r="G98" t="str">
        <f>HYPERLINK("http://www.ncbi.nlm.nih.gov/Taxonomy/Browser/wwwtax.cgi?mode=Info&amp;id=48701&amp;lvl=3&amp;lin=f&amp;keep=1&amp;srchmode=1&amp;unlock","Poecilia mexicana")</f>
        <v>Poecilia mexicana</v>
      </c>
      <c r="H98" t="s">
        <v>120</v>
      </c>
      <c r="I98" t="str">
        <f>HYPERLINK("http://www.ncbi.nlm.nih.gov/protein/XP_014849111.1","PREDICTED: ryanodine receptor 1-like isoform X1")</f>
        <v>PREDICTED: ryanodine receptor 1-like isoform X1</v>
      </c>
      <c r="J98" t="s">
        <v>1485</v>
      </c>
      <c r="K98" t="s">
        <v>19</v>
      </c>
      <c r="L98">
        <v>4598</v>
      </c>
      <c r="M98" t="s">
        <v>19</v>
      </c>
      <c r="N98" t="s">
        <v>19</v>
      </c>
      <c r="O98">
        <v>4601</v>
      </c>
      <c r="P98" t="s">
        <v>1486</v>
      </c>
      <c r="Q98" t="s">
        <v>19</v>
      </c>
      <c r="R98">
        <v>4602</v>
      </c>
      <c r="S98" t="s">
        <v>1487</v>
      </c>
      <c r="T98" t="s">
        <v>19</v>
      </c>
      <c r="U98">
        <v>4605</v>
      </c>
      <c r="V98" t="s">
        <v>1488</v>
      </c>
      <c r="W98" t="s">
        <v>19</v>
      </c>
      <c r="X98">
        <v>4702</v>
      </c>
      <c r="Y98" t="s">
        <v>1493</v>
      </c>
      <c r="Z98" t="s">
        <v>19</v>
      </c>
      <c r="AA98">
        <v>4837</v>
      </c>
      <c r="AB98" t="s">
        <v>19</v>
      </c>
      <c r="AC98" t="s">
        <v>19</v>
      </c>
      <c r="AD98">
        <v>4838</v>
      </c>
      <c r="AE98" t="s">
        <v>1488</v>
      </c>
      <c r="AF98" t="s">
        <v>19</v>
      </c>
      <c r="AG98">
        <v>4841</v>
      </c>
      <c r="AH98" t="s">
        <v>19</v>
      </c>
      <c r="AI98" t="s">
        <v>19</v>
      </c>
      <c r="AJ98">
        <v>4861</v>
      </c>
      <c r="AK98" t="s">
        <v>1490</v>
      </c>
      <c r="AL98" t="s">
        <v>19</v>
      </c>
      <c r="AM98">
        <v>4865</v>
      </c>
      <c r="AN98" t="s">
        <v>1491</v>
      </c>
      <c r="AO98" t="s">
        <v>19</v>
      </c>
    </row>
    <row r="99" spans="1:41" x14ac:dyDescent="0.45">
      <c r="A99" t="s">
        <v>1264</v>
      </c>
      <c r="B99">
        <v>8</v>
      </c>
      <c r="C99" t="str">
        <f>HYPERLINK("http://www.ncbi.nlm.nih.gov/protein/XP_053298242.1","XP_053298242.1")</f>
        <v>XP_053298242.1</v>
      </c>
      <c r="D99">
        <v>85261</v>
      </c>
      <c r="E99" t="str">
        <f>HYPERLINK("http://www.ncbi.nlm.nih.gov/Taxonomy/Browser/wwwtax.cgi?mode=Info&amp;id=8262&amp;lvl=3&amp;lin=f&amp;keep=1&amp;srchmode=1&amp;unlock","8262")</f>
        <v>8262</v>
      </c>
      <c r="F99" t="s">
        <v>17</v>
      </c>
      <c r="G99" t="str">
        <f>HYPERLINK("http://www.ncbi.nlm.nih.gov/Taxonomy/Browser/wwwtax.cgi?mode=Info&amp;id=8262&amp;lvl=3&amp;lin=f&amp;keep=1&amp;srchmode=1&amp;unlock","Pleuronectes platessa")</f>
        <v>Pleuronectes platessa</v>
      </c>
      <c r="H99" t="s">
        <v>121</v>
      </c>
      <c r="I99" t="str">
        <f>HYPERLINK("http://www.ncbi.nlm.nih.gov/protein/XP_053298242.1","ryanodine receptor 1")</f>
        <v>ryanodine receptor 1</v>
      </c>
      <c r="J99" t="s">
        <v>1485</v>
      </c>
      <c r="K99" t="s">
        <v>19</v>
      </c>
      <c r="L99">
        <v>4527</v>
      </c>
      <c r="M99" t="s">
        <v>19</v>
      </c>
      <c r="N99" t="s">
        <v>19</v>
      </c>
      <c r="O99">
        <v>4530</v>
      </c>
      <c r="P99" t="s">
        <v>1486</v>
      </c>
      <c r="Q99" t="s">
        <v>19</v>
      </c>
      <c r="R99">
        <v>4531</v>
      </c>
      <c r="S99" t="s">
        <v>1487</v>
      </c>
      <c r="T99" t="s">
        <v>19</v>
      </c>
      <c r="U99">
        <v>4534</v>
      </c>
      <c r="V99" t="s">
        <v>1488</v>
      </c>
      <c r="W99" t="s">
        <v>19</v>
      </c>
      <c r="X99">
        <v>4631</v>
      </c>
      <c r="Y99" t="s">
        <v>1493</v>
      </c>
      <c r="Z99" t="s">
        <v>19</v>
      </c>
      <c r="AA99">
        <v>4766</v>
      </c>
      <c r="AB99" t="s">
        <v>19</v>
      </c>
      <c r="AC99" t="s">
        <v>19</v>
      </c>
      <c r="AD99">
        <v>4767</v>
      </c>
      <c r="AE99" t="s">
        <v>1488</v>
      </c>
      <c r="AF99" t="s">
        <v>19</v>
      </c>
      <c r="AG99">
        <v>4770</v>
      </c>
      <c r="AH99" t="s">
        <v>19</v>
      </c>
      <c r="AI99" t="s">
        <v>19</v>
      </c>
      <c r="AJ99">
        <v>4790</v>
      </c>
      <c r="AK99" t="s">
        <v>1490</v>
      </c>
      <c r="AL99" t="s">
        <v>19</v>
      </c>
      <c r="AM99">
        <v>4794</v>
      </c>
      <c r="AN99" t="s">
        <v>1491</v>
      </c>
      <c r="AO99" t="s">
        <v>19</v>
      </c>
    </row>
    <row r="100" spans="1:41" x14ac:dyDescent="0.45">
      <c r="A100" t="s">
        <v>1264</v>
      </c>
      <c r="B100">
        <v>8</v>
      </c>
      <c r="C100" t="str">
        <f>HYPERLINK("http://www.ncbi.nlm.nih.gov/protein/XP_047234971.1","XP_047234971.1")</f>
        <v>XP_047234971.1</v>
      </c>
      <c r="D100">
        <v>48650</v>
      </c>
      <c r="E100" t="str">
        <f>HYPERLINK("http://www.ncbi.nlm.nih.gov/Taxonomy/Browser/wwwtax.cgi?mode=Info&amp;id=208333&amp;lvl=3&amp;lin=f&amp;keep=1&amp;srchmode=1&amp;unlock","208333")</f>
        <v>208333</v>
      </c>
      <c r="F100" t="s">
        <v>17</v>
      </c>
      <c r="G100" t="str">
        <f>HYPERLINK("http://www.ncbi.nlm.nih.gov/Taxonomy/Browser/wwwtax.cgi?mode=Info&amp;id=208333&amp;lvl=3&amp;lin=f&amp;keep=1&amp;srchmode=1&amp;unlock","Girardinichthys multiradiatus")</f>
        <v>Girardinichthys multiradiatus</v>
      </c>
      <c r="H100" t="s">
        <v>122</v>
      </c>
      <c r="I100" t="str">
        <f>HYPERLINK("http://www.ncbi.nlm.nih.gov/protein/XP_047234971.1","ryanodine receptor 1-like")</f>
        <v>ryanodine receptor 1-like</v>
      </c>
      <c r="J100" t="s">
        <v>1485</v>
      </c>
      <c r="K100" t="s">
        <v>19</v>
      </c>
      <c r="L100">
        <v>4548</v>
      </c>
      <c r="M100" t="s">
        <v>19</v>
      </c>
      <c r="N100" t="s">
        <v>19</v>
      </c>
      <c r="O100">
        <v>4551</v>
      </c>
      <c r="P100" t="s">
        <v>1486</v>
      </c>
      <c r="Q100" t="s">
        <v>19</v>
      </c>
      <c r="R100">
        <v>4552</v>
      </c>
      <c r="S100" t="s">
        <v>1487</v>
      </c>
      <c r="T100" t="s">
        <v>19</v>
      </c>
      <c r="U100">
        <v>4555</v>
      </c>
      <c r="V100" t="s">
        <v>1488</v>
      </c>
      <c r="W100" t="s">
        <v>19</v>
      </c>
      <c r="X100">
        <v>4652</v>
      </c>
      <c r="Y100" t="s">
        <v>1493</v>
      </c>
      <c r="Z100" t="s">
        <v>19</v>
      </c>
      <c r="AA100">
        <v>4787</v>
      </c>
      <c r="AB100" t="s">
        <v>19</v>
      </c>
      <c r="AC100" t="s">
        <v>19</v>
      </c>
      <c r="AD100">
        <v>4788</v>
      </c>
      <c r="AE100" t="s">
        <v>1488</v>
      </c>
      <c r="AF100" t="s">
        <v>19</v>
      </c>
      <c r="AG100">
        <v>4791</v>
      </c>
      <c r="AH100" t="s">
        <v>19</v>
      </c>
      <c r="AI100" t="s">
        <v>19</v>
      </c>
      <c r="AJ100">
        <v>4811</v>
      </c>
      <c r="AK100" t="s">
        <v>1490</v>
      </c>
      <c r="AL100" t="s">
        <v>19</v>
      </c>
      <c r="AM100">
        <v>4815</v>
      </c>
      <c r="AN100" t="s">
        <v>1491</v>
      </c>
      <c r="AO100" t="s">
        <v>19</v>
      </c>
    </row>
    <row r="101" spans="1:41" x14ac:dyDescent="0.45">
      <c r="A101" t="s">
        <v>1264</v>
      </c>
      <c r="B101">
        <v>8</v>
      </c>
      <c r="C101" t="str">
        <f>HYPERLINK("http://www.ncbi.nlm.nih.gov/protein/XP_015238285.1","XP_015238285.1")</f>
        <v>XP_015238285.1</v>
      </c>
      <c r="D101">
        <v>36660</v>
      </c>
      <c r="E101" t="str">
        <f>HYPERLINK("http://www.ncbi.nlm.nih.gov/Taxonomy/Browser/wwwtax.cgi?mode=Info&amp;id=28743&amp;lvl=3&amp;lin=f&amp;keep=1&amp;srchmode=1&amp;unlock","28743")</f>
        <v>28743</v>
      </c>
      <c r="F101" t="s">
        <v>17</v>
      </c>
      <c r="G101" t="str">
        <f>HYPERLINK("http://www.ncbi.nlm.nih.gov/Taxonomy/Browser/wwwtax.cgi?mode=Info&amp;id=28743&amp;lvl=3&amp;lin=f&amp;keep=1&amp;srchmode=1&amp;unlock","Cyprinodon variegatus")</f>
        <v>Cyprinodon variegatus</v>
      </c>
      <c r="H101" t="s">
        <v>123</v>
      </c>
      <c r="I101" t="str">
        <f>HYPERLINK("http://www.ncbi.nlm.nih.gov/protein/XP_015238285.1","PREDICTED: ryanodine receptor 1-like isoform X3")</f>
        <v>PREDICTED: ryanodine receptor 1-like isoform X3</v>
      </c>
      <c r="J101" t="s">
        <v>1485</v>
      </c>
      <c r="K101" t="s">
        <v>19</v>
      </c>
      <c r="L101">
        <v>4593</v>
      </c>
      <c r="M101" t="s">
        <v>19</v>
      </c>
      <c r="N101" t="s">
        <v>19</v>
      </c>
      <c r="O101">
        <v>4596</v>
      </c>
      <c r="P101" t="s">
        <v>1486</v>
      </c>
      <c r="Q101" t="s">
        <v>19</v>
      </c>
      <c r="R101">
        <v>4597</v>
      </c>
      <c r="S101" t="s">
        <v>1487</v>
      </c>
      <c r="T101" t="s">
        <v>19</v>
      </c>
      <c r="U101">
        <v>4600</v>
      </c>
      <c r="V101" t="s">
        <v>1488</v>
      </c>
      <c r="W101" t="s">
        <v>19</v>
      </c>
      <c r="X101">
        <v>4697</v>
      </c>
      <c r="Y101" t="s">
        <v>1493</v>
      </c>
      <c r="Z101" t="s">
        <v>19</v>
      </c>
      <c r="AA101">
        <v>4832</v>
      </c>
      <c r="AB101" t="s">
        <v>19</v>
      </c>
      <c r="AC101" t="s">
        <v>19</v>
      </c>
      <c r="AD101">
        <v>4833</v>
      </c>
      <c r="AE101" t="s">
        <v>1488</v>
      </c>
      <c r="AF101" t="s">
        <v>19</v>
      </c>
      <c r="AG101">
        <v>4836</v>
      </c>
      <c r="AH101" t="s">
        <v>19</v>
      </c>
      <c r="AI101" t="s">
        <v>19</v>
      </c>
      <c r="AJ101">
        <v>4856</v>
      </c>
      <c r="AK101" t="s">
        <v>1490</v>
      </c>
      <c r="AL101" t="s">
        <v>19</v>
      </c>
      <c r="AM101">
        <v>4860</v>
      </c>
      <c r="AN101" t="s">
        <v>1491</v>
      </c>
      <c r="AO101" t="s">
        <v>19</v>
      </c>
    </row>
    <row r="102" spans="1:41" x14ac:dyDescent="0.45">
      <c r="A102" t="s">
        <v>1264</v>
      </c>
      <c r="B102">
        <v>8</v>
      </c>
      <c r="C102" t="str">
        <f>HYPERLINK("http://www.ncbi.nlm.nih.gov/protein/XP_038133089.1","XP_038133089.1")</f>
        <v>XP_038133089.1</v>
      </c>
      <c r="D102">
        <v>42402</v>
      </c>
      <c r="E102" t="str">
        <f>HYPERLINK("http://www.ncbi.nlm.nih.gov/Taxonomy/Browser/wwwtax.cgi?mode=Info&amp;id=77115&amp;lvl=3&amp;lin=f&amp;keep=1&amp;srchmode=1&amp;unlock","77115")</f>
        <v>77115</v>
      </c>
      <c r="F102" t="s">
        <v>17</v>
      </c>
      <c r="G102" t="str">
        <f>HYPERLINK("http://www.ncbi.nlm.nih.gov/Taxonomy/Browser/wwwtax.cgi?mode=Info&amp;id=77115&amp;lvl=3&amp;lin=f&amp;keep=1&amp;srchmode=1&amp;unlock","Cyprinodon tularosa")</f>
        <v>Cyprinodon tularosa</v>
      </c>
      <c r="H102" t="s">
        <v>125</v>
      </c>
      <c r="I102" t="str">
        <f>HYPERLINK("http://www.ncbi.nlm.nih.gov/protein/XP_038133089.1","ryanodine receptor 1-like isoform X3")</f>
        <v>ryanodine receptor 1-like isoform X3</v>
      </c>
      <c r="J102" t="s">
        <v>1485</v>
      </c>
      <c r="K102" t="s">
        <v>19</v>
      </c>
      <c r="L102">
        <v>4593</v>
      </c>
      <c r="M102" t="s">
        <v>19</v>
      </c>
      <c r="N102" t="s">
        <v>19</v>
      </c>
      <c r="O102">
        <v>4596</v>
      </c>
      <c r="P102" t="s">
        <v>1486</v>
      </c>
      <c r="Q102" t="s">
        <v>19</v>
      </c>
      <c r="R102">
        <v>4597</v>
      </c>
      <c r="S102" t="s">
        <v>1487</v>
      </c>
      <c r="T102" t="s">
        <v>19</v>
      </c>
      <c r="U102">
        <v>4600</v>
      </c>
      <c r="V102" t="s">
        <v>1488</v>
      </c>
      <c r="W102" t="s">
        <v>19</v>
      </c>
      <c r="X102">
        <v>4697</v>
      </c>
      <c r="Y102" t="s">
        <v>1493</v>
      </c>
      <c r="Z102" t="s">
        <v>19</v>
      </c>
      <c r="AA102">
        <v>4832</v>
      </c>
      <c r="AB102" t="s">
        <v>19</v>
      </c>
      <c r="AC102" t="s">
        <v>19</v>
      </c>
      <c r="AD102">
        <v>4833</v>
      </c>
      <c r="AE102" t="s">
        <v>1488</v>
      </c>
      <c r="AF102" t="s">
        <v>19</v>
      </c>
      <c r="AG102">
        <v>4836</v>
      </c>
      <c r="AH102" t="s">
        <v>19</v>
      </c>
      <c r="AI102" t="s">
        <v>19</v>
      </c>
      <c r="AJ102">
        <v>4856</v>
      </c>
      <c r="AK102" t="s">
        <v>1490</v>
      </c>
      <c r="AL102" t="s">
        <v>19</v>
      </c>
      <c r="AM102">
        <v>4860</v>
      </c>
      <c r="AN102" t="s">
        <v>1491</v>
      </c>
      <c r="AO102" t="s">
        <v>19</v>
      </c>
    </row>
    <row r="103" spans="1:41" x14ac:dyDescent="0.45">
      <c r="A103" t="s">
        <v>1264</v>
      </c>
      <c r="B103">
        <v>8</v>
      </c>
      <c r="C103" t="str">
        <f>HYPERLINK("http://www.ncbi.nlm.nih.gov/protein/XP_023197887.1","XP_023197887.1")</f>
        <v>XP_023197887.1</v>
      </c>
      <c r="D103">
        <v>43739</v>
      </c>
      <c r="E103" t="str">
        <f>HYPERLINK("http://www.ncbi.nlm.nih.gov/Taxonomy/Browser/wwwtax.cgi?mode=Info&amp;id=8083&amp;lvl=3&amp;lin=f&amp;keep=1&amp;srchmode=1&amp;unlock","8083")</f>
        <v>8083</v>
      </c>
      <c r="F103" t="s">
        <v>17</v>
      </c>
      <c r="G103" t="str">
        <f>HYPERLINK("http://www.ncbi.nlm.nih.gov/Taxonomy/Browser/wwwtax.cgi?mode=Info&amp;id=8083&amp;lvl=3&amp;lin=f&amp;keep=1&amp;srchmode=1&amp;unlock","Xiphophorus maculatus")</f>
        <v>Xiphophorus maculatus</v>
      </c>
      <c r="H103" t="s">
        <v>126</v>
      </c>
      <c r="I103" t="str">
        <f>HYPERLINK("http://www.ncbi.nlm.nih.gov/protein/XP_023197887.1","ryanodine receptor 1-like isoform X3")</f>
        <v>ryanodine receptor 1-like isoform X3</v>
      </c>
      <c r="J103" t="s">
        <v>1485</v>
      </c>
      <c r="K103" t="s">
        <v>19</v>
      </c>
      <c r="L103">
        <v>4590</v>
      </c>
      <c r="M103" t="s">
        <v>19</v>
      </c>
      <c r="N103" t="s">
        <v>19</v>
      </c>
      <c r="O103">
        <v>4593</v>
      </c>
      <c r="P103" t="s">
        <v>1486</v>
      </c>
      <c r="Q103" t="s">
        <v>19</v>
      </c>
      <c r="R103">
        <v>4594</v>
      </c>
      <c r="S103" t="s">
        <v>1487</v>
      </c>
      <c r="T103" t="s">
        <v>19</v>
      </c>
      <c r="U103">
        <v>4597</v>
      </c>
      <c r="V103" t="s">
        <v>1488</v>
      </c>
      <c r="W103" t="s">
        <v>19</v>
      </c>
      <c r="X103">
        <v>4694</v>
      </c>
      <c r="Y103" t="s">
        <v>1493</v>
      </c>
      <c r="Z103" t="s">
        <v>19</v>
      </c>
      <c r="AA103">
        <v>4829</v>
      </c>
      <c r="AB103" t="s">
        <v>19</v>
      </c>
      <c r="AC103" t="s">
        <v>19</v>
      </c>
      <c r="AD103">
        <v>4830</v>
      </c>
      <c r="AE103" t="s">
        <v>1488</v>
      </c>
      <c r="AF103" t="s">
        <v>19</v>
      </c>
      <c r="AG103">
        <v>4833</v>
      </c>
      <c r="AH103" t="s">
        <v>19</v>
      </c>
      <c r="AI103" t="s">
        <v>19</v>
      </c>
      <c r="AJ103">
        <v>4853</v>
      </c>
      <c r="AK103" t="s">
        <v>1490</v>
      </c>
      <c r="AL103" t="s">
        <v>19</v>
      </c>
      <c r="AM103">
        <v>4857</v>
      </c>
      <c r="AN103" t="s">
        <v>1491</v>
      </c>
      <c r="AO103" t="s">
        <v>19</v>
      </c>
    </row>
    <row r="104" spans="1:41" x14ac:dyDescent="0.45">
      <c r="A104" t="s">
        <v>1264</v>
      </c>
      <c r="B104">
        <v>8</v>
      </c>
      <c r="C104" t="str">
        <f>HYPERLINK("http://www.ncbi.nlm.nih.gov/protein/XP_055004465.1","XP_055004465.1")</f>
        <v>XP_055004465.1</v>
      </c>
      <c r="D104">
        <v>52854</v>
      </c>
      <c r="E104" t="str">
        <f>HYPERLINK("http://www.ncbi.nlm.nih.gov/Taxonomy/Browser/wwwtax.cgi?mode=Info&amp;id=150288&amp;lvl=3&amp;lin=f&amp;keep=1&amp;srchmode=1&amp;unlock","150288")</f>
        <v>150288</v>
      </c>
      <c r="F104" t="s">
        <v>17</v>
      </c>
      <c r="G104" t="str">
        <f>HYPERLINK("http://www.ncbi.nlm.nih.gov/Taxonomy/Browser/wwwtax.cgi?mode=Info&amp;id=150288&amp;lvl=3&amp;lin=f&amp;keep=1&amp;srchmode=1&amp;unlock","Boleophthalmus pectinirostris")</f>
        <v>Boleophthalmus pectinirostris</v>
      </c>
      <c r="H104" t="s">
        <v>127</v>
      </c>
      <c r="I104" t="str">
        <f>HYPERLINK("http://www.ncbi.nlm.nih.gov/protein/XP_055004465.1","ryanodine receptor 1-like")</f>
        <v>ryanodine receptor 1-like</v>
      </c>
      <c r="J104" t="s">
        <v>1485</v>
      </c>
      <c r="K104" t="s">
        <v>19</v>
      </c>
      <c r="L104">
        <v>4523</v>
      </c>
      <c r="M104" t="s">
        <v>19</v>
      </c>
      <c r="N104" t="s">
        <v>19</v>
      </c>
      <c r="O104">
        <v>4526</v>
      </c>
      <c r="P104" t="s">
        <v>1486</v>
      </c>
      <c r="Q104" t="s">
        <v>19</v>
      </c>
      <c r="R104">
        <v>4527</v>
      </c>
      <c r="S104" t="s">
        <v>1487</v>
      </c>
      <c r="T104" t="s">
        <v>19</v>
      </c>
      <c r="U104">
        <v>4530</v>
      </c>
      <c r="V104" t="s">
        <v>1488</v>
      </c>
      <c r="W104" t="s">
        <v>19</v>
      </c>
      <c r="X104">
        <v>4624</v>
      </c>
      <c r="Y104" t="s">
        <v>1493</v>
      </c>
      <c r="Z104" t="s">
        <v>19</v>
      </c>
      <c r="AA104">
        <v>4759</v>
      </c>
      <c r="AB104" t="s">
        <v>19</v>
      </c>
      <c r="AC104" t="s">
        <v>19</v>
      </c>
      <c r="AD104">
        <v>4760</v>
      </c>
      <c r="AE104" t="s">
        <v>1488</v>
      </c>
      <c r="AF104" t="s">
        <v>19</v>
      </c>
      <c r="AG104">
        <v>4763</v>
      </c>
      <c r="AH104" t="s">
        <v>19</v>
      </c>
      <c r="AI104" t="s">
        <v>19</v>
      </c>
      <c r="AJ104">
        <v>4783</v>
      </c>
      <c r="AK104" t="s">
        <v>1490</v>
      </c>
      <c r="AL104" t="s">
        <v>19</v>
      </c>
      <c r="AM104">
        <v>4787</v>
      </c>
      <c r="AN104" t="s">
        <v>1491</v>
      </c>
      <c r="AO104" t="s">
        <v>19</v>
      </c>
    </row>
    <row r="105" spans="1:41" x14ac:dyDescent="0.45">
      <c r="A105" t="s">
        <v>1264</v>
      </c>
      <c r="B105">
        <v>8</v>
      </c>
      <c r="C105" t="str">
        <f>HYPERLINK("http://www.ncbi.nlm.nih.gov/protein/XP_037323817.1","XP_037323817.1")</f>
        <v>XP_037323817.1</v>
      </c>
      <c r="D105">
        <v>43860</v>
      </c>
      <c r="E105" t="str">
        <f>HYPERLINK("http://www.ncbi.nlm.nih.gov/Taxonomy/Browser/wwwtax.cgi?mode=Info&amp;id=134920&amp;lvl=3&amp;lin=f&amp;keep=1&amp;srchmode=1&amp;unlock","134920")</f>
        <v>134920</v>
      </c>
      <c r="F105" t="s">
        <v>17</v>
      </c>
      <c r="G105" t="str">
        <f>HYPERLINK("http://www.ncbi.nlm.nih.gov/Taxonomy/Browser/wwwtax.cgi?mode=Info&amp;id=134920&amp;lvl=3&amp;lin=f&amp;keep=1&amp;srchmode=1&amp;unlock","Pungitius pungitius")</f>
        <v>Pungitius pungitius</v>
      </c>
      <c r="H105" t="s">
        <v>128</v>
      </c>
      <c r="I105" t="str">
        <f>HYPERLINK("http://www.ncbi.nlm.nih.gov/protein/XP_037323817.1","ryanodine receptor 1-like isoform X2")</f>
        <v>ryanodine receptor 1-like isoform X2</v>
      </c>
      <c r="J105" t="s">
        <v>1485</v>
      </c>
      <c r="K105" t="s">
        <v>19</v>
      </c>
      <c r="L105">
        <v>4586</v>
      </c>
      <c r="M105" t="s">
        <v>19</v>
      </c>
      <c r="N105" t="s">
        <v>19</v>
      </c>
      <c r="O105">
        <v>4589</v>
      </c>
      <c r="P105" t="s">
        <v>1486</v>
      </c>
      <c r="Q105" t="s">
        <v>19</v>
      </c>
      <c r="R105">
        <v>4590</v>
      </c>
      <c r="S105" t="s">
        <v>1487</v>
      </c>
      <c r="T105" t="s">
        <v>19</v>
      </c>
      <c r="U105">
        <v>4593</v>
      </c>
      <c r="V105" t="s">
        <v>1488</v>
      </c>
      <c r="W105" t="s">
        <v>19</v>
      </c>
      <c r="X105">
        <v>4689</v>
      </c>
      <c r="Y105" t="s">
        <v>1493</v>
      </c>
      <c r="Z105" t="s">
        <v>19</v>
      </c>
      <c r="AA105">
        <v>4824</v>
      </c>
      <c r="AB105" t="s">
        <v>19</v>
      </c>
      <c r="AC105" t="s">
        <v>19</v>
      </c>
      <c r="AD105">
        <v>4825</v>
      </c>
      <c r="AE105" t="s">
        <v>1488</v>
      </c>
      <c r="AF105" t="s">
        <v>19</v>
      </c>
      <c r="AG105">
        <v>4828</v>
      </c>
      <c r="AH105" t="s">
        <v>19</v>
      </c>
      <c r="AI105" t="s">
        <v>19</v>
      </c>
      <c r="AJ105">
        <v>4848</v>
      </c>
      <c r="AK105" t="s">
        <v>1490</v>
      </c>
      <c r="AL105" t="s">
        <v>19</v>
      </c>
      <c r="AM105">
        <v>4852</v>
      </c>
      <c r="AN105" t="s">
        <v>1491</v>
      </c>
      <c r="AO105" t="s">
        <v>19</v>
      </c>
    </row>
    <row r="106" spans="1:41" x14ac:dyDescent="0.45">
      <c r="A106" t="s">
        <v>1264</v>
      </c>
      <c r="B106">
        <v>8</v>
      </c>
      <c r="C106" t="str">
        <f>HYPERLINK("http://www.ncbi.nlm.nih.gov/protein/XP_032432571.1","XP_032432571.1")</f>
        <v>XP_032432571.1</v>
      </c>
      <c r="D106">
        <v>46466</v>
      </c>
      <c r="E106" t="str">
        <f>HYPERLINK("http://www.ncbi.nlm.nih.gov/Taxonomy/Browser/wwwtax.cgi?mode=Info&amp;id=8084&amp;lvl=3&amp;lin=f&amp;keep=1&amp;srchmode=1&amp;unlock","8084")</f>
        <v>8084</v>
      </c>
      <c r="F106" t="s">
        <v>17</v>
      </c>
      <c r="G106" t="str">
        <f>HYPERLINK("http://www.ncbi.nlm.nih.gov/Taxonomy/Browser/wwwtax.cgi?mode=Info&amp;id=8084&amp;lvl=3&amp;lin=f&amp;keep=1&amp;srchmode=1&amp;unlock","Xiphophorus hellerii")</f>
        <v>Xiphophorus hellerii</v>
      </c>
      <c r="H106" t="s">
        <v>129</v>
      </c>
      <c r="I106" t="str">
        <f>HYPERLINK("http://www.ncbi.nlm.nih.gov/protein/XP_032432571.1","ryanodine receptor 1-like isoform X3")</f>
        <v>ryanodine receptor 1-like isoform X3</v>
      </c>
      <c r="J106" t="s">
        <v>1485</v>
      </c>
      <c r="K106" t="s">
        <v>19</v>
      </c>
      <c r="L106">
        <v>4589</v>
      </c>
      <c r="M106" t="s">
        <v>19</v>
      </c>
      <c r="N106" t="s">
        <v>19</v>
      </c>
      <c r="O106">
        <v>4592</v>
      </c>
      <c r="P106" t="s">
        <v>1486</v>
      </c>
      <c r="Q106" t="s">
        <v>19</v>
      </c>
      <c r="R106">
        <v>4593</v>
      </c>
      <c r="S106" t="s">
        <v>1487</v>
      </c>
      <c r="T106" t="s">
        <v>19</v>
      </c>
      <c r="U106">
        <v>4596</v>
      </c>
      <c r="V106" t="s">
        <v>1488</v>
      </c>
      <c r="W106" t="s">
        <v>19</v>
      </c>
      <c r="X106">
        <v>4693</v>
      </c>
      <c r="Y106" t="s">
        <v>1493</v>
      </c>
      <c r="Z106" t="s">
        <v>19</v>
      </c>
      <c r="AA106">
        <v>4828</v>
      </c>
      <c r="AB106" t="s">
        <v>19</v>
      </c>
      <c r="AC106" t="s">
        <v>19</v>
      </c>
      <c r="AD106">
        <v>4829</v>
      </c>
      <c r="AE106" t="s">
        <v>1488</v>
      </c>
      <c r="AF106" t="s">
        <v>19</v>
      </c>
      <c r="AG106">
        <v>4832</v>
      </c>
      <c r="AH106" t="s">
        <v>19</v>
      </c>
      <c r="AI106" t="s">
        <v>19</v>
      </c>
      <c r="AJ106">
        <v>4852</v>
      </c>
      <c r="AK106" t="s">
        <v>1490</v>
      </c>
      <c r="AL106" t="s">
        <v>19</v>
      </c>
      <c r="AM106">
        <v>4856</v>
      </c>
      <c r="AN106" t="s">
        <v>1491</v>
      </c>
      <c r="AO106" t="s">
        <v>19</v>
      </c>
    </row>
    <row r="107" spans="1:41" x14ac:dyDescent="0.45">
      <c r="A107" t="s">
        <v>1264</v>
      </c>
      <c r="B107">
        <v>8</v>
      </c>
      <c r="C107" t="str">
        <f>HYPERLINK("http://www.ncbi.nlm.nih.gov/protein/XP_041707222.1","XP_041707222.1")</f>
        <v>XP_041707222.1</v>
      </c>
      <c r="D107">
        <v>77029</v>
      </c>
      <c r="E107" t="str">
        <f>HYPERLINK("http://www.ncbi.nlm.nih.gov/Taxonomy/Browser/wwwtax.cgi?mode=Info&amp;id=59861&amp;lvl=3&amp;lin=f&amp;keep=1&amp;srchmode=1&amp;unlock","59861")</f>
        <v>59861</v>
      </c>
      <c r="F107" t="s">
        <v>17</v>
      </c>
      <c r="G107" t="str">
        <f>HYPERLINK("http://www.ncbi.nlm.nih.gov/Taxonomy/Browser/wwwtax.cgi?mode=Info&amp;id=59861&amp;lvl=3&amp;lin=f&amp;keep=1&amp;srchmode=1&amp;unlock","Coregonus clupeaformis")</f>
        <v>Coregonus clupeaformis</v>
      </c>
      <c r="H107" t="s">
        <v>130</v>
      </c>
      <c r="I107" t="str">
        <f>HYPERLINK("http://www.ncbi.nlm.nih.gov/protein/XP_041707222.1","ryanodine receptor 1-like")</f>
        <v>ryanodine receptor 1-like</v>
      </c>
      <c r="J107" t="s">
        <v>1485</v>
      </c>
      <c r="K107" t="s">
        <v>19</v>
      </c>
      <c r="L107">
        <v>4595</v>
      </c>
      <c r="M107" t="s">
        <v>19</v>
      </c>
      <c r="N107" t="s">
        <v>19</v>
      </c>
      <c r="O107">
        <v>4598</v>
      </c>
      <c r="P107" t="s">
        <v>1486</v>
      </c>
      <c r="Q107" t="s">
        <v>19</v>
      </c>
      <c r="R107">
        <v>4599</v>
      </c>
      <c r="S107" t="s">
        <v>1487</v>
      </c>
      <c r="T107" t="s">
        <v>19</v>
      </c>
      <c r="U107">
        <v>4602</v>
      </c>
      <c r="V107" t="s">
        <v>1488</v>
      </c>
      <c r="W107" t="s">
        <v>19</v>
      </c>
      <c r="X107">
        <v>4700</v>
      </c>
      <c r="Y107" t="s">
        <v>1493</v>
      </c>
      <c r="Z107" t="s">
        <v>19</v>
      </c>
      <c r="AA107">
        <v>4835</v>
      </c>
      <c r="AB107" t="s">
        <v>19</v>
      </c>
      <c r="AC107" t="s">
        <v>19</v>
      </c>
      <c r="AD107">
        <v>4836</v>
      </c>
      <c r="AE107" t="s">
        <v>1488</v>
      </c>
      <c r="AF107" t="s">
        <v>19</v>
      </c>
      <c r="AG107">
        <v>4839</v>
      </c>
      <c r="AH107" t="s">
        <v>19</v>
      </c>
      <c r="AI107" t="s">
        <v>19</v>
      </c>
      <c r="AJ107">
        <v>4859</v>
      </c>
      <c r="AK107" t="s">
        <v>1490</v>
      </c>
      <c r="AL107" t="s">
        <v>19</v>
      </c>
      <c r="AM107">
        <v>4863</v>
      </c>
      <c r="AN107" t="s">
        <v>1491</v>
      </c>
      <c r="AO107" t="s">
        <v>19</v>
      </c>
    </row>
    <row r="108" spans="1:41" x14ac:dyDescent="0.45">
      <c r="A108" t="s">
        <v>1264</v>
      </c>
      <c r="B108">
        <v>8</v>
      </c>
      <c r="C108" t="str">
        <f>HYPERLINK("http://www.ncbi.nlm.nih.gov/protein/XP_060941416.1","XP_060941416.1")</f>
        <v>XP_060941416.1</v>
      </c>
      <c r="D108">
        <v>30038</v>
      </c>
      <c r="E108" t="str">
        <f>HYPERLINK("http://www.ncbi.nlm.nih.gov/Taxonomy/Browser/wwwtax.cgi?mode=Info&amp;id=27771&amp;lvl=3&amp;lin=f&amp;keep=1&amp;srchmode=1&amp;unlock","27771")</f>
        <v>27771</v>
      </c>
      <c r="F108" t="s">
        <v>17</v>
      </c>
      <c r="G108" t="str">
        <f>HYPERLINK("http://www.ncbi.nlm.nih.gov/Taxonomy/Browser/wwwtax.cgi?mode=Info&amp;id=27771&amp;lvl=3&amp;lin=f&amp;keep=1&amp;srchmode=1&amp;unlock","Limanda limanda")</f>
        <v>Limanda limanda</v>
      </c>
      <c r="H108" t="s">
        <v>131</v>
      </c>
      <c r="I108" t="str">
        <f>HYPERLINK("http://www.ncbi.nlm.nih.gov/protein/XP_060941416.1","ryanodine receptor 1-like")</f>
        <v>ryanodine receptor 1-like</v>
      </c>
      <c r="J108" t="s">
        <v>1485</v>
      </c>
      <c r="K108" t="s">
        <v>19</v>
      </c>
      <c r="L108">
        <v>4541</v>
      </c>
      <c r="M108" t="s">
        <v>19</v>
      </c>
      <c r="N108" t="s">
        <v>19</v>
      </c>
      <c r="O108">
        <v>4544</v>
      </c>
      <c r="P108" t="s">
        <v>1486</v>
      </c>
      <c r="Q108" t="s">
        <v>19</v>
      </c>
      <c r="R108">
        <v>4545</v>
      </c>
      <c r="S108" t="s">
        <v>1487</v>
      </c>
      <c r="T108" t="s">
        <v>19</v>
      </c>
      <c r="U108">
        <v>4548</v>
      </c>
      <c r="V108" t="s">
        <v>1488</v>
      </c>
      <c r="W108" t="s">
        <v>19</v>
      </c>
      <c r="X108">
        <v>4645</v>
      </c>
      <c r="Y108" t="s">
        <v>1493</v>
      </c>
      <c r="Z108" t="s">
        <v>19</v>
      </c>
      <c r="AA108">
        <v>4780</v>
      </c>
      <c r="AB108" t="s">
        <v>19</v>
      </c>
      <c r="AC108" t="s">
        <v>19</v>
      </c>
      <c r="AD108">
        <v>4781</v>
      </c>
      <c r="AE108" t="s">
        <v>1488</v>
      </c>
      <c r="AF108" t="s">
        <v>19</v>
      </c>
      <c r="AG108">
        <v>4784</v>
      </c>
      <c r="AH108" t="s">
        <v>19</v>
      </c>
      <c r="AI108" t="s">
        <v>19</v>
      </c>
      <c r="AJ108">
        <v>4804</v>
      </c>
      <c r="AK108" t="s">
        <v>1490</v>
      </c>
      <c r="AL108" t="s">
        <v>19</v>
      </c>
      <c r="AM108">
        <v>4808</v>
      </c>
      <c r="AN108" t="s">
        <v>1491</v>
      </c>
      <c r="AO108" t="s">
        <v>19</v>
      </c>
    </row>
    <row r="109" spans="1:41" x14ac:dyDescent="0.45">
      <c r="A109" t="s">
        <v>1264</v>
      </c>
      <c r="B109">
        <v>8</v>
      </c>
      <c r="C109" t="str">
        <f>HYPERLINK("http://www.ncbi.nlm.nih.gov/protein/XP_027887130.1","XP_027887130.1")</f>
        <v>XP_027887130.1</v>
      </c>
      <c r="D109">
        <v>47115</v>
      </c>
      <c r="E109" t="str">
        <f>HYPERLINK("http://www.ncbi.nlm.nih.gov/Taxonomy/Browser/wwwtax.cgi?mode=Info&amp;id=32473&amp;lvl=3&amp;lin=f&amp;keep=1&amp;srchmode=1&amp;unlock","32473")</f>
        <v>32473</v>
      </c>
      <c r="F109" t="s">
        <v>17</v>
      </c>
      <c r="G109" t="str">
        <f>HYPERLINK("http://www.ncbi.nlm.nih.gov/Taxonomy/Browser/wwwtax.cgi?mode=Info&amp;id=32473&amp;lvl=3&amp;lin=f&amp;keep=1&amp;srchmode=1&amp;unlock","Xiphophorus couchianus")</f>
        <v>Xiphophorus couchianus</v>
      </c>
      <c r="H109" t="s">
        <v>132</v>
      </c>
      <c r="I109" t="str">
        <f>HYPERLINK("http://www.ncbi.nlm.nih.gov/protein/XP_027887130.1","ryanodine receptor 1-like isoform X3")</f>
        <v>ryanodine receptor 1-like isoform X3</v>
      </c>
      <c r="J109" t="s">
        <v>1485</v>
      </c>
      <c r="K109" t="s">
        <v>19</v>
      </c>
      <c r="L109">
        <v>4590</v>
      </c>
      <c r="M109" t="s">
        <v>19</v>
      </c>
      <c r="N109" t="s">
        <v>19</v>
      </c>
      <c r="O109">
        <v>4593</v>
      </c>
      <c r="P109" t="s">
        <v>1486</v>
      </c>
      <c r="Q109" t="s">
        <v>19</v>
      </c>
      <c r="R109">
        <v>4594</v>
      </c>
      <c r="S109" t="s">
        <v>1487</v>
      </c>
      <c r="T109" t="s">
        <v>19</v>
      </c>
      <c r="U109">
        <v>4597</v>
      </c>
      <c r="V109" t="s">
        <v>1488</v>
      </c>
      <c r="W109" t="s">
        <v>19</v>
      </c>
      <c r="X109">
        <v>4694</v>
      </c>
      <c r="Y109" t="s">
        <v>1493</v>
      </c>
      <c r="Z109" t="s">
        <v>19</v>
      </c>
      <c r="AA109">
        <v>4829</v>
      </c>
      <c r="AB109" t="s">
        <v>19</v>
      </c>
      <c r="AC109" t="s">
        <v>19</v>
      </c>
      <c r="AD109">
        <v>4830</v>
      </c>
      <c r="AE109" t="s">
        <v>1488</v>
      </c>
      <c r="AF109" t="s">
        <v>19</v>
      </c>
      <c r="AG109">
        <v>4833</v>
      </c>
      <c r="AH109" t="s">
        <v>19</v>
      </c>
      <c r="AI109" t="s">
        <v>19</v>
      </c>
      <c r="AJ109">
        <v>4853</v>
      </c>
      <c r="AK109" t="s">
        <v>1490</v>
      </c>
      <c r="AL109" t="s">
        <v>19</v>
      </c>
      <c r="AM109">
        <v>4857</v>
      </c>
      <c r="AN109" t="s">
        <v>1491</v>
      </c>
      <c r="AO109" t="s">
        <v>19</v>
      </c>
    </row>
    <row r="110" spans="1:41" x14ac:dyDescent="0.45">
      <c r="A110" t="s">
        <v>1264</v>
      </c>
      <c r="B110">
        <v>8</v>
      </c>
      <c r="C110" t="str">
        <f>HYPERLINK("http://www.ncbi.nlm.nih.gov/protein/XP_038862080.1","XP_038862080.1")</f>
        <v>XP_038862080.1</v>
      </c>
      <c r="D110">
        <v>58431</v>
      </c>
      <c r="E110" t="str">
        <f>HYPERLINK("http://www.ncbi.nlm.nih.gov/Taxonomy/Browser/wwwtax.cgi?mode=Info&amp;id=8040&amp;lvl=3&amp;lin=f&amp;keep=1&amp;srchmode=1&amp;unlock","8040")</f>
        <v>8040</v>
      </c>
      <c r="F110" t="s">
        <v>17</v>
      </c>
      <c r="G110" t="str">
        <f>HYPERLINK("http://www.ncbi.nlm.nih.gov/Taxonomy/Browser/wwwtax.cgi?mode=Info&amp;id=8040&amp;lvl=3&amp;lin=f&amp;keep=1&amp;srchmode=1&amp;unlock","Salvelinus namaycush")</f>
        <v>Salvelinus namaycush</v>
      </c>
      <c r="H110" t="s">
        <v>133</v>
      </c>
      <c r="I110" t="str">
        <f>HYPERLINK("http://www.ncbi.nlm.nih.gov/protein/XP_038862080.1","ryanodine receptor 1-like")</f>
        <v>ryanodine receptor 1-like</v>
      </c>
      <c r="J110" t="s">
        <v>1485</v>
      </c>
      <c r="K110" t="s">
        <v>19</v>
      </c>
      <c r="L110">
        <v>4539</v>
      </c>
      <c r="M110" t="s">
        <v>19</v>
      </c>
      <c r="N110" t="s">
        <v>19</v>
      </c>
      <c r="O110">
        <v>4542</v>
      </c>
      <c r="P110" t="s">
        <v>1486</v>
      </c>
      <c r="Q110" t="s">
        <v>19</v>
      </c>
      <c r="R110">
        <v>4543</v>
      </c>
      <c r="S110" t="s">
        <v>1487</v>
      </c>
      <c r="T110" t="s">
        <v>19</v>
      </c>
      <c r="U110">
        <v>4546</v>
      </c>
      <c r="V110" t="s">
        <v>1488</v>
      </c>
      <c r="W110" t="s">
        <v>19</v>
      </c>
      <c r="X110">
        <v>4648</v>
      </c>
      <c r="Y110" t="s">
        <v>1493</v>
      </c>
      <c r="Z110" t="s">
        <v>19</v>
      </c>
      <c r="AA110">
        <v>4783</v>
      </c>
      <c r="AB110" t="s">
        <v>19</v>
      </c>
      <c r="AC110" t="s">
        <v>19</v>
      </c>
      <c r="AD110">
        <v>4784</v>
      </c>
      <c r="AE110" t="s">
        <v>1488</v>
      </c>
      <c r="AF110" t="s">
        <v>19</v>
      </c>
      <c r="AG110">
        <v>4787</v>
      </c>
      <c r="AH110" t="s">
        <v>19</v>
      </c>
      <c r="AI110" t="s">
        <v>19</v>
      </c>
      <c r="AJ110">
        <v>4807</v>
      </c>
      <c r="AK110" t="s">
        <v>1490</v>
      </c>
      <c r="AL110" t="s">
        <v>19</v>
      </c>
      <c r="AM110">
        <v>4811</v>
      </c>
      <c r="AN110" t="s">
        <v>1491</v>
      </c>
      <c r="AO110" t="s">
        <v>19</v>
      </c>
    </row>
    <row r="111" spans="1:41" x14ac:dyDescent="0.45">
      <c r="A111" t="s">
        <v>1264</v>
      </c>
      <c r="B111">
        <v>8</v>
      </c>
      <c r="C111" t="str">
        <f>HYPERLINK("http://www.ncbi.nlm.nih.gov/protein/XP_053702246.1","XP_053702246.1")</f>
        <v>XP_053702246.1</v>
      </c>
      <c r="D111">
        <v>44916</v>
      </c>
      <c r="E111" t="str">
        <f>HYPERLINK("http://www.ncbi.nlm.nih.gov/Taxonomy/Browser/wwwtax.cgi?mode=Info&amp;id=270530&amp;lvl=3&amp;lin=f&amp;keep=1&amp;srchmode=1&amp;unlock","270530")</f>
        <v>270530</v>
      </c>
      <c r="F111" t="s">
        <v>17</v>
      </c>
      <c r="G111" t="str">
        <f>HYPERLINK("http://www.ncbi.nlm.nih.gov/Taxonomy/Browser/wwwtax.cgi?mode=Info&amp;id=270530&amp;lvl=3&amp;lin=f&amp;keep=1&amp;srchmode=1&amp;unlock","Synchiropus splendidus")</f>
        <v>Synchiropus splendidus</v>
      </c>
      <c r="H111" t="s">
        <v>134</v>
      </c>
      <c r="I111" t="str">
        <f>HYPERLINK("http://www.ncbi.nlm.nih.gov/protein/XP_053702246.1","ryanodine receptor 1-like isoform X6")</f>
        <v>ryanodine receptor 1-like isoform X6</v>
      </c>
      <c r="J111" t="s">
        <v>1485</v>
      </c>
      <c r="K111" t="s">
        <v>19</v>
      </c>
      <c r="L111">
        <v>4578</v>
      </c>
      <c r="M111" t="s">
        <v>19</v>
      </c>
      <c r="N111" t="s">
        <v>19</v>
      </c>
      <c r="O111">
        <v>4581</v>
      </c>
      <c r="P111" t="s">
        <v>1486</v>
      </c>
      <c r="Q111" t="s">
        <v>19</v>
      </c>
      <c r="R111">
        <v>4582</v>
      </c>
      <c r="S111" t="s">
        <v>1487</v>
      </c>
      <c r="T111" t="s">
        <v>19</v>
      </c>
      <c r="U111">
        <v>4585</v>
      </c>
      <c r="V111" t="s">
        <v>1488</v>
      </c>
      <c r="W111" t="s">
        <v>19</v>
      </c>
      <c r="X111">
        <v>4681</v>
      </c>
      <c r="Y111" t="s">
        <v>1493</v>
      </c>
      <c r="Z111" t="s">
        <v>19</v>
      </c>
      <c r="AA111">
        <v>4816</v>
      </c>
      <c r="AB111" t="s">
        <v>19</v>
      </c>
      <c r="AC111" t="s">
        <v>19</v>
      </c>
      <c r="AD111">
        <v>4817</v>
      </c>
      <c r="AE111" t="s">
        <v>1488</v>
      </c>
      <c r="AF111" t="s">
        <v>19</v>
      </c>
      <c r="AG111">
        <v>4820</v>
      </c>
      <c r="AH111" t="s">
        <v>19</v>
      </c>
      <c r="AI111" t="s">
        <v>19</v>
      </c>
      <c r="AJ111">
        <v>4840</v>
      </c>
      <c r="AK111" t="s">
        <v>1490</v>
      </c>
      <c r="AL111" t="s">
        <v>19</v>
      </c>
      <c r="AM111">
        <v>4844</v>
      </c>
      <c r="AN111" t="s">
        <v>1491</v>
      </c>
      <c r="AO111" t="s">
        <v>19</v>
      </c>
    </row>
    <row r="112" spans="1:41" x14ac:dyDescent="0.45">
      <c r="A112" t="s">
        <v>1264</v>
      </c>
      <c r="B112">
        <v>8</v>
      </c>
      <c r="C112" t="str">
        <f>HYPERLINK("http://www.ncbi.nlm.nih.gov/protein/XP_049597759.1","XP_049597759.1")</f>
        <v>XP_049597759.1</v>
      </c>
      <c r="D112">
        <v>47901</v>
      </c>
      <c r="E112" t="str">
        <f>HYPERLINK("http://www.ncbi.nlm.nih.gov/Taxonomy/Browser/wwwtax.cgi?mode=Info&amp;id=161590&amp;lvl=3&amp;lin=f&amp;keep=1&amp;srchmode=1&amp;unlock","161590")</f>
        <v>161590</v>
      </c>
      <c r="F112" t="s">
        <v>17</v>
      </c>
      <c r="G112" t="str">
        <f>HYPERLINK("http://www.ncbi.nlm.nih.gov/Taxonomy/Browser/wwwtax.cgi?mode=Info&amp;id=161590&amp;lvl=3&amp;lin=f&amp;keep=1&amp;srchmode=1&amp;unlock","Syngnathus scovelli")</f>
        <v>Syngnathus scovelli</v>
      </c>
      <c r="H112" t="s">
        <v>135</v>
      </c>
      <c r="I112" t="str">
        <f>HYPERLINK("http://www.ncbi.nlm.nih.gov/protein/XP_049597759.1","ryanodine receptor 1 isoform X9")</f>
        <v>ryanodine receptor 1 isoform X9</v>
      </c>
      <c r="J112" t="s">
        <v>1485</v>
      </c>
      <c r="K112" t="s">
        <v>19</v>
      </c>
      <c r="L112">
        <v>4593</v>
      </c>
      <c r="M112" t="s">
        <v>19</v>
      </c>
      <c r="N112" t="s">
        <v>19</v>
      </c>
      <c r="O112">
        <v>4596</v>
      </c>
      <c r="P112" t="s">
        <v>1486</v>
      </c>
      <c r="Q112" t="s">
        <v>19</v>
      </c>
      <c r="R112">
        <v>4597</v>
      </c>
      <c r="S112" t="s">
        <v>1487</v>
      </c>
      <c r="T112" t="s">
        <v>19</v>
      </c>
      <c r="U112">
        <v>4600</v>
      </c>
      <c r="V112" t="s">
        <v>1488</v>
      </c>
      <c r="W112" t="s">
        <v>19</v>
      </c>
      <c r="X112">
        <v>4696</v>
      </c>
      <c r="Y112" t="s">
        <v>1493</v>
      </c>
      <c r="Z112" t="s">
        <v>19</v>
      </c>
      <c r="AA112">
        <v>4831</v>
      </c>
      <c r="AB112" t="s">
        <v>19</v>
      </c>
      <c r="AC112" t="s">
        <v>19</v>
      </c>
      <c r="AD112">
        <v>4832</v>
      </c>
      <c r="AE112" t="s">
        <v>1488</v>
      </c>
      <c r="AF112" t="s">
        <v>19</v>
      </c>
      <c r="AG112">
        <v>4835</v>
      </c>
      <c r="AH112" t="s">
        <v>19</v>
      </c>
      <c r="AI112" t="s">
        <v>19</v>
      </c>
      <c r="AJ112">
        <v>4855</v>
      </c>
      <c r="AK112" t="s">
        <v>1490</v>
      </c>
      <c r="AL112" t="s">
        <v>19</v>
      </c>
      <c r="AM112">
        <v>4859</v>
      </c>
      <c r="AN112" t="s">
        <v>1491</v>
      </c>
      <c r="AO112" t="s">
        <v>19</v>
      </c>
    </row>
    <row r="113" spans="1:41" x14ac:dyDescent="0.45">
      <c r="A113" t="s">
        <v>1264</v>
      </c>
      <c r="B113">
        <v>8</v>
      </c>
      <c r="C113" t="str">
        <f>HYPERLINK("http://www.ncbi.nlm.nih.gov/protein/XP_037543942.1","XP_037543942.1")</f>
        <v>XP_037543942.1</v>
      </c>
      <c r="D113">
        <v>24154</v>
      </c>
      <c r="E113" t="str">
        <f>HYPERLINK("http://www.ncbi.nlm.nih.gov/Taxonomy/Browser/wwwtax.cgi?mode=Info&amp;id=451745&amp;lvl=3&amp;lin=f&amp;keep=1&amp;srchmode=1&amp;unlock","451745")</f>
        <v>451745</v>
      </c>
      <c r="F113" t="s">
        <v>17</v>
      </c>
      <c r="G113" t="str">
        <f>HYPERLINK("http://www.ncbi.nlm.nih.gov/Taxonomy/Browser/wwwtax.cgi?mode=Info&amp;id=451745&amp;lvl=3&amp;lin=f&amp;keep=1&amp;srchmode=1&amp;unlock","Nematolebias whitei")</f>
        <v>Nematolebias whitei</v>
      </c>
      <c r="H113" t="s">
        <v>136</v>
      </c>
      <c r="I113" t="str">
        <f>HYPERLINK("http://www.ncbi.nlm.nih.gov/protein/XP_037543942.1","ryanodine receptor 1")</f>
        <v>ryanodine receptor 1</v>
      </c>
      <c r="J113" t="s">
        <v>1485</v>
      </c>
      <c r="K113" t="s">
        <v>19</v>
      </c>
      <c r="L113">
        <v>4527</v>
      </c>
      <c r="M113" t="s">
        <v>19</v>
      </c>
      <c r="N113" t="s">
        <v>19</v>
      </c>
      <c r="O113">
        <v>4530</v>
      </c>
      <c r="P113" t="s">
        <v>1486</v>
      </c>
      <c r="Q113" t="s">
        <v>19</v>
      </c>
      <c r="R113">
        <v>4531</v>
      </c>
      <c r="S113" t="s">
        <v>1487</v>
      </c>
      <c r="T113" t="s">
        <v>19</v>
      </c>
      <c r="U113">
        <v>4534</v>
      </c>
      <c r="V113" t="s">
        <v>1488</v>
      </c>
      <c r="W113" t="s">
        <v>19</v>
      </c>
      <c r="X113">
        <v>4630</v>
      </c>
      <c r="Y113" t="s">
        <v>1493</v>
      </c>
      <c r="Z113" t="s">
        <v>19</v>
      </c>
      <c r="AA113">
        <v>4765</v>
      </c>
      <c r="AB113" t="s">
        <v>19</v>
      </c>
      <c r="AC113" t="s">
        <v>19</v>
      </c>
      <c r="AD113">
        <v>4766</v>
      </c>
      <c r="AE113" t="s">
        <v>1488</v>
      </c>
      <c r="AF113" t="s">
        <v>19</v>
      </c>
      <c r="AG113">
        <v>4769</v>
      </c>
      <c r="AH113" t="s">
        <v>19</v>
      </c>
      <c r="AI113" t="s">
        <v>19</v>
      </c>
      <c r="AJ113">
        <v>4789</v>
      </c>
      <c r="AK113" t="s">
        <v>1490</v>
      </c>
      <c r="AL113" t="s">
        <v>19</v>
      </c>
      <c r="AM113">
        <v>4793</v>
      </c>
      <c r="AN113" t="s">
        <v>1491</v>
      </c>
      <c r="AO113" t="s">
        <v>19</v>
      </c>
    </row>
    <row r="114" spans="1:41" x14ac:dyDescent="0.45">
      <c r="A114" t="s">
        <v>1264</v>
      </c>
      <c r="B114">
        <v>8</v>
      </c>
      <c r="C114" t="str">
        <f>HYPERLINK("http://www.ncbi.nlm.nih.gov/protein/XP_040037595.1","XP_040037595.1")</f>
        <v>XP_040037595.1</v>
      </c>
      <c r="D114">
        <v>45332</v>
      </c>
      <c r="E114" t="str">
        <f>HYPERLINK("http://www.ncbi.nlm.nih.gov/Taxonomy/Browser/wwwtax.cgi?mode=Info&amp;id=481459&amp;lvl=3&amp;lin=f&amp;keep=1&amp;srchmode=1&amp;unlock","481459")</f>
        <v>481459</v>
      </c>
      <c r="F114" t="s">
        <v>17</v>
      </c>
      <c r="G114" t="str">
        <f>HYPERLINK("http://www.ncbi.nlm.nih.gov/Taxonomy/Browser/wwwtax.cgi?mode=Info&amp;id=481459&amp;lvl=3&amp;lin=f&amp;keep=1&amp;srchmode=1&amp;unlock","Gasterosteus aculeatus aculeatus")</f>
        <v>Gasterosteus aculeatus aculeatus</v>
      </c>
      <c r="H114" t="s">
        <v>138</v>
      </c>
      <c r="I114" t="str">
        <f>HYPERLINK("http://www.ncbi.nlm.nih.gov/protein/XP_040037595.1","ryanodine receptor 1-like isoform X4")</f>
        <v>ryanodine receptor 1-like isoform X4</v>
      </c>
      <c r="J114" t="s">
        <v>1485</v>
      </c>
      <c r="K114" t="s">
        <v>19</v>
      </c>
      <c r="L114">
        <v>4578</v>
      </c>
      <c r="M114" t="s">
        <v>19</v>
      </c>
      <c r="N114" t="s">
        <v>19</v>
      </c>
      <c r="O114">
        <v>4581</v>
      </c>
      <c r="P114" t="s">
        <v>1486</v>
      </c>
      <c r="Q114" t="s">
        <v>19</v>
      </c>
      <c r="R114">
        <v>4582</v>
      </c>
      <c r="S114" t="s">
        <v>1487</v>
      </c>
      <c r="T114" t="s">
        <v>19</v>
      </c>
      <c r="U114">
        <v>4585</v>
      </c>
      <c r="V114" t="s">
        <v>1488</v>
      </c>
      <c r="W114" t="s">
        <v>19</v>
      </c>
      <c r="X114">
        <v>4681</v>
      </c>
      <c r="Y114" t="s">
        <v>1493</v>
      </c>
      <c r="Z114" t="s">
        <v>19</v>
      </c>
      <c r="AA114">
        <v>4816</v>
      </c>
      <c r="AB114" t="s">
        <v>19</v>
      </c>
      <c r="AC114" t="s">
        <v>19</v>
      </c>
      <c r="AD114">
        <v>4817</v>
      </c>
      <c r="AE114" t="s">
        <v>1488</v>
      </c>
      <c r="AF114" t="s">
        <v>19</v>
      </c>
      <c r="AG114">
        <v>4820</v>
      </c>
      <c r="AH114" t="s">
        <v>19</v>
      </c>
      <c r="AI114" t="s">
        <v>19</v>
      </c>
      <c r="AJ114">
        <v>4840</v>
      </c>
      <c r="AK114" t="s">
        <v>1490</v>
      </c>
      <c r="AL114" t="s">
        <v>19</v>
      </c>
      <c r="AM114">
        <v>4844</v>
      </c>
      <c r="AN114" t="s">
        <v>1491</v>
      </c>
      <c r="AO114" t="s">
        <v>19</v>
      </c>
    </row>
    <row r="115" spans="1:41" x14ac:dyDescent="0.45">
      <c r="A115" t="s">
        <v>1264</v>
      </c>
      <c r="B115">
        <v>8</v>
      </c>
      <c r="C115" t="str">
        <f>HYPERLINK("http://www.ncbi.nlm.nih.gov/protein/XP_037125024.1","XP_037125024.1")</f>
        <v>XP_037125024.1</v>
      </c>
      <c r="D115">
        <v>41996</v>
      </c>
      <c r="E115" t="str">
        <f>HYPERLINK("http://www.ncbi.nlm.nih.gov/Taxonomy/Browser/wwwtax.cgi?mode=Info&amp;id=161584&amp;lvl=3&amp;lin=f&amp;keep=1&amp;srchmode=1&amp;unlock","161584")</f>
        <v>161584</v>
      </c>
      <c r="F115" t="s">
        <v>17</v>
      </c>
      <c r="G115" t="str">
        <f>HYPERLINK("http://www.ncbi.nlm.nih.gov/Taxonomy/Browser/wwwtax.cgi?mode=Info&amp;id=161584&amp;lvl=3&amp;lin=f&amp;keep=1&amp;srchmode=1&amp;unlock","Syngnathus acus")</f>
        <v>Syngnathus acus</v>
      </c>
      <c r="H115" t="s">
        <v>139</v>
      </c>
      <c r="I115" t="str">
        <f>HYPERLINK("http://www.ncbi.nlm.nih.gov/protein/XP_037125024.1","ryanodine receptor 1-like isoform X9")</f>
        <v>ryanodine receptor 1-like isoform X9</v>
      </c>
      <c r="J115" t="s">
        <v>1485</v>
      </c>
      <c r="K115" t="s">
        <v>19</v>
      </c>
      <c r="L115">
        <v>4583</v>
      </c>
      <c r="M115" t="s">
        <v>19</v>
      </c>
      <c r="N115" t="s">
        <v>19</v>
      </c>
      <c r="O115">
        <v>4586</v>
      </c>
      <c r="P115" t="s">
        <v>1486</v>
      </c>
      <c r="Q115" t="s">
        <v>19</v>
      </c>
      <c r="R115">
        <v>4587</v>
      </c>
      <c r="S115" t="s">
        <v>1487</v>
      </c>
      <c r="T115" t="s">
        <v>19</v>
      </c>
      <c r="U115">
        <v>4590</v>
      </c>
      <c r="V115" t="s">
        <v>1488</v>
      </c>
      <c r="W115" t="s">
        <v>19</v>
      </c>
      <c r="X115">
        <v>4686</v>
      </c>
      <c r="Y115" t="s">
        <v>1493</v>
      </c>
      <c r="Z115" t="s">
        <v>19</v>
      </c>
      <c r="AA115">
        <v>4821</v>
      </c>
      <c r="AB115" t="s">
        <v>19</v>
      </c>
      <c r="AC115" t="s">
        <v>19</v>
      </c>
      <c r="AD115">
        <v>4822</v>
      </c>
      <c r="AE115" t="s">
        <v>1488</v>
      </c>
      <c r="AF115" t="s">
        <v>19</v>
      </c>
      <c r="AG115">
        <v>4825</v>
      </c>
      <c r="AH115" t="s">
        <v>19</v>
      </c>
      <c r="AI115" t="s">
        <v>19</v>
      </c>
      <c r="AJ115">
        <v>4845</v>
      </c>
      <c r="AK115" t="s">
        <v>1490</v>
      </c>
      <c r="AL115" t="s">
        <v>19</v>
      </c>
      <c r="AM115">
        <v>4849</v>
      </c>
      <c r="AN115" t="s">
        <v>1491</v>
      </c>
      <c r="AO115" t="s">
        <v>19</v>
      </c>
    </row>
    <row r="116" spans="1:41" x14ac:dyDescent="0.45">
      <c r="A116" t="s">
        <v>1264</v>
      </c>
      <c r="B116">
        <v>8</v>
      </c>
      <c r="C116" t="str">
        <f>HYPERLINK("http://www.ncbi.nlm.nih.gov/protein/XP_026227743.1","XP_026227743.1")</f>
        <v>XP_026227743.1</v>
      </c>
      <c r="D116">
        <v>40663</v>
      </c>
      <c r="E116" t="str">
        <f>HYPERLINK("http://www.ncbi.nlm.nih.gov/Taxonomy/Browser/wwwtax.cgi?mode=Info&amp;id=64144&amp;lvl=3&amp;lin=f&amp;keep=1&amp;srchmode=1&amp;unlock","64144")</f>
        <v>64144</v>
      </c>
      <c r="F116" t="s">
        <v>17</v>
      </c>
      <c r="G116" t="str">
        <f>HYPERLINK("http://www.ncbi.nlm.nih.gov/Taxonomy/Browser/wwwtax.cgi?mode=Info&amp;id=64144&amp;lvl=3&amp;lin=f&amp;keep=1&amp;srchmode=1&amp;unlock","Anabas testudineus")</f>
        <v>Anabas testudineus</v>
      </c>
      <c r="H116" t="s">
        <v>140</v>
      </c>
      <c r="I116" t="str">
        <f>HYPERLINK("http://www.ncbi.nlm.nih.gov/protein/XP_026227743.1","ryanodine receptor 1-like isoform X2")</f>
        <v>ryanodine receptor 1-like isoform X2</v>
      </c>
      <c r="J116" t="s">
        <v>1485</v>
      </c>
      <c r="K116" t="s">
        <v>19</v>
      </c>
      <c r="L116">
        <v>4602</v>
      </c>
      <c r="M116" t="s">
        <v>19</v>
      </c>
      <c r="N116" t="s">
        <v>19</v>
      </c>
      <c r="O116">
        <v>4605</v>
      </c>
      <c r="P116" t="s">
        <v>1486</v>
      </c>
      <c r="Q116" t="s">
        <v>19</v>
      </c>
      <c r="R116">
        <v>4606</v>
      </c>
      <c r="S116" t="s">
        <v>1487</v>
      </c>
      <c r="T116" t="s">
        <v>19</v>
      </c>
      <c r="U116">
        <v>4609</v>
      </c>
      <c r="V116" t="s">
        <v>1488</v>
      </c>
      <c r="W116" t="s">
        <v>19</v>
      </c>
      <c r="X116">
        <v>4703</v>
      </c>
      <c r="Y116" t="s">
        <v>1493</v>
      </c>
      <c r="Z116" t="s">
        <v>19</v>
      </c>
      <c r="AA116">
        <v>4838</v>
      </c>
      <c r="AB116" t="s">
        <v>19</v>
      </c>
      <c r="AC116" t="s">
        <v>19</v>
      </c>
      <c r="AD116">
        <v>4839</v>
      </c>
      <c r="AE116" t="s">
        <v>1488</v>
      </c>
      <c r="AF116" t="s">
        <v>19</v>
      </c>
      <c r="AG116">
        <v>4842</v>
      </c>
      <c r="AH116" t="s">
        <v>19</v>
      </c>
      <c r="AI116" t="s">
        <v>19</v>
      </c>
      <c r="AJ116">
        <v>4862</v>
      </c>
      <c r="AK116" t="s">
        <v>1490</v>
      </c>
      <c r="AL116" t="s">
        <v>19</v>
      </c>
      <c r="AM116">
        <v>4866</v>
      </c>
      <c r="AN116" t="s">
        <v>1491</v>
      </c>
      <c r="AO116" t="s">
        <v>19</v>
      </c>
    </row>
    <row r="117" spans="1:41" x14ac:dyDescent="0.45">
      <c r="A117" t="s">
        <v>1264</v>
      </c>
      <c r="B117">
        <v>8</v>
      </c>
      <c r="C117" t="str">
        <f>HYPERLINK("http://www.ncbi.nlm.nih.gov/protein/XP_017273578.1","XP_017273578.1")</f>
        <v>XP_017273578.1</v>
      </c>
      <c r="D117">
        <v>43415</v>
      </c>
      <c r="E117" t="str">
        <f>HYPERLINK("http://www.ncbi.nlm.nih.gov/Taxonomy/Browser/wwwtax.cgi?mode=Info&amp;id=37003&amp;lvl=3&amp;lin=f&amp;keep=1&amp;srchmode=1&amp;unlock","37003")</f>
        <v>37003</v>
      </c>
      <c r="F117" t="s">
        <v>17</v>
      </c>
      <c r="G117" t="str">
        <f>HYPERLINK("http://www.ncbi.nlm.nih.gov/Taxonomy/Browser/wwwtax.cgi?mode=Info&amp;id=37003&amp;lvl=3&amp;lin=f&amp;keep=1&amp;srchmode=1&amp;unlock","Kryptolebias marmoratus")</f>
        <v>Kryptolebias marmoratus</v>
      </c>
      <c r="H117" t="s">
        <v>141</v>
      </c>
      <c r="I117" t="str">
        <f>HYPERLINK("http://www.ncbi.nlm.nih.gov/protein/XP_017273578.1","ryanodine receptor 1 isoform X4")</f>
        <v>ryanodine receptor 1 isoform X4</v>
      </c>
      <c r="J117" t="s">
        <v>1485</v>
      </c>
      <c r="K117" t="s">
        <v>19</v>
      </c>
      <c r="L117">
        <v>4585</v>
      </c>
      <c r="M117" t="s">
        <v>19</v>
      </c>
      <c r="N117" t="s">
        <v>19</v>
      </c>
      <c r="O117">
        <v>4588</v>
      </c>
      <c r="P117" t="s">
        <v>1486</v>
      </c>
      <c r="Q117" t="s">
        <v>19</v>
      </c>
      <c r="R117">
        <v>4589</v>
      </c>
      <c r="S117" t="s">
        <v>1487</v>
      </c>
      <c r="T117" t="s">
        <v>19</v>
      </c>
      <c r="U117">
        <v>4592</v>
      </c>
      <c r="V117" t="s">
        <v>1488</v>
      </c>
      <c r="W117" t="s">
        <v>19</v>
      </c>
      <c r="X117">
        <v>4689</v>
      </c>
      <c r="Y117" t="s">
        <v>1493</v>
      </c>
      <c r="Z117" t="s">
        <v>19</v>
      </c>
      <c r="AA117">
        <v>4824</v>
      </c>
      <c r="AB117" t="s">
        <v>19</v>
      </c>
      <c r="AC117" t="s">
        <v>19</v>
      </c>
      <c r="AD117">
        <v>4825</v>
      </c>
      <c r="AE117" t="s">
        <v>1488</v>
      </c>
      <c r="AF117" t="s">
        <v>19</v>
      </c>
      <c r="AG117">
        <v>4828</v>
      </c>
      <c r="AH117" t="s">
        <v>19</v>
      </c>
      <c r="AI117" t="s">
        <v>19</v>
      </c>
      <c r="AJ117">
        <v>4848</v>
      </c>
      <c r="AK117" t="s">
        <v>1490</v>
      </c>
      <c r="AL117" t="s">
        <v>19</v>
      </c>
      <c r="AM117">
        <v>4852</v>
      </c>
      <c r="AN117" t="s">
        <v>1491</v>
      </c>
      <c r="AO117" t="s">
        <v>19</v>
      </c>
    </row>
    <row r="118" spans="1:41" x14ac:dyDescent="0.45">
      <c r="A118" t="s">
        <v>1264</v>
      </c>
      <c r="B118">
        <v>8</v>
      </c>
      <c r="C118" t="str">
        <f>HYPERLINK("http://www.ncbi.nlm.nih.gov/protein/XP_019729076.1","XP_019729076.1")</f>
        <v>XP_019729076.1</v>
      </c>
      <c r="D118">
        <v>42022</v>
      </c>
      <c r="E118" t="str">
        <f>HYPERLINK("http://www.ncbi.nlm.nih.gov/Taxonomy/Browser/wwwtax.cgi?mode=Info&amp;id=109280&amp;lvl=3&amp;lin=f&amp;keep=1&amp;srchmode=1&amp;unlock","109280")</f>
        <v>109280</v>
      </c>
      <c r="F118" t="s">
        <v>17</v>
      </c>
      <c r="G118" t="str">
        <f>HYPERLINK("http://www.ncbi.nlm.nih.gov/Taxonomy/Browser/wwwtax.cgi?mode=Info&amp;id=109280&amp;lvl=3&amp;lin=f&amp;keep=1&amp;srchmode=1&amp;unlock","Hippocampus comes")</f>
        <v>Hippocampus comes</v>
      </c>
      <c r="H118" t="s">
        <v>142</v>
      </c>
      <c r="I118" t="str">
        <f>HYPERLINK("http://www.ncbi.nlm.nih.gov/protein/XP_019729076.1","PREDICTED: ryanodine receptor 1-like isoform X6")</f>
        <v>PREDICTED: ryanodine receptor 1-like isoform X6</v>
      </c>
      <c r="J118" t="s">
        <v>1485</v>
      </c>
      <c r="K118" t="s">
        <v>19</v>
      </c>
      <c r="L118">
        <v>4589</v>
      </c>
      <c r="M118" t="s">
        <v>19</v>
      </c>
      <c r="N118" t="s">
        <v>19</v>
      </c>
      <c r="O118">
        <v>4592</v>
      </c>
      <c r="P118" t="s">
        <v>1486</v>
      </c>
      <c r="Q118" t="s">
        <v>19</v>
      </c>
      <c r="R118">
        <v>4593</v>
      </c>
      <c r="S118" t="s">
        <v>1487</v>
      </c>
      <c r="T118" t="s">
        <v>19</v>
      </c>
      <c r="U118">
        <v>4596</v>
      </c>
      <c r="V118" t="s">
        <v>1488</v>
      </c>
      <c r="W118" t="s">
        <v>19</v>
      </c>
      <c r="X118">
        <v>4692</v>
      </c>
      <c r="Y118" t="s">
        <v>1493</v>
      </c>
      <c r="Z118" t="s">
        <v>19</v>
      </c>
      <c r="AA118">
        <v>4827</v>
      </c>
      <c r="AB118" t="s">
        <v>19</v>
      </c>
      <c r="AC118" t="s">
        <v>19</v>
      </c>
      <c r="AD118">
        <v>4828</v>
      </c>
      <c r="AE118" t="s">
        <v>1488</v>
      </c>
      <c r="AF118" t="s">
        <v>19</v>
      </c>
      <c r="AG118">
        <v>4831</v>
      </c>
      <c r="AH118" t="s">
        <v>19</v>
      </c>
      <c r="AI118" t="s">
        <v>19</v>
      </c>
      <c r="AJ118">
        <v>4851</v>
      </c>
      <c r="AK118" t="s">
        <v>1490</v>
      </c>
      <c r="AL118" t="s">
        <v>19</v>
      </c>
      <c r="AM118">
        <v>4855</v>
      </c>
      <c r="AN118" t="s">
        <v>1491</v>
      </c>
      <c r="AO118" t="s">
        <v>19</v>
      </c>
    </row>
    <row r="119" spans="1:41" x14ac:dyDescent="0.45">
      <c r="A119" t="s">
        <v>1264</v>
      </c>
      <c r="B119">
        <v>8</v>
      </c>
      <c r="C119" t="str">
        <f>HYPERLINK("http://www.ncbi.nlm.nih.gov/protein/XP_061154754.1","XP_061154754.1")</f>
        <v>XP_061154754.1</v>
      </c>
      <c r="D119">
        <v>41143</v>
      </c>
      <c r="E119" t="str">
        <f>HYPERLINK("http://www.ncbi.nlm.nih.gov/Taxonomy/Browser/wwwtax.cgi?mode=Info&amp;id=161592&amp;lvl=3&amp;lin=f&amp;keep=1&amp;srchmode=1&amp;unlock","161592")</f>
        <v>161592</v>
      </c>
      <c r="F119" t="s">
        <v>17</v>
      </c>
      <c r="G119" t="str">
        <f>HYPERLINK("http://www.ncbi.nlm.nih.gov/Taxonomy/Browser/wwwtax.cgi?mode=Info&amp;id=161592&amp;lvl=3&amp;lin=f&amp;keep=1&amp;srchmode=1&amp;unlock","Syngnathus typhle")</f>
        <v>Syngnathus typhle</v>
      </c>
      <c r="H119" t="s">
        <v>143</v>
      </c>
      <c r="I119" t="str">
        <f>HYPERLINK("http://www.ncbi.nlm.nih.gov/protein/XP_061154754.1","ryanodine receptor 1-like isoform X4")</f>
        <v>ryanodine receptor 1-like isoform X4</v>
      </c>
      <c r="J119" t="s">
        <v>1485</v>
      </c>
      <c r="K119" t="s">
        <v>19</v>
      </c>
      <c r="L119">
        <v>4589</v>
      </c>
      <c r="M119" t="s">
        <v>19</v>
      </c>
      <c r="N119" t="s">
        <v>19</v>
      </c>
      <c r="O119">
        <v>4592</v>
      </c>
      <c r="P119" t="s">
        <v>1486</v>
      </c>
      <c r="Q119" t="s">
        <v>19</v>
      </c>
      <c r="R119">
        <v>4593</v>
      </c>
      <c r="S119" t="s">
        <v>1487</v>
      </c>
      <c r="T119" t="s">
        <v>19</v>
      </c>
      <c r="U119">
        <v>4596</v>
      </c>
      <c r="V119" t="s">
        <v>1488</v>
      </c>
      <c r="W119" t="s">
        <v>19</v>
      </c>
      <c r="X119">
        <v>4692</v>
      </c>
      <c r="Y119" t="s">
        <v>1493</v>
      </c>
      <c r="Z119" t="s">
        <v>19</v>
      </c>
      <c r="AA119">
        <v>4827</v>
      </c>
      <c r="AB119" t="s">
        <v>19</v>
      </c>
      <c r="AC119" t="s">
        <v>19</v>
      </c>
      <c r="AD119">
        <v>4828</v>
      </c>
      <c r="AE119" t="s">
        <v>1488</v>
      </c>
      <c r="AF119" t="s">
        <v>19</v>
      </c>
      <c r="AG119">
        <v>4831</v>
      </c>
      <c r="AH119" t="s">
        <v>19</v>
      </c>
      <c r="AI119" t="s">
        <v>19</v>
      </c>
      <c r="AJ119">
        <v>4851</v>
      </c>
      <c r="AK119" t="s">
        <v>1490</v>
      </c>
      <c r="AL119" t="s">
        <v>19</v>
      </c>
      <c r="AM119">
        <v>4855</v>
      </c>
      <c r="AN119" t="s">
        <v>1491</v>
      </c>
      <c r="AO119" t="s">
        <v>19</v>
      </c>
    </row>
    <row r="120" spans="1:41" x14ac:dyDescent="0.45">
      <c r="A120" t="s">
        <v>1264</v>
      </c>
      <c r="B120">
        <v>8</v>
      </c>
      <c r="C120" t="str">
        <f>HYPERLINK("http://www.ncbi.nlm.nih.gov/protein/XP_030602018.1","XP_030602018.1")</f>
        <v>XP_030602018.1</v>
      </c>
      <c r="D120">
        <v>41125</v>
      </c>
      <c r="E120" t="str">
        <f>HYPERLINK("http://www.ncbi.nlm.nih.gov/Taxonomy/Browser/wwwtax.cgi?mode=Info&amp;id=63155&amp;lvl=3&amp;lin=f&amp;keep=1&amp;srchmode=1&amp;unlock","63155")</f>
        <v>63155</v>
      </c>
      <c r="F120" t="s">
        <v>17</v>
      </c>
      <c r="G120" t="str">
        <f>HYPERLINK("http://www.ncbi.nlm.nih.gov/Taxonomy/Browser/wwwtax.cgi?mode=Info&amp;id=63155&amp;lvl=3&amp;lin=f&amp;keep=1&amp;srchmode=1&amp;unlock","Archocentrus centrarchus")</f>
        <v>Archocentrus centrarchus</v>
      </c>
      <c r="H120" t="s">
        <v>144</v>
      </c>
      <c r="I120" t="str">
        <f>HYPERLINK("http://www.ncbi.nlm.nih.gov/protein/XP_030602018.1","ryanodine receptor 1-like")</f>
        <v>ryanodine receptor 1-like</v>
      </c>
      <c r="J120" t="s">
        <v>1485</v>
      </c>
      <c r="K120" t="s">
        <v>19</v>
      </c>
      <c r="L120">
        <v>4597</v>
      </c>
      <c r="M120" t="s">
        <v>19</v>
      </c>
      <c r="N120" t="s">
        <v>19</v>
      </c>
      <c r="O120">
        <v>4600</v>
      </c>
      <c r="P120" t="s">
        <v>1486</v>
      </c>
      <c r="Q120" t="s">
        <v>19</v>
      </c>
      <c r="R120">
        <v>4601</v>
      </c>
      <c r="S120" t="s">
        <v>1487</v>
      </c>
      <c r="T120" t="s">
        <v>19</v>
      </c>
      <c r="U120">
        <v>4604</v>
      </c>
      <c r="V120" t="s">
        <v>1488</v>
      </c>
      <c r="W120" t="s">
        <v>19</v>
      </c>
      <c r="X120">
        <v>4701</v>
      </c>
      <c r="Y120" t="s">
        <v>1493</v>
      </c>
      <c r="Z120" t="s">
        <v>19</v>
      </c>
      <c r="AA120">
        <v>4836</v>
      </c>
      <c r="AB120" t="s">
        <v>19</v>
      </c>
      <c r="AC120" t="s">
        <v>19</v>
      </c>
      <c r="AD120">
        <v>4837</v>
      </c>
      <c r="AE120" t="s">
        <v>1488</v>
      </c>
      <c r="AF120" t="s">
        <v>19</v>
      </c>
      <c r="AG120">
        <v>4840</v>
      </c>
      <c r="AH120" t="s">
        <v>19</v>
      </c>
      <c r="AI120" t="s">
        <v>19</v>
      </c>
      <c r="AJ120">
        <v>4860</v>
      </c>
      <c r="AK120" t="s">
        <v>1490</v>
      </c>
      <c r="AL120" t="s">
        <v>19</v>
      </c>
      <c r="AM120">
        <v>4864</v>
      </c>
      <c r="AN120" t="s">
        <v>1491</v>
      </c>
      <c r="AO120" t="s">
        <v>19</v>
      </c>
    </row>
    <row r="121" spans="1:41" x14ac:dyDescent="0.45">
      <c r="A121" t="s">
        <v>1264</v>
      </c>
      <c r="B121">
        <v>8</v>
      </c>
      <c r="C121" t="str">
        <f>HYPERLINK("http://www.ncbi.nlm.nih.gov/protein/XP_054899551.1","XP_054899551.1")</f>
        <v>XP_054899551.1</v>
      </c>
      <c r="D121">
        <v>41286</v>
      </c>
      <c r="E121" t="str">
        <f>HYPERLINK("http://www.ncbi.nlm.nih.gov/Taxonomy/Browser/wwwtax.cgi?mode=Info&amp;id=188132&amp;lvl=3&amp;lin=f&amp;keep=1&amp;srchmode=1&amp;unlock","188132")</f>
        <v>188132</v>
      </c>
      <c r="F121" t="s">
        <v>17</v>
      </c>
      <c r="G121" t="str">
        <f>HYPERLINK("http://www.ncbi.nlm.nih.gov/Taxonomy/Browser/wwwtax.cgi?mode=Info&amp;id=188132&amp;lvl=3&amp;lin=f&amp;keep=1&amp;srchmode=1&amp;unlock","Poeciliopsis prolifica")</f>
        <v>Poeciliopsis prolifica</v>
      </c>
      <c r="H121" t="s">
        <v>145</v>
      </c>
      <c r="I121" t="str">
        <f>HYPERLINK("http://www.ncbi.nlm.nih.gov/protein/XP_054899551.1","ryanodine receptor 1-like isoform X3")</f>
        <v>ryanodine receptor 1-like isoform X3</v>
      </c>
      <c r="J121" t="s">
        <v>1485</v>
      </c>
      <c r="K121" t="s">
        <v>19</v>
      </c>
      <c r="L121">
        <v>4616</v>
      </c>
      <c r="M121" t="s">
        <v>19</v>
      </c>
      <c r="N121" t="s">
        <v>19</v>
      </c>
      <c r="O121">
        <v>4619</v>
      </c>
      <c r="P121" t="s">
        <v>1486</v>
      </c>
      <c r="Q121" t="s">
        <v>19</v>
      </c>
      <c r="R121">
        <v>4620</v>
      </c>
      <c r="S121" t="s">
        <v>1487</v>
      </c>
      <c r="T121" t="s">
        <v>19</v>
      </c>
      <c r="U121">
        <v>4623</v>
      </c>
      <c r="V121" t="s">
        <v>1488</v>
      </c>
      <c r="W121" t="s">
        <v>19</v>
      </c>
      <c r="X121">
        <v>4720</v>
      </c>
      <c r="Y121" t="s">
        <v>1493</v>
      </c>
      <c r="Z121" t="s">
        <v>19</v>
      </c>
      <c r="AA121">
        <v>4855</v>
      </c>
      <c r="AB121" t="s">
        <v>19</v>
      </c>
      <c r="AC121" t="s">
        <v>19</v>
      </c>
      <c r="AD121">
        <v>4856</v>
      </c>
      <c r="AE121" t="s">
        <v>1488</v>
      </c>
      <c r="AF121" t="s">
        <v>19</v>
      </c>
      <c r="AG121">
        <v>4859</v>
      </c>
      <c r="AH121" t="s">
        <v>19</v>
      </c>
      <c r="AI121" t="s">
        <v>19</v>
      </c>
      <c r="AJ121">
        <v>4879</v>
      </c>
      <c r="AK121" t="s">
        <v>1490</v>
      </c>
      <c r="AL121" t="s">
        <v>19</v>
      </c>
      <c r="AM121">
        <v>4883</v>
      </c>
      <c r="AN121" t="s">
        <v>1491</v>
      </c>
      <c r="AO121" t="s">
        <v>19</v>
      </c>
    </row>
    <row r="122" spans="1:41" x14ac:dyDescent="0.45">
      <c r="A122" t="s">
        <v>1264</v>
      </c>
      <c r="B122">
        <v>8</v>
      </c>
      <c r="C122" t="str">
        <f>HYPERLINK("http://www.ncbi.nlm.nih.gov/protein/XP_052376859.1","XP_052376859.1")</f>
        <v>XP_052376859.1</v>
      </c>
      <c r="D122">
        <v>116232</v>
      </c>
      <c r="E122" t="str">
        <f>HYPERLINK("http://www.ncbi.nlm.nih.gov/Taxonomy/Browser/wwwtax.cgi?mode=Info&amp;id=8018&amp;lvl=3&amp;lin=f&amp;keep=1&amp;srchmode=1&amp;unlock","8018")</f>
        <v>8018</v>
      </c>
      <c r="F122" t="s">
        <v>17</v>
      </c>
      <c r="G122" t="str">
        <f>HYPERLINK("http://www.ncbi.nlm.nih.gov/Taxonomy/Browser/wwwtax.cgi?mode=Info&amp;id=8018&amp;lvl=3&amp;lin=f&amp;keep=1&amp;srchmode=1&amp;unlock","Oncorhynchus keta")</f>
        <v>Oncorhynchus keta</v>
      </c>
      <c r="H122" t="s">
        <v>146</v>
      </c>
      <c r="I122" t="str">
        <f>HYPERLINK("http://www.ncbi.nlm.nih.gov/protein/XP_052376859.1","ryanodine receptor 1-like isoform X1")</f>
        <v>ryanodine receptor 1-like isoform X1</v>
      </c>
      <c r="J122" t="s">
        <v>1485</v>
      </c>
      <c r="K122" t="s">
        <v>19</v>
      </c>
      <c r="L122">
        <v>4613</v>
      </c>
      <c r="M122" t="s">
        <v>19</v>
      </c>
      <c r="N122" t="s">
        <v>19</v>
      </c>
      <c r="O122">
        <v>4616</v>
      </c>
      <c r="P122" t="s">
        <v>1486</v>
      </c>
      <c r="Q122" t="s">
        <v>19</v>
      </c>
      <c r="R122">
        <v>4617</v>
      </c>
      <c r="S122" t="s">
        <v>1487</v>
      </c>
      <c r="T122" t="s">
        <v>19</v>
      </c>
      <c r="U122">
        <v>4620</v>
      </c>
      <c r="V122" t="s">
        <v>1488</v>
      </c>
      <c r="W122" t="s">
        <v>19</v>
      </c>
      <c r="X122">
        <v>4721</v>
      </c>
      <c r="Y122" t="s">
        <v>1493</v>
      </c>
      <c r="Z122" t="s">
        <v>19</v>
      </c>
      <c r="AA122">
        <v>4856</v>
      </c>
      <c r="AB122" t="s">
        <v>19</v>
      </c>
      <c r="AC122" t="s">
        <v>19</v>
      </c>
      <c r="AD122">
        <v>4857</v>
      </c>
      <c r="AE122" t="s">
        <v>1488</v>
      </c>
      <c r="AF122" t="s">
        <v>19</v>
      </c>
      <c r="AG122">
        <v>4860</v>
      </c>
      <c r="AH122" t="s">
        <v>19</v>
      </c>
      <c r="AI122" t="s">
        <v>19</v>
      </c>
      <c r="AJ122">
        <v>4880</v>
      </c>
      <c r="AK122" t="s">
        <v>1490</v>
      </c>
      <c r="AL122" t="s">
        <v>19</v>
      </c>
      <c r="AM122">
        <v>4884</v>
      </c>
      <c r="AN122" t="s">
        <v>1491</v>
      </c>
      <c r="AO122" t="s">
        <v>19</v>
      </c>
    </row>
    <row r="123" spans="1:41" x14ac:dyDescent="0.45">
      <c r="A123" t="s">
        <v>1264</v>
      </c>
      <c r="B123">
        <v>8</v>
      </c>
      <c r="C123" t="str">
        <f>HYPERLINK("http://www.ncbi.nlm.nih.gov/protein/XP_034034973.1","XP_034034973.1")</f>
        <v>XP_034034973.1</v>
      </c>
      <c r="D123">
        <v>36365</v>
      </c>
      <c r="E123" t="str">
        <f>HYPERLINK("http://www.ncbi.nlm.nih.gov/Taxonomy/Browser/wwwtax.cgi?mode=Info&amp;id=390379&amp;lvl=3&amp;lin=f&amp;keep=1&amp;srchmode=1&amp;unlock","390379")</f>
        <v>390379</v>
      </c>
      <c r="F123" t="s">
        <v>17</v>
      </c>
      <c r="G123" t="str">
        <f>HYPERLINK("http://www.ncbi.nlm.nih.gov/Taxonomy/Browser/wwwtax.cgi?mode=Info&amp;id=390379&amp;lvl=3&amp;lin=f&amp;keep=1&amp;srchmode=1&amp;unlock","Thalassophryne amazonica")</f>
        <v>Thalassophryne amazonica</v>
      </c>
      <c r="H123" t="s">
        <v>147</v>
      </c>
      <c r="I123" t="str">
        <f>HYPERLINK("http://www.ncbi.nlm.nih.gov/protein/XP_034034973.1","ryanodine receptor 1-like")</f>
        <v>ryanodine receptor 1-like</v>
      </c>
      <c r="J123" t="s">
        <v>1485</v>
      </c>
      <c r="K123" t="s">
        <v>19</v>
      </c>
      <c r="L123">
        <v>4598</v>
      </c>
      <c r="M123" t="s">
        <v>19</v>
      </c>
      <c r="N123" t="s">
        <v>19</v>
      </c>
      <c r="O123">
        <v>4601</v>
      </c>
      <c r="P123" t="s">
        <v>1486</v>
      </c>
      <c r="Q123" t="s">
        <v>19</v>
      </c>
      <c r="R123">
        <v>4602</v>
      </c>
      <c r="S123" t="s">
        <v>1487</v>
      </c>
      <c r="T123" t="s">
        <v>19</v>
      </c>
      <c r="U123">
        <v>4605</v>
      </c>
      <c r="V123" t="s">
        <v>1488</v>
      </c>
      <c r="W123" t="s">
        <v>19</v>
      </c>
      <c r="X123">
        <v>4701</v>
      </c>
      <c r="Y123" t="s">
        <v>1493</v>
      </c>
      <c r="Z123" t="s">
        <v>19</v>
      </c>
      <c r="AA123">
        <v>4836</v>
      </c>
      <c r="AB123" t="s">
        <v>19</v>
      </c>
      <c r="AC123" t="s">
        <v>19</v>
      </c>
      <c r="AD123">
        <v>4837</v>
      </c>
      <c r="AE123" t="s">
        <v>1488</v>
      </c>
      <c r="AF123" t="s">
        <v>19</v>
      </c>
      <c r="AG123">
        <v>4840</v>
      </c>
      <c r="AH123" t="s">
        <v>19</v>
      </c>
      <c r="AI123" t="s">
        <v>19</v>
      </c>
      <c r="AJ123">
        <v>4860</v>
      </c>
      <c r="AK123" t="s">
        <v>1490</v>
      </c>
      <c r="AL123" t="s">
        <v>19</v>
      </c>
      <c r="AM123">
        <v>4864</v>
      </c>
      <c r="AN123" t="s">
        <v>1491</v>
      </c>
      <c r="AO123" t="s">
        <v>19</v>
      </c>
    </row>
    <row r="124" spans="1:41" x14ac:dyDescent="0.45">
      <c r="A124" t="s">
        <v>1264</v>
      </c>
      <c r="B124">
        <v>8</v>
      </c>
      <c r="C124" t="str">
        <f>HYPERLINK("http://www.ncbi.nlm.nih.gov/protein/XP_043995826.1","XP_043995826.1")</f>
        <v>XP_043995826.1</v>
      </c>
      <c r="D124">
        <v>68845</v>
      </c>
      <c r="E124" t="str">
        <f>HYPERLINK("http://www.ncbi.nlm.nih.gov/Taxonomy/Browser/wwwtax.cgi?mode=Info&amp;id=33528&amp;lvl=3&amp;lin=f&amp;keep=1&amp;srchmode=1&amp;unlock","33528")</f>
        <v>33528</v>
      </c>
      <c r="F124" t="s">
        <v>17</v>
      </c>
      <c r="G124" t="str">
        <f>HYPERLINK("http://www.ncbi.nlm.nih.gov/Taxonomy/Browser/wwwtax.cgi?mode=Info&amp;id=33528&amp;lvl=3&amp;lin=f&amp;keep=1&amp;srchmode=1&amp;unlock","Gambusia affinis")</f>
        <v>Gambusia affinis</v>
      </c>
      <c r="H124" t="s">
        <v>148</v>
      </c>
      <c r="I124" t="str">
        <f>HYPERLINK("http://www.ncbi.nlm.nih.gov/protein/XP_043995826.1","ryanodine receptor 1-like isoform X4")</f>
        <v>ryanodine receptor 1-like isoform X4</v>
      </c>
      <c r="J124" t="s">
        <v>1485</v>
      </c>
      <c r="K124" t="s">
        <v>19</v>
      </c>
      <c r="L124">
        <v>4580</v>
      </c>
      <c r="M124" t="s">
        <v>19</v>
      </c>
      <c r="N124" t="s">
        <v>19</v>
      </c>
      <c r="O124">
        <v>4583</v>
      </c>
      <c r="P124" t="s">
        <v>1486</v>
      </c>
      <c r="Q124" t="s">
        <v>19</v>
      </c>
      <c r="R124">
        <v>4584</v>
      </c>
      <c r="S124" t="s">
        <v>1487</v>
      </c>
      <c r="T124" t="s">
        <v>19</v>
      </c>
      <c r="U124">
        <v>4587</v>
      </c>
      <c r="V124" t="s">
        <v>1488</v>
      </c>
      <c r="W124" t="s">
        <v>19</v>
      </c>
      <c r="X124">
        <v>4684</v>
      </c>
      <c r="Y124" t="s">
        <v>1493</v>
      </c>
      <c r="Z124" t="s">
        <v>19</v>
      </c>
      <c r="AA124">
        <v>4819</v>
      </c>
      <c r="AB124" t="s">
        <v>19</v>
      </c>
      <c r="AC124" t="s">
        <v>19</v>
      </c>
      <c r="AD124">
        <v>4820</v>
      </c>
      <c r="AE124" t="s">
        <v>1488</v>
      </c>
      <c r="AF124" t="s">
        <v>19</v>
      </c>
      <c r="AG124">
        <v>4823</v>
      </c>
      <c r="AH124" t="s">
        <v>19</v>
      </c>
      <c r="AI124" t="s">
        <v>19</v>
      </c>
      <c r="AJ124">
        <v>4843</v>
      </c>
      <c r="AK124" t="s">
        <v>1490</v>
      </c>
      <c r="AL124" t="s">
        <v>19</v>
      </c>
      <c r="AM124">
        <v>4847</v>
      </c>
      <c r="AN124" t="s">
        <v>1491</v>
      </c>
      <c r="AO124" t="s">
        <v>19</v>
      </c>
    </row>
    <row r="125" spans="1:41" x14ac:dyDescent="0.45">
      <c r="A125" t="s">
        <v>1264</v>
      </c>
      <c r="B125">
        <v>8</v>
      </c>
      <c r="C125" t="str">
        <f>HYPERLINK("http://www.ncbi.nlm.nih.gov/protein/XP_055791062.1","XP_055791062.1")</f>
        <v>XP_055791062.1</v>
      </c>
      <c r="D125">
        <v>83509</v>
      </c>
      <c r="E125" t="str">
        <f>HYPERLINK("http://www.ncbi.nlm.nih.gov/Taxonomy/Browser/wwwtax.cgi?mode=Info&amp;id=8038&amp;lvl=3&amp;lin=f&amp;keep=1&amp;srchmode=1&amp;unlock","8038")</f>
        <v>8038</v>
      </c>
      <c r="F125" t="s">
        <v>17</v>
      </c>
      <c r="G125" t="str">
        <f>HYPERLINK("http://www.ncbi.nlm.nih.gov/Taxonomy/Browser/wwwtax.cgi?mode=Info&amp;id=8038&amp;lvl=3&amp;lin=f&amp;keep=1&amp;srchmode=1&amp;unlock","Salvelinus fontinalis")</f>
        <v>Salvelinus fontinalis</v>
      </c>
      <c r="H125" t="s">
        <v>149</v>
      </c>
      <c r="I125" t="str">
        <f>HYPERLINK("http://www.ncbi.nlm.nih.gov/protein/XP_055791062.1","ryanodine receptor 1-like")</f>
        <v>ryanodine receptor 1-like</v>
      </c>
      <c r="J125" t="s">
        <v>1485</v>
      </c>
      <c r="K125" t="s">
        <v>19</v>
      </c>
      <c r="L125">
        <v>4608</v>
      </c>
      <c r="M125" t="s">
        <v>19</v>
      </c>
      <c r="N125" t="s">
        <v>19</v>
      </c>
      <c r="O125">
        <v>4611</v>
      </c>
      <c r="P125" t="s">
        <v>1486</v>
      </c>
      <c r="Q125" t="s">
        <v>19</v>
      </c>
      <c r="R125">
        <v>4612</v>
      </c>
      <c r="S125" t="s">
        <v>1487</v>
      </c>
      <c r="T125" t="s">
        <v>19</v>
      </c>
      <c r="U125">
        <v>4615</v>
      </c>
      <c r="V125" t="s">
        <v>1488</v>
      </c>
      <c r="W125" t="s">
        <v>19</v>
      </c>
      <c r="X125">
        <v>4714</v>
      </c>
      <c r="Y125" t="s">
        <v>1493</v>
      </c>
      <c r="Z125" t="s">
        <v>19</v>
      </c>
      <c r="AA125">
        <v>4849</v>
      </c>
      <c r="AB125" t="s">
        <v>19</v>
      </c>
      <c r="AC125" t="s">
        <v>19</v>
      </c>
      <c r="AD125">
        <v>4850</v>
      </c>
      <c r="AE125" t="s">
        <v>1488</v>
      </c>
      <c r="AF125" t="s">
        <v>19</v>
      </c>
      <c r="AG125">
        <v>4853</v>
      </c>
      <c r="AH125" t="s">
        <v>19</v>
      </c>
      <c r="AI125" t="s">
        <v>19</v>
      </c>
      <c r="AJ125">
        <v>4873</v>
      </c>
      <c r="AK125" t="s">
        <v>1490</v>
      </c>
      <c r="AL125" t="s">
        <v>19</v>
      </c>
      <c r="AM125">
        <v>4877</v>
      </c>
      <c r="AN125" t="s">
        <v>1491</v>
      </c>
      <c r="AO125" t="s">
        <v>19</v>
      </c>
    </row>
    <row r="126" spans="1:41" x14ac:dyDescent="0.45">
      <c r="A126" t="s">
        <v>1264</v>
      </c>
      <c r="B126">
        <v>8</v>
      </c>
      <c r="C126" t="str">
        <f>HYPERLINK("http://www.ncbi.nlm.nih.gov/protein/XP_029625730.1","XP_029625730.1")</f>
        <v>XP_029625730.1</v>
      </c>
      <c r="D126">
        <v>88731</v>
      </c>
      <c r="E126" t="str">
        <f>HYPERLINK("http://www.ncbi.nlm.nih.gov/Taxonomy/Browser/wwwtax.cgi?mode=Info&amp;id=8032&amp;lvl=3&amp;lin=f&amp;keep=1&amp;srchmode=1&amp;unlock","8032")</f>
        <v>8032</v>
      </c>
      <c r="F126" t="s">
        <v>17</v>
      </c>
      <c r="G126" t="str">
        <f>HYPERLINK("http://www.ncbi.nlm.nih.gov/Taxonomy/Browser/wwwtax.cgi?mode=Info&amp;id=8032&amp;lvl=3&amp;lin=f&amp;keep=1&amp;srchmode=1&amp;unlock","Salmo trutta")</f>
        <v>Salmo trutta</v>
      </c>
      <c r="H126" t="s">
        <v>150</v>
      </c>
      <c r="I126" t="str">
        <f>HYPERLINK("http://www.ncbi.nlm.nih.gov/protein/XP_029625730.1","ryanodine receptor 1-like")</f>
        <v>ryanodine receptor 1-like</v>
      </c>
      <c r="J126" t="s">
        <v>1485</v>
      </c>
      <c r="K126" t="s">
        <v>19</v>
      </c>
      <c r="L126">
        <v>4604</v>
      </c>
      <c r="M126" t="s">
        <v>19</v>
      </c>
      <c r="N126" t="s">
        <v>19</v>
      </c>
      <c r="O126">
        <v>4607</v>
      </c>
      <c r="P126" t="s">
        <v>1486</v>
      </c>
      <c r="Q126" t="s">
        <v>19</v>
      </c>
      <c r="R126">
        <v>4608</v>
      </c>
      <c r="S126" t="s">
        <v>1487</v>
      </c>
      <c r="T126" t="s">
        <v>19</v>
      </c>
      <c r="U126">
        <v>4611</v>
      </c>
      <c r="V126" t="s">
        <v>1488</v>
      </c>
      <c r="W126" t="s">
        <v>19</v>
      </c>
      <c r="X126">
        <v>4712</v>
      </c>
      <c r="Y126" t="s">
        <v>1493</v>
      </c>
      <c r="Z126" t="s">
        <v>19</v>
      </c>
      <c r="AA126">
        <v>4847</v>
      </c>
      <c r="AB126" t="s">
        <v>19</v>
      </c>
      <c r="AC126" t="s">
        <v>19</v>
      </c>
      <c r="AD126">
        <v>4848</v>
      </c>
      <c r="AE126" t="s">
        <v>1488</v>
      </c>
      <c r="AF126" t="s">
        <v>19</v>
      </c>
      <c r="AG126">
        <v>4851</v>
      </c>
      <c r="AH126" t="s">
        <v>19</v>
      </c>
      <c r="AI126" t="s">
        <v>19</v>
      </c>
      <c r="AJ126">
        <v>4871</v>
      </c>
      <c r="AK126" t="s">
        <v>1490</v>
      </c>
      <c r="AL126" t="s">
        <v>19</v>
      </c>
      <c r="AM126">
        <v>4875</v>
      </c>
      <c r="AN126" t="s">
        <v>1491</v>
      </c>
      <c r="AO126" t="s">
        <v>19</v>
      </c>
    </row>
    <row r="127" spans="1:41" x14ac:dyDescent="0.45">
      <c r="A127" t="s">
        <v>1264</v>
      </c>
      <c r="B127">
        <v>8</v>
      </c>
      <c r="C127" t="str">
        <f>HYPERLINK("http://www.ncbi.nlm.nih.gov/protein/XP_041864732.1","XP_041864732.1")</f>
        <v>XP_041864732.1</v>
      </c>
      <c r="D127">
        <v>45815</v>
      </c>
      <c r="E127" t="str">
        <f>HYPERLINK("http://www.ncbi.nlm.nih.gov/Taxonomy/Browser/wwwtax.cgi?mode=Info&amp;id=1250792&amp;lvl=3&amp;lin=f&amp;keep=1&amp;srchmode=1&amp;unlock","1250792")</f>
        <v>1250792</v>
      </c>
      <c r="F127" t="s">
        <v>17</v>
      </c>
      <c r="G127" t="str">
        <f>HYPERLINK("http://www.ncbi.nlm.nih.gov/Taxonomy/Browser/wwwtax.cgi?mode=Info&amp;id=1250792&amp;lvl=3&amp;lin=f&amp;keep=1&amp;srchmode=1&amp;unlock","Melanotaenia boesemani")</f>
        <v>Melanotaenia boesemani</v>
      </c>
      <c r="H127" t="s">
        <v>151</v>
      </c>
      <c r="I127" t="str">
        <f>HYPERLINK("http://www.ncbi.nlm.nih.gov/protein/XP_041864732.1","ryanodine receptor 1-like")</f>
        <v>ryanodine receptor 1-like</v>
      </c>
      <c r="J127" t="s">
        <v>1485</v>
      </c>
      <c r="K127" t="s">
        <v>19</v>
      </c>
      <c r="L127">
        <v>4516</v>
      </c>
      <c r="M127" t="s">
        <v>19</v>
      </c>
      <c r="N127" t="s">
        <v>19</v>
      </c>
      <c r="O127">
        <v>4519</v>
      </c>
      <c r="P127" t="s">
        <v>1486</v>
      </c>
      <c r="Q127" t="s">
        <v>19</v>
      </c>
      <c r="R127">
        <v>4520</v>
      </c>
      <c r="S127" t="s">
        <v>1487</v>
      </c>
      <c r="T127" t="s">
        <v>19</v>
      </c>
      <c r="U127">
        <v>4523</v>
      </c>
      <c r="V127" t="s">
        <v>1488</v>
      </c>
      <c r="W127" t="s">
        <v>19</v>
      </c>
      <c r="X127">
        <v>4594</v>
      </c>
      <c r="Y127" t="s">
        <v>1493</v>
      </c>
      <c r="Z127" t="s">
        <v>19</v>
      </c>
      <c r="AA127">
        <v>4729</v>
      </c>
      <c r="AB127" t="s">
        <v>19</v>
      </c>
      <c r="AC127" t="s">
        <v>19</v>
      </c>
      <c r="AD127">
        <v>4730</v>
      </c>
      <c r="AE127" t="s">
        <v>1488</v>
      </c>
      <c r="AF127" t="s">
        <v>19</v>
      </c>
      <c r="AG127">
        <v>4733</v>
      </c>
      <c r="AH127" t="s">
        <v>19</v>
      </c>
      <c r="AI127" t="s">
        <v>19</v>
      </c>
      <c r="AJ127">
        <v>4753</v>
      </c>
      <c r="AK127" t="s">
        <v>1490</v>
      </c>
      <c r="AL127" t="s">
        <v>19</v>
      </c>
      <c r="AM127">
        <v>4757</v>
      </c>
      <c r="AN127" t="s">
        <v>1491</v>
      </c>
      <c r="AO127" t="s">
        <v>19</v>
      </c>
    </row>
    <row r="128" spans="1:41" x14ac:dyDescent="0.45">
      <c r="A128" t="s">
        <v>1264</v>
      </c>
      <c r="B128">
        <v>8</v>
      </c>
      <c r="C128" t="str">
        <f>HYPERLINK("http://www.ncbi.nlm.nih.gov/protein/XP_056296451.1","XP_056296451.1")</f>
        <v>XP_056296451.1</v>
      </c>
      <c r="D128">
        <v>39439</v>
      </c>
      <c r="E128" t="str">
        <f>HYPERLINK("http://www.ncbi.nlm.nih.gov/Taxonomy/Browser/wwwtax.cgi?mode=Info&amp;id=2059687&amp;lvl=3&amp;lin=f&amp;keep=1&amp;srchmode=1&amp;unlock","2059687")</f>
        <v>2059687</v>
      </c>
      <c r="F128" t="s">
        <v>17</v>
      </c>
      <c r="G128" t="str">
        <f>HYPERLINK("http://www.ncbi.nlm.nih.gov/Taxonomy/Browser/wwwtax.cgi?mode=Info&amp;id=2059687&amp;lvl=3&amp;lin=f&amp;keep=1&amp;srchmode=1&amp;unlock","Pseudoliparis swirei")</f>
        <v>Pseudoliparis swirei</v>
      </c>
      <c r="H128" t="s">
        <v>152</v>
      </c>
      <c r="I128" t="str">
        <f>HYPERLINK("http://www.ncbi.nlm.nih.gov/protein/XP_056296451.1","ryanodine receptor 1-like isoform X4")</f>
        <v>ryanodine receptor 1-like isoform X4</v>
      </c>
      <c r="J128" t="s">
        <v>1485</v>
      </c>
      <c r="K128" t="s">
        <v>19</v>
      </c>
      <c r="L128">
        <v>4568</v>
      </c>
      <c r="M128" t="s">
        <v>19</v>
      </c>
      <c r="N128" t="s">
        <v>19</v>
      </c>
      <c r="O128">
        <v>4571</v>
      </c>
      <c r="P128" t="s">
        <v>1486</v>
      </c>
      <c r="Q128" t="s">
        <v>19</v>
      </c>
      <c r="R128">
        <v>4572</v>
      </c>
      <c r="S128" t="s">
        <v>1487</v>
      </c>
      <c r="T128" t="s">
        <v>19</v>
      </c>
      <c r="U128">
        <v>4575</v>
      </c>
      <c r="V128" t="s">
        <v>1488</v>
      </c>
      <c r="W128" t="s">
        <v>19</v>
      </c>
      <c r="X128">
        <v>4671</v>
      </c>
      <c r="Y128" t="s">
        <v>1493</v>
      </c>
      <c r="Z128" t="s">
        <v>19</v>
      </c>
      <c r="AA128">
        <v>4806</v>
      </c>
      <c r="AB128" t="s">
        <v>19</v>
      </c>
      <c r="AC128" t="s">
        <v>19</v>
      </c>
      <c r="AD128">
        <v>4807</v>
      </c>
      <c r="AE128" t="s">
        <v>1488</v>
      </c>
      <c r="AF128" t="s">
        <v>19</v>
      </c>
      <c r="AG128">
        <v>4810</v>
      </c>
      <c r="AH128" t="s">
        <v>19</v>
      </c>
      <c r="AI128" t="s">
        <v>19</v>
      </c>
      <c r="AJ128">
        <v>4830</v>
      </c>
      <c r="AK128" t="s">
        <v>1490</v>
      </c>
      <c r="AL128" t="s">
        <v>19</v>
      </c>
      <c r="AM128">
        <v>4834</v>
      </c>
      <c r="AN128" t="s">
        <v>1491</v>
      </c>
      <c r="AO128" t="s">
        <v>19</v>
      </c>
    </row>
    <row r="129" spans="1:41" x14ac:dyDescent="0.45">
      <c r="A129" t="s">
        <v>1264</v>
      </c>
      <c r="B129">
        <v>8</v>
      </c>
      <c r="C129" t="str">
        <f>HYPERLINK("http://www.ncbi.nlm.nih.gov/protein/XP_030010543.1","XP_030010543.1")</f>
        <v>XP_030010543.1</v>
      </c>
      <c r="D129">
        <v>42356</v>
      </c>
      <c r="E129" t="str">
        <f>HYPERLINK("http://www.ncbi.nlm.nih.gov/Taxonomy/Browser/wwwtax.cgi?mode=Info&amp;id=375764&amp;lvl=3&amp;lin=f&amp;keep=1&amp;srchmode=1&amp;unlock","375764")</f>
        <v>375764</v>
      </c>
      <c r="F129" t="s">
        <v>17</v>
      </c>
      <c r="G129" t="str">
        <f>HYPERLINK("http://www.ncbi.nlm.nih.gov/Taxonomy/Browser/wwwtax.cgi?mode=Info&amp;id=375764&amp;lvl=3&amp;lin=f&amp;keep=1&amp;srchmode=1&amp;unlock","Sphaeramia orbicularis")</f>
        <v>Sphaeramia orbicularis</v>
      </c>
      <c r="H129" t="s">
        <v>153</v>
      </c>
      <c r="I129" t="str">
        <f>HYPERLINK("http://www.ncbi.nlm.nih.gov/protein/XP_030010543.1","ryanodine receptor 1-like")</f>
        <v>ryanodine receptor 1-like</v>
      </c>
      <c r="J129" t="s">
        <v>1485</v>
      </c>
      <c r="K129" t="s">
        <v>19</v>
      </c>
      <c r="L129">
        <v>4524</v>
      </c>
      <c r="M129" t="s">
        <v>19</v>
      </c>
      <c r="N129" t="s">
        <v>19</v>
      </c>
      <c r="O129">
        <v>4527</v>
      </c>
      <c r="P129" t="s">
        <v>1486</v>
      </c>
      <c r="Q129" t="s">
        <v>19</v>
      </c>
      <c r="R129">
        <v>4528</v>
      </c>
      <c r="S129" t="s">
        <v>1487</v>
      </c>
      <c r="T129" t="s">
        <v>19</v>
      </c>
      <c r="U129">
        <v>4531</v>
      </c>
      <c r="V129" t="s">
        <v>1488</v>
      </c>
      <c r="W129" t="s">
        <v>19</v>
      </c>
      <c r="X129">
        <v>4627</v>
      </c>
      <c r="Y129" t="s">
        <v>1493</v>
      </c>
      <c r="Z129" t="s">
        <v>19</v>
      </c>
      <c r="AA129">
        <v>4762</v>
      </c>
      <c r="AB129" t="s">
        <v>19</v>
      </c>
      <c r="AC129" t="s">
        <v>19</v>
      </c>
      <c r="AD129">
        <v>4763</v>
      </c>
      <c r="AE129" t="s">
        <v>1488</v>
      </c>
      <c r="AF129" t="s">
        <v>19</v>
      </c>
      <c r="AG129">
        <v>4766</v>
      </c>
      <c r="AH129" t="s">
        <v>19</v>
      </c>
      <c r="AI129" t="s">
        <v>19</v>
      </c>
      <c r="AJ129">
        <v>4786</v>
      </c>
      <c r="AK129" t="s">
        <v>1490</v>
      </c>
      <c r="AL129" t="s">
        <v>19</v>
      </c>
      <c r="AM129">
        <v>4790</v>
      </c>
      <c r="AN129" t="s">
        <v>1491</v>
      </c>
      <c r="AO129" t="s">
        <v>19</v>
      </c>
    </row>
    <row r="130" spans="1:41" x14ac:dyDescent="0.45">
      <c r="A130" t="s">
        <v>1264</v>
      </c>
      <c r="B130">
        <v>8</v>
      </c>
      <c r="C130" t="str">
        <f>HYPERLINK("http://www.ncbi.nlm.nih.gov/protein/AAB58117.1","AAB58117.1")</f>
        <v>AAB58117.1</v>
      </c>
      <c r="D130">
        <v>199</v>
      </c>
      <c r="E130" t="str">
        <f>HYPERLINK("http://www.ncbi.nlm.nih.gov/Taxonomy/Browser/wwwtax.cgi?mode=Info&amp;id=13604&amp;lvl=3&amp;lin=f&amp;keep=1&amp;srchmode=1&amp;unlock","13604")</f>
        <v>13604</v>
      </c>
      <c r="F130" t="s">
        <v>17</v>
      </c>
      <c r="G130" t="str">
        <f>HYPERLINK("http://www.ncbi.nlm.nih.gov/Taxonomy/Browser/wwwtax.cgi?mode=Info&amp;id=13604&amp;lvl=3&amp;lin=f&amp;keep=1&amp;srchmode=1&amp;unlock","Makaira nigricans")</f>
        <v>Makaira nigricans</v>
      </c>
      <c r="H130" t="s">
        <v>154</v>
      </c>
      <c r="I130" t="str">
        <f>HYPERLINK("http://www.ncbi.nlm.nih.gov/protein/AAB58117.1","ryanodine receptor RyR1 isoform")</f>
        <v>ryanodine receptor RyR1 isoform</v>
      </c>
      <c r="J130" t="s">
        <v>1485</v>
      </c>
      <c r="K130" t="s">
        <v>19</v>
      </c>
      <c r="L130">
        <v>4596</v>
      </c>
      <c r="M130" t="s">
        <v>19</v>
      </c>
      <c r="N130" t="s">
        <v>19</v>
      </c>
      <c r="O130">
        <v>4599</v>
      </c>
      <c r="P130" t="s">
        <v>1486</v>
      </c>
      <c r="Q130" t="s">
        <v>19</v>
      </c>
      <c r="R130">
        <v>4600</v>
      </c>
      <c r="S130" t="s">
        <v>1487</v>
      </c>
      <c r="T130" t="s">
        <v>19</v>
      </c>
      <c r="U130">
        <v>4603</v>
      </c>
      <c r="V130" t="s">
        <v>1488</v>
      </c>
      <c r="W130" t="s">
        <v>19</v>
      </c>
      <c r="X130">
        <v>4700</v>
      </c>
      <c r="Y130" t="s">
        <v>1493</v>
      </c>
      <c r="Z130" t="s">
        <v>19</v>
      </c>
      <c r="AA130">
        <v>4835</v>
      </c>
      <c r="AB130" t="s">
        <v>19</v>
      </c>
      <c r="AC130" t="s">
        <v>19</v>
      </c>
      <c r="AD130">
        <v>4836</v>
      </c>
      <c r="AE130" t="s">
        <v>1488</v>
      </c>
      <c r="AF130" t="s">
        <v>19</v>
      </c>
      <c r="AG130">
        <v>4839</v>
      </c>
      <c r="AH130" t="s">
        <v>19</v>
      </c>
      <c r="AI130" t="s">
        <v>19</v>
      </c>
      <c r="AJ130">
        <v>4859</v>
      </c>
      <c r="AK130" t="s">
        <v>1490</v>
      </c>
      <c r="AL130" t="s">
        <v>19</v>
      </c>
      <c r="AM130">
        <v>4863</v>
      </c>
      <c r="AN130" t="s">
        <v>1491</v>
      </c>
      <c r="AO130" t="s">
        <v>19</v>
      </c>
    </row>
    <row r="131" spans="1:41" x14ac:dyDescent="0.45">
      <c r="A131" t="s">
        <v>1264</v>
      </c>
      <c r="B131">
        <v>8</v>
      </c>
      <c r="C131" t="str">
        <f>HYPERLINK("http://www.ncbi.nlm.nih.gov/protein/XP_045546032.1","XP_045546032.1")</f>
        <v>XP_045546032.1</v>
      </c>
      <c r="D131">
        <v>111662</v>
      </c>
      <c r="E131" t="str">
        <f>HYPERLINK("http://www.ncbi.nlm.nih.gov/Taxonomy/Browser/wwwtax.cgi?mode=Info&amp;id=8030&amp;lvl=3&amp;lin=f&amp;keep=1&amp;srchmode=1&amp;unlock","8030")</f>
        <v>8030</v>
      </c>
      <c r="F131" t="s">
        <v>17</v>
      </c>
      <c r="G131" t="str">
        <f>HYPERLINK("http://www.ncbi.nlm.nih.gov/Taxonomy/Browser/wwwtax.cgi?mode=Info&amp;id=8030&amp;lvl=3&amp;lin=f&amp;keep=1&amp;srchmode=1&amp;unlock","Salmo salar")</f>
        <v>Salmo salar</v>
      </c>
      <c r="H131" t="s">
        <v>155</v>
      </c>
      <c r="I131" t="str">
        <f>HYPERLINK("http://www.ncbi.nlm.nih.gov/protein/XP_045546032.1","ryanodine receptor 1 isoform X4")</f>
        <v>ryanodine receptor 1 isoform X4</v>
      </c>
      <c r="J131" t="s">
        <v>1485</v>
      </c>
      <c r="K131" t="s">
        <v>19</v>
      </c>
      <c r="L131">
        <v>4599</v>
      </c>
      <c r="M131" t="s">
        <v>19</v>
      </c>
      <c r="N131" t="s">
        <v>19</v>
      </c>
      <c r="O131">
        <v>4602</v>
      </c>
      <c r="P131" t="s">
        <v>1486</v>
      </c>
      <c r="Q131" t="s">
        <v>19</v>
      </c>
      <c r="R131">
        <v>4603</v>
      </c>
      <c r="S131" t="s">
        <v>1487</v>
      </c>
      <c r="T131" t="s">
        <v>19</v>
      </c>
      <c r="U131">
        <v>4606</v>
      </c>
      <c r="V131" t="s">
        <v>1488</v>
      </c>
      <c r="W131" t="s">
        <v>19</v>
      </c>
      <c r="X131">
        <v>4707</v>
      </c>
      <c r="Y131" t="s">
        <v>1493</v>
      </c>
      <c r="Z131" t="s">
        <v>19</v>
      </c>
      <c r="AA131">
        <v>4842</v>
      </c>
      <c r="AB131" t="s">
        <v>19</v>
      </c>
      <c r="AC131" t="s">
        <v>19</v>
      </c>
      <c r="AD131">
        <v>4843</v>
      </c>
      <c r="AE131" t="s">
        <v>1488</v>
      </c>
      <c r="AF131" t="s">
        <v>19</v>
      </c>
      <c r="AG131">
        <v>4846</v>
      </c>
      <c r="AH131" t="s">
        <v>19</v>
      </c>
      <c r="AI131" t="s">
        <v>19</v>
      </c>
      <c r="AJ131">
        <v>4866</v>
      </c>
      <c r="AK131" t="s">
        <v>1490</v>
      </c>
      <c r="AL131" t="s">
        <v>19</v>
      </c>
      <c r="AM131">
        <v>4870</v>
      </c>
      <c r="AN131" t="s">
        <v>1491</v>
      </c>
      <c r="AO131" t="s">
        <v>19</v>
      </c>
    </row>
    <row r="132" spans="1:41" x14ac:dyDescent="0.45">
      <c r="A132" t="s">
        <v>1264</v>
      </c>
      <c r="B132">
        <v>8</v>
      </c>
      <c r="C132" t="str">
        <f>HYPERLINK("http://www.ncbi.nlm.nih.gov/protein/KAK0137365.1","KAK0137365.1")</f>
        <v>KAK0137365.1</v>
      </c>
      <c r="D132">
        <v>26145</v>
      </c>
      <c r="E132" t="str">
        <f>HYPERLINK("http://www.ncbi.nlm.nih.gov/Taxonomy/Browser/wwwtax.cgi?mode=Info&amp;id=89951&amp;lvl=3&amp;lin=f&amp;keep=1&amp;srchmode=1&amp;unlock","89951")</f>
        <v>89951</v>
      </c>
      <c r="F132" t="s">
        <v>17</v>
      </c>
      <c r="G132" t="str">
        <f>HYPERLINK("http://www.ncbi.nlm.nih.gov/Taxonomy/Browser/wwwtax.cgi?mode=Info&amp;id=89951&amp;lvl=3&amp;lin=f&amp;keep=1&amp;srchmode=1&amp;unlock","Merluccius polli")</f>
        <v>Merluccius polli</v>
      </c>
      <c r="H132" t="s">
        <v>156</v>
      </c>
      <c r="I132" t="str">
        <f>HYPERLINK("http://www.ncbi.nlm.nih.gov/protein/KAK0137365.1","Ryanodine receptor 2")</f>
        <v>Ryanodine receptor 2</v>
      </c>
      <c r="J132" t="s">
        <v>1485</v>
      </c>
      <c r="K132" t="s">
        <v>19</v>
      </c>
      <c r="L132">
        <v>4778</v>
      </c>
      <c r="M132" t="s">
        <v>19</v>
      </c>
      <c r="N132" t="s">
        <v>19</v>
      </c>
      <c r="O132">
        <v>4781</v>
      </c>
      <c r="P132" t="s">
        <v>1486</v>
      </c>
      <c r="Q132" t="s">
        <v>19</v>
      </c>
      <c r="R132">
        <v>4782</v>
      </c>
      <c r="S132" t="s">
        <v>1487</v>
      </c>
      <c r="T132" t="s">
        <v>19</v>
      </c>
      <c r="U132">
        <v>4785</v>
      </c>
      <c r="V132" t="s">
        <v>1488</v>
      </c>
      <c r="W132" t="s">
        <v>19</v>
      </c>
      <c r="X132">
        <v>4884</v>
      </c>
      <c r="Y132" t="s">
        <v>1493</v>
      </c>
      <c r="Z132" t="s">
        <v>19</v>
      </c>
      <c r="AA132">
        <v>5019</v>
      </c>
      <c r="AB132" t="s">
        <v>19</v>
      </c>
      <c r="AC132" t="s">
        <v>19</v>
      </c>
      <c r="AD132">
        <v>5020</v>
      </c>
      <c r="AE132" t="s">
        <v>1488</v>
      </c>
      <c r="AF132" t="s">
        <v>19</v>
      </c>
      <c r="AG132">
        <v>5023</v>
      </c>
      <c r="AH132" t="s">
        <v>19</v>
      </c>
      <c r="AI132" t="s">
        <v>19</v>
      </c>
      <c r="AJ132">
        <v>5043</v>
      </c>
      <c r="AK132" t="s">
        <v>1490</v>
      </c>
      <c r="AL132" t="s">
        <v>19</v>
      </c>
      <c r="AM132">
        <v>5047</v>
      </c>
      <c r="AN132" t="s">
        <v>1491</v>
      </c>
      <c r="AO132" t="s">
        <v>19</v>
      </c>
    </row>
    <row r="133" spans="1:41" x14ac:dyDescent="0.45">
      <c r="A133" t="s">
        <v>1264</v>
      </c>
      <c r="B133">
        <v>8</v>
      </c>
      <c r="C133" t="str">
        <f>HYPERLINK("http://www.ncbi.nlm.nih.gov/protein/XP_020454374.1","XP_020454374.1")</f>
        <v>XP_020454374.1</v>
      </c>
      <c r="D133">
        <v>41130</v>
      </c>
      <c r="E133" t="str">
        <f>HYPERLINK("http://www.ncbi.nlm.nih.gov/Taxonomy/Browser/wwwtax.cgi?mode=Info&amp;id=43700&amp;lvl=3&amp;lin=f&amp;keep=1&amp;srchmode=1&amp;unlock","43700")</f>
        <v>43700</v>
      </c>
      <c r="F133" t="s">
        <v>17</v>
      </c>
      <c r="G133" t="str">
        <f>HYPERLINK("http://www.ncbi.nlm.nih.gov/Taxonomy/Browser/wwwtax.cgi?mode=Info&amp;id=43700&amp;lvl=3&amp;lin=f&amp;keep=1&amp;srchmode=1&amp;unlock","Monopterus albus")</f>
        <v>Monopterus albus</v>
      </c>
      <c r="H133" t="s">
        <v>157</v>
      </c>
      <c r="I133" t="str">
        <f>HYPERLINK("http://www.ncbi.nlm.nih.gov/protein/XP_020454374.1","LOW QUALITY PROTEIN: ryanodine receptor 1-like")</f>
        <v>LOW QUALITY PROTEIN: ryanodine receptor 1-like</v>
      </c>
      <c r="J133" t="s">
        <v>1485</v>
      </c>
      <c r="K133" t="s">
        <v>19</v>
      </c>
      <c r="L133">
        <v>4574</v>
      </c>
      <c r="M133" t="s">
        <v>19</v>
      </c>
      <c r="N133" t="s">
        <v>19</v>
      </c>
      <c r="O133">
        <v>4577</v>
      </c>
      <c r="P133" t="s">
        <v>1486</v>
      </c>
      <c r="Q133" t="s">
        <v>19</v>
      </c>
      <c r="R133">
        <v>4578</v>
      </c>
      <c r="S133" t="s">
        <v>1487</v>
      </c>
      <c r="T133" t="s">
        <v>19</v>
      </c>
      <c r="U133">
        <v>4581</v>
      </c>
      <c r="V133" t="s">
        <v>1488</v>
      </c>
      <c r="W133" t="s">
        <v>19</v>
      </c>
      <c r="X133">
        <v>4678</v>
      </c>
      <c r="Y133" t="s">
        <v>1493</v>
      </c>
      <c r="Z133" t="s">
        <v>19</v>
      </c>
      <c r="AA133">
        <v>4813</v>
      </c>
      <c r="AB133" t="s">
        <v>19</v>
      </c>
      <c r="AC133" t="s">
        <v>19</v>
      </c>
      <c r="AD133">
        <v>4814</v>
      </c>
      <c r="AE133" t="s">
        <v>1488</v>
      </c>
      <c r="AF133" t="s">
        <v>19</v>
      </c>
      <c r="AG133">
        <v>4817</v>
      </c>
      <c r="AH133" t="s">
        <v>19</v>
      </c>
      <c r="AI133" t="s">
        <v>19</v>
      </c>
      <c r="AJ133">
        <v>4837</v>
      </c>
      <c r="AK133" t="s">
        <v>1490</v>
      </c>
      <c r="AL133" t="s">
        <v>19</v>
      </c>
      <c r="AM133">
        <v>4841</v>
      </c>
      <c r="AN133" t="s">
        <v>1491</v>
      </c>
      <c r="AO133" t="s">
        <v>19</v>
      </c>
    </row>
    <row r="134" spans="1:41" x14ac:dyDescent="0.45">
      <c r="A134" t="s">
        <v>1264</v>
      </c>
      <c r="B134">
        <v>8</v>
      </c>
      <c r="C134" t="str">
        <f>HYPERLINK("http://www.ncbi.nlm.nih.gov/protein/XP_036824122.1","XP_036824122.1")</f>
        <v>XP_036824122.1</v>
      </c>
      <c r="D134">
        <v>150927</v>
      </c>
      <c r="E134" t="str">
        <f>HYPERLINK("http://www.ncbi.nlm.nih.gov/Taxonomy/Browser/wwwtax.cgi?mode=Info&amp;id=8022&amp;lvl=3&amp;lin=f&amp;keep=1&amp;srchmode=1&amp;unlock","8022")</f>
        <v>8022</v>
      </c>
      <c r="F134" t="s">
        <v>17</v>
      </c>
      <c r="G134" t="str">
        <f>HYPERLINK("http://www.ncbi.nlm.nih.gov/Taxonomy/Browser/wwwtax.cgi?mode=Info&amp;id=8022&amp;lvl=3&amp;lin=f&amp;keep=1&amp;srchmode=1&amp;unlock","Oncorhynchus mykiss")</f>
        <v>Oncorhynchus mykiss</v>
      </c>
      <c r="H134" t="s">
        <v>158</v>
      </c>
      <c r="I134" t="str">
        <f>HYPERLINK("http://www.ncbi.nlm.nih.gov/protein/XP_036824122.1","ryanodine receptor 1-like")</f>
        <v>ryanodine receptor 1-like</v>
      </c>
      <c r="J134" t="s">
        <v>1485</v>
      </c>
      <c r="K134" t="s">
        <v>19</v>
      </c>
      <c r="L134">
        <v>4587</v>
      </c>
      <c r="M134" t="s">
        <v>19</v>
      </c>
      <c r="N134" t="s">
        <v>19</v>
      </c>
      <c r="O134">
        <v>4590</v>
      </c>
      <c r="P134" t="s">
        <v>1486</v>
      </c>
      <c r="Q134" t="s">
        <v>19</v>
      </c>
      <c r="R134">
        <v>4591</v>
      </c>
      <c r="S134" t="s">
        <v>1487</v>
      </c>
      <c r="T134" t="s">
        <v>19</v>
      </c>
      <c r="U134">
        <v>4594</v>
      </c>
      <c r="V134" t="s">
        <v>1488</v>
      </c>
      <c r="W134" t="s">
        <v>19</v>
      </c>
      <c r="X134">
        <v>4695</v>
      </c>
      <c r="Y134" t="s">
        <v>1493</v>
      </c>
      <c r="Z134" t="s">
        <v>19</v>
      </c>
      <c r="AA134">
        <v>4830</v>
      </c>
      <c r="AB134" t="s">
        <v>19</v>
      </c>
      <c r="AC134" t="s">
        <v>19</v>
      </c>
      <c r="AD134">
        <v>4831</v>
      </c>
      <c r="AE134" t="s">
        <v>1488</v>
      </c>
      <c r="AF134" t="s">
        <v>19</v>
      </c>
      <c r="AG134">
        <v>4834</v>
      </c>
      <c r="AH134" t="s">
        <v>19</v>
      </c>
      <c r="AI134" t="s">
        <v>19</v>
      </c>
      <c r="AJ134">
        <v>4854</v>
      </c>
      <c r="AK134" t="s">
        <v>1490</v>
      </c>
      <c r="AL134" t="s">
        <v>19</v>
      </c>
      <c r="AM134">
        <v>4858</v>
      </c>
      <c r="AN134" t="s">
        <v>1491</v>
      </c>
      <c r="AO134" t="s">
        <v>19</v>
      </c>
    </row>
    <row r="135" spans="1:41" x14ac:dyDescent="0.45">
      <c r="A135" t="s">
        <v>1264</v>
      </c>
      <c r="B135">
        <v>8</v>
      </c>
      <c r="C135" t="str">
        <f>HYPERLINK("http://www.ncbi.nlm.nih.gov/protein/XP_046173098.1","XP_046173098.1")</f>
        <v>XP_046173098.1</v>
      </c>
      <c r="D135">
        <v>81040</v>
      </c>
      <c r="E135" t="str">
        <f>HYPERLINK("http://www.ncbi.nlm.nih.gov/Taxonomy/Browser/wwwtax.cgi?mode=Info&amp;id=8017&amp;lvl=3&amp;lin=f&amp;keep=1&amp;srchmode=1&amp;unlock","8017")</f>
        <v>8017</v>
      </c>
      <c r="F135" t="s">
        <v>17</v>
      </c>
      <c r="G135" t="str">
        <f>HYPERLINK("http://www.ncbi.nlm.nih.gov/Taxonomy/Browser/wwwtax.cgi?mode=Info&amp;id=8017&amp;lvl=3&amp;lin=f&amp;keep=1&amp;srchmode=1&amp;unlock","Oncorhynchus gorbuscha")</f>
        <v>Oncorhynchus gorbuscha</v>
      </c>
      <c r="H135" t="s">
        <v>159</v>
      </c>
      <c r="I135" t="str">
        <f>HYPERLINK("http://www.ncbi.nlm.nih.gov/protein/XP_046173098.1","ryanodine receptor 1-like")</f>
        <v>ryanodine receptor 1-like</v>
      </c>
      <c r="J135" t="s">
        <v>1485</v>
      </c>
      <c r="K135" t="s">
        <v>19</v>
      </c>
      <c r="L135">
        <v>4610</v>
      </c>
      <c r="M135" t="s">
        <v>19</v>
      </c>
      <c r="N135" t="s">
        <v>19</v>
      </c>
      <c r="O135">
        <v>4613</v>
      </c>
      <c r="P135" t="s">
        <v>1486</v>
      </c>
      <c r="Q135" t="s">
        <v>19</v>
      </c>
      <c r="R135">
        <v>4614</v>
      </c>
      <c r="S135" t="s">
        <v>1487</v>
      </c>
      <c r="T135" t="s">
        <v>19</v>
      </c>
      <c r="U135">
        <v>4617</v>
      </c>
      <c r="V135" t="s">
        <v>1488</v>
      </c>
      <c r="W135" t="s">
        <v>19</v>
      </c>
      <c r="X135">
        <v>4718</v>
      </c>
      <c r="Y135" t="s">
        <v>1493</v>
      </c>
      <c r="Z135" t="s">
        <v>19</v>
      </c>
      <c r="AA135">
        <v>4853</v>
      </c>
      <c r="AB135" t="s">
        <v>19</v>
      </c>
      <c r="AC135" t="s">
        <v>19</v>
      </c>
      <c r="AD135">
        <v>4854</v>
      </c>
      <c r="AE135" t="s">
        <v>1488</v>
      </c>
      <c r="AF135" t="s">
        <v>19</v>
      </c>
      <c r="AG135">
        <v>4857</v>
      </c>
      <c r="AH135" t="s">
        <v>19</v>
      </c>
      <c r="AI135" t="s">
        <v>19</v>
      </c>
      <c r="AJ135">
        <v>4877</v>
      </c>
      <c r="AK135" t="s">
        <v>1490</v>
      </c>
      <c r="AL135" t="s">
        <v>19</v>
      </c>
      <c r="AM135">
        <v>4881</v>
      </c>
      <c r="AN135" t="s">
        <v>1491</v>
      </c>
      <c r="AO135" t="s">
        <v>19</v>
      </c>
    </row>
    <row r="136" spans="1:41" x14ac:dyDescent="0.45">
      <c r="A136" t="s">
        <v>1264</v>
      </c>
      <c r="B136">
        <v>8</v>
      </c>
      <c r="C136" t="str">
        <f>HYPERLINK("http://www.ncbi.nlm.nih.gov/protein/XP_033954441.1","XP_033954441.1")</f>
        <v>XP_033954441.1</v>
      </c>
      <c r="D136">
        <v>38014</v>
      </c>
      <c r="E136" t="str">
        <f>HYPERLINK("http://www.ncbi.nlm.nih.gov/Taxonomy/Browser/wwwtax.cgi?mode=Info&amp;id=52239&amp;lvl=3&amp;lin=f&amp;keep=1&amp;srchmode=1&amp;unlock","52239")</f>
        <v>52239</v>
      </c>
      <c r="F136" t="s">
        <v>17</v>
      </c>
      <c r="G136" t="str">
        <f>HYPERLINK("http://www.ncbi.nlm.nih.gov/Taxonomy/Browser/wwwtax.cgi?mode=Info&amp;id=52239&amp;lvl=3&amp;lin=f&amp;keep=1&amp;srchmode=1&amp;unlock","Pseudochaenichthys georgianus")</f>
        <v>Pseudochaenichthys georgianus</v>
      </c>
      <c r="H136" t="s">
        <v>160</v>
      </c>
      <c r="I136" t="str">
        <f>HYPERLINK("http://www.ncbi.nlm.nih.gov/protein/XP_033954441.1","ryanodine receptor 1-like isoform X7")</f>
        <v>ryanodine receptor 1-like isoform X7</v>
      </c>
      <c r="J136" t="s">
        <v>1485</v>
      </c>
      <c r="K136" t="s">
        <v>19</v>
      </c>
      <c r="L136">
        <v>4576</v>
      </c>
      <c r="M136" t="s">
        <v>19</v>
      </c>
      <c r="N136" t="s">
        <v>19</v>
      </c>
      <c r="O136">
        <v>4579</v>
      </c>
      <c r="P136" t="s">
        <v>1486</v>
      </c>
      <c r="Q136" t="s">
        <v>19</v>
      </c>
      <c r="R136">
        <v>4580</v>
      </c>
      <c r="S136" t="s">
        <v>1487</v>
      </c>
      <c r="T136" t="s">
        <v>19</v>
      </c>
      <c r="U136">
        <v>4583</v>
      </c>
      <c r="V136" t="s">
        <v>1488</v>
      </c>
      <c r="W136" t="s">
        <v>19</v>
      </c>
      <c r="X136">
        <v>4679</v>
      </c>
      <c r="Y136" t="s">
        <v>1493</v>
      </c>
      <c r="Z136" t="s">
        <v>19</v>
      </c>
      <c r="AA136">
        <v>4814</v>
      </c>
      <c r="AB136" t="s">
        <v>19</v>
      </c>
      <c r="AC136" t="s">
        <v>19</v>
      </c>
      <c r="AD136">
        <v>4815</v>
      </c>
      <c r="AE136" t="s">
        <v>1488</v>
      </c>
      <c r="AF136" t="s">
        <v>19</v>
      </c>
      <c r="AG136">
        <v>4818</v>
      </c>
      <c r="AH136" t="s">
        <v>19</v>
      </c>
      <c r="AI136" t="s">
        <v>19</v>
      </c>
      <c r="AJ136">
        <v>4838</v>
      </c>
      <c r="AK136" t="s">
        <v>1490</v>
      </c>
      <c r="AL136" t="s">
        <v>19</v>
      </c>
      <c r="AM136">
        <v>4842</v>
      </c>
      <c r="AN136" t="s">
        <v>1491</v>
      </c>
      <c r="AO136" t="s">
        <v>19</v>
      </c>
    </row>
    <row r="137" spans="1:41" x14ac:dyDescent="0.45">
      <c r="A137" t="s">
        <v>1264</v>
      </c>
      <c r="B137">
        <v>8</v>
      </c>
      <c r="C137" t="str">
        <f>HYPERLINK("http://www.ncbi.nlm.nih.gov/protein/XP_034055762.1","XP_034055762.1")</f>
        <v>XP_034055762.1</v>
      </c>
      <c r="D137">
        <v>45873</v>
      </c>
      <c r="E137" t="str">
        <f>HYPERLINK("http://www.ncbi.nlm.nih.gov/Taxonomy/Browser/wwwtax.cgi?mode=Info&amp;id=8218&amp;lvl=3&amp;lin=f&amp;keep=1&amp;srchmode=1&amp;unlock","8218")</f>
        <v>8218</v>
      </c>
      <c r="F137" t="s">
        <v>17</v>
      </c>
      <c r="G137" t="str">
        <f>HYPERLINK("http://www.ncbi.nlm.nih.gov/Taxonomy/Browser/wwwtax.cgi?mode=Info&amp;id=8218&amp;lvl=3&amp;lin=f&amp;keep=1&amp;srchmode=1&amp;unlock","Gymnodraco acuticeps")</f>
        <v>Gymnodraco acuticeps</v>
      </c>
      <c r="H137" t="s">
        <v>161</v>
      </c>
      <c r="I137" t="str">
        <f>HYPERLINK("http://www.ncbi.nlm.nih.gov/protein/XP_034055762.1","LOW QUALITY PROTEIN: ryanodine receptor 1-like")</f>
        <v>LOW QUALITY PROTEIN: ryanodine receptor 1-like</v>
      </c>
      <c r="J137" t="s">
        <v>1485</v>
      </c>
      <c r="K137" t="s">
        <v>19</v>
      </c>
      <c r="L137">
        <v>4580</v>
      </c>
      <c r="M137" t="s">
        <v>19</v>
      </c>
      <c r="N137" t="s">
        <v>19</v>
      </c>
      <c r="O137">
        <v>4583</v>
      </c>
      <c r="P137" t="s">
        <v>1486</v>
      </c>
      <c r="Q137" t="s">
        <v>19</v>
      </c>
      <c r="R137">
        <v>4584</v>
      </c>
      <c r="S137" t="s">
        <v>1487</v>
      </c>
      <c r="T137" t="s">
        <v>19</v>
      </c>
      <c r="U137">
        <v>4587</v>
      </c>
      <c r="V137" t="s">
        <v>1488</v>
      </c>
      <c r="W137" t="s">
        <v>19</v>
      </c>
      <c r="X137">
        <v>4683</v>
      </c>
      <c r="Y137" t="s">
        <v>1493</v>
      </c>
      <c r="Z137" t="s">
        <v>19</v>
      </c>
      <c r="AA137">
        <v>4818</v>
      </c>
      <c r="AB137" t="s">
        <v>19</v>
      </c>
      <c r="AC137" t="s">
        <v>19</v>
      </c>
      <c r="AD137">
        <v>4819</v>
      </c>
      <c r="AE137" t="s">
        <v>1488</v>
      </c>
      <c r="AF137" t="s">
        <v>19</v>
      </c>
      <c r="AG137">
        <v>4822</v>
      </c>
      <c r="AH137" t="s">
        <v>19</v>
      </c>
      <c r="AI137" t="s">
        <v>19</v>
      </c>
      <c r="AJ137">
        <v>4842</v>
      </c>
      <c r="AK137" t="s">
        <v>1490</v>
      </c>
      <c r="AL137" t="s">
        <v>19</v>
      </c>
      <c r="AM137">
        <v>4846</v>
      </c>
      <c r="AN137" t="s">
        <v>1491</v>
      </c>
      <c r="AO137" t="s">
        <v>19</v>
      </c>
    </row>
    <row r="138" spans="1:41" x14ac:dyDescent="0.45">
      <c r="A138" t="s">
        <v>1264</v>
      </c>
      <c r="B138">
        <v>8</v>
      </c>
      <c r="C138" t="str">
        <f>HYPERLINK("http://www.ncbi.nlm.nih.gov/protein/XP_029304871.1","XP_029304871.1")</f>
        <v>XP_029304871.1</v>
      </c>
      <c r="D138">
        <v>37869</v>
      </c>
      <c r="E138" t="str">
        <f>HYPERLINK("http://www.ncbi.nlm.nih.gov/Taxonomy/Browser/wwwtax.cgi?mode=Info&amp;id=56716&amp;lvl=3&amp;lin=f&amp;keep=1&amp;srchmode=1&amp;unlock","56716")</f>
        <v>56716</v>
      </c>
      <c r="F138" t="s">
        <v>17</v>
      </c>
      <c r="G138" t="str">
        <f>HYPERLINK("http://www.ncbi.nlm.nih.gov/Taxonomy/Browser/wwwtax.cgi?mode=Info&amp;id=56716&amp;lvl=3&amp;lin=f&amp;keep=1&amp;srchmode=1&amp;unlock","Cottoperca gobio")</f>
        <v>Cottoperca gobio</v>
      </c>
      <c r="H138" t="s">
        <v>162</v>
      </c>
      <c r="I138" t="str">
        <f>HYPERLINK("http://www.ncbi.nlm.nih.gov/protein/XP_029304871.1","ryanodine receptor 1-like")</f>
        <v>ryanodine receptor 1-like</v>
      </c>
      <c r="J138" t="s">
        <v>1485</v>
      </c>
      <c r="K138" t="s">
        <v>19</v>
      </c>
      <c r="L138">
        <v>4530</v>
      </c>
      <c r="M138" t="s">
        <v>19</v>
      </c>
      <c r="N138" t="s">
        <v>19</v>
      </c>
      <c r="O138">
        <v>4533</v>
      </c>
      <c r="P138" t="s">
        <v>1486</v>
      </c>
      <c r="Q138" t="s">
        <v>19</v>
      </c>
      <c r="R138">
        <v>4534</v>
      </c>
      <c r="S138" t="s">
        <v>1487</v>
      </c>
      <c r="T138" t="s">
        <v>19</v>
      </c>
      <c r="U138">
        <v>4537</v>
      </c>
      <c r="V138" t="s">
        <v>1488</v>
      </c>
      <c r="W138" t="s">
        <v>19</v>
      </c>
      <c r="X138">
        <v>4633</v>
      </c>
      <c r="Y138" t="s">
        <v>1493</v>
      </c>
      <c r="Z138" t="s">
        <v>19</v>
      </c>
      <c r="AA138">
        <v>4768</v>
      </c>
      <c r="AB138" t="s">
        <v>19</v>
      </c>
      <c r="AC138" t="s">
        <v>19</v>
      </c>
      <c r="AD138">
        <v>4769</v>
      </c>
      <c r="AE138" t="s">
        <v>1488</v>
      </c>
      <c r="AF138" t="s">
        <v>19</v>
      </c>
      <c r="AG138">
        <v>4772</v>
      </c>
      <c r="AH138" t="s">
        <v>19</v>
      </c>
      <c r="AI138" t="s">
        <v>19</v>
      </c>
      <c r="AJ138">
        <v>4792</v>
      </c>
      <c r="AK138" t="s">
        <v>1490</v>
      </c>
      <c r="AL138" t="s">
        <v>19</v>
      </c>
      <c r="AM138">
        <v>4796</v>
      </c>
      <c r="AN138" t="s">
        <v>1491</v>
      </c>
      <c r="AO138" t="s">
        <v>19</v>
      </c>
    </row>
    <row r="139" spans="1:41" x14ac:dyDescent="0.45">
      <c r="A139" t="s">
        <v>1264</v>
      </c>
      <c r="B139">
        <v>8</v>
      </c>
      <c r="C139" t="str">
        <f>HYPERLINK("http://www.ncbi.nlm.nih.gov/protein/XP_029476707.1","XP_029476707.1")</f>
        <v>XP_029476707.1</v>
      </c>
      <c r="D139">
        <v>68886</v>
      </c>
      <c r="E139" t="str">
        <f>HYPERLINK("http://www.ncbi.nlm.nih.gov/Taxonomy/Browser/wwwtax.cgi?mode=Info&amp;id=8023&amp;lvl=3&amp;lin=f&amp;keep=1&amp;srchmode=1&amp;unlock","8023")</f>
        <v>8023</v>
      </c>
      <c r="F139" t="s">
        <v>17</v>
      </c>
      <c r="G139" t="str">
        <f>HYPERLINK("http://www.ncbi.nlm.nih.gov/Taxonomy/Browser/wwwtax.cgi?mode=Info&amp;id=8023&amp;lvl=3&amp;lin=f&amp;keep=1&amp;srchmode=1&amp;unlock","Oncorhynchus nerka")</f>
        <v>Oncorhynchus nerka</v>
      </c>
      <c r="H139" t="s">
        <v>163</v>
      </c>
      <c r="I139" t="str">
        <f>HYPERLINK("http://www.ncbi.nlm.nih.gov/protein/XP_029476707.1","ryanodine receptor 1-like")</f>
        <v>ryanodine receptor 1-like</v>
      </c>
      <c r="J139" t="s">
        <v>1485</v>
      </c>
      <c r="K139" t="s">
        <v>19</v>
      </c>
      <c r="L139">
        <v>4598</v>
      </c>
      <c r="M139" t="s">
        <v>19</v>
      </c>
      <c r="N139" t="s">
        <v>19</v>
      </c>
      <c r="O139">
        <v>4601</v>
      </c>
      <c r="P139" t="s">
        <v>1486</v>
      </c>
      <c r="Q139" t="s">
        <v>19</v>
      </c>
      <c r="R139">
        <v>4602</v>
      </c>
      <c r="S139" t="s">
        <v>1487</v>
      </c>
      <c r="T139" t="s">
        <v>19</v>
      </c>
      <c r="U139">
        <v>4605</v>
      </c>
      <c r="V139" t="s">
        <v>1488</v>
      </c>
      <c r="W139" t="s">
        <v>19</v>
      </c>
      <c r="X139">
        <v>4706</v>
      </c>
      <c r="Y139" t="s">
        <v>1493</v>
      </c>
      <c r="Z139" t="s">
        <v>19</v>
      </c>
      <c r="AA139">
        <v>4841</v>
      </c>
      <c r="AB139" t="s">
        <v>19</v>
      </c>
      <c r="AC139" t="s">
        <v>19</v>
      </c>
      <c r="AD139">
        <v>4842</v>
      </c>
      <c r="AE139" t="s">
        <v>1488</v>
      </c>
      <c r="AF139" t="s">
        <v>19</v>
      </c>
      <c r="AG139">
        <v>4845</v>
      </c>
      <c r="AH139" t="s">
        <v>19</v>
      </c>
      <c r="AI139" t="s">
        <v>19</v>
      </c>
      <c r="AJ139">
        <v>4865</v>
      </c>
      <c r="AK139" t="s">
        <v>1490</v>
      </c>
      <c r="AL139" t="s">
        <v>19</v>
      </c>
      <c r="AM139">
        <v>4869</v>
      </c>
      <c r="AN139" t="s">
        <v>1491</v>
      </c>
      <c r="AO139" t="s">
        <v>19</v>
      </c>
    </row>
    <row r="140" spans="1:41" x14ac:dyDescent="0.45">
      <c r="A140" t="s">
        <v>1264</v>
      </c>
      <c r="B140">
        <v>8</v>
      </c>
      <c r="C140" t="str">
        <f>HYPERLINK("http://www.ncbi.nlm.nih.gov/protein/XP_031664931.1","XP_031664931.1")</f>
        <v>XP_031664931.1</v>
      </c>
      <c r="D140">
        <v>89618</v>
      </c>
      <c r="E140" t="str">
        <f>HYPERLINK("http://www.ncbi.nlm.nih.gov/Taxonomy/Browser/wwwtax.cgi?mode=Info&amp;id=8019&amp;lvl=3&amp;lin=f&amp;keep=1&amp;srchmode=1&amp;unlock","8019")</f>
        <v>8019</v>
      </c>
      <c r="F140" t="s">
        <v>17</v>
      </c>
      <c r="G140" t="str">
        <f>HYPERLINK("http://www.ncbi.nlm.nih.gov/Taxonomy/Browser/wwwtax.cgi?mode=Info&amp;id=8019&amp;lvl=3&amp;lin=f&amp;keep=1&amp;srchmode=1&amp;unlock","Oncorhynchus kisutch")</f>
        <v>Oncorhynchus kisutch</v>
      </c>
      <c r="H140" t="s">
        <v>164</v>
      </c>
      <c r="I140" t="str">
        <f>HYPERLINK("http://www.ncbi.nlm.nih.gov/protein/XP_031664931.1","ryanodine receptor 1-like")</f>
        <v>ryanodine receptor 1-like</v>
      </c>
      <c r="J140" t="s">
        <v>1485</v>
      </c>
      <c r="K140" t="s">
        <v>19</v>
      </c>
      <c r="L140">
        <v>4573</v>
      </c>
      <c r="M140" t="s">
        <v>19</v>
      </c>
      <c r="N140" t="s">
        <v>19</v>
      </c>
      <c r="O140">
        <v>4576</v>
      </c>
      <c r="P140" t="s">
        <v>1486</v>
      </c>
      <c r="Q140" t="s">
        <v>19</v>
      </c>
      <c r="R140">
        <v>4577</v>
      </c>
      <c r="S140" t="s">
        <v>1487</v>
      </c>
      <c r="T140" t="s">
        <v>19</v>
      </c>
      <c r="U140">
        <v>4580</v>
      </c>
      <c r="V140" t="s">
        <v>1488</v>
      </c>
      <c r="W140" t="s">
        <v>19</v>
      </c>
      <c r="X140">
        <v>4681</v>
      </c>
      <c r="Y140" t="s">
        <v>1493</v>
      </c>
      <c r="Z140" t="s">
        <v>19</v>
      </c>
      <c r="AA140">
        <v>4816</v>
      </c>
      <c r="AB140" t="s">
        <v>19</v>
      </c>
      <c r="AC140" t="s">
        <v>19</v>
      </c>
      <c r="AD140">
        <v>4817</v>
      </c>
      <c r="AE140" t="s">
        <v>1488</v>
      </c>
      <c r="AF140" t="s">
        <v>19</v>
      </c>
      <c r="AG140">
        <v>4820</v>
      </c>
      <c r="AH140" t="s">
        <v>19</v>
      </c>
      <c r="AI140" t="s">
        <v>19</v>
      </c>
      <c r="AJ140">
        <v>4840</v>
      </c>
      <c r="AK140" t="s">
        <v>1490</v>
      </c>
      <c r="AL140" t="s">
        <v>19</v>
      </c>
      <c r="AM140">
        <v>4844</v>
      </c>
      <c r="AN140" t="s">
        <v>1491</v>
      </c>
      <c r="AO140" t="s">
        <v>19</v>
      </c>
    </row>
    <row r="141" spans="1:41" x14ac:dyDescent="0.45">
      <c r="A141" t="s">
        <v>1264</v>
      </c>
      <c r="B141">
        <v>8</v>
      </c>
      <c r="C141" t="str">
        <f>HYPERLINK("http://www.ncbi.nlm.nih.gov/protein/XP_030216349.1","XP_030216349.1")</f>
        <v>XP_030216349.1</v>
      </c>
      <c r="D141">
        <v>47359</v>
      </c>
      <c r="E141" t="str">
        <f>HYPERLINK("http://www.ncbi.nlm.nih.gov/Taxonomy/Browser/wwwtax.cgi?mode=Info&amp;id=8049&amp;lvl=3&amp;lin=f&amp;keep=1&amp;srchmode=1&amp;unlock","8049")</f>
        <v>8049</v>
      </c>
      <c r="F141" t="s">
        <v>17</v>
      </c>
      <c r="G141" t="str">
        <f>HYPERLINK("http://www.ncbi.nlm.nih.gov/Taxonomy/Browser/wwwtax.cgi?mode=Info&amp;id=8049&amp;lvl=3&amp;lin=f&amp;keep=1&amp;srchmode=1&amp;unlock","Gadus morhua")</f>
        <v>Gadus morhua</v>
      </c>
      <c r="H141" t="s">
        <v>165</v>
      </c>
      <c r="I141" t="str">
        <f>HYPERLINK("http://www.ncbi.nlm.nih.gov/protein/XP_030216349.1","ryanodine receptor 1-like")</f>
        <v>ryanodine receptor 1-like</v>
      </c>
      <c r="J141" t="s">
        <v>1485</v>
      </c>
      <c r="K141" t="s">
        <v>19</v>
      </c>
      <c r="L141">
        <v>4589</v>
      </c>
      <c r="M141" t="s">
        <v>19</v>
      </c>
      <c r="N141" t="s">
        <v>19</v>
      </c>
      <c r="O141">
        <v>4592</v>
      </c>
      <c r="P141" t="s">
        <v>1486</v>
      </c>
      <c r="Q141" t="s">
        <v>19</v>
      </c>
      <c r="R141">
        <v>4593</v>
      </c>
      <c r="S141" t="s">
        <v>1487</v>
      </c>
      <c r="T141" t="s">
        <v>19</v>
      </c>
      <c r="U141">
        <v>4596</v>
      </c>
      <c r="V141" t="s">
        <v>1488</v>
      </c>
      <c r="W141" t="s">
        <v>19</v>
      </c>
      <c r="X141">
        <v>4696</v>
      </c>
      <c r="Y141" t="s">
        <v>1493</v>
      </c>
      <c r="Z141" t="s">
        <v>19</v>
      </c>
      <c r="AA141">
        <v>4831</v>
      </c>
      <c r="AB141" t="s">
        <v>19</v>
      </c>
      <c r="AC141" t="s">
        <v>19</v>
      </c>
      <c r="AD141">
        <v>4832</v>
      </c>
      <c r="AE141" t="s">
        <v>1488</v>
      </c>
      <c r="AF141" t="s">
        <v>19</v>
      </c>
      <c r="AG141">
        <v>4835</v>
      </c>
      <c r="AH141" t="s">
        <v>19</v>
      </c>
      <c r="AI141" t="s">
        <v>19</v>
      </c>
      <c r="AJ141">
        <v>4855</v>
      </c>
      <c r="AK141" t="s">
        <v>1490</v>
      </c>
      <c r="AL141" t="s">
        <v>19</v>
      </c>
      <c r="AM141">
        <v>4859</v>
      </c>
      <c r="AN141" t="s">
        <v>1491</v>
      </c>
      <c r="AO141" t="s">
        <v>19</v>
      </c>
    </row>
    <row r="142" spans="1:41" x14ac:dyDescent="0.45">
      <c r="A142" t="s">
        <v>1264</v>
      </c>
      <c r="B142">
        <v>8</v>
      </c>
      <c r="C142" t="str">
        <f>HYPERLINK("http://www.ncbi.nlm.nih.gov/protein/XP_013858586.1","XP_013858586.1")</f>
        <v>XP_013858586.1</v>
      </c>
      <c r="D142">
        <v>35359</v>
      </c>
      <c r="E142" t="str">
        <f>HYPERLINK("http://www.ncbi.nlm.nih.gov/Taxonomy/Browser/wwwtax.cgi?mode=Info&amp;id=52670&amp;lvl=3&amp;lin=f&amp;keep=1&amp;srchmode=1&amp;unlock","52670")</f>
        <v>52670</v>
      </c>
      <c r="F142" t="s">
        <v>17</v>
      </c>
      <c r="G142" t="str">
        <f>HYPERLINK("http://www.ncbi.nlm.nih.gov/Taxonomy/Browser/wwwtax.cgi?mode=Info&amp;id=52670&amp;lvl=3&amp;lin=f&amp;keep=1&amp;srchmode=1&amp;unlock","Austrofundulus limnaeus")</f>
        <v>Austrofundulus limnaeus</v>
      </c>
      <c r="H142" t="s">
        <v>166</v>
      </c>
      <c r="I142" t="str">
        <f>HYPERLINK("http://www.ncbi.nlm.nih.gov/protein/XP_013858586.1","PREDICTED: LOW QUALITY PROTEIN: ryanodine receptor 1-like")</f>
        <v>PREDICTED: LOW QUALITY PROTEIN: ryanodine receptor 1-like</v>
      </c>
      <c r="J142" t="s">
        <v>1485</v>
      </c>
      <c r="K142" t="s">
        <v>19</v>
      </c>
      <c r="L142">
        <v>4583</v>
      </c>
      <c r="M142" t="s">
        <v>19</v>
      </c>
      <c r="N142" t="s">
        <v>19</v>
      </c>
      <c r="O142">
        <v>4586</v>
      </c>
      <c r="P142" t="s">
        <v>1486</v>
      </c>
      <c r="Q142" t="s">
        <v>19</v>
      </c>
      <c r="R142">
        <v>4587</v>
      </c>
      <c r="S142" t="s">
        <v>1487</v>
      </c>
      <c r="T142" t="s">
        <v>19</v>
      </c>
      <c r="U142">
        <v>4590</v>
      </c>
      <c r="V142" t="s">
        <v>1488</v>
      </c>
      <c r="W142" t="s">
        <v>19</v>
      </c>
      <c r="X142">
        <v>4687</v>
      </c>
      <c r="Y142" t="s">
        <v>1493</v>
      </c>
      <c r="Z142" t="s">
        <v>19</v>
      </c>
      <c r="AA142">
        <v>4822</v>
      </c>
      <c r="AB142" t="s">
        <v>19</v>
      </c>
      <c r="AC142" t="s">
        <v>19</v>
      </c>
      <c r="AD142">
        <v>4823</v>
      </c>
      <c r="AE142" t="s">
        <v>1488</v>
      </c>
      <c r="AF142" t="s">
        <v>19</v>
      </c>
      <c r="AG142">
        <v>4826</v>
      </c>
      <c r="AH142" t="s">
        <v>19</v>
      </c>
      <c r="AI142" t="s">
        <v>19</v>
      </c>
      <c r="AJ142">
        <v>4846</v>
      </c>
      <c r="AK142" t="s">
        <v>1490</v>
      </c>
      <c r="AL142" t="s">
        <v>19</v>
      </c>
      <c r="AM142">
        <v>4850</v>
      </c>
      <c r="AN142" t="s">
        <v>1491</v>
      </c>
      <c r="AO142" t="s">
        <v>19</v>
      </c>
    </row>
    <row r="143" spans="1:41" x14ac:dyDescent="0.45">
      <c r="A143" t="s">
        <v>1264</v>
      </c>
      <c r="B143">
        <v>8</v>
      </c>
      <c r="C143" t="str">
        <f>HYPERLINK("http://www.ncbi.nlm.nih.gov/protein/XP_033995736.1","XP_033995736.1")</f>
        <v>XP_033995736.1</v>
      </c>
      <c r="D143">
        <v>41311</v>
      </c>
      <c r="E143" t="str">
        <f>HYPERLINK("http://www.ncbi.nlm.nih.gov/Taxonomy/Browser/wwwtax.cgi?mode=Info&amp;id=40690&amp;lvl=3&amp;lin=f&amp;keep=1&amp;srchmode=1&amp;unlock","40690")</f>
        <v>40690</v>
      </c>
      <c r="F143" t="s">
        <v>17</v>
      </c>
      <c r="G143" t="str">
        <f>HYPERLINK("http://www.ncbi.nlm.nih.gov/Taxonomy/Browser/wwwtax.cgi?mode=Info&amp;id=40690&amp;lvl=3&amp;lin=f&amp;keep=1&amp;srchmode=1&amp;unlock","Trematomus bernacchii")</f>
        <v>Trematomus bernacchii</v>
      </c>
      <c r="H143" t="s">
        <v>167</v>
      </c>
      <c r="I143" t="str">
        <f>HYPERLINK("http://www.ncbi.nlm.nih.gov/protein/XP_033995736.1","LOW QUALITY PROTEIN: ryanodine receptor 1-like")</f>
        <v>LOW QUALITY PROTEIN: ryanodine receptor 1-like</v>
      </c>
      <c r="J143" t="s">
        <v>1485</v>
      </c>
      <c r="K143" t="s">
        <v>19</v>
      </c>
      <c r="L143">
        <v>4526</v>
      </c>
      <c r="M143" t="s">
        <v>19</v>
      </c>
      <c r="N143" t="s">
        <v>19</v>
      </c>
      <c r="O143">
        <v>4529</v>
      </c>
      <c r="P143" t="s">
        <v>1486</v>
      </c>
      <c r="Q143" t="s">
        <v>19</v>
      </c>
      <c r="R143">
        <v>4530</v>
      </c>
      <c r="S143" t="s">
        <v>1487</v>
      </c>
      <c r="T143" t="s">
        <v>19</v>
      </c>
      <c r="U143">
        <v>4533</v>
      </c>
      <c r="V143" t="s">
        <v>1488</v>
      </c>
      <c r="W143" t="s">
        <v>19</v>
      </c>
      <c r="X143">
        <v>4629</v>
      </c>
      <c r="Y143" t="s">
        <v>1493</v>
      </c>
      <c r="Z143" t="s">
        <v>19</v>
      </c>
      <c r="AA143">
        <v>4764</v>
      </c>
      <c r="AB143" t="s">
        <v>19</v>
      </c>
      <c r="AC143" t="s">
        <v>19</v>
      </c>
      <c r="AD143">
        <v>4765</v>
      </c>
      <c r="AE143" t="s">
        <v>1488</v>
      </c>
      <c r="AF143" t="s">
        <v>19</v>
      </c>
      <c r="AG143">
        <v>4768</v>
      </c>
      <c r="AH143" t="s">
        <v>19</v>
      </c>
      <c r="AI143" t="s">
        <v>19</v>
      </c>
      <c r="AJ143">
        <v>4788</v>
      </c>
      <c r="AK143" t="s">
        <v>1490</v>
      </c>
      <c r="AL143" t="s">
        <v>19</v>
      </c>
      <c r="AM143">
        <v>4792</v>
      </c>
      <c r="AN143" t="s">
        <v>1491</v>
      </c>
      <c r="AO143" t="s">
        <v>19</v>
      </c>
    </row>
    <row r="144" spans="1:41" x14ac:dyDescent="0.45">
      <c r="A144" t="s">
        <v>1264</v>
      </c>
      <c r="B144">
        <v>8</v>
      </c>
      <c r="C144" t="str">
        <f>HYPERLINK("http://www.ncbi.nlm.nih.gov/protein/XP_059912711.1","XP_059912711.1")</f>
        <v>XP_059912711.1</v>
      </c>
      <c r="D144">
        <v>42356</v>
      </c>
      <c r="E144" t="str">
        <f>HYPERLINK("http://www.ncbi.nlm.nih.gov/Taxonomy/Browser/wwwtax.cgi?mode=Info&amp;id=80720&amp;lvl=3&amp;lin=f&amp;keep=1&amp;srchmode=1&amp;unlock","80720")</f>
        <v>80720</v>
      </c>
      <c r="F144" t="s">
        <v>17</v>
      </c>
      <c r="G144" t="str">
        <f>HYPERLINK("http://www.ncbi.nlm.nih.gov/Taxonomy/Browser/wwwtax.cgi?mode=Info&amp;id=80720&amp;lvl=3&amp;lin=f&amp;keep=1&amp;srchmode=1&amp;unlock","Gadus macrocephalus")</f>
        <v>Gadus macrocephalus</v>
      </c>
      <c r="H144" t="s">
        <v>168</v>
      </c>
      <c r="I144" t="str">
        <f>HYPERLINK("http://www.ncbi.nlm.nih.gov/protein/XP_059912711.1","ryanodine receptor 1-like isoform X8")</f>
        <v>ryanodine receptor 1-like isoform X8</v>
      </c>
      <c r="J144" t="s">
        <v>1485</v>
      </c>
      <c r="K144" t="s">
        <v>19</v>
      </c>
      <c r="L144">
        <v>4582</v>
      </c>
      <c r="M144" t="s">
        <v>19</v>
      </c>
      <c r="N144" t="s">
        <v>19</v>
      </c>
      <c r="O144">
        <v>4585</v>
      </c>
      <c r="P144" t="s">
        <v>1486</v>
      </c>
      <c r="Q144" t="s">
        <v>19</v>
      </c>
      <c r="R144">
        <v>4586</v>
      </c>
      <c r="S144" t="s">
        <v>1487</v>
      </c>
      <c r="T144" t="s">
        <v>19</v>
      </c>
      <c r="U144">
        <v>4589</v>
      </c>
      <c r="V144" t="s">
        <v>1488</v>
      </c>
      <c r="W144" t="s">
        <v>19</v>
      </c>
      <c r="X144">
        <v>4690</v>
      </c>
      <c r="Y144" t="s">
        <v>1493</v>
      </c>
      <c r="Z144" t="s">
        <v>19</v>
      </c>
      <c r="AA144">
        <v>4825</v>
      </c>
      <c r="AB144" t="s">
        <v>19</v>
      </c>
      <c r="AC144" t="s">
        <v>19</v>
      </c>
      <c r="AD144">
        <v>4826</v>
      </c>
      <c r="AE144" t="s">
        <v>1488</v>
      </c>
      <c r="AF144" t="s">
        <v>19</v>
      </c>
      <c r="AG144">
        <v>4829</v>
      </c>
      <c r="AH144" t="s">
        <v>19</v>
      </c>
      <c r="AI144" t="s">
        <v>19</v>
      </c>
      <c r="AJ144">
        <v>4849</v>
      </c>
      <c r="AK144" t="s">
        <v>1490</v>
      </c>
      <c r="AL144" t="s">
        <v>19</v>
      </c>
      <c r="AM144">
        <v>4853</v>
      </c>
      <c r="AN144" t="s">
        <v>1491</v>
      </c>
      <c r="AO144" t="s">
        <v>19</v>
      </c>
    </row>
    <row r="145" spans="1:41" x14ac:dyDescent="0.45">
      <c r="A145" t="s">
        <v>1264</v>
      </c>
      <c r="B145">
        <v>8</v>
      </c>
      <c r="C145" t="str">
        <f>HYPERLINK("http://www.ncbi.nlm.nih.gov/protein/XP_046717448.1","XP_046717448.1")</f>
        <v>XP_046717448.1</v>
      </c>
      <c r="D145">
        <v>91563</v>
      </c>
      <c r="E145" t="str">
        <f>HYPERLINK("http://www.ncbi.nlm.nih.gov/Taxonomy/Browser/wwwtax.cgi?mode=Info&amp;id=175797&amp;lvl=3&amp;lin=f&amp;keep=1&amp;srchmode=1&amp;unlock","175797")</f>
        <v>175797</v>
      </c>
      <c r="F145" t="s">
        <v>17</v>
      </c>
      <c r="G145" t="str">
        <f>HYPERLINK("http://www.ncbi.nlm.nih.gov/Taxonomy/Browser/wwwtax.cgi?mode=Info&amp;id=175797&amp;lvl=3&amp;lin=f&amp;keep=1&amp;srchmode=1&amp;unlock","Silurus meridionalis")</f>
        <v>Silurus meridionalis</v>
      </c>
      <c r="H145" t="s">
        <v>172</v>
      </c>
      <c r="I145" t="str">
        <f>HYPERLINK("http://www.ncbi.nlm.nih.gov/protein/XP_046717448.1","ryanodine receptor 1")</f>
        <v>ryanodine receptor 1</v>
      </c>
      <c r="J145" t="s">
        <v>1485</v>
      </c>
      <c r="K145" t="s">
        <v>19</v>
      </c>
      <c r="L145">
        <v>4563</v>
      </c>
      <c r="M145" t="s">
        <v>19</v>
      </c>
      <c r="N145" t="s">
        <v>19</v>
      </c>
      <c r="O145">
        <v>4566</v>
      </c>
      <c r="P145" t="s">
        <v>1486</v>
      </c>
      <c r="Q145" t="s">
        <v>19</v>
      </c>
      <c r="R145">
        <v>4567</v>
      </c>
      <c r="S145" t="s">
        <v>1487</v>
      </c>
      <c r="T145" t="s">
        <v>19</v>
      </c>
      <c r="U145">
        <v>4570</v>
      </c>
      <c r="V145" t="s">
        <v>1488</v>
      </c>
      <c r="W145" t="s">
        <v>19</v>
      </c>
      <c r="X145">
        <v>4665</v>
      </c>
      <c r="Y145" t="s">
        <v>1493</v>
      </c>
      <c r="Z145" t="s">
        <v>19</v>
      </c>
      <c r="AA145">
        <v>4800</v>
      </c>
      <c r="AB145" t="s">
        <v>19</v>
      </c>
      <c r="AC145" t="s">
        <v>19</v>
      </c>
      <c r="AD145">
        <v>4801</v>
      </c>
      <c r="AE145" t="s">
        <v>1488</v>
      </c>
      <c r="AF145" t="s">
        <v>19</v>
      </c>
      <c r="AG145">
        <v>4804</v>
      </c>
      <c r="AH145" t="s">
        <v>19</v>
      </c>
      <c r="AI145" t="s">
        <v>19</v>
      </c>
      <c r="AJ145">
        <v>4824</v>
      </c>
      <c r="AK145" t="s">
        <v>1490</v>
      </c>
      <c r="AL145" t="s">
        <v>19</v>
      </c>
      <c r="AM145">
        <v>4828</v>
      </c>
      <c r="AN145" t="s">
        <v>1491</v>
      </c>
      <c r="AO145" t="s">
        <v>19</v>
      </c>
    </row>
    <row r="146" spans="1:41" x14ac:dyDescent="0.45">
      <c r="A146" t="s">
        <v>1264</v>
      </c>
      <c r="B146">
        <v>8</v>
      </c>
      <c r="C146" t="str">
        <f>HYPERLINK("http://www.ncbi.nlm.nih.gov/protein/XP_042167153.1","XP_042167153.1")</f>
        <v>XP_042167153.1</v>
      </c>
      <c r="D146">
        <v>83228</v>
      </c>
      <c r="E146" t="str">
        <f>HYPERLINK("http://www.ncbi.nlm.nih.gov/Taxonomy/Browser/wwwtax.cgi?mode=Info&amp;id=74940&amp;lvl=3&amp;lin=f&amp;keep=1&amp;srchmode=1&amp;unlock","74940")</f>
        <v>74940</v>
      </c>
      <c r="F146" t="s">
        <v>17</v>
      </c>
      <c r="G146" t="str">
        <f>HYPERLINK("http://www.ncbi.nlm.nih.gov/Taxonomy/Browser/wwwtax.cgi?mode=Info&amp;id=74940&amp;lvl=3&amp;lin=f&amp;keep=1&amp;srchmode=1&amp;unlock","Oncorhynchus tshawytscha")</f>
        <v>Oncorhynchus tshawytscha</v>
      </c>
      <c r="H146" t="s">
        <v>185</v>
      </c>
      <c r="I146" t="str">
        <f>HYPERLINK("http://www.ncbi.nlm.nih.gov/protein/XP_042167153.1","ryanodine receptor 1-like")</f>
        <v>ryanodine receptor 1-like</v>
      </c>
      <c r="J146" t="s">
        <v>1485</v>
      </c>
      <c r="K146" t="s">
        <v>19</v>
      </c>
      <c r="L146">
        <v>4274</v>
      </c>
      <c r="M146" t="s">
        <v>19</v>
      </c>
      <c r="N146" t="s">
        <v>19</v>
      </c>
      <c r="O146">
        <v>4277</v>
      </c>
      <c r="P146" t="s">
        <v>1486</v>
      </c>
      <c r="Q146" t="s">
        <v>19</v>
      </c>
      <c r="R146">
        <v>4278</v>
      </c>
      <c r="S146" t="s">
        <v>1487</v>
      </c>
      <c r="T146" t="s">
        <v>19</v>
      </c>
      <c r="U146">
        <v>4281</v>
      </c>
      <c r="V146" t="s">
        <v>1488</v>
      </c>
      <c r="W146" t="s">
        <v>19</v>
      </c>
      <c r="X146">
        <v>4382</v>
      </c>
      <c r="Y146" t="s">
        <v>1493</v>
      </c>
      <c r="Z146" t="s">
        <v>19</v>
      </c>
      <c r="AA146">
        <v>4517</v>
      </c>
      <c r="AB146" t="s">
        <v>19</v>
      </c>
      <c r="AC146" t="s">
        <v>19</v>
      </c>
      <c r="AD146">
        <v>4518</v>
      </c>
      <c r="AE146" t="s">
        <v>1488</v>
      </c>
      <c r="AF146" t="s">
        <v>19</v>
      </c>
      <c r="AG146">
        <v>4521</v>
      </c>
      <c r="AH146" t="s">
        <v>19</v>
      </c>
      <c r="AI146" t="s">
        <v>19</v>
      </c>
      <c r="AJ146">
        <v>4541</v>
      </c>
      <c r="AK146" t="s">
        <v>1490</v>
      </c>
      <c r="AL146" t="s">
        <v>19</v>
      </c>
      <c r="AM146">
        <v>4545</v>
      </c>
      <c r="AN146" t="s">
        <v>1491</v>
      </c>
      <c r="AO146" t="s">
        <v>19</v>
      </c>
    </row>
    <row r="147" spans="1:41" x14ac:dyDescent="0.45">
      <c r="A147" t="s">
        <v>1264</v>
      </c>
      <c r="B147">
        <v>8</v>
      </c>
      <c r="C147" t="str">
        <f>HYPERLINK("http://www.ncbi.nlm.nih.gov/protein/XP_048085674.1","XP_048085674.1")</f>
        <v>XP_048085674.1</v>
      </c>
      <c r="D147">
        <v>70070</v>
      </c>
      <c r="E147" t="str">
        <f>HYPERLINK("http://www.ncbi.nlm.nih.gov/Taxonomy/Browser/wwwtax.cgi?mode=Info&amp;id=278164&amp;lvl=3&amp;lin=f&amp;keep=1&amp;srchmode=1&amp;unlock","278164")</f>
        <v>278164</v>
      </c>
      <c r="F147" t="s">
        <v>17</v>
      </c>
      <c r="G147" t="str">
        <f>HYPERLINK("http://www.ncbi.nlm.nih.gov/Taxonomy/Browser/wwwtax.cgi?mode=Info&amp;id=278164&amp;lvl=3&amp;lin=f&amp;keep=1&amp;srchmode=1&amp;unlock","Alosa alosa")</f>
        <v>Alosa alosa</v>
      </c>
      <c r="H147" t="s">
        <v>201</v>
      </c>
      <c r="I147" t="str">
        <f>HYPERLINK("http://www.ncbi.nlm.nih.gov/protein/XP_048085674.1","LOW QUALITY PROTEIN: ryanodine receptor 1-like")</f>
        <v>LOW QUALITY PROTEIN: ryanodine receptor 1-like</v>
      </c>
      <c r="J147" t="s">
        <v>1485</v>
      </c>
      <c r="K147" t="s">
        <v>19</v>
      </c>
      <c r="L147">
        <v>4377</v>
      </c>
      <c r="M147" t="s">
        <v>19</v>
      </c>
      <c r="N147" t="s">
        <v>19</v>
      </c>
      <c r="O147">
        <v>4380</v>
      </c>
      <c r="P147" t="s">
        <v>1486</v>
      </c>
      <c r="Q147" t="s">
        <v>19</v>
      </c>
      <c r="R147">
        <v>4381</v>
      </c>
      <c r="S147" t="s">
        <v>1487</v>
      </c>
      <c r="T147" t="s">
        <v>19</v>
      </c>
      <c r="U147">
        <v>4384</v>
      </c>
      <c r="V147" t="s">
        <v>1488</v>
      </c>
      <c r="W147" t="s">
        <v>19</v>
      </c>
      <c r="X147">
        <v>4493</v>
      </c>
      <c r="Y147" t="s">
        <v>1493</v>
      </c>
      <c r="Z147" t="s">
        <v>19</v>
      </c>
      <c r="AA147">
        <v>4630</v>
      </c>
      <c r="AB147" t="s">
        <v>19</v>
      </c>
      <c r="AC147" t="s">
        <v>19</v>
      </c>
      <c r="AD147">
        <v>4631</v>
      </c>
      <c r="AE147" t="s">
        <v>1488</v>
      </c>
      <c r="AF147" t="s">
        <v>19</v>
      </c>
      <c r="AG147">
        <v>4634</v>
      </c>
      <c r="AH147" t="s">
        <v>19</v>
      </c>
      <c r="AI147" t="s">
        <v>19</v>
      </c>
      <c r="AJ147">
        <v>4654</v>
      </c>
      <c r="AK147" t="s">
        <v>1490</v>
      </c>
      <c r="AL147" t="s">
        <v>19</v>
      </c>
      <c r="AM147">
        <v>4658</v>
      </c>
      <c r="AN147" t="s">
        <v>1491</v>
      </c>
      <c r="AO147" t="s">
        <v>19</v>
      </c>
    </row>
    <row r="148" spans="1:41" x14ac:dyDescent="0.45">
      <c r="A148" t="s">
        <v>1264</v>
      </c>
      <c r="B148">
        <v>8</v>
      </c>
      <c r="C148" t="str">
        <f>HYPERLINK("http://www.ncbi.nlm.nih.gov/protein/XP_030621081.1","XP_030621081.1")</f>
        <v>XP_030621081.1</v>
      </c>
      <c r="D148">
        <v>30218</v>
      </c>
      <c r="E148" t="str">
        <f>HYPERLINK("http://www.ncbi.nlm.nih.gov/Taxonomy/Browser/wwwtax.cgi?mode=Info&amp;id=29144&amp;lvl=3&amp;lin=f&amp;keep=1&amp;srchmode=1&amp;unlock","29144")</f>
        <v>29144</v>
      </c>
      <c r="F148" t="s">
        <v>17</v>
      </c>
      <c r="G148" t="str">
        <f>HYPERLINK("http://www.ncbi.nlm.nih.gov/Taxonomy/Browser/wwwtax.cgi?mode=Info&amp;id=29144&amp;lvl=3&amp;lin=f&amp;keep=1&amp;srchmode=1&amp;unlock","Chanos chanos")</f>
        <v>Chanos chanos</v>
      </c>
      <c r="H148" t="s">
        <v>231</v>
      </c>
      <c r="I148" t="str">
        <f>HYPERLINK("http://www.ncbi.nlm.nih.gov/protein/XP_030621081.1","ryanodine receptor 1")</f>
        <v>ryanodine receptor 1</v>
      </c>
      <c r="J148" t="s">
        <v>1485</v>
      </c>
      <c r="K148" t="s">
        <v>19</v>
      </c>
      <c r="L148">
        <v>4644</v>
      </c>
      <c r="M148" t="s">
        <v>19</v>
      </c>
      <c r="N148" t="s">
        <v>19</v>
      </c>
      <c r="O148">
        <v>4647</v>
      </c>
      <c r="P148" t="s">
        <v>1486</v>
      </c>
      <c r="Q148" t="s">
        <v>19</v>
      </c>
      <c r="R148">
        <v>4648</v>
      </c>
      <c r="S148" t="s">
        <v>19</v>
      </c>
      <c r="T148" t="s">
        <v>19</v>
      </c>
      <c r="U148">
        <v>4651</v>
      </c>
      <c r="V148" t="s">
        <v>1488</v>
      </c>
      <c r="W148" t="s">
        <v>19</v>
      </c>
      <c r="X148">
        <v>4741</v>
      </c>
      <c r="Y148" t="s">
        <v>1493</v>
      </c>
      <c r="Z148" t="s">
        <v>19</v>
      </c>
      <c r="AA148">
        <v>4876</v>
      </c>
      <c r="AB148" t="s">
        <v>19</v>
      </c>
      <c r="AC148" t="s">
        <v>19</v>
      </c>
      <c r="AD148">
        <v>4877</v>
      </c>
      <c r="AE148" t="s">
        <v>1488</v>
      </c>
      <c r="AF148" t="s">
        <v>19</v>
      </c>
      <c r="AG148">
        <v>4880</v>
      </c>
      <c r="AH148" t="s">
        <v>19</v>
      </c>
      <c r="AI148" t="s">
        <v>19</v>
      </c>
      <c r="AJ148">
        <v>4900</v>
      </c>
      <c r="AK148" t="s">
        <v>1490</v>
      </c>
      <c r="AL148" t="s">
        <v>19</v>
      </c>
      <c r="AM148">
        <v>4904</v>
      </c>
      <c r="AN148" t="s">
        <v>1491</v>
      </c>
      <c r="AO148" t="s">
        <v>19</v>
      </c>
    </row>
    <row r="149" spans="1:41" x14ac:dyDescent="0.45">
      <c r="A149" t="s">
        <v>1264</v>
      </c>
      <c r="B149">
        <v>8</v>
      </c>
      <c r="C149" t="str">
        <f>HYPERLINK("http://www.ncbi.nlm.nih.gov/protein/XP_023656371.1","XP_023656371.1")</f>
        <v>XP_023656371.1</v>
      </c>
      <c r="D149">
        <v>55302</v>
      </c>
      <c r="E149" t="str">
        <f>HYPERLINK("http://www.ncbi.nlm.nih.gov/Taxonomy/Browser/wwwtax.cgi?mode=Info&amp;id=1676925&amp;lvl=3&amp;lin=f&amp;keep=1&amp;srchmode=1&amp;unlock","1676925")</f>
        <v>1676925</v>
      </c>
      <c r="F149" t="s">
        <v>17</v>
      </c>
      <c r="G149" t="str">
        <f>HYPERLINK("http://www.ncbi.nlm.nih.gov/Taxonomy/Browser/wwwtax.cgi?mode=Info&amp;id=1676925&amp;lvl=3&amp;lin=f&amp;keep=1&amp;srchmode=1&amp;unlock","Paramormyrops kingsleyae")</f>
        <v>Paramormyrops kingsleyae</v>
      </c>
      <c r="H149" t="s">
        <v>79</v>
      </c>
      <c r="I149" t="str">
        <f>HYPERLINK("http://www.ncbi.nlm.nih.gov/protein/XP_023656371.1","ryanodine receptor 1-like")</f>
        <v>ryanodine receptor 1-like</v>
      </c>
      <c r="J149" t="s">
        <v>1485</v>
      </c>
      <c r="K149" t="s">
        <v>19</v>
      </c>
      <c r="L149">
        <v>3838</v>
      </c>
      <c r="M149" t="s">
        <v>19</v>
      </c>
      <c r="N149" t="s">
        <v>19</v>
      </c>
      <c r="O149">
        <v>3841</v>
      </c>
      <c r="P149" t="s">
        <v>1486</v>
      </c>
      <c r="Q149" t="s">
        <v>19</v>
      </c>
      <c r="R149">
        <v>3842</v>
      </c>
      <c r="S149" t="s">
        <v>1487</v>
      </c>
      <c r="T149" t="s">
        <v>19</v>
      </c>
      <c r="U149">
        <v>3845</v>
      </c>
      <c r="V149" t="s">
        <v>1488</v>
      </c>
      <c r="W149" t="s">
        <v>19</v>
      </c>
      <c r="X149">
        <v>3937</v>
      </c>
      <c r="Y149" t="s">
        <v>1493</v>
      </c>
      <c r="Z149" t="s">
        <v>19</v>
      </c>
      <c r="AA149">
        <v>4073</v>
      </c>
      <c r="AB149" t="s">
        <v>19</v>
      </c>
      <c r="AC149" t="s">
        <v>19</v>
      </c>
      <c r="AD149">
        <v>4074</v>
      </c>
      <c r="AE149" t="s">
        <v>1488</v>
      </c>
      <c r="AF149" t="s">
        <v>19</v>
      </c>
      <c r="AG149">
        <v>4077</v>
      </c>
      <c r="AH149" t="s">
        <v>19</v>
      </c>
      <c r="AI149" t="s">
        <v>19</v>
      </c>
      <c r="AJ149">
        <v>4097</v>
      </c>
      <c r="AK149" t="s">
        <v>1490</v>
      </c>
      <c r="AL149" t="s">
        <v>19</v>
      </c>
      <c r="AM149">
        <v>4101</v>
      </c>
      <c r="AN149" t="s">
        <v>1491</v>
      </c>
      <c r="AO149" t="s">
        <v>19</v>
      </c>
    </row>
    <row r="150" spans="1:41" x14ac:dyDescent="0.45">
      <c r="A150" t="s">
        <v>1264</v>
      </c>
      <c r="B150">
        <v>8</v>
      </c>
      <c r="C150" t="str">
        <f>HYPERLINK("http://www.ncbi.nlm.nih.gov/protein/XP_023843847.1","XP_023843847.1")</f>
        <v>XP_023843847.1</v>
      </c>
      <c r="D150">
        <v>60852</v>
      </c>
      <c r="E150" t="str">
        <f>HYPERLINK("http://www.ncbi.nlm.nih.gov/Taxonomy/Browser/wwwtax.cgi?mode=Info&amp;id=8036&amp;lvl=3&amp;lin=f&amp;keep=1&amp;srchmode=1&amp;unlock","8036")</f>
        <v>8036</v>
      </c>
      <c r="F150" t="s">
        <v>17</v>
      </c>
      <c r="G150" t="str">
        <f>HYPERLINK("http://www.ncbi.nlm.nih.gov/Taxonomy/Browser/wwwtax.cgi?mode=Info&amp;id=8036&amp;lvl=3&amp;lin=f&amp;keep=1&amp;srchmode=1&amp;unlock","Salvelinus alpinus")</f>
        <v>Salvelinus alpinus</v>
      </c>
      <c r="H150" t="s">
        <v>514</v>
      </c>
      <c r="I150" t="str">
        <f>HYPERLINK("http://www.ncbi.nlm.nih.gov/protein/XP_023843847.1","LOW QUALITY PROTEIN: ryanodine receptor 1-like")</f>
        <v>LOW QUALITY PROTEIN: ryanodine receptor 1-like</v>
      </c>
      <c r="J150" t="s">
        <v>1485</v>
      </c>
      <c r="K150" t="s">
        <v>19</v>
      </c>
      <c r="L150">
        <v>4534</v>
      </c>
      <c r="M150" t="s">
        <v>19</v>
      </c>
      <c r="N150" t="s">
        <v>19</v>
      </c>
      <c r="O150">
        <v>4537</v>
      </c>
      <c r="P150" t="s">
        <v>1486</v>
      </c>
      <c r="Q150" t="s">
        <v>19</v>
      </c>
      <c r="R150">
        <v>4538</v>
      </c>
      <c r="S150" t="s">
        <v>1487</v>
      </c>
      <c r="T150" t="s">
        <v>19</v>
      </c>
      <c r="U150">
        <v>4541</v>
      </c>
      <c r="V150" t="s">
        <v>1488</v>
      </c>
      <c r="W150" t="s">
        <v>19</v>
      </c>
      <c r="X150">
        <v>4642</v>
      </c>
      <c r="Y150" t="s">
        <v>1493</v>
      </c>
      <c r="Z150" t="s">
        <v>19</v>
      </c>
      <c r="AA150">
        <v>4777</v>
      </c>
      <c r="AB150" t="s">
        <v>19</v>
      </c>
      <c r="AC150" t="s">
        <v>19</v>
      </c>
      <c r="AD150">
        <v>4778</v>
      </c>
      <c r="AE150" t="s">
        <v>1488</v>
      </c>
      <c r="AF150" t="s">
        <v>19</v>
      </c>
      <c r="AG150">
        <v>4781</v>
      </c>
      <c r="AH150" t="s">
        <v>19</v>
      </c>
      <c r="AI150" t="s">
        <v>19</v>
      </c>
      <c r="AJ150">
        <v>4801</v>
      </c>
      <c r="AK150" t="s">
        <v>1490</v>
      </c>
      <c r="AL150" t="s">
        <v>19</v>
      </c>
      <c r="AM150">
        <v>4805</v>
      </c>
      <c r="AN150" t="s">
        <v>1491</v>
      </c>
      <c r="AO150" t="s">
        <v>19</v>
      </c>
    </row>
    <row r="151" spans="1:41" x14ac:dyDescent="0.45">
      <c r="A151" t="s">
        <v>1266</v>
      </c>
      <c r="B151">
        <v>8</v>
      </c>
      <c r="C151" t="str">
        <f>HYPERLINK("http://www.ncbi.nlm.nih.gov/protein/XP_039539628.1","XP_039539628.1")</f>
        <v>XP_039539628.1</v>
      </c>
      <c r="D151">
        <v>96127</v>
      </c>
      <c r="E151" t="str">
        <f>HYPERLINK("http://www.ncbi.nlm.nih.gov/Taxonomy/Browser/wwwtax.cgi?mode=Info&amp;id=90988&amp;lvl=3&amp;lin=f&amp;keep=1&amp;srchmode=1&amp;unlock","90988")</f>
        <v>90988</v>
      </c>
      <c r="F151" t="s">
        <v>17</v>
      </c>
      <c r="G151" t="str">
        <f>HYPERLINK("http://www.ncbi.nlm.nih.gov/Taxonomy/Browser/wwwtax.cgi?mode=Info&amp;id=90988&amp;lvl=3&amp;lin=f&amp;keep=1&amp;srchmode=1&amp;unlock","Pimephales promelas")</f>
        <v>Pimephales promelas</v>
      </c>
      <c r="H151" t="s">
        <v>18</v>
      </c>
      <c r="I151" t="str">
        <f>HYPERLINK("http://www.ncbi.nlm.nih.gov/protein/XP_039539628.1","LOW QUALITY PROTEIN: ryanodine receptor 2")</f>
        <v>LOW QUALITY PROTEIN: ryanodine receptor 2</v>
      </c>
      <c r="J151" t="s">
        <v>1494</v>
      </c>
      <c r="K151" t="s">
        <v>19</v>
      </c>
      <c r="L151">
        <v>4452</v>
      </c>
      <c r="M151" t="s">
        <v>19</v>
      </c>
      <c r="N151" t="s">
        <v>19</v>
      </c>
      <c r="O151">
        <v>4455</v>
      </c>
      <c r="P151" t="s">
        <v>1486</v>
      </c>
      <c r="Q151" t="s">
        <v>19</v>
      </c>
      <c r="R151">
        <v>4456</v>
      </c>
      <c r="S151" t="s">
        <v>1495</v>
      </c>
      <c r="T151" t="s">
        <v>19</v>
      </c>
      <c r="U151">
        <v>4459</v>
      </c>
      <c r="V151" t="s">
        <v>1488</v>
      </c>
      <c r="W151" t="s">
        <v>19</v>
      </c>
      <c r="X151">
        <v>4540</v>
      </c>
      <c r="Y151" t="s">
        <v>1493</v>
      </c>
      <c r="Z151" t="s">
        <v>19</v>
      </c>
      <c r="AA151">
        <v>4675</v>
      </c>
      <c r="AB151" t="s">
        <v>19</v>
      </c>
      <c r="AC151" t="s">
        <v>19</v>
      </c>
      <c r="AD151">
        <v>4676</v>
      </c>
      <c r="AE151" t="s">
        <v>1488</v>
      </c>
      <c r="AF151" t="s">
        <v>19</v>
      </c>
      <c r="AG151">
        <v>4679</v>
      </c>
      <c r="AH151" t="s">
        <v>19</v>
      </c>
      <c r="AI151" t="s">
        <v>19</v>
      </c>
      <c r="AJ151">
        <v>4699</v>
      </c>
      <c r="AK151" t="s">
        <v>1490</v>
      </c>
      <c r="AL151" t="s">
        <v>19</v>
      </c>
      <c r="AM151">
        <v>4703</v>
      </c>
      <c r="AN151" t="s">
        <v>1491</v>
      </c>
      <c r="AO151" t="s">
        <v>19</v>
      </c>
    </row>
    <row r="152" spans="1:41" x14ac:dyDescent="0.45">
      <c r="A152" t="s">
        <v>1266</v>
      </c>
      <c r="B152">
        <v>8</v>
      </c>
      <c r="C152" t="str">
        <f>HYPERLINK("http://www.ncbi.nlm.nih.gov/protein/XP_048026287.1","XP_048026287.1")</f>
        <v>XP_048026287.1</v>
      </c>
      <c r="D152">
        <v>60768</v>
      </c>
      <c r="E152" t="str">
        <f>HYPERLINK("http://www.ncbi.nlm.nih.gov/Taxonomy/Browser/wwwtax.cgi?mode=Info&amp;id=75352&amp;lvl=3&amp;lin=f&amp;keep=1&amp;srchmode=1&amp;unlock","75352")</f>
        <v>75352</v>
      </c>
      <c r="F152" t="s">
        <v>17</v>
      </c>
      <c r="G152" t="str">
        <f>HYPERLINK("http://www.ncbi.nlm.nih.gov/Taxonomy/Browser/wwwtax.cgi?mode=Info&amp;id=75352&amp;lvl=3&amp;lin=f&amp;keep=1&amp;srchmode=1&amp;unlock","Megalobrama amblycephala")</f>
        <v>Megalobrama amblycephala</v>
      </c>
      <c r="H152" t="s">
        <v>23</v>
      </c>
      <c r="I152" t="str">
        <f>HYPERLINK("http://www.ncbi.nlm.nih.gov/protein/XP_048026287.1","LOW QUALITY PROTEIN: ryanodine receptor 2")</f>
        <v>LOW QUALITY PROTEIN: ryanodine receptor 2</v>
      </c>
      <c r="J152" t="s">
        <v>1494</v>
      </c>
      <c r="K152" t="s">
        <v>19</v>
      </c>
      <c r="L152">
        <v>4497</v>
      </c>
      <c r="M152" t="s">
        <v>19</v>
      </c>
      <c r="N152" t="s">
        <v>19</v>
      </c>
      <c r="O152">
        <v>4500</v>
      </c>
      <c r="P152" t="s">
        <v>1486</v>
      </c>
      <c r="Q152" t="s">
        <v>19</v>
      </c>
      <c r="R152">
        <v>4501</v>
      </c>
      <c r="S152" t="s">
        <v>1495</v>
      </c>
      <c r="T152" t="s">
        <v>19</v>
      </c>
      <c r="U152">
        <v>4504</v>
      </c>
      <c r="V152" t="s">
        <v>1488</v>
      </c>
      <c r="W152" t="s">
        <v>19</v>
      </c>
      <c r="X152">
        <v>4585</v>
      </c>
      <c r="Y152" t="s">
        <v>1493</v>
      </c>
      <c r="Z152" t="s">
        <v>19</v>
      </c>
      <c r="AA152">
        <v>4720</v>
      </c>
      <c r="AB152" t="s">
        <v>19</v>
      </c>
      <c r="AC152" t="s">
        <v>19</v>
      </c>
      <c r="AD152">
        <v>4721</v>
      </c>
      <c r="AE152" t="s">
        <v>1488</v>
      </c>
      <c r="AF152" t="s">
        <v>19</v>
      </c>
      <c r="AG152">
        <v>4724</v>
      </c>
      <c r="AH152" t="s">
        <v>19</v>
      </c>
      <c r="AI152" t="s">
        <v>19</v>
      </c>
      <c r="AJ152">
        <v>4744</v>
      </c>
      <c r="AK152" t="s">
        <v>1490</v>
      </c>
      <c r="AL152" t="s">
        <v>19</v>
      </c>
      <c r="AM152">
        <v>4748</v>
      </c>
      <c r="AN152" t="s">
        <v>1491</v>
      </c>
      <c r="AO152" t="s">
        <v>19</v>
      </c>
    </row>
    <row r="153" spans="1:41" x14ac:dyDescent="0.45">
      <c r="A153" t="s">
        <v>1497</v>
      </c>
      <c r="B153">
        <v>8</v>
      </c>
      <c r="C153" t="str">
        <f>HYPERLINK("http://www.ncbi.nlm.nih.gov/protein/XP_051770910.1","XP_051770910.1")</f>
        <v>XP_051770910.1</v>
      </c>
      <c r="D153">
        <v>61666</v>
      </c>
      <c r="E153" t="str">
        <f>HYPERLINK("http://www.ncbi.nlm.nih.gov/Taxonomy/Browser/wwwtax.cgi?mode=Info&amp;id=7959&amp;lvl=3&amp;lin=f&amp;keep=1&amp;srchmode=1&amp;unlock","7959")</f>
        <v>7959</v>
      </c>
      <c r="F153" t="s">
        <v>17</v>
      </c>
      <c r="G153" t="str">
        <f>HYPERLINK("http://www.ncbi.nlm.nih.gov/Taxonomy/Browser/wwwtax.cgi?mode=Info&amp;id=7959&amp;lvl=3&amp;lin=f&amp;keep=1&amp;srchmode=1&amp;unlock","Ctenopharyngodon idella")</f>
        <v>Ctenopharyngodon idella</v>
      </c>
      <c r="H153" t="s">
        <v>24</v>
      </c>
      <c r="I153" t="str">
        <f>HYPERLINK("http://www.ncbi.nlm.nih.gov/protein/XP_051770910.1","ryanodine receptor 2 isoform X1")</f>
        <v>ryanodine receptor 2 isoform X1</v>
      </c>
      <c r="J153" t="s">
        <v>1494</v>
      </c>
      <c r="K153" t="s">
        <v>19</v>
      </c>
      <c r="L153">
        <v>4497</v>
      </c>
      <c r="M153" t="s">
        <v>19</v>
      </c>
      <c r="N153" t="s">
        <v>19</v>
      </c>
      <c r="O153">
        <v>4500</v>
      </c>
      <c r="P153" t="s">
        <v>1486</v>
      </c>
      <c r="Q153" t="s">
        <v>19</v>
      </c>
      <c r="R153">
        <v>4501</v>
      </c>
      <c r="S153" t="s">
        <v>1495</v>
      </c>
      <c r="T153" t="s">
        <v>19</v>
      </c>
      <c r="U153">
        <v>4504</v>
      </c>
      <c r="V153" t="s">
        <v>1488</v>
      </c>
      <c r="W153" t="s">
        <v>19</v>
      </c>
      <c r="X153">
        <v>4585</v>
      </c>
      <c r="Y153" t="s">
        <v>1493</v>
      </c>
      <c r="Z153" t="s">
        <v>19</v>
      </c>
      <c r="AA153">
        <v>4720</v>
      </c>
      <c r="AB153" t="s">
        <v>19</v>
      </c>
      <c r="AC153" t="s">
        <v>19</v>
      </c>
      <c r="AD153">
        <v>4721</v>
      </c>
      <c r="AE153" t="s">
        <v>1488</v>
      </c>
      <c r="AF153" t="s">
        <v>19</v>
      </c>
      <c r="AG153">
        <v>4724</v>
      </c>
      <c r="AH153" t="s">
        <v>19</v>
      </c>
      <c r="AI153" t="s">
        <v>19</v>
      </c>
      <c r="AJ153">
        <v>4744</v>
      </c>
      <c r="AK153" t="s">
        <v>1490</v>
      </c>
      <c r="AL153" t="s">
        <v>19</v>
      </c>
      <c r="AM153">
        <v>4748</v>
      </c>
      <c r="AN153" t="s">
        <v>1491</v>
      </c>
      <c r="AO153" t="s">
        <v>19</v>
      </c>
    </row>
    <row r="154" spans="1:41" x14ac:dyDescent="0.45">
      <c r="A154" t="s">
        <v>1266</v>
      </c>
      <c r="B154">
        <v>8</v>
      </c>
      <c r="C154" t="str">
        <f>HYPERLINK("http://www.ncbi.nlm.nih.gov/protein/XP_050979743.1","XP_050979743.1")</f>
        <v>XP_050979743.1</v>
      </c>
      <c r="D154">
        <v>110562</v>
      </c>
      <c r="E154" t="str">
        <f>HYPERLINK("http://www.ncbi.nlm.nih.gov/Taxonomy/Browser/wwwtax.cgi?mode=Info&amp;id=84645&amp;lvl=3&amp;lin=f&amp;keep=1&amp;srchmode=1&amp;unlock","84645")</f>
        <v>84645</v>
      </c>
      <c r="F154" t="s">
        <v>17</v>
      </c>
      <c r="G154" t="str">
        <f>HYPERLINK("http://www.ncbi.nlm.nih.gov/Taxonomy/Browser/wwwtax.cgi?mode=Info&amp;id=84645&amp;lvl=3&amp;lin=f&amp;keep=1&amp;srchmode=1&amp;unlock","Labeo rohita")</f>
        <v>Labeo rohita</v>
      </c>
      <c r="H154" t="s">
        <v>30</v>
      </c>
      <c r="I154" t="str">
        <f>HYPERLINK("http://www.ncbi.nlm.nih.gov/protein/XP_050979743.1","ryanodine receptor 2 isoform X3")</f>
        <v>ryanodine receptor 2 isoform X3</v>
      </c>
      <c r="J154" t="s">
        <v>1494</v>
      </c>
      <c r="K154" t="s">
        <v>19</v>
      </c>
      <c r="L154">
        <v>4505</v>
      </c>
      <c r="M154" t="s">
        <v>19</v>
      </c>
      <c r="N154" t="s">
        <v>19</v>
      </c>
      <c r="O154">
        <v>4508</v>
      </c>
      <c r="P154" t="s">
        <v>1486</v>
      </c>
      <c r="Q154" t="s">
        <v>19</v>
      </c>
      <c r="R154">
        <v>4509</v>
      </c>
      <c r="S154" t="s">
        <v>1495</v>
      </c>
      <c r="T154" t="s">
        <v>19</v>
      </c>
      <c r="U154">
        <v>4512</v>
      </c>
      <c r="V154" t="s">
        <v>1488</v>
      </c>
      <c r="W154" t="s">
        <v>19</v>
      </c>
      <c r="X154">
        <v>4593</v>
      </c>
      <c r="Y154" t="s">
        <v>1493</v>
      </c>
      <c r="Z154" t="s">
        <v>19</v>
      </c>
      <c r="AA154">
        <v>4728</v>
      </c>
      <c r="AB154" t="s">
        <v>19</v>
      </c>
      <c r="AC154" t="s">
        <v>19</v>
      </c>
      <c r="AD154">
        <v>4729</v>
      </c>
      <c r="AE154" t="s">
        <v>1488</v>
      </c>
      <c r="AF154" t="s">
        <v>19</v>
      </c>
      <c r="AG154">
        <v>4732</v>
      </c>
      <c r="AH154" t="s">
        <v>19</v>
      </c>
      <c r="AI154" t="s">
        <v>19</v>
      </c>
      <c r="AJ154">
        <v>4752</v>
      </c>
      <c r="AK154" t="s">
        <v>1490</v>
      </c>
      <c r="AL154" t="s">
        <v>19</v>
      </c>
      <c r="AM154">
        <v>4756</v>
      </c>
      <c r="AN154" t="s">
        <v>1491</v>
      </c>
      <c r="AO154" t="s">
        <v>19</v>
      </c>
    </row>
    <row r="155" spans="1:41" x14ac:dyDescent="0.45">
      <c r="A155" t="s">
        <v>1266</v>
      </c>
      <c r="B155">
        <v>8</v>
      </c>
      <c r="C155" t="str">
        <f>HYPERLINK("http://www.ncbi.nlm.nih.gov/protein/XP_058650590.1","XP_058650590.1")</f>
        <v>XP_058650590.1</v>
      </c>
      <c r="D155">
        <v>80341</v>
      </c>
      <c r="E155" t="str">
        <f>HYPERLINK("http://www.ncbi.nlm.nih.gov/Taxonomy/Browser/wwwtax.cgi?mode=Info&amp;id=369639&amp;lvl=3&amp;lin=f&amp;keep=1&amp;srchmode=1&amp;unlock","369639")</f>
        <v>369639</v>
      </c>
      <c r="F155" t="s">
        <v>17</v>
      </c>
      <c r="G155" t="str">
        <f>HYPERLINK("http://www.ncbi.nlm.nih.gov/Taxonomy/Browser/wwwtax.cgi?mode=Info&amp;id=369639&amp;lvl=3&amp;lin=f&amp;keep=1&amp;srchmode=1&amp;unlock","Onychostoma macrolepis")</f>
        <v>Onychostoma macrolepis</v>
      </c>
      <c r="H155" t="s">
        <v>21</v>
      </c>
      <c r="I155" t="str">
        <f>HYPERLINK("http://www.ncbi.nlm.nih.gov/protein/XP_058650590.1","LOW QUALITY PROTEIN: ryanodine receptor 2")</f>
        <v>LOW QUALITY PROTEIN: ryanodine receptor 2</v>
      </c>
      <c r="J155" t="s">
        <v>1494</v>
      </c>
      <c r="K155" t="s">
        <v>19</v>
      </c>
      <c r="L155">
        <v>4487</v>
      </c>
      <c r="M155" t="s">
        <v>19</v>
      </c>
      <c r="N155" t="s">
        <v>19</v>
      </c>
      <c r="O155">
        <v>4490</v>
      </c>
      <c r="P155" t="s">
        <v>1486</v>
      </c>
      <c r="Q155" t="s">
        <v>19</v>
      </c>
      <c r="R155">
        <v>4491</v>
      </c>
      <c r="S155" t="s">
        <v>1495</v>
      </c>
      <c r="T155" t="s">
        <v>19</v>
      </c>
      <c r="U155">
        <v>4494</v>
      </c>
      <c r="V155" t="s">
        <v>1488</v>
      </c>
      <c r="W155" t="s">
        <v>19</v>
      </c>
      <c r="X155">
        <v>4577</v>
      </c>
      <c r="Y155" t="s">
        <v>1493</v>
      </c>
      <c r="Z155" t="s">
        <v>19</v>
      </c>
      <c r="AA155">
        <v>4712</v>
      </c>
      <c r="AB155" t="s">
        <v>19</v>
      </c>
      <c r="AC155" t="s">
        <v>19</v>
      </c>
      <c r="AD155">
        <v>4713</v>
      </c>
      <c r="AE155" t="s">
        <v>1488</v>
      </c>
      <c r="AF155" t="s">
        <v>19</v>
      </c>
      <c r="AG155">
        <v>4716</v>
      </c>
      <c r="AH155" t="s">
        <v>19</v>
      </c>
      <c r="AI155" t="s">
        <v>19</v>
      </c>
      <c r="AJ155">
        <v>4736</v>
      </c>
      <c r="AK155" t="s">
        <v>1490</v>
      </c>
      <c r="AL155" t="s">
        <v>19</v>
      </c>
      <c r="AM155">
        <v>4740</v>
      </c>
      <c r="AN155" t="s">
        <v>1491</v>
      </c>
      <c r="AO155" t="s">
        <v>19</v>
      </c>
    </row>
    <row r="156" spans="1:41" x14ac:dyDescent="0.45">
      <c r="A156" t="s">
        <v>1266</v>
      </c>
      <c r="B156">
        <v>8</v>
      </c>
      <c r="C156" t="str">
        <f>HYPERLINK("http://www.ncbi.nlm.nih.gov/protein/XP_043087137.1","XP_043087137.1")</f>
        <v>XP_043087137.1</v>
      </c>
      <c r="D156">
        <v>48795</v>
      </c>
      <c r="E156" t="str">
        <f>HYPERLINK("http://www.ncbi.nlm.nih.gov/Taxonomy/Browser/wwwtax.cgi?mode=Info&amp;id=1606681&amp;lvl=3&amp;lin=f&amp;keep=1&amp;srchmode=1&amp;unlock","1606681")</f>
        <v>1606681</v>
      </c>
      <c r="F156" t="s">
        <v>17</v>
      </c>
      <c r="G156" t="str">
        <f>HYPERLINK("http://www.ncbi.nlm.nih.gov/Taxonomy/Browser/wwwtax.cgi?mode=Info&amp;id=1606681&amp;lvl=3&amp;lin=f&amp;keep=1&amp;srchmode=1&amp;unlock","Puntigrus tetrazona")</f>
        <v>Puntigrus tetrazona</v>
      </c>
      <c r="H156" t="s">
        <v>27</v>
      </c>
      <c r="I156" t="str">
        <f>HYPERLINK("http://www.ncbi.nlm.nih.gov/protein/XP_043087137.1","LOW QUALITY PROTEIN: ryanodine receptor 2")</f>
        <v>LOW QUALITY PROTEIN: ryanodine receptor 2</v>
      </c>
      <c r="J156" t="s">
        <v>1494</v>
      </c>
      <c r="K156" t="s">
        <v>19</v>
      </c>
      <c r="L156">
        <v>4486</v>
      </c>
      <c r="M156" t="s">
        <v>19</v>
      </c>
      <c r="N156" t="s">
        <v>19</v>
      </c>
      <c r="O156">
        <v>4489</v>
      </c>
      <c r="P156" t="s">
        <v>1486</v>
      </c>
      <c r="Q156" t="s">
        <v>19</v>
      </c>
      <c r="R156">
        <v>4490</v>
      </c>
      <c r="S156" t="s">
        <v>1495</v>
      </c>
      <c r="T156" t="s">
        <v>19</v>
      </c>
      <c r="U156">
        <v>4493</v>
      </c>
      <c r="V156" t="s">
        <v>1488</v>
      </c>
      <c r="W156" t="s">
        <v>19</v>
      </c>
      <c r="X156">
        <v>4578</v>
      </c>
      <c r="Y156" t="s">
        <v>1493</v>
      </c>
      <c r="Z156" t="s">
        <v>19</v>
      </c>
      <c r="AA156">
        <v>4713</v>
      </c>
      <c r="AB156" t="s">
        <v>19</v>
      </c>
      <c r="AC156" t="s">
        <v>19</v>
      </c>
      <c r="AD156">
        <v>4714</v>
      </c>
      <c r="AE156" t="s">
        <v>1488</v>
      </c>
      <c r="AF156" t="s">
        <v>19</v>
      </c>
      <c r="AG156">
        <v>4717</v>
      </c>
      <c r="AH156" t="s">
        <v>19</v>
      </c>
      <c r="AI156" t="s">
        <v>19</v>
      </c>
      <c r="AJ156">
        <v>4737</v>
      </c>
      <c r="AK156" t="s">
        <v>1490</v>
      </c>
      <c r="AL156" t="s">
        <v>19</v>
      </c>
      <c r="AM156">
        <v>4741</v>
      </c>
      <c r="AN156" t="s">
        <v>1491</v>
      </c>
      <c r="AO156" t="s">
        <v>19</v>
      </c>
    </row>
    <row r="157" spans="1:41" x14ac:dyDescent="0.45">
      <c r="A157" t="s">
        <v>1266</v>
      </c>
      <c r="B157">
        <v>8</v>
      </c>
      <c r="C157" t="str">
        <f>HYPERLINK("http://www.ncbi.nlm.nih.gov/protein/XP_026078039.1","XP_026078039.1")</f>
        <v>XP_026078039.1</v>
      </c>
      <c r="D157">
        <v>99050</v>
      </c>
      <c r="E157" t="str">
        <f>HYPERLINK("http://www.ncbi.nlm.nih.gov/Taxonomy/Browser/wwwtax.cgi?mode=Info&amp;id=7957&amp;lvl=3&amp;lin=f&amp;keep=1&amp;srchmode=1&amp;unlock","7957")</f>
        <v>7957</v>
      </c>
      <c r="F157" t="s">
        <v>17</v>
      </c>
      <c r="G157" t="str">
        <f>HYPERLINK("http://www.ncbi.nlm.nih.gov/Taxonomy/Browser/wwwtax.cgi?mode=Info&amp;id=7957&amp;lvl=3&amp;lin=f&amp;keep=1&amp;srchmode=1&amp;unlock","Carassius auratus")</f>
        <v>Carassius auratus</v>
      </c>
      <c r="H157" t="s">
        <v>29</v>
      </c>
      <c r="I157" t="str">
        <f>HYPERLINK("http://www.ncbi.nlm.nih.gov/protein/XP_026078039.1","ryanodine receptor 2 isoform X1")</f>
        <v>ryanodine receptor 2 isoform X1</v>
      </c>
      <c r="J157" t="s">
        <v>1494</v>
      </c>
      <c r="K157" t="s">
        <v>19</v>
      </c>
      <c r="L157">
        <v>4492</v>
      </c>
      <c r="M157" t="s">
        <v>19</v>
      </c>
      <c r="N157" t="s">
        <v>19</v>
      </c>
      <c r="O157">
        <v>4495</v>
      </c>
      <c r="P157" t="s">
        <v>1486</v>
      </c>
      <c r="Q157" t="s">
        <v>19</v>
      </c>
      <c r="R157">
        <v>4496</v>
      </c>
      <c r="S157" t="s">
        <v>1495</v>
      </c>
      <c r="T157" t="s">
        <v>19</v>
      </c>
      <c r="U157">
        <v>4499</v>
      </c>
      <c r="V157" t="s">
        <v>1488</v>
      </c>
      <c r="W157" t="s">
        <v>19</v>
      </c>
      <c r="X157">
        <v>4580</v>
      </c>
      <c r="Y157" t="s">
        <v>1493</v>
      </c>
      <c r="Z157" t="s">
        <v>19</v>
      </c>
      <c r="AA157">
        <v>4715</v>
      </c>
      <c r="AB157" t="s">
        <v>19</v>
      </c>
      <c r="AC157" t="s">
        <v>19</v>
      </c>
      <c r="AD157">
        <v>4716</v>
      </c>
      <c r="AE157" t="s">
        <v>1488</v>
      </c>
      <c r="AF157" t="s">
        <v>19</v>
      </c>
      <c r="AG157">
        <v>4719</v>
      </c>
      <c r="AH157" t="s">
        <v>19</v>
      </c>
      <c r="AI157" t="s">
        <v>19</v>
      </c>
      <c r="AJ157">
        <v>4739</v>
      </c>
      <c r="AK157" t="s">
        <v>1490</v>
      </c>
      <c r="AL157" t="s">
        <v>19</v>
      </c>
      <c r="AM157">
        <v>4743</v>
      </c>
      <c r="AN157" t="s">
        <v>1491</v>
      </c>
      <c r="AO157" t="s">
        <v>19</v>
      </c>
    </row>
    <row r="158" spans="1:41" x14ac:dyDescent="0.45">
      <c r="A158" t="s">
        <v>1266</v>
      </c>
      <c r="B158">
        <v>8</v>
      </c>
      <c r="C158" t="str">
        <f>HYPERLINK("http://www.ncbi.nlm.nih.gov/protein/XP_052468031.1","XP_052468031.1")</f>
        <v>XP_052468031.1</v>
      </c>
      <c r="D158">
        <v>91592</v>
      </c>
      <c r="E158" t="str">
        <f>HYPERLINK("http://www.ncbi.nlm.nih.gov/Taxonomy/Browser/wwwtax.cgi?mode=Info&amp;id=101364&amp;lvl=3&amp;lin=f&amp;keep=1&amp;srchmode=1&amp;unlock","101364")</f>
        <v>101364</v>
      </c>
      <c r="F158" t="s">
        <v>17</v>
      </c>
      <c r="G158" t="str">
        <f>HYPERLINK("http://www.ncbi.nlm.nih.gov/Taxonomy/Browser/wwwtax.cgi?mode=Info&amp;id=101364&amp;lvl=3&amp;lin=f&amp;keep=1&amp;srchmode=1&amp;unlock","Carassius gibelio")</f>
        <v>Carassius gibelio</v>
      </c>
      <c r="H158" t="s">
        <v>28</v>
      </c>
      <c r="I158" t="str">
        <f>HYPERLINK("http://www.ncbi.nlm.nih.gov/protein/XP_052468031.1","ryanodine receptor 2 isoform X4")</f>
        <v>ryanodine receptor 2 isoform X4</v>
      </c>
      <c r="J158" t="s">
        <v>1494</v>
      </c>
      <c r="K158" t="s">
        <v>19</v>
      </c>
      <c r="L158">
        <v>4502</v>
      </c>
      <c r="M158" t="s">
        <v>19</v>
      </c>
      <c r="N158" t="s">
        <v>19</v>
      </c>
      <c r="O158">
        <v>4505</v>
      </c>
      <c r="P158" t="s">
        <v>1486</v>
      </c>
      <c r="Q158" t="s">
        <v>19</v>
      </c>
      <c r="R158">
        <v>4506</v>
      </c>
      <c r="S158" t="s">
        <v>1495</v>
      </c>
      <c r="T158" t="s">
        <v>19</v>
      </c>
      <c r="U158">
        <v>4509</v>
      </c>
      <c r="V158" t="s">
        <v>1488</v>
      </c>
      <c r="W158" t="s">
        <v>19</v>
      </c>
      <c r="X158">
        <v>4590</v>
      </c>
      <c r="Y158" t="s">
        <v>1493</v>
      </c>
      <c r="Z158" t="s">
        <v>19</v>
      </c>
      <c r="AA158">
        <v>4725</v>
      </c>
      <c r="AB158" t="s">
        <v>19</v>
      </c>
      <c r="AC158" t="s">
        <v>19</v>
      </c>
      <c r="AD158">
        <v>4726</v>
      </c>
      <c r="AE158" t="s">
        <v>1488</v>
      </c>
      <c r="AF158" t="s">
        <v>19</v>
      </c>
      <c r="AG158">
        <v>4729</v>
      </c>
      <c r="AH158" t="s">
        <v>19</v>
      </c>
      <c r="AI158" t="s">
        <v>19</v>
      </c>
      <c r="AJ158">
        <v>4749</v>
      </c>
      <c r="AK158" t="s">
        <v>1490</v>
      </c>
      <c r="AL158" t="s">
        <v>19</v>
      </c>
      <c r="AM158">
        <v>4753</v>
      </c>
      <c r="AN158" t="s">
        <v>1491</v>
      </c>
      <c r="AO158" t="s">
        <v>19</v>
      </c>
    </row>
    <row r="159" spans="1:41" x14ac:dyDescent="0.45">
      <c r="A159" t="s">
        <v>1266</v>
      </c>
      <c r="B159">
        <v>8</v>
      </c>
      <c r="C159" t="str">
        <f>HYPERLINK("http://www.ncbi.nlm.nih.gov/protein/XP_059387481.1","XP_059387481.1")</f>
        <v>XP_059387481.1</v>
      </c>
      <c r="D159">
        <v>74399</v>
      </c>
      <c r="E159" t="str">
        <f>HYPERLINK("http://www.ncbi.nlm.nih.gov/Taxonomy/Browser/wwwtax.cgi?mode=Info&amp;id=217509&amp;lvl=3&amp;lin=f&amp;keep=1&amp;srchmode=1&amp;unlock","217509")</f>
        <v>217509</v>
      </c>
      <c r="F159" t="s">
        <v>17</v>
      </c>
      <c r="G159" t="str">
        <f>HYPERLINK("http://www.ncbi.nlm.nih.gov/Taxonomy/Browser/wwwtax.cgi?mode=Info&amp;id=217509&amp;lvl=3&amp;lin=f&amp;keep=1&amp;srchmode=1&amp;unlock","Carassius carassius")</f>
        <v>Carassius carassius</v>
      </c>
      <c r="H159" t="s">
        <v>25</v>
      </c>
      <c r="I159" t="str">
        <f>HYPERLINK("http://www.ncbi.nlm.nih.gov/protein/XP_059387481.1","ryanodine receptor 2 isoform X1")</f>
        <v>ryanodine receptor 2 isoform X1</v>
      </c>
      <c r="J159" t="s">
        <v>1494</v>
      </c>
      <c r="K159" t="s">
        <v>19</v>
      </c>
      <c r="L159">
        <v>4492</v>
      </c>
      <c r="M159" t="s">
        <v>19</v>
      </c>
      <c r="N159" t="s">
        <v>19</v>
      </c>
      <c r="O159">
        <v>4495</v>
      </c>
      <c r="P159" t="s">
        <v>1486</v>
      </c>
      <c r="Q159" t="s">
        <v>19</v>
      </c>
      <c r="R159">
        <v>4496</v>
      </c>
      <c r="S159" t="s">
        <v>1495</v>
      </c>
      <c r="T159" t="s">
        <v>19</v>
      </c>
      <c r="U159">
        <v>4499</v>
      </c>
      <c r="V159" t="s">
        <v>1488</v>
      </c>
      <c r="W159" t="s">
        <v>19</v>
      </c>
      <c r="X159">
        <v>4580</v>
      </c>
      <c r="Y159" t="s">
        <v>1493</v>
      </c>
      <c r="Z159" t="s">
        <v>19</v>
      </c>
      <c r="AA159">
        <v>4715</v>
      </c>
      <c r="AB159" t="s">
        <v>19</v>
      </c>
      <c r="AC159" t="s">
        <v>19</v>
      </c>
      <c r="AD159">
        <v>4716</v>
      </c>
      <c r="AE159" t="s">
        <v>1488</v>
      </c>
      <c r="AF159" t="s">
        <v>19</v>
      </c>
      <c r="AG159">
        <v>4719</v>
      </c>
      <c r="AH159" t="s">
        <v>19</v>
      </c>
      <c r="AI159" t="s">
        <v>19</v>
      </c>
      <c r="AJ159">
        <v>4739</v>
      </c>
      <c r="AK159" t="s">
        <v>1490</v>
      </c>
      <c r="AL159" t="s">
        <v>19</v>
      </c>
      <c r="AM159">
        <v>4743</v>
      </c>
      <c r="AN159" t="s">
        <v>1491</v>
      </c>
      <c r="AO159" t="s">
        <v>19</v>
      </c>
    </row>
    <row r="160" spans="1:41" x14ac:dyDescent="0.45">
      <c r="A160" t="s">
        <v>1266</v>
      </c>
      <c r="B160">
        <v>8</v>
      </c>
      <c r="C160" t="str">
        <f>HYPERLINK("http://www.ncbi.nlm.nih.gov/protein/XP_051523808.1","XP_051523808.1")</f>
        <v>XP_051523808.1</v>
      </c>
      <c r="D160">
        <v>81242</v>
      </c>
      <c r="E160" t="str">
        <f>HYPERLINK("http://www.ncbi.nlm.nih.gov/Taxonomy/Browser/wwwtax.cgi?mode=Info&amp;id=70543&amp;lvl=3&amp;lin=f&amp;keep=1&amp;srchmode=1&amp;unlock","70543")</f>
        <v>70543</v>
      </c>
      <c r="F160" t="s">
        <v>17</v>
      </c>
      <c r="G160" t="str">
        <f>HYPERLINK("http://www.ncbi.nlm.nih.gov/Taxonomy/Browser/wwwtax.cgi?mode=Info&amp;id=70543&amp;lvl=3&amp;lin=f&amp;keep=1&amp;srchmode=1&amp;unlock","Myxocyprinus asiaticus")</f>
        <v>Myxocyprinus asiaticus</v>
      </c>
      <c r="H160" t="s">
        <v>32</v>
      </c>
      <c r="I160" t="str">
        <f>HYPERLINK("http://www.ncbi.nlm.nih.gov/protein/XP_051523808.1","ryanodine receptor 2")</f>
        <v>ryanodine receptor 2</v>
      </c>
      <c r="J160" t="s">
        <v>1494</v>
      </c>
      <c r="K160" t="s">
        <v>19</v>
      </c>
      <c r="L160">
        <v>4497</v>
      </c>
      <c r="M160" t="s">
        <v>19</v>
      </c>
      <c r="N160" t="s">
        <v>19</v>
      </c>
      <c r="O160">
        <v>4500</v>
      </c>
      <c r="P160" t="s">
        <v>1486</v>
      </c>
      <c r="Q160" t="s">
        <v>19</v>
      </c>
      <c r="R160">
        <v>4501</v>
      </c>
      <c r="S160" t="s">
        <v>1495</v>
      </c>
      <c r="T160" t="s">
        <v>19</v>
      </c>
      <c r="U160">
        <v>4504</v>
      </c>
      <c r="V160" t="s">
        <v>1488</v>
      </c>
      <c r="W160" t="s">
        <v>19</v>
      </c>
      <c r="X160">
        <v>4583</v>
      </c>
      <c r="Y160" t="s">
        <v>1493</v>
      </c>
      <c r="Z160" t="s">
        <v>19</v>
      </c>
      <c r="AA160">
        <v>4718</v>
      </c>
      <c r="AB160" t="s">
        <v>19</v>
      </c>
      <c r="AC160" t="s">
        <v>19</v>
      </c>
      <c r="AD160">
        <v>4719</v>
      </c>
      <c r="AE160" t="s">
        <v>1488</v>
      </c>
      <c r="AF160" t="s">
        <v>19</v>
      </c>
      <c r="AG160">
        <v>4722</v>
      </c>
      <c r="AH160" t="s">
        <v>19</v>
      </c>
      <c r="AI160" t="s">
        <v>19</v>
      </c>
      <c r="AJ160">
        <v>4742</v>
      </c>
      <c r="AK160" t="s">
        <v>1490</v>
      </c>
      <c r="AL160" t="s">
        <v>19</v>
      </c>
      <c r="AM160">
        <v>4746</v>
      </c>
      <c r="AN160" t="s">
        <v>1491</v>
      </c>
      <c r="AO160" t="s">
        <v>19</v>
      </c>
    </row>
    <row r="161" spans="1:41" x14ac:dyDescent="0.45">
      <c r="A161" t="s">
        <v>1266</v>
      </c>
      <c r="B161">
        <v>8</v>
      </c>
      <c r="C161" t="str">
        <f>HYPERLINK("http://www.ncbi.nlm.nih.gov/protein/XP_055031660.1","XP_055031660.1")</f>
        <v>XP_055031660.1</v>
      </c>
      <c r="D161">
        <v>54879</v>
      </c>
      <c r="E161" t="str">
        <f>HYPERLINK("http://www.ncbi.nlm.nih.gov/Taxonomy/Browser/wwwtax.cgi?mode=Info&amp;id=75329&amp;lvl=3&amp;lin=f&amp;keep=1&amp;srchmode=1&amp;unlock","75329")</f>
        <v>75329</v>
      </c>
      <c r="F161" t="s">
        <v>17</v>
      </c>
      <c r="G161" t="str">
        <f>HYPERLINK("http://www.ncbi.nlm.nih.gov/Taxonomy/Browser/wwwtax.cgi?mode=Info&amp;id=75329&amp;lvl=3&amp;lin=f&amp;keep=1&amp;srchmode=1&amp;unlock","Misgurnus anguillicaudatus")</f>
        <v>Misgurnus anguillicaudatus</v>
      </c>
      <c r="H161" t="s">
        <v>36</v>
      </c>
      <c r="I161" t="str">
        <f>HYPERLINK("http://www.ncbi.nlm.nih.gov/protein/XP_055031660.1","ryanodine receptor 2 isoform X1")</f>
        <v>ryanodine receptor 2 isoform X1</v>
      </c>
      <c r="J161" t="s">
        <v>1494</v>
      </c>
      <c r="K161" t="s">
        <v>19</v>
      </c>
      <c r="L161">
        <v>4560</v>
      </c>
      <c r="M161" t="s">
        <v>19</v>
      </c>
      <c r="N161" t="s">
        <v>19</v>
      </c>
      <c r="O161">
        <v>4563</v>
      </c>
      <c r="P161" t="s">
        <v>1486</v>
      </c>
      <c r="Q161" t="s">
        <v>19</v>
      </c>
      <c r="R161">
        <v>4564</v>
      </c>
      <c r="S161" t="s">
        <v>1495</v>
      </c>
      <c r="T161" t="s">
        <v>19</v>
      </c>
      <c r="U161">
        <v>4567</v>
      </c>
      <c r="V161" t="s">
        <v>1488</v>
      </c>
      <c r="W161" t="s">
        <v>19</v>
      </c>
      <c r="X161">
        <v>4648</v>
      </c>
      <c r="Y161" t="s">
        <v>1493</v>
      </c>
      <c r="Z161" t="s">
        <v>19</v>
      </c>
      <c r="AA161">
        <v>4783</v>
      </c>
      <c r="AB161" t="s">
        <v>19</v>
      </c>
      <c r="AC161" t="s">
        <v>19</v>
      </c>
      <c r="AD161">
        <v>4784</v>
      </c>
      <c r="AE161" t="s">
        <v>1488</v>
      </c>
      <c r="AF161" t="s">
        <v>19</v>
      </c>
      <c r="AG161">
        <v>4787</v>
      </c>
      <c r="AH161" t="s">
        <v>19</v>
      </c>
      <c r="AI161" t="s">
        <v>19</v>
      </c>
      <c r="AJ161">
        <v>4807</v>
      </c>
      <c r="AK161" t="s">
        <v>1490</v>
      </c>
      <c r="AL161" t="s">
        <v>19</v>
      </c>
      <c r="AM161">
        <v>4811</v>
      </c>
      <c r="AN161" t="s">
        <v>1491</v>
      </c>
      <c r="AO161" t="s">
        <v>19</v>
      </c>
    </row>
    <row r="162" spans="1:41" x14ac:dyDescent="0.45">
      <c r="A162" t="s">
        <v>1266</v>
      </c>
      <c r="B162">
        <v>8</v>
      </c>
      <c r="C162" t="str">
        <f>HYPERLINK("http://www.ncbi.nlm.nih.gov/protein/XP_056627770.1","XP_056627770.1")</f>
        <v>XP_056627770.1</v>
      </c>
      <c r="D162">
        <v>44187</v>
      </c>
      <c r="E162" t="str">
        <f>HYPERLINK("http://www.ncbi.nlm.nih.gov/Taxonomy/Browser/wwwtax.cgi?mode=Info&amp;id=1582913&amp;lvl=3&amp;lin=f&amp;keep=1&amp;srchmode=1&amp;unlock","1582913")</f>
        <v>1582913</v>
      </c>
      <c r="F162" t="s">
        <v>17</v>
      </c>
      <c r="G162" t="str">
        <f>HYPERLINK("http://www.ncbi.nlm.nih.gov/Taxonomy/Browser/wwwtax.cgi?mode=Info&amp;id=1582913&amp;lvl=3&amp;lin=f&amp;keep=1&amp;srchmode=1&amp;unlock","Triplophysa dalaica")</f>
        <v>Triplophysa dalaica</v>
      </c>
      <c r="H162" t="s">
        <v>33</v>
      </c>
      <c r="I162" t="str">
        <f>HYPERLINK("http://www.ncbi.nlm.nih.gov/protein/XP_056627770.1","ryanodine receptor 2 isoform X4")</f>
        <v>ryanodine receptor 2 isoform X4</v>
      </c>
      <c r="J162" t="s">
        <v>1494</v>
      </c>
      <c r="K162" t="s">
        <v>19</v>
      </c>
      <c r="L162">
        <v>4514</v>
      </c>
      <c r="M162" t="s">
        <v>19</v>
      </c>
      <c r="N162" t="s">
        <v>19</v>
      </c>
      <c r="O162">
        <v>4517</v>
      </c>
      <c r="P162" t="s">
        <v>1486</v>
      </c>
      <c r="Q162" t="s">
        <v>19</v>
      </c>
      <c r="R162">
        <v>4518</v>
      </c>
      <c r="S162" t="s">
        <v>1495</v>
      </c>
      <c r="T162" t="s">
        <v>19</v>
      </c>
      <c r="U162">
        <v>4521</v>
      </c>
      <c r="V162" t="s">
        <v>1488</v>
      </c>
      <c r="W162" t="s">
        <v>19</v>
      </c>
      <c r="X162">
        <v>4602</v>
      </c>
      <c r="Y162" t="s">
        <v>1493</v>
      </c>
      <c r="Z162" t="s">
        <v>19</v>
      </c>
      <c r="AA162">
        <v>4737</v>
      </c>
      <c r="AB162" t="s">
        <v>19</v>
      </c>
      <c r="AC162" t="s">
        <v>19</v>
      </c>
      <c r="AD162">
        <v>4738</v>
      </c>
      <c r="AE162" t="s">
        <v>1488</v>
      </c>
      <c r="AF162" t="s">
        <v>19</v>
      </c>
      <c r="AG162">
        <v>4741</v>
      </c>
      <c r="AH162" t="s">
        <v>19</v>
      </c>
      <c r="AI162" t="s">
        <v>19</v>
      </c>
      <c r="AJ162">
        <v>4761</v>
      </c>
      <c r="AK162" t="s">
        <v>1490</v>
      </c>
      <c r="AL162" t="s">
        <v>19</v>
      </c>
      <c r="AM162">
        <v>4765</v>
      </c>
      <c r="AN162" t="s">
        <v>1491</v>
      </c>
      <c r="AO162" t="s">
        <v>19</v>
      </c>
    </row>
    <row r="163" spans="1:41" x14ac:dyDescent="0.45">
      <c r="A163" t="s">
        <v>1266</v>
      </c>
      <c r="B163">
        <v>8</v>
      </c>
      <c r="C163" t="str">
        <f>HYPERLINK("http://www.ncbi.nlm.nih.gov/protein/XP_051958659.1","XP_051958659.1")</f>
        <v>XP_051958659.1</v>
      </c>
      <c r="D163">
        <v>66368</v>
      </c>
      <c r="E163" t="str">
        <f>HYPERLINK("http://www.ncbi.nlm.nih.gov/Taxonomy/Browser/wwwtax.cgi?mode=Info&amp;id=154827&amp;lvl=3&amp;lin=f&amp;keep=1&amp;srchmode=1&amp;unlock","154827")</f>
        <v>154827</v>
      </c>
      <c r="F163" t="s">
        <v>17</v>
      </c>
      <c r="G163" t="str">
        <f>HYPERLINK("http://www.ncbi.nlm.nih.gov/Taxonomy/Browser/wwwtax.cgi?mode=Info&amp;id=154827&amp;lvl=3&amp;lin=f&amp;keep=1&amp;srchmode=1&amp;unlock","Xyrauchen texanus")</f>
        <v>Xyrauchen texanus</v>
      </c>
      <c r="H163" t="s">
        <v>34</v>
      </c>
      <c r="I163" t="str">
        <f>HYPERLINK("http://www.ncbi.nlm.nih.gov/protein/XP_051958659.1","ryanodine receptor 2")</f>
        <v>ryanodine receptor 2</v>
      </c>
      <c r="J163" t="s">
        <v>1494</v>
      </c>
      <c r="K163" t="s">
        <v>19</v>
      </c>
      <c r="L163">
        <v>4503</v>
      </c>
      <c r="M163" t="s">
        <v>19</v>
      </c>
      <c r="N163" t="s">
        <v>19</v>
      </c>
      <c r="O163">
        <v>4506</v>
      </c>
      <c r="P163" t="s">
        <v>1486</v>
      </c>
      <c r="Q163" t="s">
        <v>19</v>
      </c>
      <c r="R163">
        <v>4507</v>
      </c>
      <c r="S163" t="s">
        <v>1495</v>
      </c>
      <c r="T163" t="s">
        <v>19</v>
      </c>
      <c r="U163">
        <v>4510</v>
      </c>
      <c r="V163" t="s">
        <v>1488</v>
      </c>
      <c r="W163" t="s">
        <v>19</v>
      </c>
      <c r="X163">
        <v>4591</v>
      </c>
      <c r="Y163" t="s">
        <v>1493</v>
      </c>
      <c r="Z163" t="s">
        <v>19</v>
      </c>
      <c r="AA163">
        <v>4726</v>
      </c>
      <c r="AB163" t="s">
        <v>19</v>
      </c>
      <c r="AC163" t="s">
        <v>19</v>
      </c>
      <c r="AD163">
        <v>4727</v>
      </c>
      <c r="AE163" t="s">
        <v>1488</v>
      </c>
      <c r="AF163" t="s">
        <v>19</v>
      </c>
      <c r="AG163">
        <v>4730</v>
      </c>
      <c r="AH163" t="s">
        <v>19</v>
      </c>
      <c r="AI163" t="s">
        <v>19</v>
      </c>
      <c r="AJ163">
        <v>4750</v>
      </c>
      <c r="AK163" t="s">
        <v>1490</v>
      </c>
      <c r="AL163" t="s">
        <v>19</v>
      </c>
      <c r="AM163">
        <v>4754</v>
      </c>
      <c r="AN163" t="s">
        <v>1491</v>
      </c>
      <c r="AO163" t="s">
        <v>19</v>
      </c>
    </row>
    <row r="164" spans="1:41" x14ac:dyDescent="0.45">
      <c r="A164" t="s">
        <v>1266</v>
      </c>
      <c r="B164">
        <v>8</v>
      </c>
      <c r="C164" t="str">
        <f>HYPERLINK("http://www.ncbi.nlm.nih.gov/protein/XP_042624085.1","XP_042624085.1")</f>
        <v>XP_042624085.1</v>
      </c>
      <c r="D164">
        <v>134023</v>
      </c>
      <c r="E164" t="str">
        <f>HYPERLINK("http://www.ncbi.nlm.nih.gov/Taxonomy/Browser/wwwtax.cgi?mode=Info&amp;id=7962&amp;lvl=3&amp;lin=f&amp;keep=1&amp;srchmode=1&amp;unlock","7962")</f>
        <v>7962</v>
      </c>
      <c r="F164" t="s">
        <v>17</v>
      </c>
      <c r="G164" t="str">
        <f>HYPERLINK("http://www.ncbi.nlm.nih.gov/Taxonomy/Browser/wwwtax.cgi?mode=Info&amp;id=7962&amp;lvl=3&amp;lin=f&amp;keep=1&amp;srchmode=1&amp;unlock","Cyprinus carpio")</f>
        <v>Cyprinus carpio</v>
      </c>
      <c r="H164" t="s">
        <v>35</v>
      </c>
      <c r="I164" t="str">
        <f>HYPERLINK("http://www.ncbi.nlm.nih.gov/protein/XP_042624085.1","LOW QUALITY PROTEIN: ryanodine receptor 2")</f>
        <v>LOW QUALITY PROTEIN: ryanodine receptor 2</v>
      </c>
      <c r="J164" t="s">
        <v>1494</v>
      </c>
      <c r="K164" t="s">
        <v>19</v>
      </c>
      <c r="L164">
        <v>4500</v>
      </c>
      <c r="M164" t="s">
        <v>19</v>
      </c>
      <c r="N164" t="s">
        <v>19</v>
      </c>
      <c r="O164">
        <v>4503</v>
      </c>
      <c r="P164" t="s">
        <v>1486</v>
      </c>
      <c r="Q164" t="s">
        <v>19</v>
      </c>
      <c r="R164">
        <v>4504</v>
      </c>
      <c r="S164" t="s">
        <v>1495</v>
      </c>
      <c r="T164" t="s">
        <v>19</v>
      </c>
      <c r="U164">
        <v>4507</v>
      </c>
      <c r="V164" t="s">
        <v>1488</v>
      </c>
      <c r="W164" t="s">
        <v>19</v>
      </c>
      <c r="X164">
        <v>4588</v>
      </c>
      <c r="Y164" t="s">
        <v>1493</v>
      </c>
      <c r="Z164" t="s">
        <v>19</v>
      </c>
      <c r="AA164">
        <v>4723</v>
      </c>
      <c r="AB164" t="s">
        <v>19</v>
      </c>
      <c r="AC164" t="s">
        <v>19</v>
      </c>
      <c r="AD164">
        <v>4724</v>
      </c>
      <c r="AE164" t="s">
        <v>1488</v>
      </c>
      <c r="AF164" t="s">
        <v>19</v>
      </c>
      <c r="AG164">
        <v>4727</v>
      </c>
      <c r="AH164" t="s">
        <v>19</v>
      </c>
      <c r="AI164" t="s">
        <v>19</v>
      </c>
      <c r="AJ164">
        <v>4747</v>
      </c>
      <c r="AK164" t="s">
        <v>1490</v>
      </c>
      <c r="AL164" t="s">
        <v>19</v>
      </c>
      <c r="AM164">
        <v>4751</v>
      </c>
      <c r="AN164" t="s">
        <v>1491</v>
      </c>
      <c r="AO164" t="s">
        <v>19</v>
      </c>
    </row>
    <row r="165" spans="1:41" x14ac:dyDescent="0.45">
      <c r="A165" t="s">
        <v>1266</v>
      </c>
      <c r="B165">
        <v>8</v>
      </c>
      <c r="C165" t="str">
        <f>HYPERLINK("http://www.ncbi.nlm.nih.gov/protein/XP_057215190.1","XP_057215190.1")</f>
        <v>XP_057215190.1</v>
      </c>
      <c r="D165">
        <v>70292</v>
      </c>
      <c r="E165" t="str">
        <f>HYPERLINK("http://www.ncbi.nlm.nih.gov/Taxonomy/Browser/wwwtax.cgi?mode=Info&amp;id=992332&amp;lvl=3&amp;lin=f&amp;keep=1&amp;srchmode=1&amp;unlock","992332")</f>
        <v>992332</v>
      </c>
      <c r="F165" t="s">
        <v>17</v>
      </c>
      <c r="G165" t="str">
        <f>HYPERLINK("http://www.ncbi.nlm.nih.gov/Taxonomy/Browser/wwwtax.cgi?mode=Info&amp;id=992332&amp;lvl=3&amp;lin=f&amp;keep=1&amp;srchmode=1&amp;unlock","Triplophysa rosa")</f>
        <v>Triplophysa rosa</v>
      </c>
      <c r="H165" t="s">
        <v>33</v>
      </c>
      <c r="I165" t="str">
        <f>HYPERLINK("http://www.ncbi.nlm.nih.gov/protein/XP_057215190.1","ryanodine receptor 2")</f>
        <v>ryanodine receptor 2</v>
      </c>
      <c r="J165" t="s">
        <v>1494</v>
      </c>
      <c r="K165" t="s">
        <v>19</v>
      </c>
      <c r="L165">
        <v>4480</v>
      </c>
      <c r="M165" t="s">
        <v>19</v>
      </c>
      <c r="N165" t="s">
        <v>19</v>
      </c>
      <c r="O165">
        <v>4483</v>
      </c>
      <c r="P165" t="s">
        <v>1486</v>
      </c>
      <c r="Q165" t="s">
        <v>19</v>
      </c>
      <c r="R165">
        <v>4484</v>
      </c>
      <c r="S165" t="s">
        <v>1495</v>
      </c>
      <c r="T165" t="s">
        <v>19</v>
      </c>
      <c r="U165">
        <v>4487</v>
      </c>
      <c r="V165" t="s">
        <v>1488</v>
      </c>
      <c r="W165" t="s">
        <v>19</v>
      </c>
      <c r="X165">
        <v>4568</v>
      </c>
      <c r="Y165" t="s">
        <v>1493</v>
      </c>
      <c r="Z165" t="s">
        <v>19</v>
      </c>
      <c r="AA165">
        <v>4703</v>
      </c>
      <c r="AB165" t="s">
        <v>19</v>
      </c>
      <c r="AC165" t="s">
        <v>19</v>
      </c>
      <c r="AD165">
        <v>4704</v>
      </c>
      <c r="AE165" t="s">
        <v>1488</v>
      </c>
      <c r="AF165" t="s">
        <v>19</v>
      </c>
      <c r="AG165">
        <v>4707</v>
      </c>
      <c r="AH165" t="s">
        <v>19</v>
      </c>
      <c r="AI165" t="s">
        <v>19</v>
      </c>
      <c r="AJ165">
        <v>4727</v>
      </c>
      <c r="AK165" t="s">
        <v>1490</v>
      </c>
      <c r="AL165" t="s">
        <v>19</v>
      </c>
      <c r="AM165">
        <v>4731</v>
      </c>
      <c r="AN165" t="s">
        <v>1491</v>
      </c>
      <c r="AO165" t="s">
        <v>19</v>
      </c>
    </row>
    <row r="166" spans="1:41" x14ac:dyDescent="0.45">
      <c r="A166" t="s">
        <v>1266</v>
      </c>
      <c r="B166">
        <v>8</v>
      </c>
      <c r="C166" t="str">
        <f>HYPERLINK("http://www.ncbi.nlm.nih.gov/protein/XP_036427880.1","XP_036427880.1")</f>
        <v>XP_036427880.1</v>
      </c>
      <c r="D166">
        <v>43804</v>
      </c>
      <c r="E166" t="str">
        <f>HYPERLINK("http://www.ncbi.nlm.nih.gov/Taxonomy/Browser/wwwtax.cgi?mode=Info&amp;id=42526&amp;lvl=3&amp;lin=f&amp;keep=1&amp;srchmode=1&amp;unlock","42526")</f>
        <v>42526</v>
      </c>
      <c r="F166" t="s">
        <v>17</v>
      </c>
      <c r="G166" t="str">
        <f>HYPERLINK("http://www.ncbi.nlm.nih.gov/Taxonomy/Browser/wwwtax.cgi?mode=Info&amp;id=42526&amp;lvl=3&amp;lin=f&amp;keep=1&amp;srchmode=1&amp;unlock","Colossoma macropomum")</f>
        <v>Colossoma macropomum</v>
      </c>
      <c r="H166" t="s">
        <v>38</v>
      </c>
      <c r="I166" t="str">
        <f>HYPERLINK("http://www.ncbi.nlm.nih.gov/protein/XP_036427880.1","LOW QUALITY PROTEIN: ryanodine receptor 2")</f>
        <v>LOW QUALITY PROTEIN: ryanodine receptor 2</v>
      </c>
      <c r="J166" t="s">
        <v>1494</v>
      </c>
      <c r="K166" t="s">
        <v>19</v>
      </c>
      <c r="L166">
        <v>4505</v>
      </c>
      <c r="M166" t="s">
        <v>19</v>
      </c>
      <c r="N166" t="s">
        <v>19</v>
      </c>
      <c r="O166">
        <v>4508</v>
      </c>
      <c r="P166" t="s">
        <v>1486</v>
      </c>
      <c r="Q166" t="s">
        <v>19</v>
      </c>
      <c r="R166">
        <v>4509</v>
      </c>
      <c r="S166" t="s">
        <v>1495</v>
      </c>
      <c r="T166" t="s">
        <v>19</v>
      </c>
      <c r="U166">
        <v>4512</v>
      </c>
      <c r="V166" t="s">
        <v>1488</v>
      </c>
      <c r="W166" t="s">
        <v>19</v>
      </c>
      <c r="X166">
        <v>4594</v>
      </c>
      <c r="Y166" t="s">
        <v>1493</v>
      </c>
      <c r="Z166" t="s">
        <v>19</v>
      </c>
      <c r="AA166">
        <v>4729</v>
      </c>
      <c r="AB166" t="s">
        <v>19</v>
      </c>
      <c r="AC166" t="s">
        <v>19</v>
      </c>
      <c r="AD166">
        <v>4730</v>
      </c>
      <c r="AE166" t="s">
        <v>1488</v>
      </c>
      <c r="AF166" t="s">
        <v>19</v>
      </c>
      <c r="AG166">
        <v>4733</v>
      </c>
      <c r="AH166" t="s">
        <v>19</v>
      </c>
      <c r="AI166" t="s">
        <v>19</v>
      </c>
      <c r="AJ166">
        <v>4753</v>
      </c>
      <c r="AK166" t="s">
        <v>1490</v>
      </c>
      <c r="AL166" t="s">
        <v>19</v>
      </c>
      <c r="AM166">
        <v>4757</v>
      </c>
      <c r="AN166" t="s">
        <v>1491</v>
      </c>
      <c r="AO166" t="s">
        <v>19</v>
      </c>
    </row>
    <row r="167" spans="1:41" x14ac:dyDescent="0.45">
      <c r="A167" t="s">
        <v>1266</v>
      </c>
      <c r="B167">
        <v>8</v>
      </c>
      <c r="C167" t="str">
        <f>HYPERLINK("http://www.ncbi.nlm.nih.gov/protein/XP_037400045.1","XP_037400045.1")</f>
        <v>XP_037400045.1</v>
      </c>
      <c r="D167">
        <v>50772</v>
      </c>
      <c r="E167" t="str">
        <f>HYPERLINK("http://www.ncbi.nlm.nih.gov/Taxonomy/Browser/wwwtax.cgi?mode=Info&amp;id=42514&amp;lvl=3&amp;lin=f&amp;keep=1&amp;srchmode=1&amp;unlock","42514")</f>
        <v>42514</v>
      </c>
      <c r="F167" t="s">
        <v>17</v>
      </c>
      <c r="G167" t="str">
        <f>HYPERLINK("http://www.ncbi.nlm.nih.gov/Taxonomy/Browser/wwwtax.cgi?mode=Info&amp;id=42514&amp;lvl=3&amp;lin=f&amp;keep=1&amp;srchmode=1&amp;unlock","Pygocentrus nattereri")</f>
        <v>Pygocentrus nattereri</v>
      </c>
      <c r="H167" t="s">
        <v>39</v>
      </c>
      <c r="I167" t="str">
        <f>HYPERLINK("http://www.ncbi.nlm.nih.gov/protein/XP_037400045.1","ryanodine receptor 2 isoform X23")</f>
        <v>ryanodine receptor 2 isoform X23</v>
      </c>
      <c r="J167" t="s">
        <v>1494</v>
      </c>
      <c r="K167" t="s">
        <v>19</v>
      </c>
      <c r="L167">
        <v>4513</v>
      </c>
      <c r="M167" t="s">
        <v>19</v>
      </c>
      <c r="N167" t="s">
        <v>19</v>
      </c>
      <c r="O167">
        <v>4516</v>
      </c>
      <c r="P167" t="s">
        <v>1486</v>
      </c>
      <c r="Q167" t="s">
        <v>19</v>
      </c>
      <c r="R167">
        <v>4517</v>
      </c>
      <c r="S167" t="s">
        <v>1495</v>
      </c>
      <c r="T167" t="s">
        <v>19</v>
      </c>
      <c r="U167">
        <v>4520</v>
      </c>
      <c r="V167" t="s">
        <v>1488</v>
      </c>
      <c r="W167" t="s">
        <v>19</v>
      </c>
      <c r="X167">
        <v>4602</v>
      </c>
      <c r="Y167" t="s">
        <v>1493</v>
      </c>
      <c r="Z167" t="s">
        <v>19</v>
      </c>
      <c r="AA167">
        <v>4737</v>
      </c>
      <c r="AB167" t="s">
        <v>19</v>
      </c>
      <c r="AC167" t="s">
        <v>19</v>
      </c>
      <c r="AD167">
        <v>4738</v>
      </c>
      <c r="AE167" t="s">
        <v>1488</v>
      </c>
      <c r="AF167" t="s">
        <v>19</v>
      </c>
      <c r="AG167">
        <v>4741</v>
      </c>
      <c r="AH167" t="s">
        <v>19</v>
      </c>
      <c r="AI167" t="s">
        <v>19</v>
      </c>
      <c r="AJ167">
        <v>4761</v>
      </c>
      <c r="AK167" t="s">
        <v>1490</v>
      </c>
      <c r="AL167" t="s">
        <v>19</v>
      </c>
      <c r="AM167">
        <v>4765</v>
      </c>
      <c r="AN167" t="s">
        <v>1491</v>
      </c>
      <c r="AO167" t="s">
        <v>19</v>
      </c>
    </row>
    <row r="168" spans="1:41" x14ac:dyDescent="0.45">
      <c r="A168" t="s">
        <v>1266</v>
      </c>
      <c r="B168">
        <v>8</v>
      </c>
      <c r="C168" t="str">
        <f>HYPERLINK("http://www.ncbi.nlm.nih.gov/protein/XP_049320484.1","XP_049320484.1")</f>
        <v>XP_049320484.1</v>
      </c>
      <c r="D168">
        <v>77276</v>
      </c>
      <c r="E168" t="str">
        <f>HYPERLINK("http://www.ncbi.nlm.nih.gov/Taxonomy/Browser/wwwtax.cgi?mode=Info&amp;id=7994&amp;lvl=3&amp;lin=f&amp;keep=1&amp;srchmode=1&amp;unlock","7994")</f>
        <v>7994</v>
      </c>
      <c r="F168" t="s">
        <v>17</v>
      </c>
      <c r="G168" t="str">
        <f>HYPERLINK("http://www.ncbi.nlm.nih.gov/Taxonomy/Browser/wwwtax.cgi?mode=Info&amp;id=7994&amp;lvl=3&amp;lin=f&amp;keep=1&amp;srchmode=1&amp;unlock","Astyanax mexicanus")</f>
        <v>Astyanax mexicanus</v>
      </c>
      <c r="H168" t="s">
        <v>37</v>
      </c>
      <c r="I168" t="str">
        <f>HYPERLINK("http://www.ncbi.nlm.nih.gov/protein/XP_049320484.1","ryanodine receptor 2 isoform X3")</f>
        <v>ryanodine receptor 2 isoform X3</v>
      </c>
      <c r="J168" t="s">
        <v>1494</v>
      </c>
      <c r="K168" t="s">
        <v>19</v>
      </c>
      <c r="L168">
        <v>4503</v>
      </c>
      <c r="M168" t="s">
        <v>19</v>
      </c>
      <c r="N168" t="s">
        <v>19</v>
      </c>
      <c r="O168">
        <v>4506</v>
      </c>
      <c r="P168" t="s">
        <v>1486</v>
      </c>
      <c r="Q168" t="s">
        <v>19</v>
      </c>
      <c r="R168">
        <v>4507</v>
      </c>
      <c r="S168" t="s">
        <v>1495</v>
      </c>
      <c r="T168" t="s">
        <v>19</v>
      </c>
      <c r="U168">
        <v>4510</v>
      </c>
      <c r="V168" t="s">
        <v>1488</v>
      </c>
      <c r="W168" t="s">
        <v>19</v>
      </c>
      <c r="X168">
        <v>4592</v>
      </c>
      <c r="Y168" t="s">
        <v>1493</v>
      </c>
      <c r="Z168" t="s">
        <v>19</v>
      </c>
      <c r="AA168">
        <v>4727</v>
      </c>
      <c r="AB168" t="s">
        <v>19</v>
      </c>
      <c r="AC168" t="s">
        <v>19</v>
      </c>
      <c r="AD168">
        <v>4728</v>
      </c>
      <c r="AE168" t="s">
        <v>1488</v>
      </c>
      <c r="AF168" t="s">
        <v>19</v>
      </c>
      <c r="AG168">
        <v>4731</v>
      </c>
      <c r="AH168" t="s">
        <v>19</v>
      </c>
      <c r="AI168" t="s">
        <v>19</v>
      </c>
      <c r="AJ168">
        <v>4751</v>
      </c>
      <c r="AK168" t="s">
        <v>1490</v>
      </c>
      <c r="AL168" t="s">
        <v>19</v>
      </c>
      <c r="AM168">
        <v>4755</v>
      </c>
      <c r="AN168" t="s">
        <v>1491</v>
      </c>
      <c r="AO168" t="s">
        <v>19</v>
      </c>
    </row>
    <row r="169" spans="1:41" x14ac:dyDescent="0.45">
      <c r="A169" t="s">
        <v>1266</v>
      </c>
      <c r="B169">
        <v>8</v>
      </c>
      <c r="C169" t="str">
        <f>HYPERLINK("http://www.ncbi.nlm.nih.gov/protein/XP_058262189.1","XP_058262189.1")</f>
        <v>XP_058262189.1</v>
      </c>
      <c r="D169">
        <v>69182</v>
      </c>
      <c r="E169" t="str">
        <f>HYPERLINK("http://www.ncbi.nlm.nih.gov/Taxonomy/Browser/wwwtax.cgi?mode=Info&amp;id=337641&amp;lvl=3&amp;lin=f&amp;keep=1&amp;srchmode=1&amp;unlock","337641")</f>
        <v>337641</v>
      </c>
      <c r="F169" t="s">
        <v>17</v>
      </c>
      <c r="G169" t="str">
        <f>HYPERLINK("http://www.ncbi.nlm.nih.gov/Taxonomy/Browser/wwwtax.cgi?mode=Info&amp;id=337641&amp;lvl=3&amp;lin=f&amp;keep=1&amp;srchmode=1&amp;unlock","Hemibagrus wyckioides")</f>
        <v>Hemibagrus wyckioides</v>
      </c>
      <c r="H169" t="s">
        <v>45</v>
      </c>
      <c r="I169" t="str">
        <f>HYPERLINK("http://www.ncbi.nlm.nih.gov/protein/XP_058262189.1","ryanodine receptor 2 isoform X11")</f>
        <v>ryanodine receptor 2 isoform X11</v>
      </c>
      <c r="J169" t="s">
        <v>1494</v>
      </c>
      <c r="K169" t="s">
        <v>19</v>
      </c>
      <c r="L169">
        <v>4511</v>
      </c>
      <c r="M169" t="s">
        <v>19</v>
      </c>
      <c r="N169" t="s">
        <v>19</v>
      </c>
      <c r="O169">
        <v>4514</v>
      </c>
      <c r="P169" t="s">
        <v>1486</v>
      </c>
      <c r="Q169" t="s">
        <v>19</v>
      </c>
      <c r="R169">
        <v>4515</v>
      </c>
      <c r="S169" t="s">
        <v>1495</v>
      </c>
      <c r="T169" t="s">
        <v>19</v>
      </c>
      <c r="U169">
        <v>4518</v>
      </c>
      <c r="V169" t="s">
        <v>1488</v>
      </c>
      <c r="W169" t="s">
        <v>19</v>
      </c>
      <c r="X169">
        <v>4601</v>
      </c>
      <c r="Y169" t="s">
        <v>1493</v>
      </c>
      <c r="Z169" t="s">
        <v>19</v>
      </c>
      <c r="AA169">
        <v>4736</v>
      </c>
      <c r="AB169" t="s">
        <v>19</v>
      </c>
      <c r="AC169" t="s">
        <v>19</v>
      </c>
      <c r="AD169">
        <v>4737</v>
      </c>
      <c r="AE169" t="s">
        <v>1488</v>
      </c>
      <c r="AF169" t="s">
        <v>19</v>
      </c>
      <c r="AG169">
        <v>4740</v>
      </c>
      <c r="AH169" t="s">
        <v>19</v>
      </c>
      <c r="AI169" t="s">
        <v>19</v>
      </c>
      <c r="AJ169">
        <v>4760</v>
      </c>
      <c r="AK169" t="s">
        <v>1490</v>
      </c>
      <c r="AL169" t="s">
        <v>19</v>
      </c>
      <c r="AM169">
        <v>4764</v>
      </c>
      <c r="AN169" t="s">
        <v>1491</v>
      </c>
      <c r="AO169" t="s">
        <v>19</v>
      </c>
    </row>
    <row r="170" spans="1:41" x14ac:dyDescent="0.45">
      <c r="A170" t="s">
        <v>1266</v>
      </c>
      <c r="B170">
        <v>8</v>
      </c>
      <c r="C170" t="str">
        <f>HYPERLINK("http://www.ncbi.nlm.nih.gov/protein/XP_016377141.1","XP_016377141.1")</f>
        <v>XP_016377141.1</v>
      </c>
      <c r="D170">
        <v>68583</v>
      </c>
      <c r="E170" t="str">
        <f>HYPERLINK("http://www.ncbi.nlm.nih.gov/Taxonomy/Browser/wwwtax.cgi?mode=Info&amp;id=307959&amp;lvl=3&amp;lin=f&amp;keep=1&amp;srchmode=1&amp;unlock","307959")</f>
        <v>307959</v>
      </c>
      <c r="F170" t="s">
        <v>17</v>
      </c>
      <c r="G170" t="str">
        <f>HYPERLINK("http://www.ncbi.nlm.nih.gov/Taxonomy/Browser/wwwtax.cgi?mode=Info&amp;id=307959&amp;lvl=3&amp;lin=f&amp;keep=1&amp;srchmode=1&amp;unlock","Sinocyclocheilus rhinocerous")</f>
        <v>Sinocyclocheilus rhinocerous</v>
      </c>
      <c r="H170" t="s">
        <v>21</v>
      </c>
      <c r="I170" t="str">
        <f>HYPERLINK("http://www.ncbi.nlm.nih.gov/protein/XP_016377141.1","PREDICTED: ryanodine receptor 2")</f>
        <v>PREDICTED: ryanodine receptor 2</v>
      </c>
      <c r="J170" t="s">
        <v>1494</v>
      </c>
      <c r="K170" t="s">
        <v>19</v>
      </c>
      <c r="L170">
        <v>4425</v>
      </c>
      <c r="M170" t="s">
        <v>19</v>
      </c>
      <c r="N170" t="s">
        <v>19</v>
      </c>
      <c r="O170">
        <v>4428</v>
      </c>
      <c r="P170" t="s">
        <v>1486</v>
      </c>
      <c r="Q170" t="s">
        <v>19</v>
      </c>
      <c r="R170">
        <v>4429</v>
      </c>
      <c r="S170" t="s">
        <v>1495</v>
      </c>
      <c r="T170" t="s">
        <v>19</v>
      </c>
      <c r="U170">
        <v>4432</v>
      </c>
      <c r="V170" t="s">
        <v>1488</v>
      </c>
      <c r="W170" t="s">
        <v>19</v>
      </c>
      <c r="X170">
        <v>4513</v>
      </c>
      <c r="Y170" t="s">
        <v>1493</v>
      </c>
      <c r="Z170" t="s">
        <v>19</v>
      </c>
      <c r="AA170">
        <v>4649</v>
      </c>
      <c r="AB170" t="s">
        <v>19</v>
      </c>
      <c r="AC170" t="s">
        <v>19</v>
      </c>
      <c r="AD170">
        <v>4650</v>
      </c>
      <c r="AE170" t="s">
        <v>1488</v>
      </c>
      <c r="AF170" t="s">
        <v>19</v>
      </c>
      <c r="AG170">
        <v>4653</v>
      </c>
      <c r="AH170" t="s">
        <v>19</v>
      </c>
      <c r="AI170" t="s">
        <v>19</v>
      </c>
      <c r="AJ170">
        <v>4673</v>
      </c>
      <c r="AK170" t="s">
        <v>1490</v>
      </c>
      <c r="AL170" t="s">
        <v>19</v>
      </c>
      <c r="AM170">
        <v>4677</v>
      </c>
      <c r="AN170" t="s">
        <v>1491</v>
      </c>
      <c r="AO170" t="s">
        <v>19</v>
      </c>
    </row>
    <row r="171" spans="1:41" x14ac:dyDescent="0.45">
      <c r="A171" t="s">
        <v>1266</v>
      </c>
      <c r="B171">
        <v>8</v>
      </c>
      <c r="C171" t="str">
        <f>HYPERLINK("http://www.ncbi.nlm.nih.gov/protein/XP_035260547.1","XP_035260547.1")</f>
        <v>XP_035260547.1</v>
      </c>
      <c r="D171">
        <v>86970</v>
      </c>
      <c r="E171" t="str">
        <f>HYPERLINK("http://www.ncbi.nlm.nih.gov/Taxonomy/Browser/wwwtax.cgi?mode=Info&amp;id=7936&amp;lvl=3&amp;lin=f&amp;keep=1&amp;srchmode=1&amp;unlock","7936")</f>
        <v>7936</v>
      </c>
      <c r="F171" t="s">
        <v>17</v>
      </c>
      <c r="G171" t="str">
        <f>HYPERLINK("http://www.ncbi.nlm.nih.gov/Taxonomy/Browser/wwwtax.cgi?mode=Info&amp;id=7936&amp;lvl=3&amp;lin=f&amp;keep=1&amp;srchmode=1&amp;unlock","Anguilla anguilla")</f>
        <v>Anguilla anguilla</v>
      </c>
      <c r="H171" t="s">
        <v>282</v>
      </c>
      <c r="I171" t="str">
        <f>HYPERLINK("http://www.ncbi.nlm.nih.gov/protein/XP_035260547.1","ryanodine receptor 2 isoform X4")</f>
        <v>ryanodine receptor 2 isoform X4</v>
      </c>
      <c r="J171" t="s">
        <v>1494</v>
      </c>
      <c r="K171" t="s">
        <v>19</v>
      </c>
      <c r="L171">
        <v>4497</v>
      </c>
      <c r="M171" t="s">
        <v>19</v>
      </c>
      <c r="N171" t="s">
        <v>19</v>
      </c>
      <c r="O171">
        <v>4500</v>
      </c>
      <c r="P171" t="s">
        <v>1486</v>
      </c>
      <c r="Q171" t="s">
        <v>19</v>
      </c>
      <c r="R171">
        <v>4501</v>
      </c>
      <c r="S171" t="s">
        <v>1495</v>
      </c>
      <c r="T171" t="s">
        <v>19</v>
      </c>
      <c r="U171">
        <v>4504</v>
      </c>
      <c r="V171" t="s">
        <v>1488</v>
      </c>
      <c r="W171" t="s">
        <v>19</v>
      </c>
      <c r="X171">
        <v>4585</v>
      </c>
      <c r="Y171" t="s">
        <v>1493</v>
      </c>
      <c r="Z171" t="s">
        <v>19</v>
      </c>
      <c r="AA171">
        <v>4720</v>
      </c>
      <c r="AB171" t="s">
        <v>19</v>
      </c>
      <c r="AC171" t="s">
        <v>19</v>
      </c>
      <c r="AD171">
        <v>4721</v>
      </c>
      <c r="AE171" t="s">
        <v>1488</v>
      </c>
      <c r="AF171" t="s">
        <v>19</v>
      </c>
      <c r="AG171">
        <v>4724</v>
      </c>
      <c r="AH171" t="s">
        <v>19</v>
      </c>
      <c r="AI171" t="s">
        <v>19</v>
      </c>
      <c r="AJ171">
        <v>4744</v>
      </c>
      <c r="AK171" t="s">
        <v>1490</v>
      </c>
      <c r="AL171" t="s">
        <v>19</v>
      </c>
      <c r="AM171">
        <v>4748</v>
      </c>
      <c r="AN171" t="s">
        <v>1491</v>
      </c>
      <c r="AO171" t="s">
        <v>19</v>
      </c>
    </row>
    <row r="172" spans="1:41" x14ac:dyDescent="0.45">
      <c r="A172" t="s">
        <v>1266</v>
      </c>
      <c r="B172">
        <v>8</v>
      </c>
      <c r="C172" t="str">
        <f>HYPERLINK("http://www.ncbi.nlm.nih.gov/protein/XP_046710503.1","XP_046710503.1")</f>
        <v>XP_046710503.1</v>
      </c>
      <c r="D172">
        <v>91563</v>
      </c>
      <c r="E172" t="str">
        <f>HYPERLINK("http://www.ncbi.nlm.nih.gov/Taxonomy/Browser/wwwtax.cgi?mode=Info&amp;id=175797&amp;lvl=3&amp;lin=f&amp;keep=1&amp;srchmode=1&amp;unlock","175797")</f>
        <v>175797</v>
      </c>
      <c r="F172" t="s">
        <v>17</v>
      </c>
      <c r="G172" t="str">
        <f>HYPERLINK("http://www.ncbi.nlm.nih.gov/Taxonomy/Browser/wwwtax.cgi?mode=Info&amp;id=175797&amp;lvl=3&amp;lin=f&amp;keep=1&amp;srchmode=1&amp;unlock","Silurus meridionalis")</f>
        <v>Silurus meridionalis</v>
      </c>
      <c r="H172" t="s">
        <v>172</v>
      </c>
      <c r="I172" t="str">
        <f>HYPERLINK("http://www.ncbi.nlm.nih.gov/protein/XP_046710503.1","ryanodine receptor 2 isoform X3")</f>
        <v>ryanodine receptor 2 isoform X3</v>
      </c>
      <c r="J172" t="s">
        <v>1494</v>
      </c>
      <c r="K172" t="s">
        <v>19</v>
      </c>
      <c r="L172">
        <v>4508</v>
      </c>
      <c r="M172" t="s">
        <v>19</v>
      </c>
      <c r="N172" t="s">
        <v>19</v>
      </c>
      <c r="O172">
        <v>4511</v>
      </c>
      <c r="P172" t="s">
        <v>1486</v>
      </c>
      <c r="Q172" t="s">
        <v>19</v>
      </c>
      <c r="R172">
        <v>4512</v>
      </c>
      <c r="S172" t="s">
        <v>1495</v>
      </c>
      <c r="T172" t="s">
        <v>19</v>
      </c>
      <c r="U172">
        <v>4515</v>
      </c>
      <c r="V172" t="s">
        <v>1488</v>
      </c>
      <c r="W172" t="s">
        <v>19</v>
      </c>
      <c r="X172">
        <v>4598</v>
      </c>
      <c r="Y172" t="s">
        <v>1493</v>
      </c>
      <c r="Z172" t="s">
        <v>19</v>
      </c>
      <c r="AA172">
        <v>4733</v>
      </c>
      <c r="AB172" t="s">
        <v>19</v>
      </c>
      <c r="AC172" t="s">
        <v>19</v>
      </c>
      <c r="AD172">
        <v>4734</v>
      </c>
      <c r="AE172" t="s">
        <v>1488</v>
      </c>
      <c r="AF172" t="s">
        <v>19</v>
      </c>
      <c r="AG172">
        <v>4737</v>
      </c>
      <c r="AH172" t="s">
        <v>19</v>
      </c>
      <c r="AI172" t="s">
        <v>19</v>
      </c>
      <c r="AJ172">
        <v>4757</v>
      </c>
      <c r="AK172" t="s">
        <v>1490</v>
      </c>
      <c r="AL172" t="s">
        <v>19</v>
      </c>
      <c r="AM172">
        <v>4761</v>
      </c>
      <c r="AN172" t="s">
        <v>1491</v>
      </c>
      <c r="AO172" t="s">
        <v>19</v>
      </c>
    </row>
    <row r="173" spans="1:41" x14ac:dyDescent="0.45">
      <c r="A173" t="s">
        <v>1266</v>
      </c>
      <c r="B173">
        <v>8</v>
      </c>
      <c r="C173" t="str">
        <f>HYPERLINK("http://www.ncbi.nlm.nih.gov/protein/XP_028826297.1","XP_028826297.1")</f>
        <v>XP_028826297.1</v>
      </c>
      <c r="D173">
        <v>50098</v>
      </c>
      <c r="E173" t="str">
        <f>HYPERLINK("http://www.ncbi.nlm.nih.gov/Taxonomy/Browser/wwwtax.cgi?mode=Info&amp;id=299321&amp;lvl=3&amp;lin=f&amp;keep=1&amp;srchmode=1&amp;unlock","299321")</f>
        <v>299321</v>
      </c>
      <c r="F173" t="s">
        <v>17</v>
      </c>
      <c r="G173" t="str">
        <f>HYPERLINK("http://www.ncbi.nlm.nih.gov/Taxonomy/Browser/wwwtax.cgi?mode=Info&amp;id=299321&amp;lvl=3&amp;lin=f&amp;keep=1&amp;srchmode=1&amp;unlock","Denticeps clupeoides")</f>
        <v>Denticeps clupeoides</v>
      </c>
      <c r="H173" t="s">
        <v>48</v>
      </c>
      <c r="I173" t="str">
        <f>HYPERLINK("http://www.ncbi.nlm.nih.gov/protein/XP_028826297.1","ryanodine receptor 2 isoform X9")</f>
        <v>ryanodine receptor 2 isoform X9</v>
      </c>
      <c r="J173" t="s">
        <v>1494</v>
      </c>
      <c r="K173" t="s">
        <v>19</v>
      </c>
      <c r="L173">
        <v>4518</v>
      </c>
      <c r="M173" t="s">
        <v>19</v>
      </c>
      <c r="N173" t="s">
        <v>19</v>
      </c>
      <c r="O173">
        <v>4521</v>
      </c>
      <c r="P173" t="s">
        <v>1486</v>
      </c>
      <c r="Q173" t="s">
        <v>19</v>
      </c>
      <c r="R173">
        <v>4522</v>
      </c>
      <c r="S173" t="s">
        <v>1495</v>
      </c>
      <c r="T173" t="s">
        <v>19</v>
      </c>
      <c r="U173">
        <v>4525</v>
      </c>
      <c r="V173" t="s">
        <v>1488</v>
      </c>
      <c r="W173" t="s">
        <v>19</v>
      </c>
      <c r="X173">
        <v>4606</v>
      </c>
      <c r="Y173" t="s">
        <v>1493</v>
      </c>
      <c r="Z173" t="s">
        <v>19</v>
      </c>
      <c r="AA173">
        <v>4741</v>
      </c>
      <c r="AB173" t="s">
        <v>19</v>
      </c>
      <c r="AC173" t="s">
        <v>19</v>
      </c>
      <c r="AD173">
        <v>4742</v>
      </c>
      <c r="AE173" t="s">
        <v>1488</v>
      </c>
      <c r="AF173" t="s">
        <v>19</v>
      </c>
      <c r="AG173">
        <v>4745</v>
      </c>
      <c r="AH173" t="s">
        <v>19</v>
      </c>
      <c r="AI173" t="s">
        <v>19</v>
      </c>
      <c r="AJ173">
        <v>4765</v>
      </c>
      <c r="AK173" t="s">
        <v>1490</v>
      </c>
      <c r="AL173" t="s">
        <v>19</v>
      </c>
      <c r="AM173">
        <v>4769</v>
      </c>
      <c r="AN173" t="s">
        <v>1491</v>
      </c>
      <c r="AO173" t="s">
        <v>19</v>
      </c>
    </row>
    <row r="174" spans="1:41" x14ac:dyDescent="0.45">
      <c r="A174" t="s">
        <v>1266</v>
      </c>
      <c r="B174">
        <v>8</v>
      </c>
      <c r="C174" t="str">
        <f>HYPERLINK("http://www.ncbi.nlm.nih.gov/protein/XP_030630748.1","XP_030630748.1")</f>
        <v>XP_030630748.1</v>
      </c>
      <c r="D174">
        <v>30218</v>
      </c>
      <c r="E174" t="str">
        <f>HYPERLINK("http://www.ncbi.nlm.nih.gov/Taxonomy/Browser/wwwtax.cgi?mode=Info&amp;id=29144&amp;lvl=3&amp;lin=f&amp;keep=1&amp;srchmode=1&amp;unlock","29144")</f>
        <v>29144</v>
      </c>
      <c r="F174" t="s">
        <v>17</v>
      </c>
      <c r="G174" t="str">
        <f>HYPERLINK("http://www.ncbi.nlm.nih.gov/Taxonomy/Browser/wwwtax.cgi?mode=Info&amp;id=29144&amp;lvl=3&amp;lin=f&amp;keep=1&amp;srchmode=1&amp;unlock","Chanos chanos")</f>
        <v>Chanos chanos</v>
      </c>
      <c r="H174" t="s">
        <v>231</v>
      </c>
      <c r="I174" t="str">
        <f>HYPERLINK("http://www.ncbi.nlm.nih.gov/protein/XP_030630748.1","ryanodine receptor 2")</f>
        <v>ryanodine receptor 2</v>
      </c>
      <c r="J174" t="s">
        <v>1494</v>
      </c>
      <c r="K174" t="s">
        <v>19</v>
      </c>
      <c r="L174">
        <v>4494</v>
      </c>
      <c r="M174" t="s">
        <v>19</v>
      </c>
      <c r="N174" t="s">
        <v>19</v>
      </c>
      <c r="O174">
        <v>4497</v>
      </c>
      <c r="P174" t="s">
        <v>1486</v>
      </c>
      <c r="Q174" t="s">
        <v>19</v>
      </c>
      <c r="R174">
        <v>4498</v>
      </c>
      <c r="S174" t="s">
        <v>1495</v>
      </c>
      <c r="T174" t="s">
        <v>19</v>
      </c>
      <c r="U174">
        <v>4501</v>
      </c>
      <c r="V174" t="s">
        <v>1488</v>
      </c>
      <c r="W174" t="s">
        <v>19</v>
      </c>
      <c r="X174">
        <v>4582</v>
      </c>
      <c r="Y174" t="s">
        <v>1493</v>
      </c>
      <c r="Z174" t="s">
        <v>19</v>
      </c>
      <c r="AA174">
        <v>4717</v>
      </c>
      <c r="AB174" t="s">
        <v>19</v>
      </c>
      <c r="AC174" t="s">
        <v>19</v>
      </c>
      <c r="AD174">
        <v>4718</v>
      </c>
      <c r="AE174" t="s">
        <v>1488</v>
      </c>
      <c r="AF174" t="s">
        <v>19</v>
      </c>
      <c r="AG174">
        <v>4721</v>
      </c>
      <c r="AH174" t="s">
        <v>19</v>
      </c>
      <c r="AI174" t="s">
        <v>19</v>
      </c>
      <c r="AJ174">
        <v>4741</v>
      </c>
      <c r="AK174" t="s">
        <v>1490</v>
      </c>
      <c r="AL174" t="s">
        <v>19</v>
      </c>
      <c r="AM174">
        <v>4745</v>
      </c>
      <c r="AN174" t="s">
        <v>1491</v>
      </c>
      <c r="AO174" t="s">
        <v>19</v>
      </c>
    </row>
    <row r="175" spans="1:41" x14ac:dyDescent="0.45">
      <c r="A175" t="s">
        <v>1266</v>
      </c>
      <c r="B175">
        <v>8</v>
      </c>
      <c r="C175" t="str">
        <f>HYPERLINK("http://www.ncbi.nlm.nih.gov/protein/XP_056325013.1","XP_056325013.1")</f>
        <v>XP_056325013.1</v>
      </c>
      <c r="D175">
        <v>36531</v>
      </c>
      <c r="E175" t="str">
        <f>HYPERLINK("http://www.ncbi.nlm.nih.gov/Taxonomy/Browser/wwwtax.cgi?mode=Info&amp;id=1142201&amp;lvl=3&amp;lin=f&amp;keep=1&amp;srchmode=1&amp;unlock","1142201")</f>
        <v>1142201</v>
      </c>
      <c r="F175" t="s">
        <v>17</v>
      </c>
      <c r="G175" t="str">
        <f>HYPERLINK("http://www.ncbi.nlm.nih.gov/Taxonomy/Browser/wwwtax.cgi?mode=Info&amp;id=1142201&amp;lvl=3&amp;lin=f&amp;keep=1&amp;srchmode=1&amp;unlock","Danio aesculapii")</f>
        <v>Danio aesculapii</v>
      </c>
      <c r="H175" t="s">
        <v>21</v>
      </c>
      <c r="I175" t="str">
        <f>HYPERLINK("http://www.ncbi.nlm.nih.gov/protein/XP_056325013.1","LOW QUALITY PROTEIN: ryanodine receptor 2-like")</f>
        <v>LOW QUALITY PROTEIN: ryanodine receptor 2-like</v>
      </c>
      <c r="J175" t="s">
        <v>1494</v>
      </c>
      <c r="K175" t="s">
        <v>19</v>
      </c>
      <c r="L175">
        <v>4348</v>
      </c>
      <c r="M175" t="s">
        <v>19</v>
      </c>
      <c r="N175" t="s">
        <v>19</v>
      </c>
      <c r="O175">
        <v>4351</v>
      </c>
      <c r="P175" t="s">
        <v>1486</v>
      </c>
      <c r="Q175" t="s">
        <v>19</v>
      </c>
      <c r="R175">
        <v>4352</v>
      </c>
      <c r="S175" t="s">
        <v>1495</v>
      </c>
      <c r="T175" t="s">
        <v>19</v>
      </c>
      <c r="U175">
        <v>4355</v>
      </c>
      <c r="V175" t="s">
        <v>1488</v>
      </c>
      <c r="W175" t="s">
        <v>19</v>
      </c>
      <c r="X175">
        <v>4436</v>
      </c>
      <c r="Y175" t="s">
        <v>1493</v>
      </c>
      <c r="Z175" t="s">
        <v>19</v>
      </c>
      <c r="AA175">
        <v>4571</v>
      </c>
      <c r="AB175" t="s">
        <v>19</v>
      </c>
      <c r="AC175" t="s">
        <v>19</v>
      </c>
      <c r="AD175">
        <v>4572</v>
      </c>
      <c r="AE175" t="s">
        <v>1488</v>
      </c>
      <c r="AF175" t="s">
        <v>19</v>
      </c>
      <c r="AG175">
        <v>4575</v>
      </c>
      <c r="AH175" t="s">
        <v>19</v>
      </c>
      <c r="AI175" t="s">
        <v>19</v>
      </c>
      <c r="AJ175">
        <v>4595</v>
      </c>
      <c r="AK175" t="s">
        <v>1490</v>
      </c>
      <c r="AL175" t="s">
        <v>19</v>
      </c>
      <c r="AM175">
        <v>4599</v>
      </c>
      <c r="AN175" t="s">
        <v>1491</v>
      </c>
      <c r="AO175" t="s">
        <v>19</v>
      </c>
    </row>
    <row r="176" spans="1:41" x14ac:dyDescent="0.45">
      <c r="A176" t="s">
        <v>1266</v>
      </c>
      <c r="B176">
        <v>8</v>
      </c>
      <c r="C176" t="str">
        <f>HYPERLINK("http://www.ncbi.nlm.nih.gov/protein/XP_061087166.1","XP_061087166.1")</f>
        <v>XP_061087166.1</v>
      </c>
      <c r="D176">
        <v>71858</v>
      </c>
      <c r="E176" t="str">
        <f>HYPERLINK("http://www.ncbi.nlm.nih.gov/Taxonomy/Browser/wwwtax.cgi?mode=Info&amp;id=82655&amp;lvl=3&amp;lin=f&amp;keep=1&amp;srchmode=1&amp;unlock","82655")</f>
        <v>82655</v>
      </c>
      <c r="F176" t="s">
        <v>17</v>
      </c>
      <c r="G176" t="str">
        <f>HYPERLINK("http://www.ncbi.nlm.nih.gov/Taxonomy/Browser/wwwtax.cgi?mode=Info&amp;id=82655&amp;lvl=3&amp;lin=f&amp;keep=1&amp;srchmode=1&amp;unlock","Conger conger")</f>
        <v>Conger conger</v>
      </c>
      <c r="H176" t="s">
        <v>268</v>
      </c>
      <c r="I176" t="str">
        <f>HYPERLINK("http://www.ncbi.nlm.nih.gov/protein/XP_061087166.1","ryanodine receptor 2-like")</f>
        <v>ryanodine receptor 2-like</v>
      </c>
      <c r="J176" t="s">
        <v>1494</v>
      </c>
      <c r="K176" t="s">
        <v>19</v>
      </c>
      <c r="L176">
        <v>4490</v>
      </c>
      <c r="M176" t="s">
        <v>19</v>
      </c>
      <c r="N176" t="s">
        <v>19</v>
      </c>
      <c r="O176">
        <v>4493</v>
      </c>
      <c r="P176" t="s">
        <v>1486</v>
      </c>
      <c r="Q176" t="s">
        <v>19</v>
      </c>
      <c r="R176">
        <v>4494</v>
      </c>
      <c r="S176" t="s">
        <v>1495</v>
      </c>
      <c r="T176" t="s">
        <v>19</v>
      </c>
      <c r="U176">
        <v>4497</v>
      </c>
      <c r="V176" t="s">
        <v>1488</v>
      </c>
      <c r="W176" t="s">
        <v>19</v>
      </c>
      <c r="X176">
        <v>4578</v>
      </c>
      <c r="Y176" t="s">
        <v>1493</v>
      </c>
      <c r="Z176" t="s">
        <v>19</v>
      </c>
      <c r="AA176">
        <v>4713</v>
      </c>
      <c r="AB176" t="s">
        <v>19</v>
      </c>
      <c r="AC176" t="s">
        <v>19</v>
      </c>
      <c r="AD176">
        <v>4714</v>
      </c>
      <c r="AE176" t="s">
        <v>1488</v>
      </c>
      <c r="AF176" t="s">
        <v>19</v>
      </c>
      <c r="AG176">
        <v>4717</v>
      </c>
      <c r="AH176" t="s">
        <v>19</v>
      </c>
      <c r="AI176" t="s">
        <v>19</v>
      </c>
      <c r="AJ176">
        <v>4737</v>
      </c>
      <c r="AK176" t="s">
        <v>1490</v>
      </c>
      <c r="AL176" t="s">
        <v>19</v>
      </c>
      <c r="AM176">
        <v>4741</v>
      </c>
      <c r="AN176" t="s">
        <v>1491</v>
      </c>
      <c r="AO176" t="s">
        <v>19</v>
      </c>
    </row>
    <row r="177" spans="1:41" x14ac:dyDescent="0.45">
      <c r="A177" t="s">
        <v>1266</v>
      </c>
      <c r="B177">
        <v>8</v>
      </c>
      <c r="C177" t="str">
        <f>HYPERLINK("http://www.ncbi.nlm.nih.gov/protein/XP_053540885.1","XP_053540885.1")</f>
        <v>XP_053540885.1</v>
      </c>
      <c r="D177">
        <v>54807</v>
      </c>
      <c r="E177" t="str">
        <f>HYPERLINK("http://www.ncbi.nlm.nih.gov/Taxonomy/Browser/wwwtax.cgi?mode=Info&amp;id=7998&amp;lvl=3&amp;lin=f&amp;keep=1&amp;srchmode=1&amp;unlock","7998")</f>
        <v>7998</v>
      </c>
      <c r="F177" t="s">
        <v>17</v>
      </c>
      <c r="G177" t="str">
        <f>HYPERLINK("http://www.ncbi.nlm.nih.gov/Taxonomy/Browser/wwwtax.cgi?mode=Info&amp;id=7998&amp;lvl=3&amp;lin=f&amp;keep=1&amp;srchmode=1&amp;unlock","Ictalurus punctatus")</f>
        <v>Ictalurus punctatus</v>
      </c>
      <c r="H177" t="s">
        <v>40</v>
      </c>
      <c r="I177" t="str">
        <f>HYPERLINK("http://www.ncbi.nlm.nih.gov/protein/XP_053540885.1","ryanodine receptor 2 isoform X7")</f>
        <v>ryanodine receptor 2 isoform X7</v>
      </c>
      <c r="J177" t="s">
        <v>1494</v>
      </c>
      <c r="K177" t="s">
        <v>19</v>
      </c>
      <c r="L177">
        <v>4493</v>
      </c>
      <c r="M177" t="s">
        <v>19</v>
      </c>
      <c r="N177" t="s">
        <v>19</v>
      </c>
      <c r="O177">
        <v>4496</v>
      </c>
      <c r="P177" t="s">
        <v>1486</v>
      </c>
      <c r="Q177" t="s">
        <v>19</v>
      </c>
      <c r="R177">
        <v>4497</v>
      </c>
      <c r="S177" t="s">
        <v>1495</v>
      </c>
      <c r="T177" t="s">
        <v>19</v>
      </c>
      <c r="U177">
        <v>4500</v>
      </c>
      <c r="V177" t="s">
        <v>1488</v>
      </c>
      <c r="W177" t="s">
        <v>19</v>
      </c>
      <c r="X177">
        <v>4583</v>
      </c>
      <c r="Y177" t="s">
        <v>1493</v>
      </c>
      <c r="Z177" t="s">
        <v>19</v>
      </c>
      <c r="AA177">
        <v>4718</v>
      </c>
      <c r="AB177" t="s">
        <v>19</v>
      </c>
      <c r="AC177" t="s">
        <v>19</v>
      </c>
      <c r="AD177">
        <v>4719</v>
      </c>
      <c r="AE177" t="s">
        <v>1488</v>
      </c>
      <c r="AF177" t="s">
        <v>19</v>
      </c>
      <c r="AG177">
        <v>4722</v>
      </c>
      <c r="AH177" t="s">
        <v>19</v>
      </c>
      <c r="AI177" t="s">
        <v>19</v>
      </c>
      <c r="AJ177">
        <v>4742</v>
      </c>
      <c r="AK177" t="s">
        <v>1490</v>
      </c>
      <c r="AL177" t="s">
        <v>19</v>
      </c>
      <c r="AM177">
        <v>4746</v>
      </c>
      <c r="AN177" t="s">
        <v>1491</v>
      </c>
      <c r="AO177" t="s">
        <v>19</v>
      </c>
    </row>
    <row r="178" spans="1:41" x14ac:dyDescent="0.45">
      <c r="A178" t="s">
        <v>1266</v>
      </c>
      <c r="B178">
        <v>8</v>
      </c>
      <c r="C178" t="str">
        <f>HYPERLINK("http://www.ncbi.nlm.nih.gov/protein/XP_053495894.1","XP_053495894.1")</f>
        <v>XP_053495894.1</v>
      </c>
      <c r="D178">
        <v>45079</v>
      </c>
      <c r="E178" t="str">
        <f>HYPERLINK("http://www.ncbi.nlm.nih.gov/Taxonomy/Browser/wwwtax.cgi?mode=Info&amp;id=66913&amp;lvl=3&amp;lin=f&amp;keep=1&amp;srchmode=1&amp;unlock","66913")</f>
        <v>66913</v>
      </c>
      <c r="F178" t="s">
        <v>17</v>
      </c>
      <c r="G178" t="str">
        <f>HYPERLINK("http://www.ncbi.nlm.nih.gov/Taxonomy/Browser/wwwtax.cgi?mode=Info&amp;id=66913&amp;lvl=3&amp;lin=f&amp;keep=1&amp;srchmode=1&amp;unlock","Ictalurus furcatus")</f>
        <v>Ictalurus furcatus</v>
      </c>
      <c r="H178" t="s">
        <v>42</v>
      </c>
      <c r="I178" t="str">
        <f>HYPERLINK("http://www.ncbi.nlm.nih.gov/protein/XP_053495894.1","ryanodine receptor 2")</f>
        <v>ryanodine receptor 2</v>
      </c>
      <c r="J178" t="s">
        <v>1494</v>
      </c>
      <c r="K178" t="s">
        <v>19</v>
      </c>
      <c r="L178">
        <v>4492</v>
      </c>
      <c r="M178" t="s">
        <v>19</v>
      </c>
      <c r="N178" t="s">
        <v>19</v>
      </c>
      <c r="O178">
        <v>4495</v>
      </c>
      <c r="P178" t="s">
        <v>1486</v>
      </c>
      <c r="Q178" t="s">
        <v>19</v>
      </c>
      <c r="R178">
        <v>4496</v>
      </c>
      <c r="S178" t="s">
        <v>1495</v>
      </c>
      <c r="T178" t="s">
        <v>19</v>
      </c>
      <c r="U178">
        <v>4499</v>
      </c>
      <c r="V178" t="s">
        <v>1488</v>
      </c>
      <c r="W178" t="s">
        <v>19</v>
      </c>
      <c r="X178">
        <v>4582</v>
      </c>
      <c r="Y178" t="s">
        <v>1493</v>
      </c>
      <c r="Z178" t="s">
        <v>19</v>
      </c>
      <c r="AA178">
        <v>4717</v>
      </c>
      <c r="AB178" t="s">
        <v>19</v>
      </c>
      <c r="AC178" t="s">
        <v>19</v>
      </c>
      <c r="AD178">
        <v>4718</v>
      </c>
      <c r="AE178" t="s">
        <v>1488</v>
      </c>
      <c r="AF178" t="s">
        <v>19</v>
      </c>
      <c r="AG178">
        <v>4721</v>
      </c>
      <c r="AH178" t="s">
        <v>19</v>
      </c>
      <c r="AI178" t="s">
        <v>19</v>
      </c>
      <c r="AJ178">
        <v>4741</v>
      </c>
      <c r="AK178" t="s">
        <v>1490</v>
      </c>
      <c r="AL178" t="s">
        <v>19</v>
      </c>
      <c r="AM178">
        <v>4745</v>
      </c>
      <c r="AN178" t="s">
        <v>1491</v>
      </c>
      <c r="AO178" t="s">
        <v>19</v>
      </c>
    </row>
    <row r="179" spans="1:41" x14ac:dyDescent="0.45">
      <c r="A179" t="s">
        <v>1266</v>
      </c>
      <c r="B179">
        <v>8</v>
      </c>
      <c r="C179" t="str">
        <f>HYPERLINK("http://www.ncbi.nlm.nih.gov/protein/XP_047673437.1","XP_047673437.1")</f>
        <v>XP_047673437.1</v>
      </c>
      <c r="D179">
        <v>56318</v>
      </c>
      <c r="E179" t="str">
        <f>HYPERLINK("http://www.ncbi.nlm.nih.gov/Taxonomy/Browser/wwwtax.cgi?mode=Info&amp;id=1234273&amp;lvl=3&amp;lin=f&amp;keep=1&amp;srchmode=1&amp;unlock","1234273")</f>
        <v>1234273</v>
      </c>
      <c r="F179" t="s">
        <v>17</v>
      </c>
      <c r="G179" t="str">
        <f>HYPERLINK("http://www.ncbi.nlm.nih.gov/Taxonomy/Browser/wwwtax.cgi?mode=Info&amp;id=1234273&amp;lvl=3&amp;lin=f&amp;keep=1&amp;srchmode=1&amp;unlock","Tachysurus fulvidraco")</f>
        <v>Tachysurus fulvidraco</v>
      </c>
      <c r="H179" t="s">
        <v>47</v>
      </c>
      <c r="I179" t="str">
        <f>HYPERLINK("http://www.ncbi.nlm.nih.gov/protein/XP_047673437.1","ryanodine receptor 2 isoform X2")</f>
        <v>ryanodine receptor 2 isoform X2</v>
      </c>
      <c r="J179" t="s">
        <v>1494</v>
      </c>
      <c r="K179" t="s">
        <v>19</v>
      </c>
      <c r="L179">
        <v>4519</v>
      </c>
      <c r="M179" t="s">
        <v>19</v>
      </c>
      <c r="N179" t="s">
        <v>19</v>
      </c>
      <c r="O179">
        <v>4522</v>
      </c>
      <c r="P179" t="s">
        <v>1486</v>
      </c>
      <c r="Q179" t="s">
        <v>19</v>
      </c>
      <c r="R179">
        <v>4523</v>
      </c>
      <c r="S179" t="s">
        <v>1495</v>
      </c>
      <c r="T179" t="s">
        <v>19</v>
      </c>
      <c r="U179">
        <v>4526</v>
      </c>
      <c r="V179" t="s">
        <v>1488</v>
      </c>
      <c r="W179" t="s">
        <v>19</v>
      </c>
      <c r="X179">
        <v>4609</v>
      </c>
      <c r="Y179" t="s">
        <v>1493</v>
      </c>
      <c r="Z179" t="s">
        <v>19</v>
      </c>
      <c r="AA179">
        <v>4744</v>
      </c>
      <c r="AB179" t="s">
        <v>19</v>
      </c>
      <c r="AC179" t="s">
        <v>19</v>
      </c>
      <c r="AD179">
        <v>4745</v>
      </c>
      <c r="AE179" t="s">
        <v>1488</v>
      </c>
      <c r="AF179" t="s">
        <v>19</v>
      </c>
      <c r="AG179">
        <v>4748</v>
      </c>
      <c r="AH179" t="s">
        <v>19</v>
      </c>
      <c r="AI179" t="s">
        <v>19</v>
      </c>
      <c r="AJ179">
        <v>4768</v>
      </c>
      <c r="AK179" t="s">
        <v>1490</v>
      </c>
      <c r="AL179" t="s">
        <v>19</v>
      </c>
      <c r="AM179">
        <v>4772</v>
      </c>
      <c r="AN179" t="s">
        <v>1491</v>
      </c>
      <c r="AO179" t="s">
        <v>19</v>
      </c>
    </row>
    <row r="180" spans="1:41" x14ac:dyDescent="0.45">
      <c r="A180" t="s">
        <v>1266</v>
      </c>
      <c r="B180">
        <v>8</v>
      </c>
      <c r="C180" t="str">
        <f>HYPERLINK("http://www.ncbi.nlm.nih.gov/protein/XP_060751069.1","XP_060751069.1")</f>
        <v>XP_060751069.1</v>
      </c>
      <c r="D180">
        <v>64250</v>
      </c>
      <c r="E180" t="str">
        <f>HYPERLINK("http://www.ncbi.nlm.nih.gov/Taxonomy/Browser/wwwtax.cgi?mode=Info&amp;id=175792&amp;lvl=3&amp;lin=f&amp;keep=1&amp;srchmode=1&amp;unlock","175792")</f>
        <v>175792</v>
      </c>
      <c r="F180" t="s">
        <v>17</v>
      </c>
      <c r="G180" t="str">
        <f>HYPERLINK("http://www.ncbi.nlm.nih.gov/Taxonomy/Browser/wwwtax.cgi?mode=Info&amp;id=175792&amp;lvl=3&amp;lin=f&amp;keep=1&amp;srchmode=1&amp;unlock","Tachysurus vachellii")</f>
        <v>Tachysurus vachellii</v>
      </c>
      <c r="H180" t="s">
        <v>45</v>
      </c>
      <c r="I180" t="str">
        <f>HYPERLINK("http://www.ncbi.nlm.nih.gov/protein/XP_060751069.1","ryanodine receptor 2")</f>
        <v>ryanodine receptor 2</v>
      </c>
      <c r="J180" t="s">
        <v>1494</v>
      </c>
      <c r="K180" t="s">
        <v>19</v>
      </c>
      <c r="L180">
        <v>4493</v>
      </c>
      <c r="M180" t="s">
        <v>19</v>
      </c>
      <c r="N180" t="s">
        <v>19</v>
      </c>
      <c r="O180">
        <v>4496</v>
      </c>
      <c r="P180" t="s">
        <v>1486</v>
      </c>
      <c r="Q180" t="s">
        <v>19</v>
      </c>
      <c r="R180">
        <v>4497</v>
      </c>
      <c r="S180" t="s">
        <v>1495</v>
      </c>
      <c r="T180" t="s">
        <v>19</v>
      </c>
      <c r="U180">
        <v>4500</v>
      </c>
      <c r="V180" t="s">
        <v>1488</v>
      </c>
      <c r="W180" t="s">
        <v>19</v>
      </c>
      <c r="X180">
        <v>4583</v>
      </c>
      <c r="Y180" t="s">
        <v>1493</v>
      </c>
      <c r="Z180" t="s">
        <v>19</v>
      </c>
      <c r="AA180">
        <v>4718</v>
      </c>
      <c r="AB180" t="s">
        <v>19</v>
      </c>
      <c r="AC180" t="s">
        <v>19</v>
      </c>
      <c r="AD180">
        <v>4719</v>
      </c>
      <c r="AE180" t="s">
        <v>1488</v>
      </c>
      <c r="AF180" t="s">
        <v>19</v>
      </c>
      <c r="AG180">
        <v>4722</v>
      </c>
      <c r="AH180" t="s">
        <v>19</v>
      </c>
      <c r="AI180" t="s">
        <v>19</v>
      </c>
      <c r="AJ180">
        <v>4742</v>
      </c>
      <c r="AK180" t="s">
        <v>1490</v>
      </c>
      <c r="AL180" t="s">
        <v>19</v>
      </c>
      <c r="AM180">
        <v>4746</v>
      </c>
      <c r="AN180" t="s">
        <v>1491</v>
      </c>
      <c r="AO180" t="s">
        <v>19</v>
      </c>
    </row>
    <row r="181" spans="1:41" x14ac:dyDescent="0.45">
      <c r="A181" t="s">
        <v>1266</v>
      </c>
      <c r="B181">
        <v>8</v>
      </c>
      <c r="C181" t="str">
        <f>HYPERLINK("http://www.ncbi.nlm.nih.gov/protein/XP_046888335.1","XP_046888335.1")</f>
        <v>XP_046888335.1</v>
      </c>
      <c r="D181">
        <v>38520</v>
      </c>
      <c r="E181" t="str">
        <f>HYPERLINK("http://www.ncbi.nlm.nih.gov/Taxonomy/Browser/wwwtax.cgi?mode=Info&amp;id=137520&amp;lvl=3&amp;lin=f&amp;keep=1&amp;srchmode=1&amp;unlock","137520")</f>
        <v>137520</v>
      </c>
      <c r="F181" t="s">
        <v>17</v>
      </c>
      <c r="G181" t="str">
        <f>HYPERLINK("http://www.ncbi.nlm.nih.gov/Taxonomy/Browser/wwwtax.cgi?mode=Info&amp;id=137520&amp;lvl=3&amp;lin=f&amp;keep=1&amp;srchmode=1&amp;unlock","Hypomesus transpacificus")</f>
        <v>Hypomesus transpacificus</v>
      </c>
      <c r="H181" t="s">
        <v>70</v>
      </c>
      <c r="I181" t="str">
        <f>HYPERLINK("http://www.ncbi.nlm.nih.gov/protein/XP_046888335.1","ryanodine receptor 2")</f>
        <v>ryanodine receptor 2</v>
      </c>
      <c r="J181" t="s">
        <v>1494</v>
      </c>
      <c r="K181" t="s">
        <v>19</v>
      </c>
      <c r="L181">
        <v>4498</v>
      </c>
      <c r="M181" t="s">
        <v>19</v>
      </c>
      <c r="N181" t="s">
        <v>19</v>
      </c>
      <c r="O181">
        <v>4501</v>
      </c>
      <c r="P181" t="s">
        <v>1486</v>
      </c>
      <c r="Q181" t="s">
        <v>19</v>
      </c>
      <c r="R181">
        <v>4502</v>
      </c>
      <c r="S181" t="s">
        <v>1495</v>
      </c>
      <c r="T181" t="s">
        <v>19</v>
      </c>
      <c r="U181">
        <v>4505</v>
      </c>
      <c r="V181" t="s">
        <v>1488</v>
      </c>
      <c r="W181" t="s">
        <v>19</v>
      </c>
      <c r="X181">
        <v>4589</v>
      </c>
      <c r="Y181" t="s">
        <v>1493</v>
      </c>
      <c r="Z181" t="s">
        <v>19</v>
      </c>
      <c r="AA181">
        <v>4724</v>
      </c>
      <c r="AB181" t="s">
        <v>19</v>
      </c>
      <c r="AC181" t="s">
        <v>19</v>
      </c>
      <c r="AD181">
        <v>4725</v>
      </c>
      <c r="AE181" t="s">
        <v>1488</v>
      </c>
      <c r="AF181" t="s">
        <v>19</v>
      </c>
      <c r="AG181">
        <v>4728</v>
      </c>
      <c r="AH181" t="s">
        <v>19</v>
      </c>
      <c r="AI181" t="s">
        <v>19</v>
      </c>
      <c r="AJ181">
        <v>4748</v>
      </c>
      <c r="AK181" t="s">
        <v>1490</v>
      </c>
      <c r="AL181" t="s">
        <v>19</v>
      </c>
      <c r="AM181">
        <v>4752</v>
      </c>
      <c r="AN181" t="s">
        <v>1491</v>
      </c>
      <c r="AO181" t="s">
        <v>19</v>
      </c>
    </row>
    <row r="182" spans="1:41" x14ac:dyDescent="0.45">
      <c r="A182" t="s">
        <v>1266</v>
      </c>
      <c r="B182">
        <v>8</v>
      </c>
      <c r="C182" t="str">
        <f>HYPERLINK("http://www.ncbi.nlm.nih.gov/protein/XP_048842689.1","XP_048842689.1")</f>
        <v>XP_048842689.1</v>
      </c>
      <c r="D182">
        <v>62344</v>
      </c>
      <c r="E182" t="str">
        <f>HYPERLINK("http://www.ncbi.nlm.nih.gov/Taxonomy/Browser/wwwtax.cgi?mode=Info&amp;id=42636&amp;lvl=3&amp;lin=f&amp;keep=1&amp;srchmode=1&amp;unlock","42636")</f>
        <v>42636</v>
      </c>
      <c r="F182" t="s">
        <v>17</v>
      </c>
      <c r="G182" t="str">
        <f>HYPERLINK("http://www.ncbi.nlm.nih.gov/Taxonomy/Browser/wwwtax.cgi?mode=Info&amp;id=42636&amp;lvl=3&amp;lin=f&amp;keep=1&amp;srchmode=1&amp;unlock","Brienomyrus brachyistius")</f>
        <v>Brienomyrus brachyistius</v>
      </c>
      <c r="H182" t="s">
        <v>79</v>
      </c>
      <c r="I182" t="str">
        <f>HYPERLINK("http://www.ncbi.nlm.nih.gov/protein/XP_048842689.1","ryanodine receptor 2 isoform X3")</f>
        <v>ryanodine receptor 2 isoform X3</v>
      </c>
      <c r="J182" t="s">
        <v>1494</v>
      </c>
      <c r="K182" t="s">
        <v>19</v>
      </c>
      <c r="L182">
        <v>4488</v>
      </c>
      <c r="M182" t="s">
        <v>19</v>
      </c>
      <c r="N182" t="s">
        <v>19</v>
      </c>
      <c r="O182">
        <v>4491</v>
      </c>
      <c r="P182" t="s">
        <v>1486</v>
      </c>
      <c r="Q182" t="s">
        <v>19</v>
      </c>
      <c r="R182">
        <v>4492</v>
      </c>
      <c r="S182" t="s">
        <v>1495</v>
      </c>
      <c r="T182" t="s">
        <v>19</v>
      </c>
      <c r="U182">
        <v>4495</v>
      </c>
      <c r="V182" t="s">
        <v>1488</v>
      </c>
      <c r="W182" t="s">
        <v>19</v>
      </c>
      <c r="X182">
        <v>4576</v>
      </c>
      <c r="Y182" t="s">
        <v>1493</v>
      </c>
      <c r="Z182" t="s">
        <v>19</v>
      </c>
      <c r="AA182">
        <v>4711</v>
      </c>
      <c r="AB182" t="s">
        <v>19</v>
      </c>
      <c r="AC182" t="s">
        <v>19</v>
      </c>
      <c r="AD182">
        <v>4712</v>
      </c>
      <c r="AE182" t="s">
        <v>1488</v>
      </c>
      <c r="AF182" t="s">
        <v>19</v>
      </c>
      <c r="AG182">
        <v>4715</v>
      </c>
      <c r="AH182" t="s">
        <v>19</v>
      </c>
      <c r="AI182" t="s">
        <v>19</v>
      </c>
      <c r="AJ182">
        <v>4735</v>
      </c>
      <c r="AK182" t="s">
        <v>1490</v>
      </c>
      <c r="AL182" t="s">
        <v>19</v>
      </c>
      <c r="AM182">
        <v>4739</v>
      </c>
      <c r="AN182" t="s">
        <v>1491</v>
      </c>
      <c r="AO182" t="s">
        <v>19</v>
      </c>
    </row>
    <row r="183" spans="1:41" x14ac:dyDescent="0.45">
      <c r="A183" t="s">
        <v>1266</v>
      </c>
      <c r="B183">
        <v>8</v>
      </c>
      <c r="C183" t="str">
        <f>HYPERLINK("http://www.ncbi.nlm.nih.gov/protein/XP_029104698.1","XP_029104698.1")</f>
        <v>XP_029104698.1</v>
      </c>
      <c r="D183">
        <v>72575</v>
      </c>
      <c r="E183" t="str">
        <f>HYPERLINK("http://www.ncbi.nlm.nih.gov/Taxonomy/Browser/wwwtax.cgi?mode=Info&amp;id=113540&amp;lvl=3&amp;lin=f&amp;keep=1&amp;srchmode=1&amp;unlock","113540")</f>
        <v>113540</v>
      </c>
      <c r="F183" t="s">
        <v>17</v>
      </c>
      <c r="G183" t="str">
        <f>HYPERLINK("http://www.ncbi.nlm.nih.gov/Taxonomy/Browser/wwwtax.cgi?mode=Info&amp;id=113540&amp;lvl=3&amp;lin=f&amp;keep=1&amp;srchmode=1&amp;unlock","Scleropages formosus")</f>
        <v>Scleropages formosus</v>
      </c>
      <c r="H183" t="s">
        <v>105</v>
      </c>
      <c r="I183" t="str">
        <f>HYPERLINK("http://www.ncbi.nlm.nih.gov/protein/XP_029104698.1","ryanodine receptor 2 isoform X1")</f>
        <v>ryanodine receptor 2 isoform X1</v>
      </c>
      <c r="J183" t="s">
        <v>1494</v>
      </c>
      <c r="K183" t="s">
        <v>19</v>
      </c>
      <c r="L183">
        <v>4492</v>
      </c>
      <c r="M183" t="s">
        <v>19</v>
      </c>
      <c r="N183" t="s">
        <v>19</v>
      </c>
      <c r="O183">
        <v>4495</v>
      </c>
      <c r="P183" t="s">
        <v>1486</v>
      </c>
      <c r="Q183" t="s">
        <v>19</v>
      </c>
      <c r="R183">
        <v>4496</v>
      </c>
      <c r="S183" t="s">
        <v>1495</v>
      </c>
      <c r="T183" t="s">
        <v>19</v>
      </c>
      <c r="U183">
        <v>4499</v>
      </c>
      <c r="V183" t="s">
        <v>1488</v>
      </c>
      <c r="W183" t="s">
        <v>19</v>
      </c>
      <c r="X183">
        <v>4581</v>
      </c>
      <c r="Y183" t="s">
        <v>1493</v>
      </c>
      <c r="Z183" t="s">
        <v>19</v>
      </c>
      <c r="AA183">
        <v>4716</v>
      </c>
      <c r="AB183" t="s">
        <v>19</v>
      </c>
      <c r="AC183" t="s">
        <v>19</v>
      </c>
      <c r="AD183">
        <v>4717</v>
      </c>
      <c r="AE183" t="s">
        <v>1488</v>
      </c>
      <c r="AF183" t="s">
        <v>19</v>
      </c>
      <c r="AG183">
        <v>4720</v>
      </c>
      <c r="AH183" t="s">
        <v>19</v>
      </c>
      <c r="AI183" t="s">
        <v>19</v>
      </c>
      <c r="AJ183">
        <v>4740</v>
      </c>
      <c r="AK183" t="s">
        <v>1490</v>
      </c>
      <c r="AL183" t="s">
        <v>19</v>
      </c>
      <c r="AM183">
        <v>4744</v>
      </c>
      <c r="AN183" t="s">
        <v>1491</v>
      </c>
      <c r="AO183" t="s">
        <v>19</v>
      </c>
    </row>
    <row r="184" spans="1:41" x14ac:dyDescent="0.45">
      <c r="A184" t="s">
        <v>1266</v>
      </c>
      <c r="B184">
        <v>8</v>
      </c>
      <c r="C184" t="str">
        <f>HYPERLINK("http://www.ncbi.nlm.nih.gov/protein/XP_041938494.1","XP_041938494.1")</f>
        <v>XP_041938494.1</v>
      </c>
      <c r="D184">
        <v>56130</v>
      </c>
      <c r="E184" t="str">
        <f>HYPERLINK("http://www.ncbi.nlm.nih.gov/Taxonomy/Browser/wwwtax.cgi?mode=Info&amp;id=34773&amp;lvl=3&amp;lin=f&amp;keep=1&amp;srchmode=1&amp;unlock","34773")</f>
        <v>34773</v>
      </c>
      <c r="F184" t="s">
        <v>17</v>
      </c>
      <c r="G184" t="str">
        <f>HYPERLINK("http://www.ncbi.nlm.nih.gov/Taxonomy/Browser/wwwtax.cgi?mode=Info&amp;id=34773&amp;lvl=3&amp;lin=f&amp;keep=1&amp;srchmode=1&amp;unlock","Alosa sapidissima")</f>
        <v>Alosa sapidissima</v>
      </c>
      <c r="H184" t="s">
        <v>46</v>
      </c>
      <c r="I184" t="str">
        <f>HYPERLINK("http://www.ncbi.nlm.nih.gov/protein/XP_041938494.1","ryanodine receptor 2 isoform X1")</f>
        <v>ryanodine receptor 2 isoform X1</v>
      </c>
      <c r="J184" t="s">
        <v>1494</v>
      </c>
      <c r="K184" t="s">
        <v>19</v>
      </c>
      <c r="L184">
        <v>4503</v>
      </c>
      <c r="M184" t="s">
        <v>19</v>
      </c>
      <c r="N184" t="s">
        <v>19</v>
      </c>
      <c r="O184">
        <v>4506</v>
      </c>
      <c r="P184" t="s">
        <v>1486</v>
      </c>
      <c r="Q184" t="s">
        <v>19</v>
      </c>
      <c r="R184">
        <v>4507</v>
      </c>
      <c r="S184" t="s">
        <v>1495</v>
      </c>
      <c r="T184" t="s">
        <v>19</v>
      </c>
      <c r="U184">
        <v>4510</v>
      </c>
      <c r="V184" t="s">
        <v>1488</v>
      </c>
      <c r="W184" t="s">
        <v>19</v>
      </c>
      <c r="X184">
        <v>4590</v>
      </c>
      <c r="Y184" t="s">
        <v>1493</v>
      </c>
      <c r="Z184" t="s">
        <v>19</v>
      </c>
      <c r="AA184">
        <v>4725</v>
      </c>
      <c r="AB184" t="s">
        <v>19</v>
      </c>
      <c r="AC184" t="s">
        <v>19</v>
      </c>
      <c r="AD184">
        <v>4726</v>
      </c>
      <c r="AE184" t="s">
        <v>1488</v>
      </c>
      <c r="AF184" t="s">
        <v>19</v>
      </c>
      <c r="AG184">
        <v>4729</v>
      </c>
      <c r="AH184" t="s">
        <v>19</v>
      </c>
      <c r="AI184" t="s">
        <v>19</v>
      </c>
      <c r="AJ184">
        <v>4749</v>
      </c>
      <c r="AK184" t="s">
        <v>1490</v>
      </c>
      <c r="AL184" t="s">
        <v>19</v>
      </c>
      <c r="AM184">
        <v>4753</v>
      </c>
      <c r="AN184" t="s">
        <v>1491</v>
      </c>
      <c r="AO184" t="s">
        <v>19</v>
      </c>
    </row>
    <row r="185" spans="1:41" x14ac:dyDescent="0.45">
      <c r="A185" t="s">
        <v>1266</v>
      </c>
      <c r="B185">
        <v>8</v>
      </c>
      <c r="C185" t="str">
        <f>HYPERLINK("http://www.ncbi.nlm.nih.gov/protein/XP_048089636.1","XP_048089636.1")</f>
        <v>XP_048089636.1</v>
      </c>
      <c r="D185">
        <v>70070</v>
      </c>
      <c r="E185" t="str">
        <f>HYPERLINK("http://www.ncbi.nlm.nih.gov/Taxonomy/Browser/wwwtax.cgi?mode=Info&amp;id=278164&amp;lvl=3&amp;lin=f&amp;keep=1&amp;srchmode=1&amp;unlock","278164")</f>
        <v>278164</v>
      </c>
      <c r="F185" t="s">
        <v>17</v>
      </c>
      <c r="G185" t="str">
        <f>HYPERLINK("http://www.ncbi.nlm.nih.gov/Taxonomy/Browser/wwwtax.cgi?mode=Info&amp;id=278164&amp;lvl=3&amp;lin=f&amp;keep=1&amp;srchmode=1&amp;unlock","Alosa alosa")</f>
        <v>Alosa alosa</v>
      </c>
      <c r="H185" t="s">
        <v>201</v>
      </c>
      <c r="I185" t="str">
        <f>HYPERLINK("http://www.ncbi.nlm.nih.gov/protein/XP_048089636.1","ryanodine receptor 2 isoform X1")</f>
        <v>ryanodine receptor 2 isoform X1</v>
      </c>
      <c r="J185" t="s">
        <v>1494</v>
      </c>
      <c r="K185" t="s">
        <v>19</v>
      </c>
      <c r="L185">
        <v>4503</v>
      </c>
      <c r="M185" t="s">
        <v>19</v>
      </c>
      <c r="N185" t="s">
        <v>19</v>
      </c>
      <c r="O185">
        <v>4506</v>
      </c>
      <c r="P185" t="s">
        <v>1486</v>
      </c>
      <c r="Q185" t="s">
        <v>19</v>
      </c>
      <c r="R185">
        <v>4507</v>
      </c>
      <c r="S185" t="s">
        <v>1495</v>
      </c>
      <c r="T185" t="s">
        <v>19</v>
      </c>
      <c r="U185">
        <v>4510</v>
      </c>
      <c r="V185" t="s">
        <v>1488</v>
      </c>
      <c r="W185" t="s">
        <v>19</v>
      </c>
      <c r="X185">
        <v>4590</v>
      </c>
      <c r="Y185" t="s">
        <v>1493</v>
      </c>
      <c r="Z185" t="s">
        <v>19</v>
      </c>
      <c r="AA185">
        <v>4725</v>
      </c>
      <c r="AB185" t="s">
        <v>19</v>
      </c>
      <c r="AC185" t="s">
        <v>19</v>
      </c>
      <c r="AD185">
        <v>4726</v>
      </c>
      <c r="AE185" t="s">
        <v>1488</v>
      </c>
      <c r="AF185" t="s">
        <v>19</v>
      </c>
      <c r="AG185">
        <v>4729</v>
      </c>
      <c r="AH185" t="s">
        <v>19</v>
      </c>
      <c r="AI185" t="s">
        <v>19</v>
      </c>
      <c r="AJ185">
        <v>4749</v>
      </c>
      <c r="AK185" t="s">
        <v>1490</v>
      </c>
      <c r="AL185" t="s">
        <v>19</v>
      </c>
      <c r="AM185">
        <v>4753</v>
      </c>
      <c r="AN185" t="s">
        <v>1491</v>
      </c>
      <c r="AO185" t="s">
        <v>19</v>
      </c>
    </row>
    <row r="186" spans="1:41" x14ac:dyDescent="0.45">
      <c r="A186" t="s">
        <v>1266</v>
      </c>
      <c r="B186">
        <v>8</v>
      </c>
      <c r="C186" t="str">
        <f>HYPERLINK("http://www.ncbi.nlm.nih.gov/protein/XP_015218326.1","XP_015218326.1")</f>
        <v>XP_015218326.1</v>
      </c>
      <c r="D186">
        <v>41888</v>
      </c>
      <c r="E186" t="str">
        <f>HYPERLINK("http://www.ncbi.nlm.nih.gov/Taxonomy/Browser/wwwtax.cgi?mode=Info&amp;id=7918&amp;lvl=3&amp;lin=f&amp;keep=1&amp;srchmode=1&amp;unlock","7918")</f>
        <v>7918</v>
      </c>
      <c r="F186" t="s">
        <v>17</v>
      </c>
      <c r="G186" t="str">
        <f>HYPERLINK("http://www.ncbi.nlm.nih.gov/Taxonomy/Browser/wwwtax.cgi?mode=Info&amp;id=7918&amp;lvl=3&amp;lin=f&amp;keep=1&amp;srchmode=1&amp;unlock","Lepisosteus oculatus")</f>
        <v>Lepisosteus oculatus</v>
      </c>
      <c r="H186" t="s">
        <v>240</v>
      </c>
      <c r="I186" t="str">
        <f>HYPERLINK("http://www.ncbi.nlm.nih.gov/protein/XP_015218326.1","PREDICTED: ryanodine receptor 2 isoform X7")</f>
        <v>PREDICTED: ryanodine receptor 2 isoform X7</v>
      </c>
      <c r="J186" t="s">
        <v>1494</v>
      </c>
      <c r="K186" t="s">
        <v>19</v>
      </c>
      <c r="L186">
        <v>4500</v>
      </c>
      <c r="M186" t="s">
        <v>19</v>
      </c>
      <c r="N186" t="s">
        <v>19</v>
      </c>
      <c r="O186">
        <v>4503</v>
      </c>
      <c r="P186" t="s">
        <v>1486</v>
      </c>
      <c r="Q186" t="s">
        <v>19</v>
      </c>
      <c r="R186">
        <v>4504</v>
      </c>
      <c r="S186" t="s">
        <v>1495</v>
      </c>
      <c r="T186" t="s">
        <v>19</v>
      </c>
      <c r="U186">
        <v>4507</v>
      </c>
      <c r="V186" t="s">
        <v>1488</v>
      </c>
      <c r="W186" t="s">
        <v>19</v>
      </c>
      <c r="X186">
        <v>4588</v>
      </c>
      <c r="Y186" t="s">
        <v>1493</v>
      </c>
      <c r="Z186" t="s">
        <v>19</v>
      </c>
      <c r="AA186">
        <v>4723</v>
      </c>
      <c r="AB186" t="s">
        <v>19</v>
      </c>
      <c r="AC186" t="s">
        <v>19</v>
      </c>
      <c r="AD186">
        <v>4724</v>
      </c>
      <c r="AE186" t="s">
        <v>1488</v>
      </c>
      <c r="AF186" t="s">
        <v>19</v>
      </c>
      <c r="AG186">
        <v>4727</v>
      </c>
      <c r="AH186" t="s">
        <v>19</v>
      </c>
      <c r="AI186" t="s">
        <v>19</v>
      </c>
      <c r="AJ186">
        <v>4747</v>
      </c>
      <c r="AK186" t="s">
        <v>1490</v>
      </c>
      <c r="AL186" t="s">
        <v>19</v>
      </c>
      <c r="AM186">
        <v>4751</v>
      </c>
      <c r="AN186" t="s">
        <v>1491</v>
      </c>
      <c r="AO186" t="s">
        <v>19</v>
      </c>
    </row>
    <row r="187" spans="1:41" x14ac:dyDescent="0.45">
      <c r="A187" t="s">
        <v>1266</v>
      </c>
      <c r="B187">
        <v>8</v>
      </c>
      <c r="C187" t="str">
        <f>HYPERLINK("http://www.ncbi.nlm.nih.gov/protein/XP_035389751.1","XP_035389751.1")</f>
        <v>XP_035389751.1</v>
      </c>
      <c r="D187">
        <v>45401</v>
      </c>
      <c r="E187" t="str">
        <f>HYPERLINK("http://www.ncbi.nlm.nih.gov/Taxonomy/Browser/wwwtax.cgi?mode=Info&amp;id=8005&amp;lvl=3&amp;lin=f&amp;keep=1&amp;srchmode=1&amp;unlock","8005")</f>
        <v>8005</v>
      </c>
      <c r="F187" t="s">
        <v>17</v>
      </c>
      <c r="G187" t="str">
        <f>HYPERLINK("http://www.ncbi.nlm.nih.gov/Taxonomy/Browser/wwwtax.cgi?mode=Info&amp;id=8005&amp;lvl=3&amp;lin=f&amp;keep=1&amp;srchmode=1&amp;unlock","Electrophorus electricus")</f>
        <v>Electrophorus electricus</v>
      </c>
      <c r="H187" t="s">
        <v>51</v>
      </c>
      <c r="I187" t="str">
        <f>HYPERLINK("http://www.ncbi.nlm.nih.gov/protein/XP_035389751.1","ryanodine receptor 2 isoform X1")</f>
        <v>ryanodine receptor 2 isoform X1</v>
      </c>
      <c r="J187" t="s">
        <v>1494</v>
      </c>
      <c r="K187" t="s">
        <v>19</v>
      </c>
      <c r="L187">
        <v>4495</v>
      </c>
      <c r="M187" t="s">
        <v>19</v>
      </c>
      <c r="N187" t="s">
        <v>19</v>
      </c>
      <c r="O187">
        <v>4498</v>
      </c>
      <c r="P187" t="s">
        <v>1486</v>
      </c>
      <c r="Q187" t="s">
        <v>19</v>
      </c>
      <c r="R187">
        <v>4499</v>
      </c>
      <c r="S187" t="s">
        <v>1495</v>
      </c>
      <c r="T187" t="s">
        <v>19</v>
      </c>
      <c r="U187">
        <v>4502</v>
      </c>
      <c r="V187" t="s">
        <v>1488</v>
      </c>
      <c r="W187" t="s">
        <v>19</v>
      </c>
      <c r="X187">
        <v>4584</v>
      </c>
      <c r="Y187" t="s">
        <v>1493</v>
      </c>
      <c r="Z187" t="s">
        <v>19</v>
      </c>
      <c r="AA187">
        <v>4719</v>
      </c>
      <c r="AB187" t="s">
        <v>19</v>
      </c>
      <c r="AC187" t="s">
        <v>19</v>
      </c>
      <c r="AD187">
        <v>4720</v>
      </c>
      <c r="AE187" t="s">
        <v>1488</v>
      </c>
      <c r="AF187" t="s">
        <v>19</v>
      </c>
      <c r="AG187">
        <v>4723</v>
      </c>
      <c r="AH187" t="s">
        <v>19</v>
      </c>
      <c r="AI187" t="s">
        <v>19</v>
      </c>
      <c r="AJ187">
        <v>4743</v>
      </c>
      <c r="AK187" t="s">
        <v>1490</v>
      </c>
      <c r="AL187" t="s">
        <v>19</v>
      </c>
      <c r="AM187">
        <v>4747</v>
      </c>
      <c r="AN187" t="s">
        <v>1491</v>
      </c>
      <c r="AO187" t="s">
        <v>19</v>
      </c>
    </row>
    <row r="188" spans="1:41" x14ac:dyDescent="0.45">
      <c r="A188" t="s">
        <v>1266</v>
      </c>
      <c r="B188">
        <v>8</v>
      </c>
      <c r="C188" t="str">
        <f>HYPERLINK("http://www.ncbi.nlm.nih.gov/protein/XP_033467469.1","XP_033467469.1")</f>
        <v>XP_033467469.1</v>
      </c>
      <c r="D188">
        <v>43085</v>
      </c>
      <c r="E188" t="str">
        <f>HYPERLINK("http://www.ncbi.nlm.nih.gov/Taxonomy/Browser/wwwtax.cgi?mode=Info&amp;id=310571&amp;lvl=3&amp;lin=f&amp;keep=1&amp;srchmode=1&amp;unlock","310571")</f>
        <v>310571</v>
      </c>
      <c r="F188" t="s">
        <v>17</v>
      </c>
      <c r="G188" t="str">
        <f>HYPERLINK("http://www.ncbi.nlm.nih.gov/Taxonomy/Browser/wwwtax.cgi?mode=Info&amp;id=310571&amp;lvl=3&amp;lin=f&amp;keep=1&amp;srchmode=1&amp;unlock","Epinephelus lanceolatus")</f>
        <v>Epinephelus lanceolatus</v>
      </c>
      <c r="H188" t="s">
        <v>335</v>
      </c>
      <c r="I188" t="str">
        <f>HYPERLINK("http://www.ncbi.nlm.nih.gov/protein/XP_033467469.1","ryanodine receptor 2-like isoform X2")</f>
        <v>ryanodine receptor 2-like isoform X2</v>
      </c>
      <c r="J188" t="s">
        <v>1494</v>
      </c>
      <c r="K188" t="s">
        <v>19</v>
      </c>
      <c r="L188">
        <v>4493</v>
      </c>
      <c r="M188" t="s">
        <v>19</v>
      </c>
      <c r="N188" t="s">
        <v>19</v>
      </c>
      <c r="O188">
        <v>4496</v>
      </c>
      <c r="P188" t="s">
        <v>1486</v>
      </c>
      <c r="Q188" t="s">
        <v>19</v>
      </c>
      <c r="R188">
        <v>4497</v>
      </c>
      <c r="S188" t="s">
        <v>1495</v>
      </c>
      <c r="T188" t="s">
        <v>19</v>
      </c>
      <c r="U188">
        <v>4500</v>
      </c>
      <c r="V188" t="s">
        <v>1488</v>
      </c>
      <c r="W188" t="s">
        <v>19</v>
      </c>
      <c r="X188">
        <v>4596</v>
      </c>
      <c r="Y188" t="s">
        <v>1493</v>
      </c>
      <c r="Z188" t="s">
        <v>19</v>
      </c>
      <c r="AA188">
        <v>4731</v>
      </c>
      <c r="AB188" t="s">
        <v>19</v>
      </c>
      <c r="AC188" t="s">
        <v>19</v>
      </c>
      <c r="AD188">
        <v>4732</v>
      </c>
      <c r="AE188" t="s">
        <v>1488</v>
      </c>
      <c r="AF188" t="s">
        <v>19</v>
      </c>
      <c r="AG188">
        <v>4735</v>
      </c>
      <c r="AH188" t="s">
        <v>19</v>
      </c>
      <c r="AI188" t="s">
        <v>19</v>
      </c>
      <c r="AJ188">
        <v>4755</v>
      </c>
      <c r="AK188" t="s">
        <v>1490</v>
      </c>
      <c r="AL188" t="s">
        <v>19</v>
      </c>
      <c r="AM188">
        <v>4759</v>
      </c>
      <c r="AN188" t="s">
        <v>1491</v>
      </c>
      <c r="AO188" t="s">
        <v>19</v>
      </c>
    </row>
    <row r="189" spans="1:41" x14ac:dyDescent="0.45">
      <c r="A189" t="s">
        <v>1266</v>
      </c>
      <c r="B189">
        <v>8</v>
      </c>
      <c r="C189" t="str">
        <f>HYPERLINK("http://www.ncbi.nlm.nih.gov/protein/XP_031416799.1","XP_031416799.1")</f>
        <v>XP_031416799.1</v>
      </c>
      <c r="D189">
        <v>47169</v>
      </c>
      <c r="E189" t="str">
        <f>HYPERLINK("http://www.ncbi.nlm.nih.gov/Taxonomy/Browser/wwwtax.cgi?mode=Info&amp;id=7950&amp;lvl=3&amp;lin=f&amp;keep=1&amp;srchmode=1&amp;unlock","7950")</f>
        <v>7950</v>
      </c>
      <c r="F189" t="s">
        <v>17</v>
      </c>
      <c r="G189" t="str">
        <f>HYPERLINK("http://www.ncbi.nlm.nih.gov/Taxonomy/Browser/wwwtax.cgi?mode=Info&amp;id=7950&amp;lvl=3&amp;lin=f&amp;keep=1&amp;srchmode=1&amp;unlock","Clupea harengus")</f>
        <v>Clupea harengus</v>
      </c>
      <c r="H189" t="s">
        <v>375</v>
      </c>
      <c r="I189" t="str">
        <f>HYPERLINK("http://www.ncbi.nlm.nih.gov/protein/XP_031416799.1","ryanodine receptor 2 isoform X2")</f>
        <v>ryanodine receptor 2 isoform X2</v>
      </c>
      <c r="J189" t="s">
        <v>1494</v>
      </c>
      <c r="K189" t="s">
        <v>19</v>
      </c>
      <c r="L189">
        <v>4505</v>
      </c>
      <c r="M189" t="s">
        <v>19</v>
      </c>
      <c r="N189" t="s">
        <v>19</v>
      </c>
      <c r="O189">
        <v>4508</v>
      </c>
      <c r="P189" t="s">
        <v>1486</v>
      </c>
      <c r="Q189" t="s">
        <v>19</v>
      </c>
      <c r="R189">
        <v>4509</v>
      </c>
      <c r="S189" t="s">
        <v>1495</v>
      </c>
      <c r="T189" t="s">
        <v>19</v>
      </c>
      <c r="U189">
        <v>4512</v>
      </c>
      <c r="V189" t="s">
        <v>1488</v>
      </c>
      <c r="W189" t="s">
        <v>19</v>
      </c>
      <c r="X189">
        <v>4592</v>
      </c>
      <c r="Y189" t="s">
        <v>1493</v>
      </c>
      <c r="Z189" t="s">
        <v>19</v>
      </c>
      <c r="AA189">
        <v>4727</v>
      </c>
      <c r="AB189" t="s">
        <v>19</v>
      </c>
      <c r="AC189" t="s">
        <v>19</v>
      </c>
      <c r="AD189">
        <v>4728</v>
      </c>
      <c r="AE189" t="s">
        <v>1488</v>
      </c>
      <c r="AF189" t="s">
        <v>19</v>
      </c>
      <c r="AG189">
        <v>4731</v>
      </c>
      <c r="AH189" t="s">
        <v>19</v>
      </c>
      <c r="AI189" t="s">
        <v>19</v>
      </c>
      <c r="AJ189">
        <v>4751</v>
      </c>
      <c r="AK189" t="s">
        <v>1490</v>
      </c>
      <c r="AL189" t="s">
        <v>19</v>
      </c>
      <c r="AM189">
        <v>4755</v>
      </c>
      <c r="AN189" t="s">
        <v>1491</v>
      </c>
      <c r="AO189" t="s">
        <v>19</v>
      </c>
    </row>
    <row r="190" spans="1:41" x14ac:dyDescent="0.45">
      <c r="A190" t="s">
        <v>1266</v>
      </c>
      <c r="B190">
        <v>8</v>
      </c>
      <c r="C190" t="str">
        <f>HYPERLINK("http://www.ncbi.nlm.nih.gov/protein/XP_027145188.1","XP_027145188.1")</f>
        <v>XP_027145188.1</v>
      </c>
      <c r="D190">
        <v>94610</v>
      </c>
      <c r="E190" t="str">
        <f>HYPERLINK("http://www.ncbi.nlm.nih.gov/Taxonomy/Browser/wwwtax.cgi?mode=Info&amp;id=215358&amp;lvl=3&amp;lin=f&amp;keep=1&amp;srchmode=1&amp;unlock","215358")</f>
        <v>215358</v>
      </c>
      <c r="F190" t="s">
        <v>17</v>
      </c>
      <c r="G190" t="str">
        <f>HYPERLINK("http://www.ncbi.nlm.nih.gov/Taxonomy/Browser/wwwtax.cgi?mode=Info&amp;id=215358&amp;lvl=3&amp;lin=f&amp;keep=1&amp;srchmode=1&amp;unlock","Larimichthys crocea")</f>
        <v>Larimichthys crocea</v>
      </c>
      <c r="H190" t="s">
        <v>55</v>
      </c>
      <c r="I190" t="str">
        <f>HYPERLINK("http://www.ncbi.nlm.nih.gov/protein/XP_027145188.1","ryanodine receptor 2 isoform X1")</f>
        <v>ryanodine receptor 2 isoform X1</v>
      </c>
      <c r="J190" t="s">
        <v>1494</v>
      </c>
      <c r="K190" t="s">
        <v>19</v>
      </c>
      <c r="L190">
        <v>4497</v>
      </c>
      <c r="M190" t="s">
        <v>19</v>
      </c>
      <c r="N190" t="s">
        <v>19</v>
      </c>
      <c r="O190">
        <v>4500</v>
      </c>
      <c r="P190" t="s">
        <v>1486</v>
      </c>
      <c r="Q190" t="s">
        <v>19</v>
      </c>
      <c r="R190">
        <v>4501</v>
      </c>
      <c r="S190" t="s">
        <v>1495</v>
      </c>
      <c r="T190" t="s">
        <v>19</v>
      </c>
      <c r="U190">
        <v>4504</v>
      </c>
      <c r="V190" t="s">
        <v>1488</v>
      </c>
      <c r="W190" t="s">
        <v>19</v>
      </c>
      <c r="X190">
        <v>4600</v>
      </c>
      <c r="Y190" t="s">
        <v>1493</v>
      </c>
      <c r="Z190" t="s">
        <v>19</v>
      </c>
      <c r="AA190">
        <v>4735</v>
      </c>
      <c r="AB190" t="s">
        <v>19</v>
      </c>
      <c r="AC190" t="s">
        <v>19</v>
      </c>
      <c r="AD190">
        <v>4736</v>
      </c>
      <c r="AE190" t="s">
        <v>1488</v>
      </c>
      <c r="AF190" t="s">
        <v>19</v>
      </c>
      <c r="AG190">
        <v>4739</v>
      </c>
      <c r="AH190" t="s">
        <v>19</v>
      </c>
      <c r="AI190" t="s">
        <v>19</v>
      </c>
      <c r="AJ190">
        <v>4759</v>
      </c>
      <c r="AK190" t="s">
        <v>1490</v>
      </c>
      <c r="AL190" t="s">
        <v>19</v>
      </c>
      <c r="AM190">
        <v>4763</v>
      </c>
      <c r="AN190" t="s">
        <v>1491</v>
      </c>
      <c r="AO190" t="s">
        <v>19</v>
      </c>
    </row>
    <row r="191" spans="1:41" x14ac:dyDescent="0.45">
      <c r="A191" t="s">
        <v>1266</v>
      </c>
      <c r="B191">
        <v>8</v>
      </c>
      <c r="C191" t="str">
        <f>HYPERLINK("http://www.ncbi.nlm.nih.gov/protein/XP_049418693.1","XP_049418693.1")</f>
        <v>XP_049418693.1</v>
      </c>
      <c r="D191">
        <v>45353</v>
      </c>
      <c r="E191" t="str">
        <f>HYPERLINK("http://www.ncbi.nlm.nih.gov/Taxonomy/Browser/wwwtax.cgi?mode=Info&amp;id=293821&amp;lvl=3&amp;lin=f&amp;keep=1&amp;srchmode=1&amp;unlock","293821")</f>
        <v>293821</v>
      </c>
      <c r="F191" t="s">
        <v>17</v>
      </c>
      <c r="G191" t="str">
        <f>HYPERLINK("http://www.ncbi.nlm.nih.gov/Taxonomy/Browser/wwwtax.cgi?mode=Info&amp;id=293821&amp;lvl=3&amp;lin=f&amp;keep=1&amp;srchmode=1&amp;unlock","Epinephelus fuscoguttatus")</f>
        <v>Epinephelus fuscoguttatus</v>
      </c>
      <c r="H191" t="s">
        <v>366</v>
      </c>
      <c r="I191" t="str">
        <f>HYPERLINK("http://www.ncbi.nlm.nih.gov/protein/XP_049418693.1","ryanodine receptor 2")</f>
        <v>ryanodine receptor 2</v>
      </c>
      <c r="J191" t="s">
        <v>1494</v>
      </c>
      <c r="K191" t="s">
        <v>19</v>
      </c>
      <c r="L191">
        <v>4487</v>
      </c>
      <c r="M191" t="s">
        <v>19</v>
      </c>
      <c r="N191" t="s">
        <v>19</v>
      </c>
      <c r="O191">
        <v>4490</v>
      </c>
      <c r="P191" t="s">
        <v>1486</v>
      </c>
      <c r="Q191" t="s">
        <v>19</v>
      </c>
      <c r="R191">
        <v>4491</v>
      </c>
      <c r="S191" t="s">
        <v>1495</v>
      </c>
      <c r="T191" t="s">
        <v>19</v>
      </c>
      <c r="U191">
        <v>4494</v>
      </c>
      <c r="V191" t="s">
        <v>1488</v>
      </c>
      <c r="W191" t="s">
        <v>19</v>
      </c>
      <c r="X191">
        <v>4590</v>
      </c>
      <c r="Y191" t="s">
        <v>1493</v>
      </c>
      <c r="Z191" t="s">
        <v>19</v>
      </c>
      <c r="AA191">
        <v>4725</v>
      </c>
      <c r="AB191" t="s">
        <v>19</v>
      </c>
      <c r="AC191" t="s">
        <v>19</v>
      </c>
      <c r="AD191">
        <v>4726</v>
      </c>
      <c r="AE191" t="s">
        <v>1488</v>
      </c>
      <c r="AF191" t="s">
        <v>19</v>
      </c>
      <c r="AG191">
        <v>4729</v>
      </c>
      <c r="AH191" t="s">
        <v>19</v>
      </c>
      <c r="AI191" t="s">
        <v>19</v>
      </c>
      <c r="AJ191">
        <v>4749</v>
      </c>
      <c r="AK191" t="s">
        <v>1490</v>
      </c>
      <c r="AL191" t="s">
        <v>19</v>
      </c>
      <c r="AM191">
        <v>4753</v>
      </c>
      <c r="AN191" t="s">
        <v>1491</v>
      </c>
      <c r="AO191" t="s">
        <v>19</v>
      </c>
    </row>
    <row r="192" spans="1:41" x14ac:dyDescent="0.45">
      <c r="A192" t="s">
        <v>1266</v>
      </c>
      <c r="B192">
        <v>8</v>
      </c>
      <c r="C192" t="str">
        <f>HYPERLINK("http://www.ncbi.nlm.nih.gov/protein/XP_042363756.1","XP_042363756.1")</f>
        <v>XP_042363756.1</v>
      </c>
      <c r="D192">
        <v>36414</v>
      </c>
      <c r="E192" t="str">
        <f>HYPERLINK("http://www.ncbi.nlm.nih.gov/Taxonomy/Browser/wwwtax.cgi?mode=Info&amp;id=160734&amp;lvl=3&amp;lin=f&amp;keep=1&amp;srchmode=1&amp;unlock","160734")</f>
        <v>160734</v>
      </c>
      <c r="F192" t="s">
        <v>17</v>
      </c>
      <c r="G192" t="str">
        <f>HYPERLINK("http://www.ncbi.nlm.nih.gov/Taxonomy/Browser/wwwtax.cgi?mode=Info&amp;id=160734&amp;lvl=3&amp;lin=f&amp;keep=1&amp;srchmode=1&amp;unlock","Plectropomus leopardus")</f>
        <v>Plectropomus leopardus</v>
      </c>
      <c r="H192" t="s">
        <v>391</v>
      </c>
      <c r="I192" t="str">
        <f>HYPERLINK("http://www.ncbi.nlm.nih.gov/protein/XP_042363756.1","ryanodine receptor 2")</f>
        <v>ryanodine receptor 2</v>
      </c>
      <c r="J192" t="s">
        <v>1494</v>
      </c>
      <c r="K192" t="s">
        <v>19</v>
      </c>
      <c r="L192">
        <v>4483</v>
      </c>
      <c r="M192" t="s">
        <v>19</v>
      </c>
      <c r="N192" t="s">
        <v>19</v>
      </c>
      <c r="O192">
        <v>4486</v>
      </c>
      <c r="P192" t="s">
        <v>1486</v>
      </c>
      <c r="Q192" t="s">
        <v>19</v>
      </c>
      <c r="R192">
        <v>4487</v>
      </c>
      <c r="S192" t="s">
        <v>1495</v>
      </c>
      <c r="T192" t="s">
        <v>19</v>
      </c>
      <c r="U192">
        <v>4490</v>
      </c>
      <c r="V192" t="s">
        <v>1488</v>
      </c>
      <c r="W192" t="s">
        <v>19</v>
      </c>
      <c r="X192">
        <v>4586</v>
      </c>
      <c r="Y192" t="s">
        <v>1493</v>
      </c>
      <c r="Z192" t="s">
        <v>19</v>
      </c>
      <c r="AA192">
        <v>4721</v>
      </c>
      <c r="AB192" t="s">
        <v>19</v>
      </c>
      <c r="AC192" t="s">
        <v>19</v>
      </c>
      <c r="AD192">
        <v>4722</v>
      </c>
      <c r="AE192" t="s">
        <v>1488</v>
      </c>
      <c r="AF192" t="s">
        <v>19</v>
      </c>
      <c r="AG192">
        <v>4725</v>
      </c>
      <c r="AH192" t="s">
        <v>19</v>
      </c>
      <c r="AI192" t="s">
        <v>19</v>
      </c>
      <c r="AJ192">
        <v>4745</v>
      </c>
      <c r="AK192" t="s">
        <v>1490</v>
      </c>
      <c r="AL192" t="s">
        <v>19</v>
      </c>
      <c r="AM192">
        <v>4749</v>
      </c>
      <c r="AN192" t="s">
        <v>1491</v>
      </c>
      <c r="AO192" t="s">
        <v>19</v>
      </c>
    </row>
    <row r="193" spans="1:41" x14ac:dyDescent="0.45">
      <c r="A193" t="s">
        <v>1266</v>
      </c>
      <c r="B193">
        <v>8</v>
      </c>
      <c r="C193" t="str">
        <f>HYPERLINK("http://www.ncbi.nlm.nih.gov/protein/XP_056222884.1","XP_056222884.1")</f>
        <v>XP_056222884.1</v>
      </c>
      <c r="D193">
        <v>42717</v>
      </c>
      <c r="E193" t="str">
        <f>HYPERLINK("http://www.ncbi.nlm.nih.gov/Taxonomy/Browser/wwwtax.cgi?mode=Info&amp;id=2871759&amp;lvl=3&amp;lin=f&amp;keep=1&amp;srchmode=1&amp;unlock","2871759")</f>
        <v>2871759</v>
      </c>
      <c r="F193" t="s">
        <v>17</v>
      </c>
      <c r="G193" t="str">
        <f>HYPERLINK("http://www.ncbi.nlm.nih.gov/Taxonomy/Browser/wwwtax.cgi?mode=Info&amp;id=2871759&amp;lvl=3&amp;lin=f&amp;keep=1&amp;srchmode=1&amp;unlock","Seriola aureovittata")</f>
        <v>Seriola aureovittata</v>
      </c>
      <c r="H193" t="s">
        <v>54</v>
      </c>
      <c r="I193" t="str">
        <f>HYPERLINK("http://www.ncbi.nlm.nih.gov/protein/XP_056222884.1","ryanodine receptor 2 isoform X1")</f>
        <v>ryanodine receptor 2 isoform X1</v>
      </c>
      <c r="J193" t="s">
        <v>1494</v>
      </c>
      <c r="K193" t="s">
        <v>19</v>
      </c>
      <c r="L193">
        <v>4497</v>
      </c>
      <c r="M193" t="s">
        <v>19</v>
      </c>
      <c r="N193" t="s">
        <v>19</v>
      </c>
      <c r="O193">
        <v>4500</v>
      </c>
      <c r="P193" t="s">
        <v>1486</v>
      </c>
      <c r="Q193" t="s">
        <v>19</v>
      </c>
      <c r="R193">
        <v>4501</v>
      </c>
      <c r="S193" t="s">
        <v>1495</v>
      </c>
      <c r="T193" t="s">
        <v>19</v>
      </c>
      <c r="U193">
        <v>4504</v>
      </c>
      <c r="V193" t="s">
        <v>1488</v>
      </c>
      <c r="W193" t="s">
        <v>19</v>
      </c>
      <c r="X193">
        <v>4600</v>
      </c>
      <c r="Y193" t="s">
        <v>1493</v>
      </c>
      <c r="Z193" t="s">
        <v>19</v>
      </c>
      <c r="AA193">
        <v>4735</v>
      </c>
      <c r="AB193" t="s">
        <v>19</v>
      </c>
      <c r="AC193" t="s">
        <v>19</v>
      </c>
      <c r="AD193">
        <v>4736</v>
      </c>
      <c r="AE193" t="s">
        <v>1488</v>
      </c>
      <c r="AF193" t="s">
        <v>19</v>
      </c>
      <c r="AG193">
        <v>4739</v>
      </c>
      <c r="AH193" t="s">
        <v>19</v>
      </c>
      <c r="AI193" t="s">
        <v>19</v>
      </c>
      <c r="AJ193">
        <v>4759</v>
      </c>
      <c r="AK193" t="s">
        <v>1490</v>
      </c>
      <c r="AL193" t="s">
        <v>19</v>
      </c>
      <c r="AM193">
        <v>4763</v>
      </c>
      <c r="AN193" t="s">
        <v>1491</v>
      </c>
      <c r="AO193" t="s">
        <v>19</v>
      </c>
    </row>
    <row r="194" spans="1:41" x14ac:dyDescent="0.45">
      <c r="A194" t="s">
        <v>1266</v>
      </c>
      <c r="B194">
        <v>8</v>
      </c>
      <c r="C194" t="str">
        <f>HYPERLINK("http://www.ncbi.nlm.nih.gov/protein/XP_030255112.1","XP_030255112.1")</f>
        <v>XP_030255112.1</v>
      </c>
      <c r="D194">
        <v>54212</v>
      </c>
      <c r="E194" t="str">
        <f>HYPERLINK("http://www.ncbi.nlm.nih.gov/Taxonomy/Browser/wwwtax.cgi?mode=Info&amp;id=8175&amp;lvl=3&amp;lin=f&amp;keep=1&amp;srchmode=1&amp;unlock","8175")</f>
        <v>8175</v>
      </c>
      <c r="F194" t="s">
        <v>17</v>
      </c>
      <c r="G194" t="str">
        <f>HYPERLINK("http://www.ncbi.nlm.nih.gov/Taxonomy/Browser/wwwtax.cgi?mode=Info&amp;id=8175&amp;lvl=3&amp;lin=f&amp;keep=1&amp;srchmode=1&amp;unlock","Sparus aurata")</f>
        <v>Sparus aurata</v>
      </c>
      <c r="H194" t="s">
        <v>84</v>
      </c>
      <c r="I194" t="str">
        <f>HYPERLINK("http://www.ncbi.nlm.nih.gov/protein/XP_030255112.1","ryanodine receptor 2 isoform X1")</f>
        <v>ryanodine receptor 2 isoform X1</v>
      </c>
      <c r="J194" t="s">
        <v>1494</v>
      </c>
      <c r="K194" t="s">
        <v>19</v>
      </c>
      <c r="L194">
        <v>4499</v>
      </c>
      <c r="M194" t="s">
        <v>19</v>
      </c>
      <c r="N194" t="s">
        <v>19</v>
      </c>
      <c r="O194">
        <v>4502</v>
      </c>
      <c r="P194" t="s">
        <v>1486</v>
      </c>
      <c r="Q194" t="s">
        <v>19</v>
      </c>
      <c r="R194">
        <v>4503</v>
      </c>
      <c r="S194" t="s">
        <v>1495</v>
      </c>
      <c r="T194" t="s">
        <v>19</v>
      </c>
      <c r="U194">
        <v>4506</v>
      </c>
      <c r="V194" t="s">
        <v>1488</v>
      </c>
      <c r="W194" t="s">
        <v>19</v>
      </c>
      <c r="X194">
        <v>4602</v>
      </c>
      <c r="Y194" t="s">
        <v>1493</v>
      </c>
      <c r="Z194" t="s">
        <v>19</v>
      </c>
      <c r="AA194">
        <v>4737</v>
      </c>
      <c r="AB194" t="s">
        <v>19</v>
      </c>
      <c r="AC194" t="s">
        <v>19</v>
      </c>
      <c r="AD194">
        <v>4738</v>
      </c>
      <c r="AE194" t="s">
        <v>1488</v>
      </c>
      <c r="AF194" t="s">
        <v>19</v>
      </c>
      <c r="AG194">
        <v>4741</v>
      </c>
      <c r="AH194" t="s">
        <v>19</v>
      </c>
      <c r="AI194" t="s">
        <v>19</v>
      </c>
      <c r="AJ194">
        <v>4761</v>
      </c>
      <c r="AK194" t="s">
        <v>1490</v>
      </c>
      <c r="AL194" t="s">
        <v>19</v>
      </c>
      <c r="AM194">
        <v>4765</v>
      </c>
      <c r="AN194" t="s">
        <v>1491</v>
      </c>
      <c r="AO194" t="s">
        <v>19</v>
      </c>
    </row>
    <row r="195" spans="1:41" x14ac:dyDescent="0.45">
      <c r="A195" t="s">
        <v>1266</v>
      </c>
      <c r="B195">
        <v>8</v>
      </c>
      <c r="C195" t="str">
        <f>HYPERLINK("http://www.ncbi.nlm.nih.gov/protein/XP_023686623.1","XP_023686623.1")</f>
        <v>XP_023686623.1</v>
      </c>
      <c r="D195">
        <v>55302</v>
      </c>
      <c r="E195" t="str">
        <f>HYPERLINK("http://www.ncbi.nlm.nih.gov/Taxonomy/Browser/wwwtax.cgi?mode=Info&amp;id=1676925&amp;lvl=3&amp;lin=f&amp;keep=1&amp;srchmode=1&amp;unlock","1676925")</f>
        <v>1676925</v>
      </c>
      <c r="F195" t="s">
        <v>17</v>
      </c>
      <c r="G195" t="str">
        <f>HYPERLINK("http://www.ncbi.nlm.nih.gov/Taxonomy/Browser/wwwtax.cgi?mode=Info&amp;id=1676925&amp;lvl=3&amp;lin=f&amp;keep=1&amp;srchmode=1&amp;unlock","Paramormyrops kingsleyae")</f>
        <v>Paramormyrops kingsleyae</v>
      </c>
      <c r="H195" t="s">
        <v>79</v>
      </c>
      <c r="I195" t="str">
        <f>HYPERLINK("http://www.ncbi.nlm.nih.gov/protein/XP_023686623.1","ryanodine receptor 2 isoform X4")</f>
        <v>ryanodine receptor 2 isoform X4</v>
      </c>
      <c r="J195" t="s">
        <v>1494</v>
      </c>
      <c r="K195" t="s">
        <v>19</v>
      </c>
      <c r="L195">
        <v>4393</v>
      </c>
      <c r="M195" t="s">
        <v>19</v>
      </c>
      <c r="N195" t="s">
        <v>19</v>
      </c>
      <c r="O195">
        <v>4396</v>
      </c>
      <c r="P195" t="s">
        <v>1486</v>
      </c>
      <c r="Q195" t="s">
        <v>19</v>
      </c>
      <c r="R195">
        <v>4397</v>
      </c>
      <c r="S195" t="s">
        <v>1495</v>
      </c>
      <c r="T195" t="s">
        <v>19</v>
      </c>
      <c r="U195">
        <v>4400</v>
      </c>
      <c r="V195" t="s">
        <v>1488</v>
      </c>
      <c r="W195" t="s">
        <v>19</v>
      </c>
      <c r="X195">
        <v>4481</v>
      </c>
      <c r="Y195" t="s">
        <v>1493</v>
      </c>
      <c r="Z195" t="s">
        <v>19</v>
      </c>
      <c r="AA195">
        <v>4616</v>
      </c>
      <c r="AB195" t="s">
        <v>19</v>
      </c>
      <c r="AC195" t="s">
        <v>19</v>
      </c>
      <c r="AD195">
        <v>4617</v>
      </c>
      <c r="AE195" t="s">
        <v>1488</v>
      </c>
      <c r="AF195" t="s">
        <v>19</v>
      </c>
      <c r="AG195">
        <v>4620</v>
      </c>
      <c r="AH195" t="s">
        <v>19</v>
      </c>
      <c r="AI195" t="s">
        <v>19</v>
      </c>
      <c r="AJ195">
        <v>4640</v>
      </c>
      <c r="AK195" t="s">
        <v>1490</v>
      </c>
      <c r="AL195" t="s">
        <v>19</v>
      </c>
      <c r="AM195">
        <v>4644</v>
      </c>
      <c r="AN195" t="s">
        <v>1491</v>
      </c>
      <c r="AO195" t="s">
        <v>19</v>
      </c>
    </row>
    <row r="196" spans="1:41" x14ac:dyDescent="0.45">
      <c r="A196" t="s">
        <v>1266</v>
      </c>
      <c r="B196">
        <v>8</v>
      </c>
      <c r="C196" t="str">
        <f>HYPERLINK("http://www.ncbi.nlm.nih.gov/protein/XP_059180664.1","XP_059180664.1")</f>
        <v>XP_059180664.1</v>
      </c>
      <c r="D196">
        <v>36369</v>
      </c>
      <c r="E196" t="str">
        <f>HYPERLINK("http://www.ncbi.nlm.nih.gov/Taxonomy/Browser/wwwtax.cgi?mode=Info&amp;id=184440&amp;lvl=3&amp;lin=f&amp;keep=1&amp;srchmode=1&amp;unlock","184440")</f>
        <v>184440</v>
      </c>
      <c r="F196" t="s">
        <v>17</v>
      </c>
      <c r="G196" t="str">
        <f>HYPERLINK("http://www.ncbi.nlm.nih.gov/Taxonomy/Browser/wwwtax.cgi?mode=Info&amp;id=184440&amp;lvl=3&amp;lin=f&amp;keep=1&amp;srchmode=1&amp;unlock","Centropristis striata")</f>
        <v>Centropristis striata</v>
      </c>
      <c r="H196" t="s">
        <v>397</v>
      </c>
      <c r="I196" t="str">
        <f>HYPERLINK("http://www.ncbi.nlm.nih.gov/protein/XP_059180664.1","ryanodine receptor 2-like")</f>
        <v>ryanodine receptor 2-like</v>
      </c>
      <c r="J196" t="s">
        <v>1494</v>
      </c>
      <c r="K196" t="s">
        <v>19</v>
      </c>
      <c r="L196">
        <v>4486</v>
      </c>
      <c r="M196" t="s">
        <v>19</v>
      </c>
      <c r="N196" t="s">
        <v>19</v>
      </c>
      <c r="O196">
        <v>4489</v>
      </c>
      <c r="P196" t="s">
        <v>1486</v>
      </c>
      <c r="Q196" t="s">
        <v>19</v>
      </c>
      <c r="R196">
        <v>4490</v>
      </c>
      <c r="S196" t="s">
        <v>1495</v>
      </c>
      <c r="T196" t="s">
        <v>19</v>
      </c>
      <c r="U196">
        <v>4493</v>
      </c>
      <c r="V196" t="s">
        <v>1488</v>
      </c>
      <c r="W196" t="s">
        <v>19</v>
      </c>
      <c r="X196">
        <v>4589</v>
      </c>
      <c r="Y196" t="s">
        <v>1493</v>
      </c>
      <c r="Z196" t="s">
        <v>19</v>
      </c>
      <c r="AA196">
        <v>4724</v>
      </c>
      <c r="AB196" t="s">
        <v>19</v>
      </c>
      <c r="AC196" t="s">
        <v>19</v>
      </c>
      <c r="AD196">
        <v>4725</v>
      </c>
      <c r="AE196" t="s">
        <v>1488</v>
      </c>
      <c r="AF196" t="s">
        <v>19</v>
      </c>
      <c r="AG196">
        <v>4728</v>
      </c>
      <c r="AH196" t="s">
        <v>19</v>
      </c>
      <c r="AI196" t="s">
        <v>19</v>
      </c>
      <c r="AJ196">
        <v>4748</v>
      </c>
      <c r="AK196" t="s">
        <v>1490</v>
      </c>
      <c r="AL196" t="s">
        <v>19</v>
      </c>
      <c r="AM196">
        <v>4752</v>
      </c>
      <c r="AN196" t="s">
        <v>1491</v>
      </c>
      <c r="AO196" t="s">
        <v>19</v>
      </c>
    </row>
    <row r="197" spans="1:41" x14ac:dyDescent="0.45">
      <c r="A197" t="s">
        <v>1266</v>
      </c>
      <c r="B197">
        <v>8</v>
      </c>
      <c r="C197" t="str">
        <f>HYPERLINK("http://www.ncbi.nlm.nih.gov/protein/XP_051273064.1","XP_051273064.1")</f>
        <v>XP_051273064.1</v>
      </c>
      <c r="D197">
        <v>57329</v>
      </c>
      <c r="E197" t="str">
        <f>HYPERLINK("http://www.ncbi.nlm.nih.gov/Taxonomy/Browser/wwwtax.cgi?mode=Info&amp;id=13489&amp;lvl=3&amp;lin=f&amp;keep=1&amp;srchmode=1&amp;unlock","13489")</f>
        <v>13489</v>
      </c>
      <c r="F197" t="s">
        <v>17</v>
      </c>
      <c r="G197" t="str">
        <f>HYPERLINK("http://www.ncbi.nlm.nih.gov/Taxonomy/Browser/wwwtax.cgi?mode=Info&amp;id=13489&amp;lvl=3&amp;lin=f&amp;keep=1&amp;srchmode=1&amp;unlock","Dicentrarchus labrax")</f>
        <v>Dicentrarchus labrax</v>
      </c>
      <c r="H197" t="s">
        <v>77</v>
      </c>
      <c r="I197" t="str">
        <f>HYPERLINK("http://www.ncbi.nlm.nih.gov/protein/XP_051273064.1","ryanodine receptor 2 isoform X1")</f>
        <v>ryanodine receptor 2 isoform X1</v>
      </c>
      <c r="J197" t="s">
        <v>1494</v>
      </c>
      <c r="K197" t="s">
        <v>19</v>
      </c>
      <c r="L197">
        <v>4494</v>
      </c>
      <c r="M197" t="s">
        <v>19</v>
      </c>
      <c r="N197" t="s">
        <v>19</v>
      </c>
      <c r="O197">
        <v>4497</v>
      </c>
      <c r="P197" t="s">
        <v>1486</v>
      </c>
      <c r="Q197" t="s">
        <v>19</v>
      </c>
      <c r="R197">
        <v>4498</v>
      </c>
      <c r="S197" t="s">
        <v>1495</v>
      </c>
      <c r="T197" t="s">
        <v>19</v>
      </c>
      <c r="U197">
        <v>4501</v>
      </c>
      <c r="V197" t="s">
        <v>1488</v>
      </c>
      <c r="W197" t="s">
        <v>19</v>
      </c>
      <c r="X197">
        <v>4597</v>
      </c>
      <c r="Y197" t="s">
        <v>1493</v>
      </c>
      <c r="Z197" t="s">
        <v>19</v>
      </c>
      <c r="AA197">
        <v>4732</v>
      </c>
      <c r="AB197" t="s">
        <v>19</v>
      </c>
      <c r="AC197" t="s">
        <v>19</v>
      </c>
      <c r="AD197">
        <v>4733</v>
      </c>
      <c r="AE197" t="s">
        <v>1488</v>
      </c>
      <c r="AF197" t="s">
        <v>19</v>
      </c>
      <c r="AG197">
        <v>4736</v>
      </c>
      <c r="AH197" t="s">
        <v>19</v>
      </c>
      <c r="AI197" t="s">
        <v>19</v>
      </c>
      <c r="AJ197">
        <v>4756</v>
      </c>
      <c r="AK197" t="s">
        <v>1490</v>
      </c>
      <c r="AL197" t="s">
        <v>19</v>
      </c>
      <c r="AM197">
        <v>4760</v>
      </c>
      <c r="AN197" t="s">
        <v>1491</v>
      </c>
      <c r="AO197" t="s">
        <v>19</v>
      </c>
    </row>
    <row r="198" spans="1:41" x14ac:dyDescent="0.45">
      <c r="A198" t="s">
        <v>1266</v>
      </c>
      <c r="B198">
        <v>8</v>
      </c>
      <c r="C198" t="str">
        <f>HYPERLINK("http://www.ncbi.nlm.nih.gov/protein/XP_036936940.1","XP_036936940.1")</f>
        <v>XP_036936940.1</v>
      </c>
      <c r="D198">
        <v>54713</v>
      </c>
      <c r="E198" t="str">
        <f>HYPERLINK("http://www.ncbi.nlm.nih.gov/Taxonomy/Browser/wwwtax.cgi?mode=Info&amp;id=8177&amp;lvl=3&amp;lin=f&amp;keep=1&amp;srchmode=1&amp;unlock","8177")</f>
        <v>8177</v>
      </c>
      <c r="F198" t="s">
        <v>17</v>
      </c>
      <c r="G198" t="str">
        <f>HYPERLINK("http://www.ncbi.nlm.nih.gov/Taxonomy/Browser/wwwtax.cgi?mode=Info&amp;id=8177&amp;lvl=3&amp;lin=f&amp;keep=1&amp;srchmode=1&amp;unlock","Acanthopagrus latus")</f>
        <v>Acanthopagrus latus</v>
      </c>
      <c r="H198" t="s">
        <v>100</v>
      </c>
      <c r="I198" t="str">
        <f>HYPERLINK("http://www.ncbi.nlm.nih.gov/protein/XP_036936940.1","ryanodine receptor 2 isoform X2")</f>
        <v>ryanodine receptor 2 isoform X2</v>
      </c>
      <c r="J198" t="s">
        <v>1494</v>
      </c>
      <c r="K198" t="s">
        <v>19</v>
      </c>
      <c r="L198">
        <v>4499</v>
      </c>
      <c r="M198" t="s">
        <v>19</v>
      </c>
      <c r="N198" t="s">
        <v>19</v>
      </c>
      <c r="O198">
        <v>4502</v>
      </c>
      <c r="P198" t="s">
        <v>1486</v>
      </c>
      <c r="Q198" t="s">
        <v>19</v>
      </c>
      <c r="R198">
        <v>4503</v>
      </c>
      <c r="S198" t="s">
        <v>1495</v>
      </c>
      <c r="T198" t="s">
        <v>19</v>
      </c>
      <c r="U198">
        <v>4506</v>
      </c>
      <c r="V198" t="s">
        <v>1488</v>
      </c>
      <c r="W198" t="s">
        <v>19</v>
      </c>
      <c r="X198">
        <v>4602</v>
      </c>
      <c r="Y198" t="s">
        <v>1493</v>
      </c>
      <c r="Z198" t="s">
        <v>19</v>
      </c>
      <c r="AA198">
        <v>4737</v>
      </c>
      <c r="AB198" t="s">
        <v>19</v>
      </c>
      <c r="AC198" t="s">
        <v>19</v>
      </c>
      <c r="AD198">
        <v>4738</v>
      </c>
      <c r="AE198" t="s">
        <v>1488</v>
      </c>
      <c r="AF198" t="s">
        <v>19</v>
      </c>
      <c r="AG198">
        <v>4741</v>
      </c>
      <c r="AH198" t="s">
        <v>19</v>
      </c>
      <c r="AI198" t="s">
        <v>19</v>
      </c>
      <c r="AJ198">
        <v>4761</v>
      </c>
      <c r="AK198" t="s">
        <v>1490</v>
      </c>
      <c r="AL198" t="s">
        <v>19</v>
      </c>
      <c r="AM198">
        <v>4765</v>
      </c>
      <c r="AN198" t="s">
        <v>1491</v>
      </c>
      <c r="AO198" t="s">
        <v>19</v>
      </c>
    </row>
    <row r="199" spans="1:41" x14ac:dyDescent="0.45">
      <c r="A199" t="s">
        <v>1266</v>
      </c>
      <c r="B199">
        <v>8</v>
      </c>
      <c r="C199" t="str">
        <f>HYPERLINK("http://www.ncbi.nlm.nih.gov/protein/XP_022621736.1","XP_022621736.1")</f>
        <v>XP_022621736.1</v>
      </c>
      <c r="D199">
        <v>32913</v>
      </c>
      <c r="E199" t="str">
        <f>HYPERLINK("http://www.ncbi.nlm.nih.gov/Taxonomy/Browser/wwwtax.cgi?mode=Info&amp;id=41447&amp;lvl=3&amp;lin=f&amp;keep=1&amp;srchmode=1&amp;unlock","41447")</f>
        <v>41447</v>
      </c>
      <c r="F199" t="s">
        <v>17</v>
      </c>
      <c r="G199" t="str">
        <f>HYPERLINK("http://www.ncbi.nlm.nih.gov/Taxonomy/Browser/wwwtax.cgi?mode=Info&amp;id=41447&amp;lvl=3&amp;lin=f&amp;keep=1&amp;srchmode=1&amp;unlock","Seriola dumerili")</f>
        <v>Seriola dumerili</v>
      </c>
      <c r="H199" t="s">
        <v>57</v>
      </c>
      <c r="I199" t="str">
        <f>HYPERLINK("http://www.ncbi.nlm.nih.gov/protein/XP_022621736.1","ryanodine receptor 2")</f>
        <v>ryanodine receptor 2</v>
      </c>
      <c r="J199" t="s">
        <v>1494</v>
      </c>
      <c r="K199" t="s">
        <v>19</v>
      </c>
      <c r="L199">
        <v>4496</v>
      </c>
      <c r="M199" t="s">
        <v>19</v>
      </c>
      <c r="N199" t="s">
        <v>19</v>
      </c>
      <c r="O199">
        <v>4499</v>
      </c>
      <c r="P199" t="s">
        <v>1486</v>
      </c>
      <c r="Q199" t="s">
        <v>19</v>
      </c>
      <c r="R199">
        <v>4500</v>
      </c>
      <c r="S199" t="s">
        <v>1495</v>
      </c>
      <c r="T199" t="s">
        <v>19</v>
      </c>
      <c r="U199">
        <v>4503</v>
      </c>
      <c r="V199" t="s">
        <v>1488</v>
      </c>
      <c r="W199" t="s">
        <v>19</v>
      </c>
      <c r="X199">
        <v>4599</v>
      </c>
      <c r="Y199" t="s">
        <v>1493</v>
      </c>
      <c r="Z199" t="s">
        <v>19</v>
      </c>
      <c r="AA199">
        <v>4734</v>
      </c>
      <c r="AB199" t="s">
        <v>19</v>
      </c>
      <c r="AC199" t="s">
        <v>19</v>
      </c>
      <c r="AD199">
        <v>4735</v>
      </c>
      <c r="AE199" t="s">
        <v>1488</v>
      </c>
      <c r="AF199" t="s">
        <v>19</v>
      </c>
      <c r="AG199">
        <v>4738</v>
      </c>
      <c r="AH199" t="s">
        <v>19</v>
      </c>
      <c r="AI199" t="s">
        <v>19</v>
      </c>
      <c r="AJ199">
        <v>4758</v>
      </c>
      <c r="AK199" t="s">
        <v>1490</v>
      </c>
      <c r="AL199" t="s">
        <v>19</v>
      </c>
      <c r="AM199">
        <v>4762</v>
      </c>
      <c r="AN199" t="s">
        <v>1491</v>
      </c>
      <c r="AO199" t="s">
        <v>19</v>
      </c>
    </row>
    <row r="200" spans="1:41" x14ac:dyDescent="0.45">
      <c r="A200" t="s">
        <v>1266</v>
      </c>
      <c r="B200">
        <v>8</v>
      </c>
      <c r="C200" t="str">
        <f>HYPERLINK("http://www.ncbi.nlm.nih.gov/protein/XP_049916289.1","XP_049916289.1")</f>
        <v>XP_049916289.1</v>
      </c>
      <c r="D200">
        <v>42914</v>
      </c>
      <c r="E200" t="str">
        <f>HYPERLINK("http://www.ncbi.nlm.nih.gov/Taxonomy/Browser/wwwtax.cgi?mode=Info&amp;id=300413&amp;lvl=3&amp;lin=f&amp;keep=1&amp;srchmode=1&amp;unlock","300413")</f>
        <v>300413</v>
      </c>
      <c r="F200" t="s">
        <v>17</v>
      </c>
      <c r="G200" t="str">
        <f>HYPERLINK("http://www.ncbi.nlm.nih.gov/Taxonomy/Browser/wwwtax.cgi?mode=Info&amp;id=300413&amp;lvl=3&amp;lin=f&amp;keep=1&amp;srchmode=1&amp;unlock","Epinephelus moara")</f>
        <v>Epinephelus moara</v>
      </c>
      <c r="H200" t="s">
        <v>392</v>
      </c>
      <c r="I200" t="str">
        <f>HYPERLINK("http://www.ncbi.nlm.nih.gov/protein/XP_049916289.1","ryanodine receptor 2")</f>
        <v>ryanodine receptor 2</v>
      </c>
      <c r="J200" t="s">
        <v>1494</v>
      </c>
      <c r="K200" t="s">
        <v>19</v>
      </c>
      <c r="L200">
        <v>4479</v>
      </c>
      <c r="M200" t="s">
        <v>19</v>
      </c>
      <c r="N200" t="s">
        <v>19</v>
      </c>
      <c r="O200">
        <v>4482</v>
      </c>
      <c r="P200" t="s">
        <v>1486</v>
      </c>
      <c r="Q200" t="s">
        <v>19</v>
      </c>
      <c r="R200">
        <v>4483</v>
      </c>
      <c r="S200" t="s">
        <v>1495</v>
      </c>
      <c r="T200" t="s">
        <v>19</v>
      </c>
      <c r="U200">
        <v>4486</v>
      </c>
      <c r="V200" t="s">
        <v>1488</v>
      </c>
      <c r="W200" t="s">
        <v>19</v>
      </c>
      <c r="X200">
        <v>4582</v>
      </c>
      <c r="Y200" t="s">
        <v>1493</v>
      </c>
      <c r="Z200" t="s">
        <v>19</v>
      </c>
      <c r="AA200">
        <v>4717</v>
      </c>
      <c r="AB200" t="s">
        <v>19</v>
      </c>
      <c r="AC200" t="s">
        <v>19</v>
      </c>
      <c r="AD200">
        <v>4718</v>
      </c>
      <c r="AE200" t="s">
        <v>1488</v>
      </c>
      <c r="AF200" t="s">
        <v>19</v>
      </c>
      <c r="AG200">
        <v>4721</v>
      </c>
      <c r="AH200" t="s">
        <v>19</v>
      </c>
      <c r="AI200" t="s">
        <v>19</v>
      </c>
      <c r="AJ200">
        <v>4741</v>
      </c>
      <c r="AK200" t="s">
        <v>1490</v>
      </c>
      <c r="AL200" t="s">
        <v>19</v>
      </c>
      <c r="AM200">
        <v>4745</v>
      </c>
      <c r="AN200" t="s">
        <v>1491</v>
      </c>
      <c r="AO200" t="s">
        <v>19</v>
      </c>
    </row>
    <row r="201" spans="1:41" x14ac:dyDescent="0.45">
      <c r="A201" t="s">
        <v>1266</v>
      </c>
      <c r="B201">
        <v>8</v>
      </c>
      <c r="C201" t="str">
        <f>HYPERLINK("http://www.ncbi.nlm.nih.gov/protein/XP_042253638.1","XP_042253638.1")</f>
        <v>XP_042253638.1</v>
      </c>
      <c r="D201">
        <v>49622</v>
      </c>
      <c r="E201" t="str">
        <f>HYPERLINK("http://www.ncbi.nlm.nih.gov/Taxonomy/Browser/wwwtax.cgi?mode=Info&amp;id=8240&amp;lvl=3&amp;lin=f&amp;keep=1&amp;srchmode=1&amp;unlock","8240")</f>
        <v>8240</v>
      </c>
      <c r="F201" t="s">
        <v>17</v>
      </c>
      <c r="G201" t="str">
        <f>HYPERLINK("http://www.ncbi.nlm.nih.gov/Taxonomy/Browser/wwwtax.cgi?mode=Info&amp;id=8240&amp;lvl=3&amp;lin=f&amp;keep=1&amp;srchmode=1&amp;unlock","Thunnus maccoyii")</f>
        <v>Thunnus maccoyii</v>
      </c>
      <c r="H201" t="s">
        <v>420</v>
      </c>
      <c r="I201" t="str">
        <f>HYPERLINK("http://www.ncbi.nlm.nih.gov/protein/XP_042253638.1","ryanodine receptor 2")</f>
        <v>ryanodine receptor 2</v>
      </c>
      <c r="J201" t="s">
        <v>1494</v>
      </c>
      <c r="K201" t="s">
        <v>19</v>
      </c>
      <c r="L201">
        <v>4485</v>
      </c>
      <c r="M201" t="s">
        <v>19</v>
      </c>
      <c r="N201" t="s">
        <v>19</v>
      </c>
      <c r="O201">
        <v>4488</v>
      </c>
      <c r="P201" t="s">
        <v>1486</v>
      </c>
      <c r="Q201" t="s">
        <v>19</v>
      </c>
      <c r="R201">
        <v>4489</v>
      </c>
      <c r="S201" t="s">
        <v>1495</v>
      </c>
      <c r="T201" t="s">
        <v>19</v>
      </c>
      <c r="U201">
        <v>4492</v>
      </c>
      <c r="V201" t="s">
        <v>1488</v>
      </c>
      <c r="W201" t="s">
        <v>19</v>
      </c>
      <c r="X201">
        <v>4589</v>
      </c>
      <c r="Y201" t="s">
        <v>1493</v>
      </c>
      <c r="Z201" t="s">
        <v>19</v>
      </c>
      <c r="AA201">
        <v>4724</v>
      </c>
      <c r="AB201" t="s">
        <v>19</v>
      </c>
      <c r="AC201" t="s">
        <v>19</v>
      </c>
      <c r="AD201">
        <v>4725</v>
      </c>
      <c r="AE201" t="s">
        <v>1488</v>
      </c>
      <c r="AF201" t="s">
        <v>19</v>
      </c>
      <c r="AG201">
        <v>4728</v>
      </c>
      <c r="AH201" t="s">
        <v>19</v>
      </c>
      <c r="AI201" t="s">
        <v>19</v>
      </c>
      <c r="AJ201">
        <v>4748</v>
      </c>
      <c r="AK201" t="s">
        <v>1490</v>
      </c>
      <c r="AL201" t="s">
        <v>19</v>
      </c>
      <c r="AM201">
        <v>4752</v>
      </c>
      <c r="AN201" t="s">
        <v>1491</v>
      </c>
      <c r="AO201" t="s">
        <v>19</v>
      </c>
    </row>
    <row r="202" spans="1:41" x14ac:dyDescent="0.45">
      <c r="A202" t="s">
        <v>1266</v>
      </c>
      <c r="B202">
        <v>8</v>
      </c>
      <c r="C202" t="str">
        <f>HYPERLINK("http://www.ncbi.nlm.nih.gov/protein/XP_044194253.1","XP_044194253.1")</f>
        <v>XP_044194253.1</v>
      </c>
      <c r="D202">
        <v>48680</v>
      </c>
      <c r="E202" t="str">
        <f>HYPERLINK("http://www.ncbi.nlm.nih.gov/Taxonomy/Browser/wwwtax.cgi?mode=Info&amp;id=8236&amp;lvl=3&amp;lin=f&amp;keep=1&amp;srchmode=1&amp;unlock","8236")</f>
        <v>8236</v>
      </c>
      <c r="F202" t="s">
        <v>17</v>
      </c>
      <c r="G202" t="str">
        <f>HYPERLINK("http://www.ncbi.nlm.nih.gov/Taxonomy/Browser/wwwtax.cgi?mode=Info&amp;id=8236&amp;lvl=3&amp;lin=f&amp;keep=1&amp;srchmode=1&amp;unlock","Thunnus albacares")</f>
        <v>Thunnus albacares</v>
      </c>
      <c r="H202" t="s">
        <v>424</v>
      </c>
      <c r="I202" t="str">
        <f>HYPERLINK("http://www.ncbi.nlm.nih.gov/protein/XP_044194253.1","ryanodine receptor 2")</f>
        <v>ryanodine receptor 2</v>
      </c>
      <c r="J202" t="s">
        <v>1494</v>
      </c>
      <c r="K202" t="s">
        <v>19</v>
      </c>
      <c r="L202">
        <v>4485</v>
      </c>
      <c r="M202" t="s">
        <v>19</v>
      </c>
      <c r="N202" t="s">
        <v>19</v>
      </c>
      <c r="O202">
        <v>4488</v>
      </c>
      <c r="P202" t="s">
        <v>1486</v>
      </c>
      <c r="Q202" t="s">
        <v>19</v>
      </c>
      <c r="R202">
        <v>4489</v>
      </c>
      <c r="S202" t="s">
        <v>1495</v>
      </c>
      <c r="T202" t="s">
        <v>19</v>
      </c>
      <c r="U202">
        <v>4492</v>
      </c>
      <c r="V202" t="s">
        <v>1488</v>
      </c>
      <c r="W202" t="s">
        <v>19</v>
      </c>
      <c r="X202">
        <v>4589</v>
      </c>
      <c r="Y202" t="s">
        <v>1493</v>
      </c>
      <c r="Z202" t="s">
        <v>19</v>
      </c>
      <c r="AA202">
        <v>4724</v>
      </c>
      <c r="AB202" t="s">
        <v>19</v>
      </c>
      <c r="AC202" t="s">
        <v>19</v>
      </c>
      <c r="AD202">
        <v>4725</v>
      </c>
      <c r="AE202" t="s">
        <v>1488</v>
      </c>
      <c r="AF202" t="s">
        <v>19</v>
      </c>
      <c r="AG202">
        <v>4728</v>
      </c>
      <c r="AH202" t="s">
        <v>19</v>
      </c>
      <c r="AI202" t="s">
        <v>19</v>
      </c>
      <c r="AJ202">
        <v>4748</v>
      </c>
      <c r="AK202" t="s">
        <v>1490</v>
      </c>
      <c r="AL202" t="s">
        <v>19</v>
      </c>
      <c r="AM202">
        <v>4752</v>
      </c>
      <c r="AN202" t="s">
        <v>1491</v>
      </c>
      <c r="AO202" t="s">
        <v>19</v>
      </c>
    </row>
    <row r="203" spans="1:41" x14ac:dyDescent="0.45">
      <c r="A203" t="s">
        <v>1266</v>
      </c>
      <c r="B203">
        <v>8</v>
      </c>
      <c r="C203" t="str">
        <f>HYPERLINK("http://www.ncbi.nlm.nih.gov/protein/XP_041819349.1","XP_041819349.1")</f>
        <v>XP_041819349.1</v>
      </c>
      <c r="D203">
        <v>33964</v>
      </c>
      <c r="E203" t="str">
        <f>HYPERLINK("http://www.ncbi.nlm.nih.gov/Taxonomy/Browser/wwwtax.cgi?mode=Info&amp;id=109905&amp;lvl=3&amp;lin=f&amp;keep=1&amp;srchmode=1&amp;unlock","109905")</f>
        <v>109905</v>
      </c>
      <c r="F203" t="s">
        <v>17</v>
      </c>
      <c r="G203" t="str">
        <f>HYPERLINK("http://www.ncbi.nlm.nih.gov/Taxonomy/Browser/wwwtax.cgi?mode=Info&amp;id=109905&amp;lvl=3&amp;lin=f&amp;keep=1&amp;srchmode=1&amp;unlock","Chelmon rostratus")</f>
        <v>Chelmon rostratus</v>
      </c>
      <c r="H203" t="s">
        <v>64</v>
      </c>
      <c r="I203" t="str">
        <f>HYPERLINK("http://www.ncbi.nlm.nih.gov/protein/XP_041819349.1","ryanodine receptor 2")</f>
        <v>ryanodine receptor 2</v>
      </c>
      <c r="J203" t="s">
        <v>1494</v>
      </c>
      <c r="K203" t="s">
        <v>19</v>
      </c>
      <c r="L203">
        <v>4484</v>
      </c>
      <c r="M203" t="s">
        <v>19</v>
      </c>
      <c r="N203" t="s">
        <v>19</v>
      </c>
      <c r="O203">
        <v>4487</v>
      </c>
      <c r="P203" t="s">
        <v>1486</v>
      </c>
      <c r="Q203" t="s">
        <v>19</v>
      </c>
      <c r="R203">
        <v>4488</v>
      </c>
      <c r="S203" t="s">
        <v>1495</v>
      </c>
      <c r="T203" t="s">
        <v>19</v>
      </c>
      <c r="U203">
        <v>4491</v>
      </c>
      <c r="V203" t="s">
        <v>1488</v>
      </c>
      <c r="W203" t="s">
        <v>19</v>
      </c>
      <c r="X203">
        <v>4587</v>
      </c>
      <c r="Y203" t="s">
        <v>1493</v>
      </c>
      <c r="Z203" t="s">
        <v>19</v>
      </c>
      <c r="AA203">
        <v>4722</v>
      </c>
      <c r="AB203" t="s">
        <v>19</v>
      </c>
      <c r="AC203" t="s">
        <v>19</v>
      </c>
      <c r="AD203">
        <v>4723</v>
      </c>
      <c r="AE203" t="s">
        <v>1488</v>
      </c>
      <c r="AF203" t="s">
        <v>19</v>
      </c>
      <c r="AG203">
        <v>4726</v>
      </c>
      <c r="AH203" t="s">
        <v>19</v>
      </c>
      <c r="AI203" t="s">
        <v>19</v>
      </c>
      <c r="AJ203">
        <v>4746</v>
      </c>
      <c r="AK203" t="s">
        <v>1490</v>
      </c>
      <c r="AL203" t="s">
        <v>19</v>
      </c>
      <c r="AM203">
        <v>4750</v>
      </c>
      <c r="AN203" t="s">
        <v>1491</v>
      </c>
      <c r="AO203" t="s">
        <v>19</v>
      </c>
    </row>
    <row r="204" spans="1:41" x14ac:dyDescent="0.45">
      <c r="A204" t="s">
        <v>1266</v>
      </c>
      <c r="B204">
        <v>8</v>
      </c>
      <c r="C204" t="str">
        <f>HYPERLINK("http://www.ncbi.nlm.nih.gov/protein/XP_029604479.1","XP_029604479.1")</f>
        <v>XP_029604479.1</v>
      </c>
      <c r="D204">
        <v>88731</v>
      </c>
      <c r="E204" t="str">
        <f>HYPERLINK("http://www.ncbi.nlm.nih.gov/Taxonomy/Browser/wwwtax.cgi?mode=Info&amp;id=8032&amp;lvl=3&amp;lin=f&amp;keep=1&amp;srchmode=1&amp;unlock","8032")</f>
        <v>8032</v>
      </c>
      <c r="F204" t="s">
        <v>17</v>
      </c>
      <c r="G204" t="str">
        <f>HYPERLINK("http://www.ncbi.nlm.nih.gov/Taxonomy/Browser/wwwtax.cgi?mode=Info&amp;id=8032&amp;lvl=3&amp;lin=f&amp;keep=1&amp;srchmode=1&amp;unlock","Salmo trutta")</f>
        <v>Salmo trutta</v>
      </c>
      <c r="H204" t="s">
        <v>150</v>
      </c>
      <c r="I204" t="str">
        <f>HYPERLINK("http://www.ncbi.nlm.nih.gov/protein/XP_029604479.1","ryanodine receptor 2")</f>
        <v>ryanodine receptor 2</v>
      </c>
      <c r="J204" t="s">
        <v>1494</v>
      </c>
      <c r="K204" t="s">
        <v>19</v>
      </c>
      <c r="L204">
        <v>4509</v>
      </c>
      <c r="M204" t="s">
        <v>19</v>
      </c>
      <c r="N204" t="s">
        <v>19</v>
      </c>
      <c r="O204">
        <v>4512</v>
      </c>
      <c r="P204" t="s">
        <v>1486</v>
      </c>
      <c r="Q204" t="s">
        <v>19</v>
      </c>
      <c r="R204">
        <v>4513</v>
      </c>
      <c r="S204" t="s">
        <v>1495</v>
      </c>
      <c r="T204" t="s">
        <v>19</v>
      </c>
      <c r="U204">
        <v>4516</v>
      </c>
      <c r="V204" t="s">
        <v>1488</v>
      </c>
      <c r="W204" t="s">
        <v>19</v>
      </c>
      <c r="X204">
        <v>4603</v>
      </c>
      <c r="Y204" t="s">
        <v>1493</v>
      </c>
      <c r="Z204" t="s">
        <v>19</v>
      </c>
      <c r="AA204">
        <v>4738</v>
      </c>
      <c r="AB204" t="s">
        <v>19</v>
      </c>
      <c r="AC204" t="s">
        <v>19</v>
      </c>
      <c r="AD204">
        <v>4739</v>
      </c>
      <c r="AE204" t="s">
        <v>1488</v>
      </c>
      <c r="AF204" t="s">
        <v>19</v>
      </c>
      <c r="AG204">
        <v>4742</v>
      </c>
      <c r="AH204" t="s">
        <v>19</v>
      </c>
      <c r="AI204" t="s">
        <v>19</v>
      </c>
      <c r="AJ204">
        <v>4762</v>
      </c>
      <c r="AK204" t="s">
        <v>1490</v>
      </c>
      <c r="AL204" t="s">
        <v>19</v>
      </c>
      <c r="AM204">
        <v>4766</v>
      </c>
      <c r="AN204" t="s">
        <v>1491</v>
      </c>
      <c r="AO204" t="s">
        <v>19</v>
      </c>
    </row>
    <row r="205" spans="1:41" x14ac:dyDescent="0.45">
      <c r="A205" t="s">
        <v>1266</v>
      </c>
      <c r="B205">
        <v>8</v>
      </c>
      <c r="C205" t="str">
        <f>HYPERLINK("http://www.ncbi.nlm.nih.gov/protein/XP_029933954.1","XP_029933954.1")</f>
        <v>XP_029933954.1</v>
      </c>
      <c r="D205">
        <v>38178</v>
      </c>
      <c r="E205" t="str">
        <f>HYPERLINK("http://www.ncbi.nlm.nih.gov/Taxonomy/Browser/wwwtax.cgi?mode=Info&amp;id=586833&amp;lvl=3&amp;lin=f&amp;keep=1&amp;srchmode=1&amp;unlock","586833")</f>
        <v>586833</v>
      </c>
      <c r="F205" t="s">
        <v>17</v>
      </c>
      <c r="G205" t="str">
        <f>HYPERLINK("http://www.ncbi.nlm.nih.gov/Taxonomy/Browser/wwwtax.cgi?mode=Info&amp;id=586833&amp;lvl=3&amp;lin=f&amp;keep=1&amp;srchmode=1&amp;unlock","Myripristis murdjan")</f>
        <v>Myripristis murdjan</v>
      </c>
      <c r="H205" t="s">
        <v>53</v>
      </c>
      <c r="I205" t="str">
        <f>HYPERLINK("http://www.ncbi.nlm.nih.gov/protein/XP_029933954.1","ryanodine receptor 2")</f>
        <v>ryanodine receptor 2</v>
      </c>
      <c r="J205" t="s">
        <v>1494</v>
      </c>
      <c r="K205" t="s">
        <v>19</v>
      </c>
      <c r="L205">
        <v>4517</v>
      </c>
      <c r="M205" t="s">
        <v>19</v>
      </c>
      <c r="N205" t="s">
        <v>19</v>
      </c>
      <c r="O205">
        <v>4520</v>
      </c>
      <c r="P205" t="s">
        <v>1486</v>
      </c>
      <c r="Q205" t="s">
        <v>19</v>
      </c>
      <c r="R205">
        <v>4521</v>
      </c>
      <c r="S205" t="s">
        <v>1495</v>
      </c>
      <c r="T205" t="s">
        <v>19</v>
      </c>
      <c r="U205">
        <v>4524</v>
      </c>
      <c r="V205" t="s">
        <v>1488</v>
      </c>
      <c r="W205" t="s">
        <v>19</v>
      </c>
      <c r="X205">
        <v>4620</v>
      </c>
      <c r="Y205" t="s">
        <v>1493</v>
      </c>
      <c r="Z205" t="s">
        <v>19</v>
      </c>
      <c r="AA205">
        <v>4755</v>
      </c>
      <c r="AB205" t="s">
        <v>19</v>
      </c>
      <c r="AC205" t="s">
        <v>19</v>
      </c>
      <c r="AD205">
        <v>4756</v>
      </c>
      <c r="AE205" t="s">
        <v>1488</v>
      </c>
      <c r="AF205" t="s">
        <v>19</v>
      </c>
      <c r="AG205">
        <v>4759</v>
      </c>
      <c r="AH205" t="s">
        <v>19</v>
      </c>
      <c r="AI205" t="s">
        <v>19</v>
      </c>
      <c r="AJ205">
        <v>4779</v>
      </c>
      <c r="AK205" t="s">
        <v>1490</v>
      </c>
      <c r="AL205" t="s">
        <v>19</v>
      </c>
      <c r="AM205">
        <v>4783</v>
      </c>
      <c r="AN205" t="s">
        <v>1491</v>
      </c>
      <c r="AO205" t="s">
        <v>19</v>
      </c>
    </row>
    <row r="206" spans="1:41" x14ac:dyDescent="0.45">
      <c r="A206" t="s">
        <v>1266</v>
      </c>
      <c r="B206">
        <v>8</v>
      </c>
      <c r="C206" t="str">
        <f>HYPERLINK("http://www.ncbi.nlm.nih.gov/protein/XP_018521997.1","XP_018521997.1")</f>
        <v>XP_018521997.1</v>
      </c>
      <c r="D206">
        <v>45877</v>
      </c>
      <c r="E206" t="str">
        <f>HYPERLINK("http://www.ncbi.nlm.nih.gov/Taxonomy/Browser/wwwtax.cgi?mode=Info&amp;id=8187&amp;lvl=3&amp;lin=f&amp;keep=1&amp;srchmode=1&amp;unlock","8187")</f>
        <v>8187</v>
      </c>
      <c r="F206" t="s">
        <v>17</v>
      </c>
      <c r="G206" t="str">
        <f>HYPERLINK("http://www.ncbi.nlm.nih.gov/Taxonomy/Browser/wwwtax.cgi?mode=Info&amp;id=8187&amp;lvl=3&amp;lin=f&amp;keep=1&amp;srchmode=1&amp;unlock","Lates calcarifer")</f>
        <v>Lates calcarifer</v>
      </c>
      <c r="H206" t="s">
        <v>388</v>
      </c>
      <c r="I206" t="str">
        <f>HYPERLINK("http://www.ncbi.nlm.nih.gov/protein/XP_018521997.1","ryanodine receptor 2 isoform X1")</f>
        <v>ryanodine receptor 2 isoform X1</v>
      </c>
      <c r="J206" t="s">
        <v>1494</v>
      </c>
      <c r="K206" t="s">
        <v>19</v>
      </c>
      <c r="L206">
        <v>4484</v>
      </c>
      <c r="M206" t="s">
        <v>19</v>
      </c>
      <c r="N206" t="s">
        <v>19</v>
      </c>
      <c r="O206">
        <v>4487</v>
      </c>
      <c r="P206" t="s">
        <v>1486</v>
      </c>
      <c r="Q206" t="s">
        <v>19</v>
      </c>
      <c r="R206">
        <v>4488</v>
      </c>
      <c r="S206" t="s">
        <v>1495</v>
      </c>
      <c r="T206" t="s">
        <v>19</v>
      </c>
      <c r="U206">
        <v>4491</v>
      </c>
      <c r="V206" t="s">
        <v>1488</v>
      </c>
      <c r="W206" t="s">
        <v>19</v>
      </c>
      <c r="X206">
        <v>4587</v>
      </c>
      <c r="Y206" t="s">
        <v>1493</v>
      </c>
      <c r="Z206" t="s">
        <v>19</v>
      </c>
      <c r="AA206">
        <v>4722</v>
      </c>
      <c r="AB206" t="s">
        <v>19</v>
      </c>
      <c r="AC206" t="s">
        <v>19</v>
      </c>
      <c r="AD206">
        <v>4723</v>
      </c>
      <c r="AE206" t="s">
        <v>1488</v>
      </c>
      <c r="AF206" t="s">
        <v>19</v>
      </c>
      <c r="AG206">
        <v>4726</v>
      </c>
      <c r="AH206" t="s">
        <v>19</v>
      </c>
      <c r="AI206" t="s">
        <v>19</v>
      </c>
      <c r="AJ206">
        <v>4746</v>
      </c>
      <c r="AK206" t="s">
        <v>1490</v>
      </c>
      <c r="AL206" t="s">
        <v>19</v>
      </c>
      <c r="AM206">
        <v>4750</v>
      </c>
      <c r="AN206" t="s">
        <v>1491</v>
      </c>
      <c r="AO206" t="s">
        <v>19</v>
      </c>
    </row>
    <row r="207" spans="1:41" x14ac:dyDescent="0.45">
      <c r="A207" t="s">
        <v>1266</v>
      </c>
      <c r="B207">
        <v>8</v>
      </c>
      <c r="C207" t="str">
        <f>HYPERLINK("http://www.ncbi.nlm.nih.gov/protein/XP_035853645.1","XP_035853645.1")</f>
        <v>XP_035853645.1</v>
      </c>
      <c r="D207">
        <v>56708</v>
      </c>
      <c r="E207" t="str">
        <f>HYPERLINK("http://www.ncbi.nlm.nih.gov/Taxonomy/Browser/wwwtax.cgi?mode=Info&amp;id=283035&amp;lvl=3&amp;lin=f&amp;keep=1&amp;srchmode=1&amp;unlock","283035")</f>
        <v>283035</v>
      </c>
      <c r="F207" t="s">
        <v>17</v>
      </c>
      <c r="G207" t="str">
        <f>HYPERLINK("http://www.ncbi.nlm.nih.gov/Taxonomy/Browser/wwwtax.cgi?mode=Info&amp;id=283035&amp;lvl=3&amp;lin=f&amp;keep=1&amp;srchmode=1&amp;unlock","Sander lucioperca")</f>
        <v>Sander lucioperca</v>
      </c>
      <c r="H207" t="s">
        <v>99</v>
      </c>
      <c r="I207" t="str">
        <f>HYPERLINK("http://www.ncbi.nlm.nih.gov/protein/XP_035853645.1","ryanodine receptor 2 isoform X1")</f>
        <v>ryanodine receptor 2 isoform X1</v>
      </c>
      <c r="J207" t="s">
        <v>1494</v>
      </c>
      <c r="K207" t="s">
        <v>19</v>
      </c>
      <c r="L207">
        <v>4486</v>
      </c>
      <c r="M207" t="s">
        <v>19</v>
      </c>
      <c r="N207" t="s">
        <v>19</v>
      </c>
      <c r="O207">
        <v>4489</v>
      </c>
      <c r="P207" t="s">
        <v>1486</v>
      </c>
      <c r="Q207" t="s">
        <v>19</v>
      </c>
      <c r="R207">
        <v>4490</v>
      </c>
      <c r="S207" t="s">
        <v>1495</v>
      </c>
      <c r="T207" t="s">
        <v>19</v>
      </c>
      <c r="U207">
        <v>4493</v>
      </c>
      <c r="V207" t="s">
        <v>1488</v>
      </c>
      <c r="W207" t="s">
        <v>19</v>
      </c>
      <c r="X207">
        <v>4589</v>
      </c>
      <c r="Y207" t="s">
        <v>1493</v>
      </c>
      <c r="Z207" t="s">
        <v>19</v>
      </c>
      <c r="AA207">
        <v>4724</v>
      </c>
      <c r="AB207" t="s">
        <v>19</v>
      </c>
      <c r="AC207" t="s">
        <v>19</v>
      </c>
      <c r="AD207">
        <v>4725</v>
      </c>
      <c r="AE207" t="s">
        <v>1488</v>
      </c>
      <c r="AF207" t="s">
        <v>19</v>
      </c>
      <c r="AG207">
        <v>4728</v>
      </c>
      <c r="AH207" t="s">
        <v>19</v>
      </c>
      <c r="AI207" t="s">
        <v>19</v>
      </c>
      <c r="AJ207">
        <v>4748</v>
      </c>
      <c r="AK207" t="s">
        <v>1490</v>
      </c>
      <c r="AL207" t="s">
        <v>19</v>
      </c>
      <c r="AM207">
        <v>4752</v>
      </c>
      <c r="AN207" t="s">
        <v>1491</v>
      </c>
      <c r="AO207" t="s">
        <v>19</v>
      </c>
    </row>
    <row r="208" spans="1:41" x14ac:dyDescent="0.45">
      <c r="A208" t="s">
        <v>1266</v>
      </c>
      <c r="B208">
        <v>8</v>
      </c>
      <c r="C208" t="str">
        <f>HYPERLINK("http://www.ncbi.nlm.nih.gov/protein/XP_046234119.1","XP_046234119.1")</f>
        <v>XP_046234119.1</v>
      </c>
      <c r="D208">
        <v>48619</v>
      </c>
      <c r="E208" t="str">
        <f>HYPERLINK("http://www.ncbi.nlm.nih.gov/Taxonomy/Browser/wwwtax.cgi?mode=Info&amp;id=75038&amp;lvl=3&amp;lin=f&amp;keep=1&amp;srchmode=1&amp;unlock","75038")</f>
        <v>75038</v>
      </c>
      <c r="F208" t="s">
        <v>17</v>
      </c>
      <c r="G208" t="str">
        <f>HYPERLINK("http://www.ncbi.nlm.nih.gov/Taxonomy/Browser/wwwtax.cgi?mode=Info&amp;id=75038&amp;lvl=3&amp;lin=f&amp;keep=1&amp;srchmode=1&amp;unlock","Scatophagus argus")</f>
        <v>Scatophagus argus</v>
      </c>
      <c r="H208" t="s">
        <v>407</v>
      </c>
      <c r="I208" t="str">
        <f>HYPERLINK("http://www.ncbi.nlm.nih.gov/protein/XP_046234119.1","ryanodine receptor 2 isoform X1")</f>
        <v>ryanodine receptor 2 isoform X1</v>
      </c>
      <c r="J208" t="s">
        <v>1494</v>
      </c>
      <c r="K208" t="s">
        <v>19</v>
      </c>
      <c r="L208">
        <v>4491</v>
      </c>
      <c r="M208" t="s">
        <v>19</v>
      </c>
      <c r="N208" t="s">
        <v>19</v>
      </c>
      <c r="O208">
        <v>4494</v>
      </c>
      <c r="P208" t="s">
        <v>1486</v>
      </c>
      <c r="Q208" t="s">
        <v>19</v>
      </c>
      <c r="R208">
        <v>4495</v>
      </c>
      <c r="S208" t="s">
        <v>1495</v>
      </c>
      <c r="T208" t="s">
        <v>19</v>
      </c>
      <c r="U208">
        <v>4498</v>
      </c>
      <c r="V208" t="s">
        <v>1488</v>
      </c>
      <c r="W208" t="s">
        <v>19</v>
      </c>
      <c r="X208">
        <v>4594</v>
      </c>
      <c r="Y208" t="s">
        <v>1493</v>
      </c>
      <c r="Z208" t="s">
        <v>19</v>
      </c>
      <c r="AA208">
        <v>4729</v>
      </c>
      <c r="AB208" t="s">
        <v>19</v>
      </c>
      <c r="AC208" t="s">
        <v>19</v>
      </c>
      <c r="AD208">
        <v>4730</v>
      </c>
      <c r="AE208" t="s">
        <v>1488</v>
      </c>
      <c r="AF208" t="s">
        <v>19</v>
      </c>
      <c r="AG208">
        <v>4733</v>
      </c>
      <c r="AH208" t="s">
        <v>19</v>
      </c>
      <c r="AI208" t="s">
        <v>19</v>
      </c>
      <c r="AJ208">
        <v>4753</v>
      </c>
      <c r="AK208" t="s">
        <v>1490</v>
      </c>
      <c r="AL208" t="s">
        <v>19</v>
      </c>
      <c r="AM208">
        <v>4757</v>
      </c>
      <c r="AN208" t="s">
        <v>1491</v>
      </c>
      <c r="AO208" t="s">
        <v>19</v>
      </c>
    </row>
    <row r="209" spans="1:41" x14ac:dyDescent="0.45">
      <c r="A209" t="s">
        <v>1266</v>
      </c>
      <c r="B209">
        <v>8</v>
      </c>
      <c r="C209" t="str">
        <f>HYPERLINK("http://www.ncbi.nlm.nih.gov/protein/XP_047183586.1","XP_047183586.1")</f>
        <v>XP_047183586.1</v>
      </c>
      <c r="D209">
        <v>104790</v>
      </c>
      <c r="E209" t="str">
        <f>HYPERLINK("http://www.ncbi.nlm.nih.gov/Taxonomy/Browser/wwwtax.cgi?mode=Info&amp;id=52904&amp;lvl=3&amp;lin=f&amp;keep=1&amp;srchmode=1&amp;unlock","52904")</f>
        <v>52904</v>
      </c>
      <c r="F209" t="s">
        <v>17</v>
      </c>
      <c r="G209" t="str">
        <f>HYPERLINK("http://www.ncbi.nlm.nih.gov/Taxonomy/Browser/wwwtax.cgi?mode=Info&amp;id=52904&amp;lvl=3&amp;lin=f&amp;keep=1&amp;srchmode=1&amp;unlock","Scophthalmus maximus")</f>
        <v>Scophthalmus maximus</v>
      </c>
      <c r="H209" t="s">
        <v>58</v>
      </c>
      <c r="I209" t="str">
        <f>HYPERLINK("http://www.ncbi.nlm.nih.gov/protein/XP_047183586.1","ryanodine receptor 2 isoform X1")</f>
        <v>ryanodine receptor 2 isoform X1</v>
      </c>
      <c r="J209" t="s">
        <v>1494</v>
      </c>
      <c r="K209" t="s">
        <v>19</v>
      </c>
      <c r="L209">
        <v>4493</v>
      </c>
      <c r="M209" t="s">
        <v>19</v>
      </c>
      <c r="N209" t="s">
        <v>19</v>
      </c>
      <c r="O209">
        <v>4496</v>
      </c>
      <c r="P209" t="s">
        <v>1486</v>
      </c>
      <c r="Q209" t="s">
        <v>19</v>
      </c>
      <c r="R209">
        <v>4497</v>
      </c>
      <c r="S209" t="s">
        <v>1495</v>
      </c>
      <c r="T209" t="s">
        <v>19</v>
      </c>
      <c r="U209">
        <v>4500</v>
      </c>
      <c r="V209" t="s">
        <v>1488</v>
      </c>
      <c r="W209" t="s">
        <v>19</v>
      </c>
      <c r="X209">
        <v>4592</v>
      </c>
      <c r="Y209" t="s">
        <v>1493</v>
      </c>
      <c r="Z209" t="s">
        <v>19</v>
      </c>
      <c r="AA209">
        <v>4727</v>
      </c>
      <c r="AB209" t="s">
        <v>19</v>
      </c>
      <c r="AC209" t="s">
        <v>19</v>
      </c>
      <c r="AD209">
        <v>4728</v>
      </c>
      <c r="AE209" t="s">
        <v>1488</v>
      </c>
      <c r="AF209" t="s">
        <v>19</v>
      </c>
      <c r="AG209">
        <v>4731</v>
      </c>
      <c r="AH209" t="s">
        <v>19</v>
      </c>
      <c r="AI209" t="s">
        <v>19</v>
      </c>
      <c r="AJ209">
        <v>4751</v>
      </c>
      <c r="AK209" t="s">
        <v>1490</v>
      </c>
      <c r="AL209" t="s">
        <v>19</v>
      </c>
      <c r="AM209">
        <v>4755</v>
      </c>
      <c r="AN209" t="s">
        <v>1491</v>
      </c>
      <c r="AO209" t="s">
        <v>19</v>
      </c>
    </row>
    <row r="210" spans="1:41" x14ac:dyDescent="0.45">
      <c r="A210" t="s">
        <v>1266</v>
      </c>
      <c r="B210">
        <v>8</v>
      </c>
      <c r="C210" t="str">
        <f>HYPERLINK("http://www.ncbi.nlm.nih.gov/protein/XP_040885320.1","XP_040885320.1")</f>
        <v>XP_040885320.1</v>
      </c>
      <c r="D210">
        <v>38459</v>
      </c>
      <c r="E210" t="str">
        <f>HYPERLINK("http://www.ncbi.nlm.nih.gov/Taxonomy/Browser/wwwtax.cgi?mode=Info&amp;id=941984&amp;lvl=3&amp;lin=f&amp;keep=1&amp;srchmode=1&amp;unlock","941984")</f>
        <v>941984</v>
      </c>
      <c r="F210" t="s">
        <v>17</v>
      </c>
      <c r="G210" t="str">
        <f>HYPERLINK("http://www.ncbi.nlm.nih.gov/Taxonomy/Browser/wwwtax.cgi?mode=Info&amp;id=941984&amp;lvl=3&amp;lin=f&amp;keep=1&amp;srchmode=1&amp;unlock","Toxotes jaculatrix")</f>
        <v>Toxotes jaculatrix</v>
      </c>
      <c r="H210" t="s">
        <v>78</v>
      </c>
      <c r="I210" t="str">
        <f>HYPERLINK("http://www.ncbi.nlm.nih.gov/protein/XP_040885320.1","ryanodine receptor 2")</f>
        <v>ryanodine receptor 2</v>
      </c>
      <c r="J210" t="s">
        <v>1494</v>
      </c>
      <c r="K210" t="s">
        <v>19</v>
      </c>
      <c r="L210">
        <v>4495</v>
      </c>
      <c r="M210" t="s">
        <v>19</v>
      </c>
      <c r="N210" t="s">
        <v>19</v>
      </c>
      <c r="O210">
        <v>4498</v>
      </c>
      <c r="P210" t="s">
        <v>1486</v>
      </c>
      <c r="Q210" t="s">
        <v>19</v>
      </c>
      <c r="R210">
        <v>4499</v>
      </c>
      <c r="S210" t="s">
        <v>1495</v>
      </c>
      <c r="T210" t="s">
        <v>19</v>
      </c>
      <c r="U210">
        <v>4502</v>
      </c>
      <c r="V210" t="s">
        <v>1488</v>
      </c>
      <c r="W210" t="s">
        <v>19</v>
      </c>
      <c r="X210">
        <v>4598</v>
      </c>
      <c r="Y210" t="s">
        <v>1493</v>
      </c>
      <c r="Z210" t="s">
        <v>19</v>
      </c>
      <c r="AA210">
        <v>4733</v>
      </c>
      <c r="AB210" t="s">
        <v>19</v>
      </c>
      <c r="AC210" t="s">
        <v>19</v>
      </c>
      <c r="AD210">
        <v>4734</v>
      </c>
      <c r="AE210" t="s">
        <v>1488</v>
      </c>
      <c r="AF210" t="s">
        <v>19</v>
      </c>
      <c r="AG210">
        <v>4737</v>
      </c>
      <c r="AH210" t="s">
        <v>19</v>
      </c>
      <c r="AI210" t="s">
        <v>19</v>
      </c>
      <c r="AJ210">
        <v>4757</v>
      </c>
      <c r="AK210" t="s">
        <v>1490</v>
      </c>
      <c r="AL210" t="s">
        <v>19</v>
      </c>
      <c r="AM210">
        <v>4761</v>
      </c>
      <c r="AN210" t="s">
        <v>1491</v>
      </c>
      <c r="AO210" t="s">
        <v>19</v>
      </c>
    </row>
    <row r="211" spans="1:41" x14ac:dyDescent="0.45">
      <c r="A211" t="s">
        <v>1266</v>
      </c>
      <c r="B211">
        <v>8</v>
      </c>
      <c r="C211" t="str">
        <f>HYPERLINK("http://www.ncbi.nlm.nih.gov/protein/XP_053197113.1","XP_053197113.1")</f>
        <v>XP_053197113.1</v>
      </c>
      <c r="D211">
        <v>30754</v>
      </c>
      <c r="E211" t="str">
        <f>HYPERLINK("http://www.ncbi.nlm.nih.gov/Taxonomy/Browser/wwwtax.cgi?mode=Info&amp;id=13676&amp;lvl=3&amp;lin=f&amp;keep=1&amp;srchmode=1&amp;unlock","13676")</f>
        <v>13676</v>
      </c>
      <c r="F211" t="s">
        <v>17</v>
      </c>
      <c r="G211" t="str">
        <f>HYPERLINK("http://www.ncbi.nlm.nih.gov/Taxonomy/Browser/wwwtax.cgi?mode=Info&amp;id=13676&amp;lvl=3&amp;lin=f&amp;keep=1&amp;srchmode=1&amp;unlock","Scomber japonicus")</f>
        <v>Scomber japonicus</v>
      </c>
      <c r="H211" t="s">
        <v>87</v>
      </c>
      <c r="I211" t="str">
        <f>HYPERLINK("http://www.ncbi.nlm.nih.gov/protein/XP_053197113.1","ryanodine receptor 2")</f>
        <v>ryanodine receptor 2</v>
      </c>
      <c r="J211" t="s">
        <v>1494</v>
      </c>
      <c r="K211" t="s">
        <v>19</v>
      </c>
      <c r="L211">
        <v>4530</v>
      </c>
      <c r="M211" t="s">
        <v>19</v>
      </c>
      <c r="N211" t="s">
        <v>19</v>
      </c>
      <c r="O211">
        <v>4533</v>
      </c>
      <c r="P211" t="s">
        <v>1486</v>
      </c>
      <c r="Q211" t="s">
        <v>19</v>
      </c>
      <c r="R211">
        <v>4534</v>
      </c>
      <c r="S211" t="s">
        <v>1495</v>
      </c>
      <c r="T211" t="s">
        <v>19</v>
      </c>
      <c r="U211">
        <v>4537</v>
      </c>
      <c r="V211" t="s">
        <v>1488</v>
      </c>
      <c r="W211" t="s">
        <v>19</v>
      </c>
      <c r="X211">
        <v>4634</v>
      </c>
      <c r="Y211" t="s">
        <v>1493</v>
      </c>
      <c r="Z211" t="s">
        <v>19</v>
      </c>
      <c r="AA211">
        <v>4769</v>
      </c>
      <c r="AB211" t="s">
        <v>19</v>
      </c>
      <c r="AC211" t="s">
        <v>19</v>
      </c>
      <c r="AD211">
        <v>4770</v>
      </c>
      <c r="AE211" t="s">
        <v>1488</v>
      </c>
      <c r="AF211" t="s">
        <v>19</v>
      </c>
      <c r="AG211">
        <v>4773</v>
      </c>
      <c r="AH211" t="s">
        <v>19</v>
      </c>
      <c r="AI211" t="s">
        <v>19</v>
      </c>
      <c r="AJ211">
        <v>4793</v>
      </c>
      <c r="AK211" t="s">
        <v>1490</v>
      </c>
      <c r="AL211" t="s">
        <v>19</v>
      </c>
      <c r="AM211">
        <v>4797</v>
      </c>
      <c r="AN211" t="s">
        <v>1491</v>
      </c>
      <c r="AO211" t="s">
        <v>19</v>
      </c>
    </row>
    <row r="212" spans="1:41" x14ac:dyDescent="0.45">
      <c r="A212" t="s">
        <v>1266</v>
      </c>
      <c r="B212">
        <v>8</v>
      </c>
      <c r="C212" t="str">
        <f>HYPERLINK("http://www.ncbi.nlm.nih.gov/protein/XP_034148457.1","XP_034148457.1")</f>
        <v>XP_034148457.1</v>
      </c>
      <c r="D212">
        <v>59810</v>
      </c>
      <c r="E212" t="str">
        <f>HYPERLINK("http://www.ncbi.nlm.nih.gov/Taxonomy/Browser/wwwtax.cgi?mode=Info&amp;id=8010&amp;lvl=3&amp;lin=f&amp;keep=1&amp;srchmode=1&amp;unlock","8010")</f>
        <v>8010</v>
      </c>
      <c r="F212" t="s">
        <v>17</v>
      </c>
      <c r="G212" t="str">
        <f>HYPERLINK("http://www.ncbi.nlm.nih.gov/Taxonomy/Browser/wwwtax.cgi?mode=Info&amp;id=8010&amp;lvl=3&amp;lin=f&amp;keep=1&amp;srchmode=1&amp;unlock","Esox lucius")</f>
        <v>Esox lucius</v>
      </c>
      <c r="H212" t="s">
        <v>49</v>
      </c>
      <c r="I212" t="str">
        <f>HYPERLINK("http://www.ncbi.nlm.nih.gov/protein/XP_034148457.1","ryanodine receptor 2 isoform X6")</f>
        <v>ryanodine receptor 2 isoform X6</v>
      </c>
      <c r="J212" t="s">
        <v>1494</v>
      </c>
      <c r="K212" t="s">
        <v>19</v>
      </c>
      <c r="L212">
        <v>4520</v>
      </c>
      <c r="M212" t="s">
        <v>19</v>
      </c>
      <c r="N212" t="s">
        <v>19</v>
      </c>
      <c r="O212">
        <v>4523</v>
      </c>
      <c r="P212" t="s">
        <v>1486</v>
      </c>
      <c r="Q212" t="s">
        <v>19</v>
      </c>
      <c r="R212">
        <v>4524</v>
      </c>
      <c r="S212" t="s">
        <v>1495</v>
      </c>
      <c r="T212" t="s">
        <v>19</v>
      </c>
      <c r="U212">
        <v>4527</v>
      </c>
      <c r="V212" t="s">
        <v>1488</v>
      </c>
      <c r="W212" t="s">
        <v>19</v>
      </c>
      <c r="X212">
        <v>4615</v>
      </c>
      <c r="Y212" t="s">
        <v>1493</v>
      </c>
      <c r="Z212" t="s">
        <v>19</v>
      </c>
      <c r="AA212">
        <v>4750</v>
      </c>
      <c r="AB212" t="s">
        <v>19</v>
      </c>
      <c r="AC212" t="s">
        <v>19</v>
      </c>
      <c r="AD212">
        <v>4751</v>
      </c>
      <c r="AE212" t="s">
        <v>1488</v>
      </c>
      <c r="AF212" t="s">
        <v>19</v>
      </c>
      <c r="AG212">
        <v>4754</v>
      </c>
      <c r="AH212" t="s">
        <v>19</v>
      </c>
      <c r="AI212" t="s">
        <v>19</v>
      </c>
      <c r="AJ212">
        <v>4774</v>
      </c>
      <c r="AK212" t="s">
        <v>1490</v>
      </c>
      <c r="AL212" t="s">
        <v>19</v>
      </c>
      <c r="AM212">
        <v>4778</v>
      </c>
      <c r="AN212" t="s">
        <v>1491</v>
      </c>
      <c r="AO212" t="s">
        <v>19</v>
      </c>
    </row>
    <row r="213" spans="1:41" x14ac:dyDescent="0.45">
      <c r="A213" t="s">
        <v>1266</v>
      </c>
      <c r="B213">
        <v>8</v>
      </c>
      <c r="C213" t="str">
        <f>HYPERLINK("http://www.ncbi.nlm.nih.gov/protein/XP_022064442.1","XP_022064442.1")</f>
        <v>XP_022064442.1</v>
      </c>
      <c r="D213">
        <v>46396</v>
      </c>
      <c r="E213" t="str">
        <f>HYPERLINK("http://www.ncbi.nlm.nih.gov/Taxonomy/Browser/wwwtax.cgi?mode=Info&amp;id=80966&amp;lvl=3&amp;lin=f&amp;keep=1&amp;srchmode=1&amp;unlock","80966")</f>
        <v>80966</v>
      </c>
      <c r="F213" t="s">
        <v>17</v>
      </c>
      <c r="G213" t="str">
        <f>HYPERLINK("http://www.ncbi.nlm.nih.gov/Taxonomy/Browser/wwwtax.cgi?mode=Info&amp;id=80966&amp;lvl=3&amp;lin=f&amp;keep=1&amp;srchmode=1&amp;unlock","Acanthochromis polyacanthus")</f>
        <v>Acanthochromis polyacanthus</v>
      </c>
      <c r="H213" t="s">
        <v>88</v>
      </c>
      <c r="I213" t="str">
        <f>HYPERLINK("http://www.ncbi.nlm.nih.gov/protein/XP_022064442.1","ryanodine receptor 2")</f>
        <v>ryanodine receptor 2</v>
      </c>
      <c r="J213" t="s">
        <v>1494</v>
      </c>
      <c r="K213" t="s">
        <v>19</v>
      </c>
      <c r="L213">
        <v>4496</v>
      </c>
      <c r="M213" t="s">
        <v>19</v>
      </c>
      <c r="N213" t="s">
        <v>19</v>
      </c>
      <c r="O213">
        <v>4499</v>
      </c>
      <c r="P213" t="s">
        <v>1486</v>
      </c>
      <c r="Q213" t="s">
        <v>19</v>
      </c>
      <c r="R213">
        <v>4500</v>
      </c>
      <c r="S213" t="s">
        <v>1495</v>
      </c>
      <c r="T213" t="s">
        <v>19</v>
      </c>
      <c r="U213">
        <v>4503</v>
      </c>
      <c r="V213" t="s">
        <v>1488</v>
      </c>
      <c r="W213" t="s">
        <v>19</v>
      </c>
      <c r="X213">
        <v>4599</v>
      </c>
      <c r="Y213" t="s">
        <v>1493</v>
      </c>
      <c r="Z213" t="s">
        <v>19</v>
      </c>
      <c r="AA213">
        <v>4734</v>
      </c>
      <c r="AB213" t="s">
        <v>19</v>
      </c>
      <c r="AC213" t="s">
        <v>19</v>
      </c>
      <c r="AD213">
        <v>4735</v>
      </c>
      <c r="AE213" t="s">
        <v>1488</v>
      </c>
      <c r="AF213" t="s">
        <v>19</v>
      </c>
      <c r="AG213">
        <v>4738</v>
      </c>
      <c r="AH213" t="s">
        <v>19</v>
      </c>
      <c r="AI213" t="s">
        <v>19</v>
      </c>
      <c r="AJ213">
        <v>4758</v>
      </c>
      <c r="AK213" t="s">
        <v>1490</v>
      </c>
      <c r="AL213" t="s">
        <v>19</v>
      </c>
      <c r="AM213">
        <v>4762</v>
      </c>
      <c r="AN213" t="s">
        <v>1491</v>
      </c>
      <c r="AO213" t="s">
        <v>19</v>
      </c>
    </row>
    <row r="214" spans="1:41" x14ac:dyDescent="0.45">
      <c r="A214" t="s">
        <v>1266</v>
      </c>
      <c r="B214">
        <v>8</v>
      </c>
      <c r="C214" t="str">
        <f>HYPERLINK("http://www.ncbi.nlm.nih.gov/protein/XP_038591762.1","XP_038591762.1")</f>
        <v>XP_038591762.1</v>
      </c>
      <c r="D214">
        <v>48388</v>
      </c>
      <c r="E214" t="str">
        <f>HYPERLINK("http://www.ncbi.nlm.nih.gov/Taxonomy/Browser/wwwtax.cgi?mode=Info&amp;id=27706&amp;lvl=3&amp;lin=f&amp;keep=1&amp;srchmode=1&amp;unlock","27706")</f>
        <v>27706</v>
      </c>
      <c r="F214" t="s">
        <v>17</v>
      </c>
      <c r="G214" t="str">
        <f>HYPERLINK("http://www.ncbi.nlm.nih.gov/Taxonomy/Browser/wwwtax.cgi?mode=Info&amp;id=27706&amp;lvl=3&amp;lin=f&amp;keep=1&amp;srchmode=1&amp;unlock","Micropterus salmoides")</f>
        <v>Micropterus salmoides</v>
      </c>
      <c r="H214" t="s">
        <v>71</v>
      </c>
      <c r="I214" t="str">
        <f>HYPERLINK("http://www.ncbi.nlm.nih.gov/protein/XP_038591762.1","ryanodine receptor 2")</f>
        <v>ryanodine receptor 2</v>
      </c>
      <c r="J214" t="s">
        <v>1494</v>
      </c>
      <c r="K214" t="s">
        <v>19</v>
      </c>
      <c r="L214">
        <v>4487</v>
      </c>
      <c r="M214" t="s">
        <v>19</v>
      </c>
      <c r="N214" t="s">
        <v>19</v>
      </c>
      <c r="O214">
        <v>4490</v>
      </c>
      <c r="P214" t="s">
        <v>1486</v>
      </c>
      <c r="Q214" t="s">
        <v>19</v>
      </c>
      <c r="R214">
        <v>4491</v>
      </c>
      <c r="S214" t="s">
        <v>1495</v>
      </c>
      <c r="T214" t="s">
        <v>19</v>
      </c>
      <c r="U214">
        <v>4494</v>
      </c>
      <c r="V214" t="s">
        <v>1488</v>
      </c>
      <c r="W214" t="s">
        <v>19</v>
      </c>
      <c r="X214">
        <v>4588</v>
      </c>
      <c r="Y214" t="s">
        <v>1493</v>
      </c>
      <c r="Z214" t="s">
        <v>19</v>
      </c>
      <c r="AA214">
        <v>4723</v>
      </c>
      <c r="AB214" t="s">
        <v>19</v>
      </c>
      <c r="AC214" t="s">
        <v>19</v>
      </c>
      <c r="AD214">
        <v>4724</v>
      </c>
      <c r="AE214" t="s">
        <v>1488</v>
      </c>
      <c r="AF214" t="s">
        <v>19</v>
      </c>
      <c r="AG214">
        <v>4727</v>
      </c>
      <c r="AH214" t="s">
        <v>19</v>
      </c>
      <c r="AI214" t="s">
        <v>19</v>
      </c>
      <c r="AJ214">
        <v>4747</v>
      </c>
      <c r="AK214" t="s">
        <v>1490</v>
      </c>
      <c r="AL214" t="s">
        <v>19</v>
      </c>
      <c r="AM214">
        <v>4751</v>
      </c>
      <c r="AN214" t="s">
        <v>1491</v>
      </c>
      <c r="AO214" t="s">
        <v>19</v>
      </c>
    </row>
    <row r="215" spans="1:41" x14ac:dyDescent="0.45">
      <c r="A215" t="s">
        <v>1266</v>
      </c>
      <c r="B215">
        <v>8</v>
      </c>
      <c r="C215" t="str">
        <f>HYPERLINK("http://www.ncbi.nlm.nih.gov/protein/XP_034425489.1","XP_034425489.1")</f>
        <v>XP_034425489.1</v>
      </c>
      <c r="D215">
        <v>47303</v>
      </c>
      <c r="E215" t="str">
        <f>HYPERLINK("http://www.ncbi.nlm.nih.gov/Taxonomy/Browser/wwwtax.cgi?mode=Info&amp;id=8267&amp;lvl=3&amp;lin=f&amp;keep=1&amp;srchmode=1&amp;unlock","8267")</f>
        <v>8267</v>
      </c>
      <c r="F215" t="s">
        <v>17</v>
      </c>
      <c r="G215" t="str">
        <f>HYPERLINK("http://www.ncbi.nlm.nih.gov/Taxonomy/Browser/wwwtax.cgi?mode=Info&amp;id=8267&amp;lvl=3&amp;lin=f&amp;keep=1&amp;srchmode=1&amp;unlock","Hippoglossus hippoglossus")</f>
        <v>Hippoglossus hippoglossus</v>
      </c>
      <c r="H215" t="s">
        <v>108</v>
      </c>
      <c r="I215" t="str">
        <f>HYPERLINK("http://www.ncbi.nlm.nih.gov/protein/XP_034425489.1","ryanodine receptor 2 isoform X7")</f>
        <v>ryanodine receptor 2 isoform X7</v>
      </c>
      <c r="J215" t="s">
        <v>1494</v>
      </c>
      <c r="K215" t="s">
        <v>19</v>
      </c>
      <c r="L215">
        <v>4491</v>
      </c>
      <c r="M215" t="s">
        <v>19</v>
      </c>
      <c r="N215" t="s">
        <v>19</v>
      </c>
      <c r="O215">
        <v>4494</v>
      </c>
      <c r="P215" t="s">
        <v>1486</v>
      </c>
      <c r="Q215" t="s">
        <v>19</v>
      </c>
      <c r="R215">
        <v>4495</v>
      </c>
      <c r="S215" t="s">
        <v>1495</v>
      </c>
      <c r="T215" t="s">
        <v>19</v>
      </c>
      <c r="U215">
        <v>4498</v>
      </c>
      <c r="V215" t="s">
        <v>1488</v>
      </c>
      <c r="W215" t="s">
        <v>19</v>
      </c>
      <c r="X215">
        <v>4594</v>
      </c>
      <c r="Y215" t="s">
        <v>1493</v>
      </c>
      <c r="Z215" t="s">
        <v>19</v>
      </c>
      <c r="AA215">
        <v>4729</v>
      </c>
      <c r="AB215" t="s">
        <v>19</v>
      </c>
      <c r="AC215" t="s">
        <v>19</v>
      </c>
      <c r="AD215">
        <v>4730</v>
      </c>
      <c r="AE215" t="s">
        <v>1488</v>
      </c>
      <c r="AF215" t="s">
        <v>19</v>
      </c>
      <c r="AG215">
        <v>4733</v>
      </c>
      <c r="AH215" t="s">
        <v>19</v>
      </c>
      <c r="AI215" t="s">
        <v>19</v>
      </c>
      <c r="AJ215">
        <v>4753</v>
      </c>
      <c r="AK215" t="s">
        <v>1490</v>
      </c>
      <c r="AL215" t="s">
        <v>19</v>
      </c>
      <c r="AM215">
        <v>4757</v>
      </c>
      <c r="AN215" t="s">
        <v>1491</v>
      </c>
      <c r="AO215" t="s">
        <v>19</v>
      </c>
    </row>
    <row r="216" spans="1:41" x14ac:dyDescent="0.45">
      <c r="A216" t="s">
        <v>1266</v>
      </c>
      <c r="B216">
        <v>8</v>
      </c>
      <c r="C216" t="str">
        <f>HYPERLINK("http://www.ncbi.nlm.nih.gov/protein/XP_036815943.1","XP_036815943.1")</f>
        <v>XP_036815943.1</v>
      </c>
      <c r="D216">
        <v>150927</v>
      </c>
      <c r="E216" t="str">
        <f>HYPERLINK("http://www.ncbi.nlm.nih.gov/Taxonomy/Browser/wwwtax.cgi?mode=Info&amp;id=8022&amp;lvl=3&amp;lin=f&amp;keep=1&amp;srchmode=1&amp;unlock","8022")</f>
        <v>8022</v>
      </c>
      <c r="F216" t="s">
        <v>17</v>
      </c>
      <c r="G216" t="str">
        <f>HYPERLINK("http://www.ncbi.nlm.nih.gov/Taxonomy/Browser/wwwtax.cgi?mode=Info&amp;id=8022&amp;lvl=3&amp;lin=f&amp;keep=1&amp;srchmode=1&amp;unlock","Oncorhynchus mykiss")</f>
        <v>Oncorhynchus mykiss</v>
      </c>
      <c r="H216" t="s">
        <v>158</v>
      </c>
      <c r="I216" t="str">
        <f>HYPERLINK("http://www.ncbi.nlm.nih.gov/protein/XP_036815943.1","ryanodine receptor 2")</f>
        <v>ryanodine receptor 2</v>
      </c>
      <c r="J216" t="s">
        <v>1494</v>
      </c>
      <c r="K216" t="s">
        <v>19</v>
      </c>
      <c r="L216">
        <v>4561</v>
      </c>
      <c r="M216" t="s">
        <v>19</v>
      </c>
      <c r="N216" t="s">
        <v>19</v>
      </c>
      <c r="O216">
        <v>4564</v>
      </c>
      <c r="P216" t="s">
        <v>1486</v>
      </c>
      <c r="Q216" t="s">
        <v>19</v>
      </c>
      <c r="R216">
        <v>4565</v>
      </c>
      <c r="S216" t="s">
        <v>1495</v>
      </c>
      <c r="T216" t="s">
        <v>19</v>
      </c>
      <c r="U216">
        <v>4568</v>
      </c>
      <c r="V216" t="s">
        <v>1488</v>
      </c>
      <c r="W216" t="s">
        <v>19</v>
      </c>
      <c r="X216">
        <v>4655</v>
      </c>
      <c r="Y216" t="s">
        <v>1493</v>
      </c>
      <c r="Z216" t="s">
        <v>19</v>
      </c>
      <c r="AA216">
        <v>4790</v>
      </c>
      <c r="AB216" t="s">
        <v>19</v>
      </c>
      <c r="AC216" t="s">
        <v>19</v>
      </c>
      <c r="AD216">
        <v>4791</v>
      </c>
      <c r="AE216" t="s">
        <v>1488</v>
      </c>
      <c r="AF216" t="s">
        <v>19</v>
      </c>
      <c r="AG216">
        <v>4794</v>
      </c>
      <c r="AH216" t="s">
        <v>19</v>
      </c>
      <c r="AI216" t="s">
        <v>19</v>
      </c>
      <c r="AJ216">
        <v>4814</v>
      </c>
      <c r="AK216" t="s">
        <v>1490</v>
      </c>
      <c r="AL216" t="s">
        <v>19</v>
      </c>
      <c r="AM216">
        <v>4818</v>
      </c>
      <c r="AN216" t="s">
        <v>1491</v>
      </c>
      <c r="AO216" t="s">
        <v>19</v>
      </c>
    </row>
    <row r="217" spans="1:41" x14ac:dyDescent="0.45">
      <c r="A217" t="s">
        <v>1266</v>
      </c>
      <c r="B217">
        <v>8</v>
      </c>
      <c r="C217" t="str">
        <f>HYPERLINK("http://www.ncbi.nlm.nih.gov/protein/XP_028991032.1","XP_028991032.1")</f>
        <v>XP_028991032.1</v>
      </c>
      <c r="D217">
        <v>52191</v>
      </c>
      <c r="E217" t="str">
        <f>HYPERLINK("http://www.ncbi.nlm.nih.gov/Taxonomy/Browser/wwwtax.cgi?mode=Info&amp;id=158456&amp;lvl=3&amp;lin=f&amp;keep=1&amp;srchmode=1&amp;unlock","158456")</f>
        <v>158456</v>
      </c>
      <c r="F217" t="s">
        <v>17</v>
      </c>
      <c r="G217" t="str">
        <f>HYPERLINK("http://www.ncbi.nlm.nih.gov/Taxonomy/Browser/wwwtax.cgi?mode=Info&amp;id=158456&amp;lvl=3&amp;lin=f&amp;keep=1&amp;srchmode=1&amp;unlock","Betta splendens")</f>
        <v>Betta splendens</v>
      </c>
      <c r="H217" t="s">
        <v>102</v>
      </c>
      <c r="I217" t="str">
        <f>HYPERLINK("http://www.ncbi.nlm.nih.gov/protein/XP_028991032.1","ryanodine receptor 2 isoform X6")</f>
        <v>ryanodine receptor 2 isoform X6</v>
      </c>
      <c r="J217" t="s">
        <v>1494</v>
      </c>
      <c r="K217" t="s">
        <v>19</v>
      </c>
      <c r="L217">
        <v>4490</v>
      </c>
      <c r="M217" t="s">
        <v>19</v>
      </c>
      <c r="N217" t="s">
        <v>19</v>
      </c>
      <c r="O217">
        <v>4493</v>
      </c>
      <c r="P217" t="s">
        <v>1486</v>
      </c>
      <c r="Q217" t="s">
        <v>19</v>
      </c>
      <c r="R217">
        <v>4494</v>
      </c>
      <c r="S217" t="s">
        <v>1495</v>
      </c>
      <c r="T217" t="s">
        <v>19</v>
      </c>
      <c r="U217">
        <v>4497</v>
      </c>
      <c r="V217" t="s">
        <v>1488</v>
      </c>
      <c r="W217" t="s">
        <v>19</v>
      </c>
      <c r="X217">
        <v>4593</v>
      </c>
      <c r="Y217" t="s">
        <v>1493</v>
      </c>
      <c r="Z217" t="s">
        <v>19</v>
      </c>
      <c r="AA217">
        <v>4728</v>
      </c>
      <c r="AB217" t="s">
        <v>19</v>
      </c>
      <c r="AC217" t="s">
        <v>19</v>
      </c>
      <c r="AD217">
        <v>4729</v>
      </c>
      <c r="AE217" t="s">
        <v>1488</v>
      </c>
      <c r="AF217" t="s">
        <v>19</v>
      </c>
      <c r="AG217">
        <v>4732</v>
      </c>
      <c r="AH217" t="s">
        <v>19</v>
      </c>
      <c r="AI217" t="s">
        <v>19</v>
      </c>
      <c r="AJ217">
        <v>4752</v>
      </c>
      <c r="AK217" t="s">
        <v>1490</v>
      </c>
      <c r="AL217" t="s">
        <v>19</v>
      </c>
      <c r="AM217">
        <v>4756</v>
      </c>
      <c r="AN217" t="s">
        <v>1491</v>
      </c>
      <c r="AO217" t="s">
        <v>19</v>
      </c>
    </row>
    <row r="218" spans="1:41" x14ac:dyDescent="0.45">
      <c r="A218" t="s">
        <v>1266</v>
      </c>
      <c r="B218">
        <v>8</v>
      </c>
      <c r="C218" t="str">
        <f>HYPERLINK("http://www.ncbi.nlm.nih.gov/protein/XP_039643712.1","XP_039643712.1")</f>
        <v>XP_039643712.1</v>
      </c>
      <c r="D218">
        <v>74384</v>
      </c>
      <c r="E218" t="str">
        <f>HYPERLINK("http://www.ncbi.nlm.nih.gov/Taxonomy/Browser/wwwtax.cgi?mode=Info&amp;id=8168&amp;lvl=3&amp;lin=f&amp;keep=1&amp;srchmode=1&amp;unlock","8168")</f>
        <v>8168</v>
      </c>
      <c r="F218" t="s">
        <v>17</v>
      </c>
      <c r="G218" t="str">
        <f>HYPERLINK("http://www.ncbi.nlm.nih.gov/Taxonomy/Browser/wwwtax.cgi?mode=Info&amp;id=8168&amp;lvl=3&amp;lin=f&amp;keep=1&amp;srchmode=1&amp;unlock","Perca fluviatilis")</f>
        <v>Perca fluviatilis</v>
      </c>
      <c r="H218" t="s">
        <v>118</v>
      </c>
      <c r="I218" t="str">
        <f>HYPERLINK("http://www.ncbi.nlm.nih.gov/protein/XP_039643712.1","LOW QUALITY PROTEIN: ryanodine receptor 2")</f>
        <v>LOW QUALITY PROTEIN: ryanodine receptor 2</v>
      </c>
      <c r="J218" t="s">
        <v>1494</v>
      </c>
      <c r="K218" t="s">
        <v>19</v>
      </c>
      <c r="L218">
        <v>4512</v>
      </c>
      <c r="M218" t="s">
        <v>19</v>
      </c>
      <c r="N218" t="s">
        <v>19</v>
      </c>
      <c r="O218">
        <v>4515</v>
      </c>
      <c r="P218" t="s">
        <v>1486</v>
      </c>
      <c r="Q218" t="s">
        <v>19</v>
      </c>
      <c r="R218">
        <v>4516</v>
      </c>
      <c r="S218" t="s">
        <v>1495</v>
      </c>
      <c r="T218" t="s">
        <v>19</v>
      </c>
      <c r="U218">
        <v>4519</v>
      </c>
      <c r="V218" t="s">
        <v>1488</v>
      </c>
      <c r="W218" t="s">
        <v>19</v>
      </c>
      <c r="X218">
        <v>4615</v>
      </c>
      <c r="Y218" t="s">
        <v>1493</v>
      </c>
      <c r="Z218" t="s">
        <v>19</v>
      </c>
      <c r="AA218">
        <v>4750</v>
      </c>
      <c r="AB218" t="s">
        <v>19</v>
      </c>
      <c r="AC218" t="s">
        <v>19</v>
      </c>
      <c r="AD218">
        <v>4751</v>
      </c>
      <c r="AE218" t="s">
        <v>1488</v>
      </c>
      <c r="AF218" t="s">
        <v>19</v>
      </c>
      <c r="AG218">
        <v>4754</v>
      </c>
      <c r="AH218" t="s">
        <v>19</v>
      </c>
      <c r="AI218" t="s">
        <v>19</v>
      </c>
      <c r="AJ218">
        <v>4774</v>
      </c>
      <c r="AK218" t="s">
        <v>1490</v>
      </c>
      <c r="AL218" t="s">
        <v>19</v>
      </c>
      <c r="AM218">
        <v>4778</v>
      </c>
      <c r="AN218" t="s">
        <v>1491</v>
      </c>
      <c r="AO218" t="s">
        <v>19</v>
      </c>
    </row>
    <row r="219" spans="1:41" x14ac:dyDescent="0.45">
      <c r="A219" t="s">
        <v>1266</v>
      </c>
      <c r="B219">
        <v>8</v>
      </c>
      <c r="C219" t="str">
        <f>HYPERLINK("http://www.ncbi.nlm.nih.gov/protein/XP_026207613.1","XP_026207613.1")</f>
        <v>XP_026207613.1</v>
      </c>
      <c r="D219">
        <v>40663</v>
      </c>
      <c r="E219" t="str">
        <f>HYPERLINK("http://www.ncbi.nlm.nih.gov/Taxonomy/Browser/wwwtax.cgi?mode=Info&amp;id=64144&amp;lvl=3&amp;lin=f&amp;keep=1&amp;srchmode=1&amp;unlock","64144")</f>
        <v>64144</v>
      </c>
      <c r="F219" t="s">
        <v>17</v>
      </c>
      <c r="G219" t="str">
        <f>HYPERLINK("http://www.ncbi.nlm.nih.gov/Taxonomy/Browser/wwwtax.cgi?mode=Info&amp;id=64144&amp;lvl=3&amp;lin=f&amp;keep=1&amp;srchmode=1&amp;unlock","Anabas testudineus")</f>
        <v>Anabas testudineus</v>
      </c>
      <c r="H219" t="s">
        <v>140</v>
      </c>
      <c r="I219" t="str">
        <f>HYPERLINK("http://www.ncbi.nlm.nih.gov/protein/XP_026207613.1","LOW QUALITY PROTEIN: ryanodine receptor 2")</f>
        <v>LOW QUALITY PROTEIN: ryanodine receptor 2</v>
      </c>
      <c r="J219" t="s">
        <v>1494</v>
      </c>
      <c r="K219" t="s">
        <v>19</v>
      </c>
      <c r="L219">
        <v>4581</v>
      </c>
      <c r="M219" t="s">
        <v>19</v>
      </c>
      <c r="N219" t="s">
        <v>19</v>
      </c>
      <c r="O219">
        <v>4584</v>
      </c>
      <c r="P219" t="s">
        <v>1486</v>
      </c>
      <c r="Q219" t="s">
        <v>19</v>
      </c>
      <c r="R219">
        <v>4585</v>
      </c>
      <c r="S219" t="s">
        <v>1495</v>
      </c>
      <c r="T219" t="s">
        <v>19</v>
      </c>
      <c r="U219">
        <v>4588</v>
      </c>
      <c r="V219" t="s">
        <v>1488</v>
      </c>
      <c r="W219" t="s">
        <v>19</v>
      </c>
      <c r="X219">
        <v>4684</v>
      </c>
      <c r="Y219" t="s">
        <v>1493</v>
      </c>
      <c r="Z219" t="s">
        <v>19</v>
      </c>
      <c r="AA219">
        <v>4819</v>
      </c>
      <c r="AB219" t="s">
        <v>19</v>
      </c>
      <c r="AC219" t="s">
        <v>19</v>
      </c>
      <c r="AD219">
        <v>4820</v>
      </c>
      <c r="AE219" t="s">
        <v>1488</v>
      </c>
      <c r="AF219" t="s">
        <v>19</v>
      </c>
      <c r="AG219">
        <v>4823</v>
      </c>
      <c r="AH219" t="s">
        <v>19</v>
      </c>
      <c r="AI219" t="s">
        <v>19</v>
      </c>
      <c r="AJ219">
        <v>4843</v>
      </c>
      <c r="AK219" t="s">
        <v>1490</v>
      </c>
      <c r="AL219" t="s">
        <v>19</v>
      </c>
      <c r="AM219">
        <v>4847</v>
      </c>
      <c r="AN219" t="s">
        <v>1491</v>
      </c>
      <c r="AO219" t="s">
        <v>19</v>
      </c>
    </row>
    <row r="220" spans="1:41" x14ac:dyDescent="0.45">
      <c r="A220" t="s">
        <v>1266</v>
      </c>
      <c r="B220">
        <v>8</v>
      </c>
      <c r="C220" t="str">
        <f>HYPERLINK("http://www.ncbi.nlm.nih.gov/protein/XP_045543800.1","XP_045543800.1")</f>
        <v>XP_045543800.1</v>
      </c>
      <c r="D220">
        <v>111662</v>
      </c>
      <c r="E220" t="str">
        <f>HYPERLINK("http://www.ncbi.nlm.nih.gov/Taxonomy/Browser/wwwtax.cgi?mode=Info&amp;id=8030&amp;lvl=3&amp;lin=f&amp;keep=1&amp;srchmode=1&amp;unlock","8030")</f>
        <v>8030</v>
      </c>
      <c r="F220" t="s">
        <v>17</v>
      </c>
      <c r="G220" t="str">
        <f>HYPERLINK("http://www.ncbi.nlm.nih.gov/Taxonomy/Browser/wwwtax.cgi?mode=Info&amp;id=8030&amp;lvl=3&amp;lin=f&amp;keep=1&amp;srchmode=1&amp;unlock","Salmo salar")</f>
        <v>Salmo salar</v>
      </c>
      <c r="H220" t="s">
        <v>155</v>
      </c>
      <c r="I220" t="str">
        <f>HYPERLINK("http://www.ncbi.nlm.nih.gov/protein/XP_045543800.1","ryanodine receptor 2-like")</f>
        <v>ryanodine receptor 2-like</v>
      </c>
      <c r="J220" t="s">
        <v>1494</v>
      </c>
      <c r="K220" t="s">
        <v>19</v>
      </c>
      <c r="L220">
        <v>4514</v>
      </c>
      <c r="M220" t="s">
        <v>19</v>
      </c>
      <c r="N220" t="s">
        <v>19</v>
      </c>
      <c r="O220">
        <v>4517</v>
      </c>
      <c r="P220" t="s">
        <v>1486</v>
      </c>
      <c r="Q220" t="s">
        <v>19</v>
      </c>
      <c r="R220">
        <v>4518</v>
      </c>
      <c r="S220" t="s">
        <v>1495</v>
      </c>
      <c r="T220" t="s">
        <v>19</v>
      </c>
      <c r="U220">
        <v>4521</v>
      </c>
      <c r="V220" t="s">
        <v>1488</v>
      </c>
      <c r="W220" t="s">
        <v>19</v>
      </c>
      <c r="X220">
        <v>4608</v>
      </c>
      <c r="Y220" t="s">
        <v>1493</v>
      </c>
      <c r="Z220" t="s">
        <v>19</v>
      </c>
      <c r="AA220">
        <v>4743</v>
      </c>
      <c r="AB220" t="s">
        <v>19</v>
      </c>
      <c r="AC220" t="s">
        <v>19</v>
      </c>
      <c r="AD220">
        <v>4744</v>
      </c>
      <c r="AE220" t="s">
        <v>1488</v>
      </c>
      <c r="AF220" t="s">
        <v>19</v>
      </c>
      <c r="AG220">
        <v>4747</v>
      </c>
      <c r="AH220" t="s">
        <v>19</v>
      </c>
      <c r="AI220" t="s">
        <v>19</v>
      </c>
      <c r="AJ220">
        <v>4767</v>
      </c>
      <c r="AK220" t="s">
        <v>1490</v>
      </c>
      <c r="AL220" t="s">
        <v>19</v>
      </c>
      <c r="AM220">
        <v>4771</v>
      </c>
      <c r="AN220" t="s">
        <v>1491</v>
      </c>
      <c r="AO220" t="s">
        <v>19</v>
      </c>
    </row>
    <row r="221" spans="1:41" x14ac:dyDescent="0.45">
      <c r="A221" t="s">
        <v>1266</v>
      </c>
      <c r="B221">
        <v>8</v>
      </c>
      <c r="C221" t="str">
        <f>HYPERLINK("http://www.ncbi.nlm.nih.gov/protein/XP_029312100.1","XP_029312100.1")</f>
        <v>XP_029312100.1</v>
      </c>
      <c r="D221">
        <v>37869</v>
      </c>
      <c r="E221" t="str">
        <f>HYPERLINK("http://www.ncbi.nlm.nih.gov/Taxonomy/Browser/wwwtax.cgi?mode=Info&amp;id=56716&amp;lvl=3&amp;lin=f&amp;keep=1&amp;srchmode=1&amp;unlock","56716")</f>
        <v>56716</v>
      </c>
      <c r="F221" t="s">
        <v>17</v>
      </c>
      <c r="G221" t="str">
        <f>HYPERLINK("http://www.ncbi.nlm.nih.gov/Taxonomy/Browser/wwwtax.cgi?mode=Info&amp;id=56716&amp;lvl=3&amp;lin=f&amp;keep=1&amp;srchmode=1&amp;unlock","Cottoperca gobio")</f>
        <v>Cottoperca gobio</v>
      </c>
      <c r="H221" t="s">
        <v>162</v>
      </c>
      <c r="I221" t="str">
        <f>HYPERLINK("http://www.ncbi.nlm.nih.gov/protein/XP_029312100.1","ryanodine receptor 2")</f>
        <v>ryanodine receptor 2</v>
      </c>
      <c r="J221" t="s">
        <v>1494</v>
      </c>
      <c r="K221" t="s">
        <v>19</v>
      </c>
      <c r="L221">
        <v>4487</v>
      </c>
      <c r="M221" t="s">
        <v>19</v>
      </c>
      <c r="N221" t="s">
        <v>19</v>
      </c>
      <c r="O221">
        <v>4490</v>
      </c>
      <c r="P221" t="s">
        <v>1486</v>
      </c>
      <c r="Q221" t="s">
        <v>19</v>
      </c>
      <c r="R221">
        <v>4491</v>
      </c>
      <c r="S221" t="s">
        <v>1495</v>
      </c>
      <c r="T221" t="s">
        <v>19</v>
      </c>
      <c r="U221">
        <v>4494</v>
      </c>
      <c r="V221" t="s">
        <v>1488</v>
      </c>
      <c r="W221" t="s">
        <v>19</v>
      </c>
      <c r="X221">
        <v>4590</v>
      </c>
      <c r="Y221" t="s">
        <v>1493</v>
      </c>
      <c r="Z221" t="s">
        <v>19</v>
      </c>
      <c r="AA221">
        <v>4725</v>
      </c>
      <c r="AB221" t="s">
        <v>19</v>
      </c>
      <c r="AC221" t="s">
        <v>19</v>
      </c>
      <c r="AD221">
        <v>4726</v>
      </c>
      <c r="AE221" t="s">
        <v>1488</v>
      </c>
      <c r="AF221" t="s">
        <v>19</v>
      </c>
      <c r="AG221">
        <v>4729</v>
      </c>
      <c r="AH221" t="s">
        <v>19</v>
      </c>
      <c r="AI221" t="s">
        <v>19</v>
      </c>
      <c r="AJ221">
        <v>4749</v>
      </c>
      <c r="AK221" t="s">
        <v>1490</v>
      </c>
      <c r="AL221" t="s">
        <v>19</v>
      </c>
      <c r="AM221">
        <v>4753</v>
      </c>
      <c r="AN221" t="s">
        <v>1491</v>
      </c>
      <c r="AO221" t="s">
        <v>19</v>
      </c>
    </row>
    <row r="222" spans="1:41" x14ac:dyDescent="0.45">
      <c r="A222" t="s">
        <v>1266</v>
      </c>
      <c r="B222">
        <v>8</v>
      </c>
      <c r="C222" t="str">
        <f>HYPERLINK("http://www.ncbi.nlm.nih.gov/protein/XP_023120645.2","XP_023120645.2")</f>
        <v>XP_023120645.2</v>
      </c>
      <c r="D222">
        <v>47453</v>
      </c>
      <c r="E222" t="str">
        <f>HYPERLINK("http://www.ncbi.nlm.nih.gov/Taxonomy/Browser/wwwtax.cgi?mode=Info&amp;id=80972&amp;lvl=3&amp;lin=f&amp;keep=1&amp;srchmode=1&amp;unlock","80972")</f>
        <v>80972</v>
      </c>
      <c r="F222" t="s">
        <v>17</v>
      </c>
      <c r="G222" t="str">
        <f>HYPERLINK("http://www.ncbi.nlm.nih.gov/Taxonomy/Browser/wwwtax.cgi?mode=Info&amp;id=80972&amp;lvl=3&amp;lin=f&amp;keep=1&amp;srchmode=1&amp;unlock","Amphiprion ocellaris")</f>
        <v>Amphiprion ocellaris</v>
      </c>
      <c r="H222" t="s">
        <v>56</v>
      </c>
      <c r="I222" t="str">
        <f>HYPERLINK("http://www.ncbi.nlm.nih.gov/protein/XP_023120645.2","ryanodine receptor 2 isoform X5")</f>
        <v>ryanodine receptor 2 isoform X5</v>
      </c>
      <c r="J222" t="s">
        <v>1494</v>
      </c>
      <c r="K222" t="s">
        <v>19</v>
      </c>
      <c r="L222">
        <v>4493</v>
      </c>
      <c r="M222" t="s">
        <v>19</v>
      </c>
      <c r="N222" t="s">
        <v>19</v>
      </c>
      <c r="O222">
        <v>4496</v>
      </c>
      <c r="P222" t="s">
        <v>1486</v>
      </c>
      <c r="Q222" t="s">
        <v>19</v>
      </c>
      <c r="R222">
        <v>4497</v>
      </c>
      <c r="S222" t="s">
        <v>1495</v>
      </c>
      <c r="T222" t="s">
        <v>19</v>
      </c>
      <c r="U222">
        <v>4500</v>
      </c>
      <c r="V222" t="s">
        <v>1488</v>
      </c>
      <c r="W222" t="s">
        <v>19</v>
      </c>
      <c r="X222">
        <v>4596</v>
      </c>
      <c r="Y222" t="s">
        <v>1493</v>
      </c>
      <c r="Z222" t="s">
        <v>19</v>
      </c>
      <c r="AA222">
        <v>4731</v>
      </c>
      <c r="AB222" t="s">
        <v>19</v>
      </c>
      <c r="AC222" t="s">
        <v>19</v>
      </c>
      <c r="AD222">
        <v>4732</v>
      </c>
      <c r="AE222" t="s">
        <v>1488</v>
      </c>
      <c r="AF222" t="s">
        <v>19</v>
      </c>
      <c r="AG222">
        <v>4735</v>
      </c>
      <c r="AH222" t="s">
        <v>19</v>
      </c>
      <c r="AI222" t="s">
        <v>19</v>
      </c>
      <c r="AJ222">
        <v>4755</v>
      </c>
      <c r="AK222" t="s">
        <v>1490</v>
      </c>
      <c r="AL222" t="s">
        <v>19</v>
      </c>
      <c r="AM222">
        <v>4759</v>
      </c>
      <c r="AN222" t="s">
        <v>1491</v>
      </c>
      <c r="AO222" t="s">
        <v>19</v>
      </c>
    </row>
    <row r="223" spans="1:41" x14ac:dyDescent="0.45">
      <c r="A223" t="s">
        <v>1266</v>
      </c>
      <c r="B223">
        <v>8</v>
      </c>
      <c r="C223" t="str">
        <f>HYPERLINK("http://www.ncbi.nlm.nih.gov/protein/XP_043870193.1","XP_043870193.1")</f>
        <v>XP_043870193.1</v>
      </c>
      <c r="D223">
        <v>91952</v>
      </c>
      <c r="E223" t="str">
        <f>HYPERLINK("http://www.ncbi.nlm.nih.gov/Taxonomy/Browser/wwwtax.cgi?mode=Info&amp;id=28829&amp;lvl=3&amp;lin=f&amp;keep=1&amp;srchmode=1&amp;unlock","28829")</f>
        <v>28829</v>
      </c>
      <c r="F223" t="s">
        <v>17</v>
      </c>
      <c r="G223" t="str">
        <f>HYPERLINK("http://www.ncbi.nlm.nih.gov/Taxonomy/Browser/wwwtax.cgi?mode=Info&amp;id=28829&amp;lvl=3&amp;lin=f&amp;keep=1&amp;srchmode=1&amp;unlock","Solea senegalensis")</f>
        <v>Solea senegalensis</v>
      </c>
      <c r="H223" t="s">
        <v>60</v>
      </c>
      <c r="I223" t="str">
        <f>HYPERLINK("http://www.ncbi.nlm.nih.gov/protein/XP_043870193.1","ryanodine receptor 2 isoform X1")</f>
        <v>ryanodine receptor 2 isoform X1</v>
      </c>
      <c r="J223" t="s">
        <v>1494</v>
      </c>
      <c r="K223" t="s">
        <v>19</v>
      </c>
      <c r="L223">
        <v>4488</v>
      </c>
      <c r="M223" t="s">
        <v>19</v>
      </c>
      <c r="N223" t="s">
        <v>19</v>
      </c>
      <c r="O223">
        <v>4491</v>
      </c>
      <c r="P223" t="s">
        <v>1486</v>
      </c>
      <c r="Q223" t="s">
        <v>19</v>
      </c>
      <c r="R223">
        <v>4492</v>
      </c>
      <c r="S223" t="s">
        <v>1495</v>
      </c>
      <c r="T223" t="s">
        <v>19</v>
      </c>
      <c r="U223">
        <v>4495</v>
      </c>
      <c r="V223" t="s">
        <v>1488</v>
      </c>
      <c r="W223" t="s">
        <v>19</v>
      </c>
      <c r="X223">
        <v>4592</v>
      </c>
      <c r="Y223" t="s">
        <v>1493</v>
      </c>
      <c r="Z223" t="s">
        <v>19</v>
      </c>
      <c r="AA223">
        <v>4727</v>
      </c>
      <c r="AB223" t="s">
        <v>19</v>
      </c>
      <c r="AC223" t="s">
        <v>19</v>
      </c>
      <c r="AD223">
        <v>4728</v>
      </c>
      <c r="AE223" t="s">
        <v>1488</v>
      </c>
      <c r="AF223" t="s">
        <v>19</v>
      </c>
      <c r="AG223">
        <v>4731</v>
      </c>
      <c r="AH223" t="s">
        <v>19</v>
      </c>
      <c r="AI223" t="s">
        <v>19</v>
      </c>
      <c r="AJ223">
        <v>4751</v>
      </c>
      <c r="AK223" t="s">
        <v>1490</v>
      </c>
      <c r="AL223" t="s">
        <v>19</v>
      </c>
      <c r="AM223">
        <v>4755</v>
      </c>
      <c r="AN223" t="s">
        <v>1491</v>
      </c>
      <c r="AO223" t="s">
        <v>19</v>
      </c>
    </row>
    <row r="224" spans="1:41" x14ac:dyDescent="0.45">
      <c r="A224" t="s">
        <v>1266</v>
      </c>
      <c r="B224">
        <v>8</v>
      </c>
      <c r="C224" t="str">
        <f>HYPERLINK("http://www.ncbi.nlm.nih.gov/protein/XP_058476952.1","XP_058476952.1")</f>
        <v>XP_058476952.1</v>
      </c>
      <c r="D224">
        <v>43057</v>
      </c>
      <c r="E224" t="str">
        <f>HYPERLINK("http://www.ncbi.nlm.nih.gov/Taxonomy/Browser/wwwtax.cgi?mode=Info&amp;id=90069&amp;lvl=3&amp;lin=f&amp;keep=1&amp;srchmode=1&amp;unlock","90069")</f>
        <v>90069</v>
      </c>
      <c r="F224" t="s">
        <v>17</v>
      </c>
      <c r="G224" t="str">
        <f>HYPERLINK("http://www.ncbi.nlm.nih.gov/Taxonomy/Browser/wwwtax.cgi?mode=Info&amp;id=90069&amp;lvl=3&amp;lin=f&amp;keep=1&amp;srchmode=1&amp;unlock","Solea solea")</f>
        <v>Solea solea</v>
      </c>
      <c r="H224" t="s">
        <v>90</v>
      </c>
      <c r="I224" t="str">
        <f>HYPERLINK("http://www.ncbi.nlm.nih.gov/protein/XP_058476952.1","ryanodine receptor 2 isoform X15")</f>
        <v>ryanodine receptor 2 isoform X15</v>
      </c>
      <c r="J224" t="s">
        <v>1494</v>
      </c>
      <c r="K224" t="s">
        <v>19</v>
      </c>
      <c r="L224">
        <v>4484</v>
      </c>
      <c r="M224" t="s">
        <v>19</v>
      </c>
      <c r="N224" t="s">
        <v>19</v>
      </c>
      <c r="O224">
        <v>4487</v>
      </c>
      <c r="P224" t="s">
        <v>1486</v>
      </c>
      <c r="Q224" t="s">
        <v>19</v>
      </c>
      <c r="R224">
        <v>4488</v>
      </c>
      <c r="S224" t="s">
        <v>1495</v>
      </c>
      <c r="T224" t="s">
        <v>19</v>
      </c>
      <c r="U224">
        <v>4491</v>
      </c>
      <c r="V224" t="s">
        <v>1488</v>
      </c>
      <c r="W224" t="s">
        <v>19</v>
      </c>
      <c r="X224">
        <v>4588</v>
      </c>
      <c r="Y224" t="s">
        <v>1493</v>
      </c>
      <c r="Z224" t="s">
        <v>19</v>
      </c>
      <c r="AA224">
        <v>4723</v>
      </c>
      <c r="AB224" t="s">
        <v>19</v>
      </c>
      <c r="AC224" t="s">
        <v>19</v>
      </c>
      <c r="AD224">
        <v>4724</v>
      </c>
      <c r="AE224" t="s">
        <v>1488</v>
      </c>
      <c r="AF224" t="s">
        <v>19</v>
      </c>
      <c r="AG224">
        <v>4727</v>
      </c>
      <c r="AH224" t="s">
        <v>19</v>
      </c>
      <c r="AI224" t="s">
        <v>19</v>
      </c>
      <c r="AJ224">
        <v>4747</v>
      </c>
      <c r="AK224" t="s">
        <v>1490</v>
      </c>
      <c r="AL224" t="s">
        <v>19</v>
      </c>
      <c r="AM224">
        <v>4751</v>
      </c>
      <c r="AN224" t="s">
        <v>1491</v>
      </c>
      <c r="AO224" t="s">
        <v>19</v>
      </c>
    </row>
    <row r="225" spans="1:41" x14ac:dyDescent="0.45">
      <c r="A225" t="s">
        <v>1266</v>
      </c>
      <c r="B225">
        <v>8</v>
      </c>
      <c r="C225" t="str">
        <f>HYPERLINK("http://www.ncbi.nlm.nih.gov/protein/XP_019938872.1","XP_019938872.1")</f>
        <v>XP_019938872.1</v>
      </c>
      <c r="D225">
        <v>37917</v>
      </c>
      <c r="E225" t="str">
        <f>HYPERLINK("http://www.ncbi.nlm.nih.gov/Taxonomy/Browser/wwwtax.cgi?mode=Info&amp;id=8255&amp;lvl=3&amp;lin=f&amp;keep=1&amp;srchmode=1&amp;unlock","8255")</f>
        <v>8255</v>
      </c>
      <c r="F225" t="s">
        <v>17</v>
      </c>
      <c r="G225" t="str">
        <f>HYPERLINK("http://www.ncbi.nlm.nih.gov/Taxonomy/Browser/wwwtax.cgi?mode=Info&amp;id=8255&amp;lvl=3&amp;lin=f&amp;keep=1&amp;srchmode=1&amp;unlock","Paralichthys olivaceus")</f>
        <v>Paralichthys olivaceus</v>
      </c>
      <c r="H225" t="s">
        <v>83</v>
      </c>
      <c r="I225" t="str">
        <f>HYPERLINK("http://www.ncbi.nlm.nih.gov/protein/XP_019938872.1","PREDICTED: ryanodine receptor 2")</f>
        <v>PREDICTED: ryanodine receptor 2</v>
      </c>
      <c r="J225" t="s">
        <v>1494</v>
      </c>
      <c r="K225" t="s">
        <v>19</v>
      </c>
      <c r="L225">
        <v>4481</v>
      </c>
      <c r="M225" t="s">
        <v>19</v>
      </c>
      <c r="N225" t="s">
        <v>19</v>
      </c>
      <c r="O225">
        <v>4484</v>
      </c>
      <c r="P225" t="s">
        <v>1486</v>
      </c>
      <c r="Q225" t="s">
        <v>19</v>
      </c>
      <c r="R225">
        <v>4485</v>
      </c>
      <c r="S225" t="s">
        <v>1495</v>
      </c>
      <c r="T225" t="s">
        <v>19</v>
      </c>
      <c r="U225">
        <v>4488</v>
      </c>
      <c r="V225" t="s">
        <v>1488</v>
      </c>
      <c r="W225" t="s">
        <v>19</v>
      </c>
      <c r="X225">
        <v>4584</v>
      </c>
      <c r="Y225" t="s">
        <v>1493</v>
      </c>
      <c r="Z225" t="s">
        <v>19</v>
      </c>
      <c r="AA225">
        <v>4719</v>
      </c>
      <c r="AB225" t="s">
        <v>19</v>
      </c>
      <c r="AC225" t="s">
        <v>19</v>
      </c>
      <c r="AD225">
        <v>4720</v>
      </c>
      <c r="AE225" t="s">
        <v>1488</v>
      </c>
      <c r="AF225" t="s">
        <v>19</v>
      </c>
      <c r="AG225">
        <v>4723</v>
      </c>
      <c r="AH225" t="s">
        <v>19</v>
      </c>
      <c r="AI225" t="s">
        <v>19</v>
      </c>
      <c r="AJ225">
        <v>4743</v>
      </c>
      <c r="AK225" t="s">
        <v>1490</v>
      </c>
      <c r="AL225" t="s">
        <v>19</v>
      </c>
      <c r="AM225">
        <v>4747</v>
      </c>
      <c r="AN225" t="s">
        <v>1491</v>
      </c>
      <c r="AO225" t="s">
        <v>19</v>
      </c>
    </row>
    <row r="226" spans="1:41" x14ac:dyDescent="0.45">
      <c r="A226" t="s">
        <v>1266</v>
      </c>
      <c r="B226">
        <v>8</v>
      </c>
      <c r="C226" t="str">
        <f>HYPERLINK("http://www.ncbi.nlm.nih.gov/protein/XP_053270386.1","XP_053270386.1")</f>
        <v>XP_053270386.1</v>
      </c>
      <c r="D226">
        <v>85261</v>
      </c>
      <c r="E226" t="str">
        <f>HYPERLINK("http://www.ncbi.nlm.nih.gov/Taxonomy/Browser/wwwtax.cgi?mode=Info&amp;id=8262&amp;lvl=3&amp;lin=f&amp;keep=1&amp;srchmode=1&amp;unlock","8262")</f>
        <v>8262</v>
      </c>
      <c r="F226" t="s">
        <v>17</v>
      </c>
      <c r="G226" t="str">
        <f>HYPERLINK("http://www.ncbi.nlm.nih.gov/Taxonomy/Browser/wwwtax.cgi?mode=Info&amp;id=8262&amp;lvl=3&amp;lin=f&amp;keep=1&amp;srchmode=1&amp;unlock","Pleuronectes platessa")</f>
        <v>Pleuronectes platessa</v>
      </c>
      <c r="H226" t="s">
        <v>121</v>
      </c>
      <c r="I226" t="str">
        <f>HYPERLINK("http://www.ncbi.nlm.nih.gov/protein/XP_053270386.1","ryanodine receptor 2")</f>
        <v>ryanodine receptor 2</v>
      </c>
      <c r="J226" t="s">
        <v>1494</v>
      </c>
      <c r="K226" t="s">
        <v>19</v>
      </c>
      <c r="L226">
        <v>4489</v>
      </c>
      <c r="M226" t="s">
        <v>19</v>
      </c>
      <c r="N226" t="s">
        <v>19</v>
      </c>
      <c r="O226">
        <v>4492</v>
      </c>
      <c r="P226" t="s">
        <v>1486</v>
      </c>
      <c r="Q226" t="s">
        <v>19</v>
      </c>
      <c r="R226">
        <v>4493</v>
      </c>
      <c r="S226" t="s">
        <v>1495</v>
      </c>
      <c r="T226" t="s">
        <v>19</v>
      </c>
      <c r="U226">
        <v>4496</v>
      </c>
      <c r="V226" t="s">
        <v>1488</v>
      </c>
      <c r="W226" t="s">
        <v>19</v>
      </c>
      <c r="X226">
        <v>4592</v>
      </c>
      <c r="Y226" t="s">
        <v>1493</v>
      </c>
      <c r="Z226" t="s">
        <v>19</v>
      </c>
      <c r="AA226">
        <v>4727</v>
      </c>
      <c r="AB226" t="s">
        <v>19</v>
      </c>
      <c r="AC226" t="s">
        <v>19</v>
      </c>
      <c r="AD226">
        <v>4728</v>
      </c>
      <c r="AE226" t="s">
        <v>1488</v>
      </c>
      <c r="AF226" t="s">
        <v>19</v>
      </c>
      <c r="AG226">
        <v>4731</v>
      </c>
      <c r="AH226" t="s">
        <v>19</v>
      </c>
      <c r="AI226" t="s">
        <v>19</v>
      </c>
      <c r="AJ226">
        <v>4751</v>
      </c>
      <c r="AK226" t="s">
        <v>1490</v>
      </c>
      <c r="AL226" t="s">
        <v>19</v>
      </c>
      <c r="AM226">
        <v>4755</v>
      </c>
      <c r="AN226" t="s">
        <v>1491</v>
      </c>
      <c r="AO226" t="s">
        <v>19</v>
      </c>
    </row>
    <row r="227" spans="1:41" x14ac:dyDescent="0.45">
      <c r="A227" t="s">
        <v>1266</v>
      </c>
      <c r="B227">
        <v>8</v>
      </c>
      <c r="C227" t="str">
        <f>HYPERLINK("http://www.ncbi.nlm.nih.gov/protein/XP_045924805.1","XP_045924805.1")</f>
        <v>XP_045924805.1</v>
      </c>
      <c r="D227">
        <v>48490</v>
      </c>
      <c r="E227" t="str">
        <f>HYPERLINK("http://www.ncbi.nlm.nih.gov/Taxonomy/Browser/wwwtax.cgi?mode=Info&amp;id=147949&amp;lvl=3&amp;lin=f&amp;keep=1&amp;srchmode=1&amp;unlock","147949")</f>
        <v>147949</v>
      </c>
      <c r="F227" t="s">
        <v>17</v>
      </c>
      <c r="G227" t="str">
        <f>HYPERLINK("http://www.ncbi.nlm.nih.gov/Taxonomy/Browser/wwwtax.cgi?mode=Info&amp;id=147949&amp;lvl=3&amp;lin=f&amp;keep=1&amp;srchmode=1&amp;unlock","Micropterus dolomieu")</f>
        <v>Micropterus dolomieu</v>
      </c>
      <c r="H227" t="s">
        <v>82</v>
      </c>
      <c r="I227" t="str">
        <f>HYPERLINK("http://www.ncbi.nlm.nih.gov/protein/XP_045924805.1","ryanodine receptor 2")</f>
        <v>ryanodine receptor 2</v>
      </c>
      <c r="J227" t="s">
        <v>1494</v>
      </c>
      <c r="K227" t="s">
        <v>19</v>
      </c>
      <c r="L227">
        <v>4482</v>
      </c>
      <c r="M227" t="s">
        <v>19</v>
      </c>
      <c r="N227" t="s">
        <v>19</v>
      </c>
      <c r="O227">
        <v>4485</v>
      </c>
      <c r="P227" t="s">
        <v>1486</v>
      </c>
      <c r="Q227" t="s">
        <v>19</v>
      </c>
      <c r="R227">
        <v>4486</v>
      </c>
      <c r="S227" t="s">
        <v>1495</v>
      </c>
      <c r="T227" t="s">
        <v>19</v>
      </c>
      <c r="U227">
        <v>4489</v>
      </c>
      <c r="V227" t="s">
        <v>1488</v>
      </c>
      <c r="W227" t="s">
        <v>19</v>
      </c>
      <c r="X227">
        <v>4583</v>
      </c>
      <c r="Y227" t="s">
        <v>1493</v>
      </c>
      <c r="Z227" t="s">
        <v>19</v>
      </c>
      <c r="AA227">
        <v>4718</v>
      </c>
      <c r="AB227" t="s">
        <v>19</v>
      </c>
      <c r="AC227" t="s">
        <v>19</v>
      </c>
      <c r="AD227">
        <v>4719</v>
      </c>
      <c r="AE227" t="s">
        <v>1488</v>
      </c>
      <c r="AF227" t="s">
        <v>19</v>
      </c>
      <c r="AG227">
        <v>4722</v>
      </c>
      <c r="AH227" t="s">
        <v>19</v>
      </c>
      <c r="AI227" t="s">
        <v>19</v>
      </c>
      <c r="AJ227">
        <v>4742</v>
      </c>
      <c r="AK227" t="s">
        <v>1490</v>
      </c>
      <c r="AL227" t="s">
        <v>19</v>
      </c>
      <c r="AM227">
        <v>4746</v>
      </c>
      <c r="AN227" t="s">
        <v>1491</v>
      </c>
      <c r="AO227" t="s">
        <v>19</v>
      </c>
    </row>
    <row r="228" spans="1:41" x14ac:dyDescent="0.45">
      <c r="A228" t="s">
        <v>1266</v>
      </c>
      <c r="B228">
        <v>8</v>
      </c>
      <c r="C228" t="str">
        <f>HYPERLINK("http://www.ncbi.nlm.nih.gov/protein/XP_037609997.1","XP_037609997.1")</f>
        <v>XP_037609997.1</v>
      </c>
      <c r="D228">
        <v>50721</v>
      </c>
      <c r="E228" t="str">
        <f>HYPERLINK("http://www.ncbi.nlm.nih.gov/Taxonomy/Browser/wwwtax.cgi?mode=Info&amp;id=72105&amp;lvl=3&amp;lin=f&amp;keep=1&amp;srchmode=1&amp;unlock","72105")</f>
        <v>72105</v>
      </c>
      <c r="F228" t="s">
        <v>17</v>
      </c>
      <c r="G228" t="str">
        <f>HYPERLINK("http://www.ncbi.nlm.nih.gov/Taxonomy/Browser/wwwtax.cgi?mode=Info&amp;id=72105&amp;lvl=3&amp;lin=f&amp;keep=1&amp;srchmode=1&amp;unlock","Sebastes umbrosus")</f>
        <v>Sebastes umbrosus</v>
      </c>
      <c r="H228" t="s">
        <v>455</v>
      </c>
      <c r="I228" t="str">
        <f>HYPERLINK("http://www.ncbi.nlm.nih.gov/protein/XP_037609997.1","ryanodine receptor 2 isoform X1")</f>
        <v>ryanodine receptor 2 isoform X1</v>
      </c>
      <c r="J228" t="s">
        <v>1494</v>
      </c>
      <c r="K228" t="s">
        <v>19</v>
      </c>
      <c r="L228">
        <v>4491</v>
      </c>
      <c r="M228" t="s">
        <v>19</v>
      </c>
      <c r="N228" t="s">
        <v>19</v>
      </c>
      <c r="O228">
        <v>4494</v>
      </c>
      <c r="P228" t="s">
        <v>1486</v>
      </c>
      <c r="Q228" t="s">
        <v>19</v>
      </c>
      <c r="R228">
        <v>4495</v>
      </c>
      <c r="S228" t="s">
        <v>1495</v>
      </c>
      <c r="T228" t="s">
        <v>19</v>
      </c>
      <c r="U228">
        <v>4498</v>
      </c>
      <c r="V228" t="s">
        <v>1488</v>
      </c>
      <c r="W228" t="s">
        <v>19</v>
      </c>
      <c r="X228">
        <v>4596</v>
      </c>
      <c r="Y228" t="s">
        <v>1493</v>
      </c>
      <c r="Z228" t="s">
        <v>19</v>
      </c>
      <c r="AA228">
        <v>4731</v>
      </c>
      <c r="AB228" t="s">
        <v>19</v>
      </c>
      <c r="AC228" t="s">
        <v>19</v>
      </c>
      <c r="AD228">
        <v>4732</v>
      </c>
      <c r="AE228" t="s">
        <v>1488</v>
      </c>
      <c r="AF228" t="s">
        <v>19</v>
      </c>
      <c r="AG228">
        <v>4735</v>
      </c>
      <c r="AH228" t="s">
        <v>19</v>
      </c>
      <c r="AI228" t="s">
        <v>19</v>
      </c>
      <c r="AJ228">
        <v>4755</v>
      </c>
      <c r="AK228" t="s">
        <v>1490</v>
      </c>
      <c r="AL228" t="s">
        <v>19</v>
      </c>
      <c r="AM228">
        <v>4759</v>
      </c>
      <c r="AN228" t="s">
        <v>1491</v>
      </c>
      <c r="AO228" t="s">
        <v>19</v>
      </c>
    </row>
    <row r="229" spans="1:41" x14ac:dyDescent="0.45">
      <c r="A229" t="s">
        <v>1266</v>
      </c>
      <c r="B229">
        <v>8</v>
      </c>
      <c r="C229" t="str">
        <f>HYPERLINK("http://www.ncbi.nlm.nih.gov/protein/XP_060950446.1","XP_060950446.1")</f>
        <v>XP_060950446.1</v>
      </c>
      <c r="D229">
        <v>30038</v>
      </c>
      <c r="E229" t="str">
        <f>HYPERLINK("http://www.ncbi.nlm.nih.gov/Taxonomy/Browser/wwwtax.cgi?mode=Info&amp;id=27771&amp;lvl=3&amp;lin=f&amp;keep=1&amp;srchmode=1&amp;unlock","27771")</f>
        <v>27771</v>
      </c>
      <c r="F229" t="s">
        <v>17</v>
      </c>
      <c r="G229" t="str">
        <f>HYPERLINK("http://www.ncbi.nlm.nih.gov/Taxonomy/Browser/wwwtax.cgi?mode=Info&amp;id=27771&amp;lvl=3&amp;lin=f&amp;keep=1&amp;srchmode=1&amp;unlock","Limanda limanda")</f>
        <v>Limanda limanda</v>
      </c>
      <c r="H229" t="s">
        <v>131</v>
      </c>
      <c r="I229" t="str">
        <f>HYPERLINK("http://www.ncbi.nlm.nih.gov/protein/XP_060950446.1","ryanodine receptor 2")</f>
        <v>ryanodine receptor 2</v>
      </c>
      <c r="J229" t="s">
        <v>1494</v>
      </c>
      <c r="K229" t="s">
        <v>19</v>
      </c>
      <c r="L229">
        <v>4489</v>
      </c>
      <c r="M229" t="s">
        <v>19</v>
      </c>
      <c r="N229" t="s">
        <v>19</v>
      </c>
      <c r="O229">
        <v>4492</v>
      </c>
      <c r="P229" t="s">
        <v>1486</v>
      </c>
      <c r="Q229" t="s">
        <v>19</v>
      </c>
      <c r="R229">
        <v>4493</v>
      </c>
      <c r="S229" t="s">
        <v>1495</v>
      </c>
      <c r="T229" t="s">
        <v>19</v>
      </c>
      <c r="U229">
        <v>4496</v>
      </c>
      <c r="V229" t="s">
        <v>1488</v>
      </c>
      <c r="W229" t="s">
        <v>19</v>
      </c>
      <c r="X229">
        <v>4592</v>
      </c>
      <c r="Y229" t="s">
        <v>1493</v>
      </c>
      <c r="Z229" t="s">
        <v>19</v>
      </c>
      <c r="AA229">
        <v>4727</v>
      </c>
      <c r="AB229" t="s">
        <v>19</v>
      </c>
      <c r="AC229" t="s">
        <v>19</v>
      </c>
      <c r="AD229">
        <v>4728</v>
      </c>
      <c r="AE229" t="s">
        <v>1488</v>
      </c>
      <c r="AF229" t="s">
        <v>19</v>
      </c>
      <c r="AG229">
        <v>4731</v>
      </c>
      <c r="AH229" t="s">
        <v>19</v>
      </c>
      <c r="AI229" t="s">
        <v>19</v>
      </c>
      <c r="AJ229">
        <v>4751</v>
      </c>
      <c r="AK229" t="s">
        <v>1490</v>
      </c>
      <c r="AL229" t="s">
        <v>19</v>
      </c>
      <c r="AM229">
        <v>4755</v>
      </c>
      <c r="AN229" t="s">
        <v>1491</v>
      </c>
      <c r="AO229" t="s">
        <v>19</v>
      </c>
    </row>
    <row r="230" spans="1:41" x14ac:dyDescent="0.45">
      <c r="A230" t="s">
        <v>1266</v>
      </c>
      <c r="B230">
        <v>8</v>
      </c>
      <c r="C230" t="str">
        <f>HYPERLINK("http://www.ncbi.nlm.nih.gov/protein/XP_055768088.1","XP_055768088.1")</f>
        <v>XP_055768088.1</v>
      </c>
      <c r="D230">
        <v>83509</v>
      </c>
      <c r="E230" t="str">
        <f>HYPERLINK("http://www.ncbi.nlm.nih.gov/Taxonomy/Browser/wwwtax.cgi?mode=Info&amp;id=8038&amp;lvl=3&amp;lin=f&amp;keep=1&amp;srchmode=1&amp;unlock","8038")</f>
        <v>8038</v>
      </c>
      <c r="F230" t="s">
        <v>17</v>
      </c>
      <c r="G230" t="str">
        <f>HYPERLINK("http://www.ncbi.nlm.nih.gov/Taxonomy/Browser/wwwtax.cgi?mode=Info&amp;id=8038&amp;lvl=3&amp;lin=f&amp;keep=1&amp;srchmode=1&amp;unlock","Salvelinus fontinalis")</f>
        <v>Salvelinus fontinalis</v>
      </c>
      <c r="H230" t="s">
        <v>149</v>
      </c>
      <c r="I230" t="str">
        <f>HYPERLINK("http://www.ncbi.nlm.nih.gov/protein/XP_055768088.1","ryanodine receptor 2-like")</f>
        <v>ryanodine receptor 2-like</v>
      </c>
      <c r="J230" t="s">
        <v>1494</v>
      </c>
      <c r="K230" t="s">
        <v>19</v>
      </c>
      <c r="L230">
        <v>4525</v>
      </c>
      <c r="M230" t="s">
        <v>19</v>
      </c>
      <c r="N230" t="s">
        <v>19</v>
      </c>
      <c r="O230">
        <v>4528</v>
      </c>
      <c r="P230" t="s">
        <v>1486</v>
      </c>
      <c r="Q230" t="s">
        <v>19</v>
      </c>
      <c r="R230">
        <v>4529</v>
      </c>
      <c r="S230" t="s">
        <v>1495</v>
      </c>
      <c r="T230" t="s">
        <v>19</v>
      </c>
      <c r="U230">
        <v>4532</v>
      </c>
      <c r="V230" t="s">
        <v>1488</v>
      </c>
      <c r="W230" t="s">
        <v>19</v>
      </c>
      <c r="X230">
        <v>4619</v>
      </c>
      <c r="Y230" t="s">
        <v>1493</v>
      </c>
      <c r="Z230" t="s">
        <v>19</v>
      </c>
      <c r="AA230">
        <v>4754</v>
      </c>
      <c r="AB230" t="s">
        <v>19</v>
      </c>
      <c r="AC230" t="s">
        <v>19</v>
      </c>
      <c r="AD230">
        <v>4755</v>
      </c>
      <c r="AE230" t="s">
        <v>1488</v>
      </c>
      <c r="AF230" t="s">
        <v>19</v>
      </c>
      <c r="AG230">
        <v>4758</v>
      </c>
      <c r="AH230" t="s">
        <v>19</v>
      </c>
      <c r="AI230" t="s">
        <v>19</v>
      </c>
      <c r="AJ230">
        <v>4778</v>
      </c>
      <c r="AK230" t="s">
        <v>1490</v>
      </c>
      <c r="AL230" t="s">
        <v>19</v>
      </c>
      <c r="AM230">
        <v>4782</v>
      </c>
      <c r="AN230" t="s">
        <v>1491</v>
      </c>
      <c r="AO230" t="s">
        <v>19</v>
      </c>
    </row>
    <row r="231" spans="1:41" x14ac:dyDescent="0.45">
      <c r="A231" t="s">
        <v>1266</v>
      </c>
      <c r="B231">
        <v>8</v>
      </c>
      <c r="C231" t="str">
        <f>HYPERLINK("http://www.ncbi.nlm.nih.gov/protein/XP_028423370.1","XP_028423370.1")</f>
        <v>XP_028423370.1</v>
      </c>
      <c r="D231">
        <v>65002</v>
      </c>
      <c r="E231" t="str">
        <f>HYPERLINK("http://www.ncbi.nlm.nih.gov/Taxonomy/Browser/wwwtax.cgi?mode=Info&amp;id=8167&amp;lvl=3&amp;lin=f&amp;keep=1&amp;srchmode=1&amp;unlock","8167")</f>
        <v>8167</v>
      </c>
      <c r="F231" t="s">
        <v>17</v>
      </c>
      <c r="G231" t="str">
        <f>HYPERLINK("http://www.ncbi.nlm.nih.gov/Taxonomy/Browser/wwwtax.cgi?mode=Info&amp;id=8167&amp;lvl=3&amp;lin=f&amp;keep=1&amp;srchmode=1&amp;unlock","Perca flavescens")</f>
        <v>Perca flavescens</v>
      </c>
      <c r="H231" t="s">
        <v>67</v>
      </c>
      <c r="I231" t="str">
        <f>HYPERLINK("http://www.ncbi.nlm.nih.gov/protein/XP_028423370.1","ryanodine receptor 2 isoform X4")</f>
        <v>ryanodine receptor 2 isoform X4</v>
      </c>
      <c r="J231" t="s">
        <v>1494</v>
      </c>
      <c r="K231" t="s">
        <v>19</v>
      </c>
      <c r="L231">
        <v>4504</v>
      </c>
      <c r="M231" t="s">
        <v>19</v>
      </c>
      <c r="N231" t="s">
        <v>19</v>
      </c>
      <c r="O231">
        <v>4507</v>
      </c>
      <c r="P231" t="s">
        <v>1486</v>
      </c>
      <c r="Q231" t="s">
        <v>19</v>
      </c>
      <c r="R231">
        <v>4508</v>
      </c>
      <c r="S231" t="s">
        <v>1495</v>
      </c>
      <c r="T231" t="s">
        <v>19</v>
      </c>
      <c r="U231">
        <v>4511</v>
      </c>
      <c r="V231" t="s">
        <v>1488</v>
      </c>
      <c r="W231" t="s">
        <v>19</v>
      </c>
      <c r="X231">
        <v>4607</v>
      </c>
      <c r="Y231" t="s">
        <v>1493</v>
      </c>
      <c r="Z231" t="s">
        <v>19</v>
      </c>
      <c r="AA231">
        <v>4742</v>
      </c>
      <c r="AB231" t="s">
        <v>19</v>
      </c>
      <c r="AC231" t="s">
        <v>19</v>
      </c>
      <c r="AD231">
        <v>4743</v>
      </c>
      <c r="AE231" t="s">
        <v>1488</v>
      </c>
      <c r="AF231" t="s">
        <v>19</v>
      </c>
      <c r="AG231">
        <v>4746</v>
      </c>
      <c r="AH231" t="s">
        <v>19</v>
      </c>
      <c r="AI231" t="s">
        <v>19</v>
      </c>
      <c r="AJ231">
        <v>4766</v>
      </c>
      <c r="AK231" t="s">
        <v>1490</v>
      </c>
      <c r="AL231" t="s">
        <v>19</v>
      </c>
      <c r="AM231">
        <v>4770</v>
      </c>
      <c r="AN231" t="s">
        <v>1491</v>
      </c>
      <c r="AO231" t="s">
        <v>19</v>
      </c>
    </row>
    <row r="232" spans="1:41" x14ac:dyDescent="0.45">
      <c r="A232" t="s">
        <v>1266</v>
      </c>
      <c r="B232">
        <v>8</v>
      </c>
      <c r="C232" t="str">
        <f>HYPERLINK("http://www.ncbi.nlm.nih.gov/protein/MBN3297056.1","MBN3297056.1")</f>
        <v>MBN3297056.1</v>
      </c>
      <c r="D232">
        <v>16716</v>
      </c>
      <c r="E232" t="str">
        <f>HYPERLINK("http://www.ncbi.nlm.nih.gov/Taxonomy/Browser/wwwtax.cgi?mode=Info&amp;id=7924&amp;lvl=3&amp;lin=f&amp;keep=1&amp;srchmode=1&amp;unlock","7924")</f>
        <v>7924</v>
      </c>
      <c r="F232" t="s">
        <v>17</v>
      </c>
      <c r="G232" t="str">
        <f>HYPERLINK("http://www.ncbi.nlm.nih.gov/Taxonomy/Browser/wwwtax.cgi?mode=Info&amp;id=7924&amp;lvl=3&amp;lin=f&amp;keep=1&amp;srchmode=1&amp;unlock","Amia calva")</f>
        <v>Amia calva</v>
      </c>
      <c r="H232" t="s">
        <v>487</v>
      </c>
      <c r="I232" t="str">
        <f>HYPERLINK("http://www.ncbi.nlm.nih.gov/protein/MBN3297056.1","RYR2 protein")</f>
        <v>RYR2 protein</v>
      </c>
      <c r="J232" t="s">
        <v>1494</v>
      </c>
      <c r="K232" t="s">
        <v>19</v>
      </c>
      <c r="L232">
        <v>4449</v>
      </c>
      <c r="M232" t="s">
        <v>19</v>
      </c>
      <c r="N232" t="s">
        <v>19</v>
      </c>
      <c r="O232">
        <v>4452</v>
      </c>
      <c r="P232" t="s">
        <v>1486</v>
      </c>
      <c r="Q232" t="s">
        <v>19</v>
      </c>
      <c r="R232">
        <v>4453</v>
      </c>
      <c r="S232" t="s">
        <v>1495</v>
      </c>
      <c r="T232" t="s">
        <v>19</v>
      </c>
      <c r="U232">
        <v>4456</v>
      </c>
      <c r="V232" t="s">
        <v>1488</v>
      </c>
      <c r="W232" t="s">
        <v>19</v>
      </c>
      <c r="X232">
        <v>4537</v>
      </c>
      <c r="Y232" t="s">
        <v>1493</v>
      </c>
      <c r="Z232" t="s">
        <v>19</v>
      </c>
      <c r="AA232">
        <v>4672</v>
      </c>
      <c r="AB232" t="s">
        <v>19</v>
      </c>
      <c r="AC232" t="s">
        <v>19</v>
      </c>
      <c r="AD232">
        <v>4673</v>
      </c>
      <c r="AE232" t="s">
        <v>1488</v>
      </c>
      <c r="AF232" t="s">
        <v>19</v>
      </c>
      <c r="AG232">
        <v>4676</v>
      </c>
      <c r="AH232" t="s">
        <v>19</v>
      </c>
      <c r="AI232" t="s">
        <v>19</v>
      </c>
      <c r="AJ232">
        <v>4696</v>
      </c>
      <c r="AK232" t="s">
        <v>1490</v>
      </c>
      <c r="AL232" t="s">
        <v>19</v>
      </c>
      <c r="AM232">
        <v>4700</v>
      </c>
      <c r="AN232" t="s">
        <v>1491</v>
      </c>
      <c r="AO232" t="s">
        <v>19</v>
      </c>
    </row>
    <row r="233" spans="1:41" x14ac:dyDescent="0.45">
      <c r="A233" t="s">
        <v>1266</v>
      </c>
      <c r="B233">
        <v>8</v>
      </c>
      <c r="C233" t="str">
        <f>HYPERLINK("http://www.ncbi.nlm.nih.gov/protein/XP_056152781.1","XP_056152781.1")</f>
        <v>XP_056152781.1</v>
      </c>
      <c r="D233">
        <v>29577</v>
      </c>
      <c r="E233" t="str">
        <f>HYPERLINK("http://www.ncbi.nlm.nih.gov/Taxonomy/Browser/wwwtax.cgi?mode=Info&amp;id=2546036&amp;lvl=3&amp;lin=f&amp;keep=1&amp;srchmode=1&amp;unlock","2546036")</f>
        <v>2546036</v>
      </c>
      <c r="F233" t="s">
        <v>17</v>
      </c>
      <c r="G233" t="str">
        <f>HYPERLINK("http://www.ncbi.nlm.nih.gov/Taxonomy/Browser/wwwtax.cgi?mode=Info&amp;id=2546036&amp;lvl=3&amp;lin=f&amp;keep=1&amp;srchmode=1&amp;unlock","Lampris incognitus")</f>
        <v>Lampris incognitus</v>
      </c>
      <c r="H233" t="s">
        <v>422</v>
      </c>
      <c r="I233" t="str">
        <f>HYPERLINK("http://www.ncbi.nlm.nih.gov/protein/XP_056152781.1","LOW QUALITY PROTEIN: ryanodine receptor 2")</f>
        <v>LOW QUALITY PROTEIN: ryanodine receptor 2</v>
      </c>
      <c r="J233" t="s">
        <v>1494</v>
      </c>
      <c r="K233" t="s">
        <v>19</v>
      </c>
      <c r="L233">
        <v>4615</v>
      </c>
      <c r="M233" t="s">
        <v>19</v>
      </c>
      <c r="N233" t="s">
        <v>19</v>
      </c>
      <c r="O233">
        <v>4618</v>
      </c>
      <c r="P233" t="s">
        <v>1486</v>
      </c>
      <c r="Q233" t="s">
        <v>19</v>
      </c>
      <c r="R233">
        <v>4619</v>
      </c>
      <c r="S233" t="s">
        <v>1495</v>
      </c>
      <c r="T233" t="s">
        <v>19</v>
      </c>
      <c r="U233">
        <v>4622</v>
      </c>
      <c r="V233" t="s">
        <v>1488</v>
      </c>
      <c r="W233" t="s">
        <v>19</v>
      </c>
      <c r="X233">
        <v>4711</v>
      </c>
      <c r="Y233" t="s">
        <v>1493</v>
      </c>
      <c r="Z233" t="s">
        <v>19</v>
      </c>
      <c r="AA233">
        <v>4846</v>
      </c>
      <c r="AB233" t="s">
        <v>19</v>
      </c>
      <c r="AC233" t="s">
        <v>19</v>
      </c>
      <c r="AD233">
        <v>4847</v>
      </c>
      <c r="AE233" t="s">
        <v>1488</v>
      </c>
      <c r="AF233" t="s">
        <v>19</v>
      </c>
      <c r="AG233">
        <v>4850</v>
      </c>
      <c r="AH233" t="s">
        <v>19</v>
      </c>
      <c r="AI233" t="s">
        <v>19</v>
      </c>
      <c r="AJ233">
        <v>4870</v>
      </c>
      <c r="AK233" t="s">
        <v>1490</v>
      </c>
      <c r="AL233" t="s">
        <v>19</v>
      </c>
      <c r="AM233">
        <v>4874</v>
      </c>
      <c r="AN233" t="s">
        <v>1491</v>
      </c>
      <c r="AO233" t="s">
        <v>19</v>
      </c>
    </row>
    <row r="234" spans="1:41" x14ac:dyDescent="0.45">
      <c r="A234" t="s">
        <v>1266</v>
      </c>
      <c r="B234">
        <v>8</v>
      </c>
      <c r="C234" t="str">
        <f>HYPERLINK("http://www.ncbi.nlm.nih.gov/protein/XP_034070776.1","XP_034070776.1")</f>
        <v>XP_034070776.1</v>
      </c>
      <c r="D234">
        <v>45873</v>
      </c>
      <c r="E234" t="str">
        <f>HYPERLINK("http://www.ncbi.nlm.nih.gov/Taxonomy/Browser/wwwtax.cgi?mode=Info&amp;id=8218&amp;lvl=3&amp;lin=f&amp;keep=1&amp;srchmode=1&amp;unlock","8218")</f>
        <v>8218</v>
      </c>
      <c r="F234" t="s">
        <v>17</v>
      </c>
      <c r="G234" t="str">
        <f>HYPERLINK("http://www.ncbi.nlm.nih.gov/Taxonomy/Browser/wwwtax.cgi?mode=Info&amp;id=8218&amp;lvl=3&amp;lin=f&amp;keep=1&amp;srchmode=1&amp;unlock","Gymnodraco acuticeps")</f>
        <v>Gymnodraco acuticeps</v>
      </c>
      <c r="H234" t="s">
        <v>161</v>
      </c>
      <c r="I234" t="str">
        <f>HYPERLINK("http://www.ncbi.nlm.nih.gov/protein/XP_034070776.1","ryanodine receptor 2 isoform X3")</f>
        <v>ryanodine receptor 2 isoform X3</v>
      </c>
      <c r="J234" t="s">
        <v>1494</v>
      </c>
      <c r="K234" t="s">
        <v>19</v>
      </c>
      <c r="L234">
        <v>4484</v>
      </c>
      <c r="M234" t="s">
        <v>19</v>
      </c>
      <c r="N234" t="s">
        <v>19</v>
      </c>
      <c r="O234">
        <v>4487</v>
      </c>
      <c r="P234" t="s">
        <v>1486</v>
      </c>
      <c r="Q234" t="s">
        <v>19</v>
      </c>
      <c r="R234">
        <v>4488</v>
      </c>
      <c r="S234" t="s">
        <v>1495</v>
      </c>
      <c r="T234" t="s">
        <v>19</v>
      </c>
      <c r="U234">
        <v>4491</v>
      </c>
      <c r="V234" t="s">
        <v>1488</v>
      </c>
      <c r="W234" t="s">
        <v>19</v>
      </c>
      <c r="X234">
        <v>4587</v>
      </c>
      <c r="Y234" t="s">
        <v>1493</v>
      </c>
      <c r="Z234" t="s">
        <v>19</v>
      </c>
      <c r="AA234">
        <v>4722</v>
      </c>
      <c r="AB234" t="s">
        <v>19</v>
      </c>
      <c r="AC234" t="s">
        <v>19</v>
      </c>
      <c r="AD234">
        <v>4723</v>
      </c>
      <c r="AE234" t="s">
        <v>1488</v>
      </c>
      <c r="AF234" t="s">
        <v>19</v>
      </c>
      <c r="AG234">
        <v>4726</v>
      </c>
      <c r="AH234" t="s">
        <v>19</v>
      </c>
      <c r="AI234" t="s">
        <v>19</v>
      </c>
      <c r="AJ234">
        <v>4746</v>
      </c>
      <c r="AK234" t="s">
        <v>1490</v>
      </c>
      <c r="AL234" t="s">
        <v>19</v>
      </c>
      <c r="AM234">
        <v>4750</v>
      </c>
      <c r="AN234" t="s">
        <v>1491</v>
      </c>
      <c r="AO234" t="s">
        <v>19</v>
      </c>
    </row>
    <row r="235" spans="1:41" x14ac:dyDescent="0.45">
      <c r="A235" t="s">
        <v>1266</v>
      </c>
      <c r="B235">
        <v>8</v>
      </c>
      <c r="C235" t="str">
        <f>HYPERLINK("http://www.ncbi.nlm.nih.gov/protein/XP_047194377.1","XP_047194377.1")</f>
        <v>XP_047194377.1</v>
      </c>
      <c r="D235">
        <v>42151</v>
      </c>
      <c r="E235" t="str">
        <f>HYPERLINK("http://www.ncbi.nlm.nih.gov/Taxonomy/Browser/wwwtax.cgi?mode=Info&amp;id=195615&amp;lvl=3&amp;lin=f&amp;keep=1&amp;srchmode=1&amp;unlock","195615")</f>
        <v>195615</v>
      </c>
      <c r="F235" t="s">
        <v>17</v>
      </c>
      <c r="G235" t="str">
        <f>HYPERLINK("http://www.ncbi.nlm.nih.gov/Taxonomy/Browser/wwwtax.cgi?mode=Info&amp;id=195615&amp;lvl=3&amp;lin=f&amp;keep=1&amp;srchmode=1&amp;unlock","Hippoglossus stenolepis")</f>
        <v>Hippoglossus stenolepis</v>
      </c>
      <c r="H235" t="s">
        <v>104</v>
      </c>
      <c r="I235" t="str">
        <f>HYPERLINK("http://www.ncbi.nlm.nih.gov/protein/XP_047194377.1","ryanodine receptor 2")</f>
        <v>ryanodine receptor 2</v>
      </c>
      <c r="J235" t="s">
        <v>1494</v>
      </c>
      <c r="K235" t="s">
        <v>19</v>
      </c>
      <c r="L235">
        <v>4484</v>
      </c>
      <c r="M235" t="s">
        <v>19</v>
      </c>
      <c r="N235" t="s">
        <v>19</v>
      </c>
      <c r="O235">
        <v>4487</v>
      </c>
      <c r="P235" t="s">
        <v>1486</v>
      </c>
      <c r="Q235" t="s">
        <v>19</v>
      </c>
      <c r="R235">
        <v>4488</v>
      </c>
      <c r="S235" t="s">
        <v>1495</v>
      </c>
      <c r="T235" t="s">
        <v>19</v>
      </c>
      <c r="U235">
        <v>4491</v>
      </c>
      <c r="V235" t="s">
        <v>1488</v>
      </c>
      <c r="W235" t="s">
        <v>19</v>
      </c>
      <c r="X235">
        <v>4587</v>
      </c>
      <c r="Y235" t="s">
        <v>1493</v>
      </c>
      <c r="Z235" t="s">
        <v>19</v>
      </c>
      <c r="AA235">
        <v>4722</v>
      </c>
      <c r="AB235" t="s">
        <v>19</v>
      </c>
      <c r="AC235" t="s">
        <v>19</v>
      </c>
      <c r="AD235">
        <v>4723</v>
      </c>
      <c r="AE235" t="s">
        <v>1488</v>
      </c>
      <c r="AF235" t="s">
        <v>19</v>
      </c>
      <c r="AG235">
        <v>4726</v>
      </c>
      <c r="AH235" t="s">
        <v>19</v>
      </c>
      <c r="AI235" t="s">
        <v>19</v>
      </c>
      <c r="AJ235">
        <v>4746</v>
      </c>
      <c r="AK235" t="s">
        <v>1490</v>
      </c>
      <c r="AL235" t="s">
        <v>19</v>
      </c>
      <c r="AM235">
        <v>4750</v>
      </c>
      <c r="AN235" t="s">
        <v>1491</v>
      </c>
      <c r="AO235" t="s">
        <v>19</v>
      </c>
    </row>
    <row r="236" spans="1:41" x14ac:dyDescent="0.45">
      <c r="A236" t="s">
        <v>1266</v>
      </c>
      <c r="B236">
        <v>8</v>
      </c>
      <c r="C236" t="str">
        <f>HYPERLINK("http://www.ncbi.nlm.nih.gov/protein/XP_034415362.1","XP_034415362.1")</f>
        <v>XP_034415362.1</v>
      </c>
      <c r="D236">
        <v>38740</v>
      </c>
      <c r="E236" t="str">
        <f>HYPERLINK("http://www.ncbi.nlm.nih.gov/Taxonomy/Browser/wwwtax.cgi?mode=Info&amp;id=8103&amp;lvl=3&amp;lin=f&amp;keep=1&amp;srchmode=1&amp;unlock","8103")</f>
        <v>8103</v>
      </c>
      <c r="F236" t="s">
        <v>17</v>
      </c>
      <c r="G236" t="str">
        <f>HYPERLINK("http://www.ncbi.nlm.nih.gov/Taxonomy/Browser/wwwtax.cgi?mode=Info&amp;id=8103&amp;lvl=3&amp;lin=f&amp;keep=1&amp;srchmode=1&amp;unlock","Cyclopterus lumpus")</f>
        <v>Cyclopterus lumpus</v>
      </c>
      <c r="H236" t="s">
        <v>115</v>
      </c>
      <c r="I236" t="str">
        <f>HYPERLINK("http://www.ncbi.nlm.nih.gov/protein/XP_034415362.1","ryanodine receptor 2")</f>
        <v>ryanodine receptor 2</v>
      </c>
      <c r="J236" t="s">
        <v>1494</v>
      </c>
      <c r="K236" t="s">
        <v>19</v>
      </c>
      <c r="L236">
        <v>4474</v>
      </c>
      <c r="M236" t="s">
        <v>19</v>
      </c>
      <c r="N236" t="s">
        <v>19</v>
      </c>
      <c r="O236">
        <v>4477</v>
      </c>
      <c r="P236" t="s">
        <v>1486</v>
      </c>
      <c r="Q236" t="s">
        <v>19</v>
      </c>
      <c r="R236">
        <v>4478</v>
      </c>
      <c r="S236" t="s">
        <v>1495</v>
      </c>
      <c r="T236" t="s">
        <v>19</v>
      </c>
      <c r="U236">
        <v>4481</v>
      </c>
      <c r="V236" t="s">
        <v>1488</v>
      </c>
      <c r="W236" t="s">
        <v>19</v>
      </c>
      <c r="X236">
        <v>4577</v>
      </c>
      <c r="Y236" t="s">
        <v>1493</v>
      </c>
      <c r="Z236" t="s">
        <v>19</v>
      </c>
      <c r="AA236">
        <v>4712</v>
      </c>
      <c r="AB236" t="s">
        <v>19</v>
      </c>
      <c r="AC236" t="s">
        <v>19</v>
      </c>
      <c r="AD236">
        <v>4713</v>
      </c>
      <c r="AE236" t="s">
        <v>1488</v>
      </c>
      <c r="AF236" t="s">
        <v>19</v>
      </c>
      <c r="AG236">
        <v>4716</v>
      </c>
      <c r="AH236" t="s">
        <v>19</v>
      </c>
      <c r="AI236" t="s">
        <v>19</v>
      </c>
      <c r="AJ236">
        <v>4736</v>
      </c>
      <c r="AK236" t="s">
        <v>1490</v>
      </c>
      <c r="AL236" t="s">
        <v>19</v>
      </c>
      <c r="AM236">
        <v>4740</v>
      </c>
      <c r="AN236" t="s">
        <v>1491</v>
      </c>
      <c r="AO236" t="s">
        <v>19</v>
      </c>
    </row>
    <row r="237" spans="1:41" x14ac:dyDescent="0.45">
      <c r="A237" t="s">
        <v>1266</v>
      </c>
      <c r="B237">
        <v>8</v>
      </c>
      <c r="C237" t="str">
        <f>HYPERLINK("http://www.ncbi.nlm.nih.gov/protein/XP_039894481.1","XP_039894481.1")</f>
        <v>XP_039894481.1</v>
      </c>
      <c r="D237">
        <v>53697</v>
      </c>
      <c r="E237" t="str">
        <f>HYPERLINK("http://www.ncbi.nlm.nih.gov/Taxonomy/Browser/wwwtax.cgi?mode=Info&amp;id=43689&amp;lvl=3&amp;lin=f&amp;keep=1&amp;srchmode=1&amp;unlock","43689")</f>
        <v>43689</v>
      </c>
      <c r="F237" t="s">
        <v>17</v>
      </c>
      <c r="G237" t="str">
        <f>HYPERLINK("http://www.ncbi.nlm.nih.gov/Taxonomy/Browser/wwwtax.cgi?mode=Info&amp;id=43689&amp;lvl=3&amp;lin=f&amp;keep=1&amp;srchmode=1&amp;unlock","Simochromis diagramma")</f>
        <v>Simochromis diagramma</v>
      </c>
      <c r="H237" t="s">
        <v>73</v>
      </c>
      <c r="I237" t="str">
        <f>HYPERLINK("http://www.ncbi.nlm.nih.gov/protein/XP_039894481.1","ryanodine receptor 2 isoform X1")</f>
        <v>ryanodine receptor 2 isoform X1</v>
      </c>
      <c r="J237" t="s">
        <v>1494</v>
      </c>
      <c r="K237" t="s">
        <v>19</v>
      </c>
      <c r="L237">
        <v>4483</v>
      </c>
      <c r="M237" t="s">
        <v>19</v>
      </c>
      <c r="N237" t="s">
        <v>19</v>
      </c>
      <c r="O237">
        <v>4486</v>
      </c>
      <c r="P237" t="s">
        <v>1486</v>
      </c>
      <c r="Q237" t="s">
        <v>19</v>
      </c>
      <c r="R237">
        <v>4487</v>
      </c>
      <c r="S237" t="s">
        <v>1495</v>
      </c>
      <c r="T237" t="s">
        <v>19</v>
      </c>
      <c r="U237">
        <v>4490</v>
      </c>
      <c r="V237" t="s">
        <v>1488</v>
      </c>
      <c r="W237" t="s">
        <v>19</v>
      </c>
      <c r="X237">
        <v>4585</v>
      </c>
      <c r="Y237" t="s">
        <v>1493</v>
      </c>
      <c r="Z237" t="s">
        <v>19</v>
      </c>
      <c r="AA237">
        <v>4720</v>
      </c>
      <c r="AB237" t="s">
        <v>19</v>
      </c>
      <c r="AC237" t="s">
        <v>19</v>
      </c>
      <c r="AD237">
        <v>4721</v>
      </c>
      <c r="AE237" t="s">
        <v>1488</v>
      </c>
      <c r="AF237" t="s">
        <v>19</v>
      </c>
      <c r="AG237">
        <v>4724</v>
      </c>
      <c r="AH237" t="s">
        <v>19</v>
      </c>
      <c r="AI237" t="s">
        <v>19</v>
      </c>
      <c r="AJ237">
        <v>4744</v>
      </c>
      <c r="AK237" t="s">
        <v>1490</v>
      </c>
      <c r="AL237" t="s">
        <v>19</v>
      </c>
      <c r="AM237">
        <v>4748</v>
      </c>
      <c r="AN237" t="s">
        <v>1491</v>
      </c>
      <c r="AO237" t="s">
        <v>19</v>
      </c>
    </row>
    <row r="238" spans="1:41" x14ac:dyDescent="0.45">
      <c r="A238" t="s">
        <v>1266</v>
      </c>
      <c r="B238">
        <v>8</v>
      </c>
      <c r="C238" t="str">
        <f>HYPERLINK("http://www.ncbi.nlm.nih.gov/protein/XP_014265545.2","XP_014265545.2")</f>
        <v>XP_014265545.2</v>
      </c>
      <c r="D238">
        <v>46437</v>
      </c>
      <c r="E238" t="str">
        <f>HYPERLINK("http://www.ncbi.nlm.nih.gov/Taxonomy/Browser/wwwtax.cgi?mode=Info&amp;id=106582&amp;lvl=3&amp;lin=f&amp;keep=1&amp;srchmode=1&amp;unlock","106582")</f>
        <v>106582</v>
      </c>
      <c r="F238" t="s">
        <v>17</v>
      </c>
      <c r="G238" t="str">
        <f>HYPERLINK("http://www.ncbi.nlm.nih.gov/Taxonomy/Browser/wwwtax.cgi?mode=Info&amp;id=106582&amp;lvl=3&amp;lin=f&amp;keep=1&amp;srchmode=1&amp;unlock","Maylandia zebra")</f>
        <v>Maylandia zebra</v>
      </c>
      <c r="H238" t="s">
        <v>80</v>
      </c>
      <c r="I238" t="str">
        <f>HYPERLINK("http://www.ncbi.nlm.nih.gov/protein/XP_014265545.2","ryanodine receptor 2 isoform X1")</f>
        <v>ryanodine receptor 2 isoform X1</v>
      </c>
      <c r="J238" t="s">
        <v>1494</v>
      </c>
      <c r="K238" t="s">
        <v>19</v>
      </c>
      <c r="L238">
        <v>4483</v>
      </c>
      <c r="M238" t="s">
        <v>19</v>
      </c>
      <c r="N238" t="s">
        <v>19</v>
      </c>
      <c r="O238">
        <v>4486</v>
      </c>
      <c r="P238" t="s">
        <v>1486</v>
      </c>
      <c r="Q238" t="s">
        <v>19</v>
      </c>
      <c r="R238">
        <v>4487</v>
      </c>
      <c r="S238" t="s">
        <v>1495</v>
      </c>
      <c r="T238" t="s">
        <v>19</v>
      </c>
      <c r="U238">
        <v>4490</v>
      </c>
      <c r="V238" t="s">
        <v>1488</v>
      </c>
      <c r="W238" t="s">
        <v>19</v>
      </c>
      <c r="X238">
        <v>4585</v>
      </c>
      <c r="Y238" t="s">
        <v>1493</v>
      </c>
      <c r="Z238" t="s">
        <v>19</v>
      </c>
      <c r="AA238">
        <v>4720</v>
      </c>
      <c r="AB238" t="s">
        <v>19</v>
      </c>
      <c r="AC238" t="s">
        <v>19</v>
      </c>
      <c r="AD238">
        <v>4721</v>
      </c>
      <c r="AE238" t="s">
        <v>1488</v>
      </c>
      <c r="AF238" t="s">
        <v>19</v>
      </c>
      <c r="AG238">
        <v>4724</v>
      </c>
      <c r="AH238" t="s">
        <v>19</v>
      </c>
      <c r="AI238" t="s">
        <v>19</v>
      </c>
      <c r="AJ238">
        <v>4744</v>
      </c>
      <c r="AK238" t="s">
        <v>1490</v>
      </c>
      <c r="AL238" t="s">
        <v>19</v>
      </c>
      <c r="AM238">
        <v>4748</v>
      </c>
      <c r="AN238" t="s">
        <v>1491</v>
      </c>
      <c r="AO238" t="s">
        <v>19</v>
      </c>
    </row>
    <row r="239" spans="1:41" x14ac:dyDescent="0.45">
      <c r="A239" t="s">
        <v>1266</v>
      </c>
      <c r="B239">
        <v>8</v>
      </c>
      <c r="C239" t="str">
        <f>HYPERLINK("http://www.ncbi.nlm.nih.gov/protein/XP_014195898.1","XP_014195898.1")</f>
        <v>XP_014195898.1</v>
      </c>
      <c r="D239">
        <v>49303</v>
      </c>
      <c r="E239" t="str">
        <f>HYPERLINK("http://www.ncbi.nlm.nih.gov/Taxonomy/Browser/wwwtax.cgi?mode=Info&amp;id=8153&amp;lvl=3&amp;lin=f&amp;keep=1&amp;srchmode=1&amp;unlock","8153")</f>
        <v>8153</v>
      </c>
      <c r="F239" t="s">
        <v>17</v>
      </c>
      <c r="G239" t="str">
        <f>HYPERLINK("http://www.ncbi.nlm.nih.gov/Taxonomy/Browser/wwwtax.cgi?mode=Info&amp;id=8153&amp;lvl=3&amp;lin=f&amp;keep=1&amp;srchmode=1&amp;unlock","Haplochromis burtoni")</f>
        <v>Haplochromis burtoni</v>
      </c>
      <c r="H239" t="s">
        <v>75</v>
      </c>
      <c r="I239" t="str">
        <f>HYPERLINK("http://www.ncbi.nlm.nih.gov/protein/XP_014195898.1","ryanodine receptor 2")</f>
        <v>ryanodine receptor 2</v>
      </c>
      <c r="J239" t="s">
        <v>1494</v>
      </c>
      <c r="K239" t="s">
        <v>19</v>
      </c>
      <c r="L239">
        <v>4483</v>
      </c>
      <c r="M239" t="s">
        <v>19</v>
      </c>
      <c r="N239" t="s">
        <v>19</v>
      </c>
      <c r="O239">
        <v>4486</v>
      </c>
      <c r="P239" t="s">
        <v>1486</v>
      </c>
      <c r="Q239" t="s">
        <v>19</v>
      </c>
      <c r="R239">
        <v>4487</v>
      </c>
      <c r="S239" t="s">
        <v>1495</v>
      </c>
      <c r="T239" t="s">
        <v>19</v>
      </c>
      <c r="U239">
        <v>4490</v>
      </c>
      <c r="V239" t="s">
        <v>1488</v>
      </c>
      <c r="W239" t="s">
        <v>19</v>
      </c>
      <c r="X239">
        <v>4585</v>
      </c>
      <c r="Y239" t="s">
        <v>1493</v>
      </c>
      <c r="Z239" t="s">
        <v>19</v>
      </c>
      <c r="AA239">
        <v>4720</v>
      </c>
      <c r="AB239" t="s">
        <v>19</v>
      </c>
      <c r="AC239" t="s">
        <v>19</v>
      </c>
      <c r="AD239">
        <v>4721</v>
      </c>
      <c r="AE239" t="s">
        <v>1488</v>
      </c>
      <c r="AF239" t="s">
        <v>19</v>
      </c>
      <c r="AG239">
        <v>4724</v>
      </c>
      <c r="AH239" t="s">
        <v>19</v>
      </c>
      <c r="AI239" t="s">
        <v>19</v>
      </c>
      <c r="AJ239">
        <v>4744</v>
      </c>
      <c r="AK239" t="s">
        <v>1490</v>
      </c>
      <c r="AL239" t="s">
        <v>19</v>
      </c>
      <c r="AM239">
        <v>4748</v>
      </c>
      <c r="AN239" t="s">
        <v>1491</v>
      </c>
      <c r="AO239" t="s">
        <v>19</v>
      </c>
    </row>
    <row r="240" spans="1:41" x14ac:dyDescent="0.45">
      <c r="A240" t="s">
        <v>1266</v>
      </c>
      <c r="B240">
        <v>8</v>
      </c>
      <c r="C240" t="str">
        <f>HYPERLINK("http://www.ncbi.nlm.nih.gov/protein/XP_026033342.1","XP_026033342.1")</f>
        <v>XP_026033342.1</v>
      </c>
      <c r="D240">
        <v>52755</v>
      </c>
      <c r="E240" t="str">
        <f>HYPERLINK("http://www.ncbi.nlm.nih.gov/Taxonomy/Browser/wwwtax.cgi?mode=Info&amp;id=8154&amp;lvl=3&amp;lin=f&amp;keep=1&amp;srchmode=1&amp;unlock","8154")</f>
        <v>8154</v>
      </c>
      <c r="F240" t="s">
        <v>17</v>
      </c>
      <c r="G240" t="str">
        <f>HYPERLINK("http://www.ncbi.nlm.nih.gov/Taxonomy/Browser/wwwtax.cgi?mode=Info&amp;id=8154&amp;lvl=3&amp;lin=f&amp;keep=1&amp;srchmode=1&amp;unlock","Astatotilapia calliptera")</f>
        <v>Astatotilapia calliptera</v>
      </c>
      <c r="H240" t="s">
        <v>74</v>
      </c>
      <c r="I240" t="str">
        <f>HYPERLINK("http://www.ncbi.nlm.nih.gov/protein/XP_026033342.1","ryanodine receptor 2 isoform X1")</f>
        <v>ryanodine receptor 2 isoform X1</v>
      </c>
      <c r="J240" t="s">
        <v>1494</v>
      </c>
      <c r="K240" t="s">
        <v>19</v>
      </c>
      <c r="L240">
        <v>4483</v>
      </c>
      <c r="M240" t="s">
        <v>19</v>
      </c>
      <c r="N240" t="s">
        <v>19</v>
      </c>
      <c r="O240">
        <v>4486</v>
      </c>
      <c r="P240" t="s">
        <v>1486</v>
      </c>
      <c r="Q240" t="s">
        <v>19</v>
      </c>
      <c r="R240">
        <v>4487</v>
      </c>
      <c r="S240" t="s">
        <v>1495</v>
      </c>
      <c r="T240" t="s">
        <v>19</v>
      </c>
      <c r="U240">
        <v>4490</v>
      </c>
      <c r="V240" t="s">
        <v>1488</v>
      </c>
      <c r="W240" t="s">
        <v>19</v>
      </c>
      <c r="X240">
        <v>4585</v>
      </c>
      <c r="Y240" t="s">
        <v>1493</v>
      </c>
      <c r="Z240" t="s">
        <v>19</v>
      </c>
      <c r="AA240">
        <v>4720</v>
      </c>
      <c r="AB240" t="s">
        <v>19</v>
      </c>
      <c r="AC240" t="s">
        <v>19</v>
      </c>
      <c r="AD240">
        <v>4721</v>
      </c>
      <c r="AE240" t="s">
        <v>1488</v>
      </c>
      <c r="AF240" t="s">
        <v>19</v>
      </c>
      <c r="AG240">
        <v>4724</v>
      </c>
      <c r="AH240" t="s">
        <v>19</v>
      </c>
      <c r="AI240" t="s">
        <v>19</v>
      </c>
      <c r="AJ240">
        <v>4744</v>
      </c>
      <c r="AK240" t="s">
        <v>1490</v>
      </c>
      <c r="AL240" t="s">
        <v>19</v>
      </c>
      <c r="AM240">
        <v>4748</v>
      </c>
      <c r="AN240" t="s">
        <v>1491</v>
      </c>
      <c r="AO240" t="s">
        <v>19</v>
      </c>
    </row>
    <row r="241" spans="1:41" x14ac:dyDescent="0.45">
      <c r="A241" t="s">
        <v>1266</v>
      </c>
      <c r="B241">
        <v>8</v>
      </c>
      <c r="C241" t="str">
        <f>HYPERLINK("http://www.ncbi.nlm.nih.gov/protein/XP_025765576.1","XP_025765576.1")</f>
        <v>XP_025765576.1</v>
      </c>
      <c r="D241">
        <v>63723</v>
      </c>
      <c r="E241" t="str">
        <f>HYPERLINK("http://www.ncbi.nlm.nih.gov/Taxonomy/Browser/wwwtax.cgi?mode=Info&amp;id=8128&amp;lvl=3&amp;lin=f&amp;keep=1&amp;srchmode=1&amp;unlock","8128")</f>
        <v>8128</v>
      </c>
      <c r="F241" t="s">
        <v>17</v>
      </c>
      <c r="G241" t="str">
        <f>HYPERLINK("http://www.ncbi.nlm.nih.gov/Taxonomy/Browser/wwwtax.cgi?mode=Info&amp;id=8128&amp;lvl=3&amp;lin=f&amp;keep=1&amp;srchmode=1&amp;unlock","Oreochromis niloticus")</f>
        <v>Oreochromis niloticus</v>
      </c>
      <c r="H241" t="s">
        <v>86</v>
      </c>
      <c r="I241" t="str">
        <f>HYPERLINK("http://www.ncbi.nlm.nih.gov/protein/XP_025765576.1","ryanodine receptor 2")</f>
        <v>ryanodine receptor 2</v>
      </c>
      <c r="J241" t="s">
        <v>1494</v>
      </c>
      <c r="K241" t="s">
        <v>19</v>
      </c>
      <c r="L241">
        <v>4483</v>
      </c>
      <c r="M241" t="s">
        <v>19</v>
      </c>
      <c r="N241" t="s">
        <v>19</v>
      </c>
      <c r="O241">
        <v>4486</v>
      </c>
      <c r="P241" t="s">
        <v>1486</v>
      </c>
      <c r="Q241" t="s">
        <v>19</v>
      </c>
      <c r="R241">
        <v>4487</v>
      </c>
      <c r="S241" t="s">
        <v>1495</v>
      </c>
      <c r="T241" t="s">
        <v>19</v>
      </c>
      <c r="U241">
        <v>4490</v>
      </c>
      <c r="V241" t="s">
        <v>1488</v>
      </c>
      <c r="W241" t="s">
        <v>19</v>
      </c>
      <c r="X241">
        <v>4585</v>
      </c>
      <c r="Y241" t="s">
        <v>1493</v>
      </c>
      <c r="Z241" t="s">
        <v>19</v>
      </c>
      <c r="AA241">
        <v>4720</v>
      </c>
      <c r="AB241" t="s">
        <v>19</v>
      </c>
      <c r="AC241" t="s">
        <v>19</v>
      </c>
      <c r="AD241">
        <v>4721</v>
      </c>
      <c r="AE241" t="s">
        <v>1488</v>
      </c>
      <c r="AF241" t="s">
        <v>19</v>
      </c>
      <c r="AG241">
        <v>4724</v>
      </c>
      <c r="AH241" t="s">
        <v>19</v>
      </c>
      <c r="AI241" t="s">
        <v>19</v>
      </c>
      <c r="AJ241">
        <v>4744</v>
      </c>
      <c r="AK241" t="s">
        <v>1490</v>
      </c>
      <c r="AL241" t="s">
        <v>19</v>
      </c>
      <c r="AM241">
        <v>4748</v>
      </c>
      <c r="AN241" t="s">
        <v>1491</v>
      </c>
      <c r="AO241" t="s">
        <v>19</v>
      </c>
    </row>
    <row r="242" spans="1:41" x14ac:dyDescent="0.45">
      <c r="A242" t="s">
        <v>1266</v>
      </c>
      <c r="B242">
        <v>8</v>
      </c>
      <c r="C242" t="str">
        <f>HYPERLINK("http://www.ncbi.nlm.nih.gov/protein/XP_045074468.1","XP_045074468.1")</f>
        <v>XP_045074468.1</v>
      </c>
      <c r="D242">
        <v>77029</v>
      </c>
      <c r="E242" t="str">
        <f>HYPERLINK("http://www.ncbi.nlm.nih.gov/Taxonomy/Browser/wwwtax.cgi?mode=Info&amp;id=59861&amp;lvl=3&amp;lin=f&amp;keep=1&amp;srchmode=1&amp;unlock","59861")</f>
        <v>59861</v>
      </c>
      <c r="F242" t="s">
        <v>17</v>
      </c>
      <c r="G242" t="str">
        <f>HYPERLINK("http://www.ncbi.nlm.nih.gov/Taxonomy/Browser/wwwtax.cgi?mode=Info&amp;id=59861&amp;lvl=3&amp;lin=f&amp;keep=1&amp;srchmode=1&amp;unlock","Coregonus clupeaformis")</f>
        <v>Coregonus clupeaformis</v>
      </c>
      <c r="H242" t="s">
        <v>130</v>
      </c>
      <c r="I242" t="str">
        <f>HYPERLINK("http://www.ncbi.nlm.nih.gov/protein/XP_045074468.1","LOW QUALITY PROTEIN: ryanodine receptor 2-like")</f>
        <v>LOW QUALITY PROTEIN: ryanodine receptor 2-like</v>
      </c>
      <c r="J242" t="s">
        <v>1494</v>
      </c>
      <c r="K242" t="s">
        <v>19</v>
      </c>
      <c r="L242">
        <v>4512</v>
      </c>
      <c r="M242" t="s">
        <v>19</v>
      </c>
      <c r="N242" t="s">
        <v>19</v>
      </c>
      <c r="O242">
        <v>4515</v>
      </c>
      <c r="P242" t="s">
        <v>1486</v>
      </c>
      <c r="Q242" t="s">
        <v>19</v>
      </c>
      <c r="R242">
        <v>4516</v>
      </c>
      <c r="S242" t="s">
        <v>1495</v>
      </c>
      <c r="T242" t="s">
        <v>19</v>
      </c>
      <c r="U242">
        <v>4519</v>
      </c>
      <c r="V242" t="s">
        <v>1488</v>
      </c>
      <c r="W242" t="s">
        <v>19</v>
      </c>
      <c r="X242">
        <v>4606</v>
      </c>
      <c r="Y242" t="s">
        <v>1493</v>
      </c>
      <c r="Z242" t="s">
        <v>19</v>
      </c>
      <c r="AA242">
        <v>4741</v>
      </c>
      <c r="AB242" t="s">
        <v>19</v>
      </c>
      <c r="AC242" t="s">
        <v>19</v>
      </c>
      <c r="AD242">
        <v>4742</v>
      </c>
      <c r="AE242" t="s">
        <v>1488</v>
      </c>
      <c r="AF242" t="s">
        <v>19</v>
      </c>
      <c r="AG242">
        <v>4745</v>
      </c>
      <c r="AH242" t="s">
        <v>19</v>
      </c>
      <c r="AI242" t="s">
        <v>19</v>
      </c>
      <c r="AJ242">
        <v>4765</v>
      </c>
      <c r="AK242" t="s">
        <v>1490</v>
      </c>
      <c r="AL242" t="s">
        <v>19</v>
      </c>
      <c r="AM242">
        <v>4769</v>
      </c>
      <c r="AN242" t="s">
        <v>1491</v>
      </c>
      <c r="AO242" t="s">
        <v>19</v>
      </c>
    </row>
    <row r="243" spans="1:41" x14ac:dyDescent="0.45">
      <c r="A243" t="s">
        <v>1266</v>
      </c>
      <c r="B243">
        <v>8</v>
      </c>
      <c r="C243" t="str">
        <f>HYPERLINK("http://www.ncbi.nlm.nih.gov/protein/XP_020467364.1","XP_020467364.1")</f>
        <v>XP_020467364.1</v>
      </c>
      <c r="D243">
        <v>41130</v>
      </c>
      <c r="E243" t="str">
        <f>HYPERLINK("http://www.ncbi.nlm.nih.gov/Taxonomy/Browser/wwwtax.cgi?mode=Info&amp;id=43700&amp;lvl=3&amp;lin=f&amp;keep=1&amp;srchmode=1&amp;unlock","43700")</f>
        <v>43700</v>
      </c>
      <c r="F243" t="s">
        <v>17</v>
      </c>
      <c r="G243" t="str">
        <f>HYPERLINK("http://www.ncbi.nlm.nih.gov/Taxonomy/Browser/wwwtax.cgi?mode=Info&amp;id=43700&amp;lvl=3&amp;lin=f&amp;keep=1&amp;srchmode=1&amp;unlock","Monopterus albus")</f>
        <v>Monopterus albus</v>
      </c>
      <c r="H243" t="s">
        <v>157</v>
      </c>
      <c r="I243" t="str">
        <f>HYPERLINK("http://www.ncbi.nlm.nih.gov/protein/XP_020467364.1","ryanodine receptor 2 isoform X1")</f>
        <v>ryanodine receptor 2 isoform X1</v>
      </c>
      <c r="J243" t="s">
        <v>1494</v>
      </c>
      <c r="K243" t="s">
        <v>19</v>
      </c>
      <c r="L243">
        <v>4485</v>
      </c>
      <c r="M243" t="s">
        <v>19</v>
      </c>
      <c r="N243" t="s">
        <v>19</v>
      </c>
      <c r="O243">
        <v>4488</v>
      </c>
      <c r="P243" t="s">
        <v>1486</v>
      </c>
      <c r="Q243" t="s">
        <v>19</v>
      </c>
      <c r="R243">
        <v>4489</v>
      </c>
      <c r="S243" t="s">
        <v>1495</v>
      </c>
      <c r="T243" t="s">
        <v>19</v>
      </c>
      <c r="U243">
        <v>4492</v>
      </c>
      <c r="V243" t="s">
        <v>1488</v>
      </c>
      <c r="W243" t="s">
        <v>19</v>
      </c>
      <c r="X243">
        <v>4590</v>
      </c>
      <c r="Y243" t="s">
        <v>1493</v>
      </c>
      <c r="Z243" t="s">
        <v>19</v>
      </c>
      <c r="AA243">
        <v>4725</v>
      </c>
      <c r="AB243" t="s">
        <v>19</v>
      </c>
      <c r="AC243" t="s">
        <v>19</v>
      </c>
      <c r="AD243">
        <v>4726</v>
      </c>
      <c r="AE243" t="s">
        <v>1488</v>
      </c>
      <c r="AF243" t="s">
        <v>19</v>
      </c>
      <c r="AG243">
        <v>4729</v>
      </c>
      <c r="AH243" t="s">
        <v>19</v>
      </c>
      <c r="AI243" t="s">
        <v>19</v>
      </c>
      <c r="AJ243">
        <v>4749</v>
      </c>
      <c r="AK243" t="s">
        <v>1490</v>
      </c>
      <c r="AL243" t="s">
        <v>19</v>
      </c>
      <c r="AM243">
        <v>4753</v>
      </c>
      <c r="AN243" t="s">
        <v>1491</v>
      </c>
      <c r="AO243" t="s">
        <v>19</v>
      </c>
    </row>
    <row r="244" spans="1:41" x14ac:dyDescent="0.45">
      <c r="A244" t="s">
        <v>1266</v>
      </c>
      <c r="B244">
        <v>8</v>
      </c>
      <c r="C244" t="str">
        <f>HYPERLINK("http://www.ncbi.nlm.nih.gov/protein/XP_030610686.1","XP_030610686.1")</f>
        <v>XP_030610686.1</v>
      </c>
      <c r="D244">
        <v>41125</v>
      </c>
      <c r="E244" t="str">
        <f>HYPERLINK("http://www.ncbi.nlm.nih.gov/Taxonomy/Browser/wwwtax.cgi?mode=Info&amp;id=63155&amp;lvl=3&amp;lin=f&amp;keep=1&amp;srchmode=1&amp;unlock","63155")</f>
        <v>63155</v>
      </c>
      <c r="F244" t="s">
        <v>17</v>
      </c>
      <c r="G244" t="str">
        <f>HYPERLINK("http://www.ncbi.nlm.nih.gov/Taxonomy/Browser/wwwtax.cgi?mode=Info&amp;id=63155&amp;lvl=3&amp;lin=f&amp;keep=1&amp;srchmode=1&amp;unlock","Archocentrus centrarchus")</f>
        <v>Archocentrus centrarchus</v>
      </c>
      <c r="H244" t="s">
        <v>144</v>
      </c>
      <c r="I244" t="str">
        <f>HYPERLINK("http://www.ncbi.nlm.nih.gov/protein/XP_030610686.1","LOW QUALITY PROTEIN: ryanodine receptor 2")</f>
        <v>LOW QUALITY PROTEIN: ryanodine receptor 2</v>
      </c>
      <c r="J244" t="s">
        <v>1494</v>
      </c>
      <c r="K244" t="s">
        <v>19</v>
      </c>
      <c r="L244">
        <v>4480</v>
      </c>
      <c r="M244" t="s">
        <v>19</v>
      </c>
      <c r="N244" t="s">
        <v>19</v>
      </c>
      <c r="O244">
        <v>4483</v>
      </c>
      <c r="P244" t="s">
        <v>1486</v>
      </c>
      <c r="Q244" t="s">
        <v>19</v>
      </c>
      <c r="R244">
        <v>4484</v>
      </c>
      <c r="S244" t="s">
        <v>1495</v>
      </c>
      <c r="T244" t="s">
        <v>19</v>
      </c>
      <c r="U244">
        <v>4487</v>
      </c>
      <c r="V244" t="s">
        <v>1488</v>
      </c>
      <c r="W244" t="s">
        <v>19</v>
      </c>
      <c r="X244">
        <v>4583</v>
      </c>
      <c r="Y244" t="s">
        <v>1493</v>
      </c>
      <c r="Z244" t="s">
        <v>19</v>
      </c>
      <c r="AA244">
        <v>4718</v>
      </c>
      <c r="AB244" t="s">
        <v>19</v>
      </c>
      <c r="AC244" t="s">
        <v>19</v>
      </c>
      <c r="AD244">
        <v>4719</v>
      </c>
      <c r="AE244" t="s">
        <v>1488</v>
      </c>
      <c r="AF244" t="s">
        <v>19</v>
      </c>
      <c r="AG244">
        <v>4722</v>
      </c>
      <c r="AH244" t="s">
        <v>19</v>
      </c>
      <c r="AI244" t="s">
        <v>19</v>
      </c>
      <c r="AJ244">
        <v>4742</v>
      </c>
      <c r="AK244" t="s">
        <v>1490</v>
      </c>
      <c r="AL244" t="s">
        <v>19</v>
      </c>
      <c r="AM244">
        <v>4746</v>
      </c>
      <c r="AN244" t="s">
        <v>1491</v>
      </c>
      <c r="AO244" t="s">
        <v>19</v>
      </c>
    </row>
    <row r="245" spans="1:41" x14ac:dyDescent="0.45">
      <c r="A245" t="s">
        <v>1266</v>
      </c>
      <c r="B245">
        <v>8</v>
      </c>
      <c r="C245" t="str">
        <f>HYPERLINK("http://www.ncbi.nlm.nih.gov/protein/XP_056286416.1","XP_056286416.1")</f>
        <v>XP_056286416.1</v>
      </c>
      <c r="D245">
        <v>39439</v>
      </c>
      <c r="E245" t="str">
        <f>HYPERLINK("http://www.ncbi.nlm.nih.gov/Taxonomy/Browser/wwwtax.cgi?mode=Info&amp;id=2059687&amp;lvl=3&amp;lin=f&amp;keep=1&amp;srchmode=1&amp;unlock","2059687")</f>
        <v>2059687</v>
      </c>
      <c r="F245" t="s">
        <v>17</v>
      </c>
      <c r="G245" t="str">
        <f>HYPERLINK("http://www.ncbi.nlm.nih.gov/Taxonomy/Browser/wwwtax.cgi?mode=Info&amp;id=2059687&amp;lvl=3&amp;lin=f&amp;keep=1&amp;srchmode=1&amp;unlock","Pseudoliparis swirei")</f>
        <v>Pseudoliparis swirei</v>
      </c>
      <c r="H245" t="s">
        <v>152</v>
      </c>
      <c r="I245" t="str">
        <f>HYPERLINK("http://www.ncbi.nlm.nih.gov/protein/XP_056286416.1","ryanodine receptor 2")</f>
        <v>ryanodine receptor 2</v>
      </c>
      <c r="J245" t="s">
        <v>1494</v>
      </c>
      <c r="K245" t="s">
        <v>19</v>
      </c>
      <c r="L245">
        <v>4473</v>
      </c>
      <c r="M245" t="s">
        <v>19</v>
      </c>
      <c r="N245" t="s">
        <v>19</v>
      </c>
      <c r="O245">
        <v>4476</v>
      </c>
      <c r="P245" t="s">
        <v>1486</v>
      </c>
      <c r="Q245" t="s">
        <v>19</v>
      </c>
      <c r="R245">
        <v>4477</v>
      </c>
      <c r="S245" t="s">
        <v>1495</v>
      </c>
      <c r="T245" t="s">
        <v>19</v>
      </c>
      <c r="U245">
        <v>4480</v>
      </c>
      <c r="V245" t="s">
        <v>1488</v>
      </c>
      <c r="W245" t="s">
        <v>19</v>
      </c>
      <c r="X245">
        <v>4576</v>
      </c>
      <c r="Y245" t="s">
        <v>1493</v>
      </c>
      <c r="Z245" t="s">
        <v>19</v>
      </c>
      <c r="AA245">
        <v>4711</v>
      </c>
      <c r="AB245" t="s">
        <v>19</v>
      </c>
      <c r="AC245" t="s">
        <v>19</v>
      </c>
      <c r="AD245">
        <v>4712</v>
      </c>
      <c r="AE245" t="s">
        <v>1488</v>
      </c>
      <c r="AF245" t="s">
        <v>19</v>
      </c>
      <c r="AG245">
        <v>4715</v>
      </c>
      <c r="AH245" t="s">
        <v>19</v>
      </c>
      <c r="AI245" t="s">
        <v>19</v>
      </c>
      <c r="AJ245">
        <v>4735</v>
      </c>
      <c r="AK245" t="s">
        <v>1490</v>
      </c>
      <c r="AL245" t="s">
        <v>19</v>
      </c>
      <c r="AM245">
        <v>4739</v>
      </c>
      <c r="AN245" t="s">
        <v>1491</v>
      </c>
      <c r="AO245" t="s">
        <v>19</v>
      </c>
    </row>
    <row r="246" spans="1:41" x14ac:dyDescent="0.45">
      <c r="A246" t="s">
        <v>1266</v>
      </c>
      <c r="B246">
        <v>8</v>
      </c>
      <c r="C246" t="str">
        <f>HYPERLINK("http://www.ncbi.nlm.nih.gov/protein/XP_041829116.1","XP_041829116.1")</f>
        <v>XP_041829116.1</v>
      </c>
      <c r="D246">
        <v>45815</v>
      </c>
      <c r="E246" t="str">
        <f>HYPERLINK("http://www.ncbi.nlm.nih.gov/Taxonomy/Browser/wwwtax.cgi?mode=Info&amp;id=1250792&amp;lvl=3&amp;lin=f&amp;keep=1&amp;srchmode=1&amp;unlock","1250792")</f>
        <v>1250792</v>
      </c>
      <c r="F246" t="s">
        <v>17</v>
      </c>
      <c r="G246" t="str">
        <f>HYPERLINK("http://www.ncbi.nlm.nih.gov/Taxonomy/Browser/wwwtax.cgi?mode=Info&amp;id=1250792&amp;lvl=3&amp;lin=f&amp;keep=1&amp;srchmode=1&amp;unlock","Melanotaenia boesemani")</f>
        <v>Melanotaenia boesemani</v>
      </c>
      <c r="H246" t="s">
        <v>151</v>
      </c>
      <c r="I246" t="str">
        <f>HYPERLINK("http://www.ncbi.nlm.nih.gov/protein/XP_041829116.1","ryanodine receptor 2")</f>
        <v>ryanodine receptor 2</v>
      </c>
      <c r="J246" t="s">
        <v>1494</v>
      </c>
      <c r="K246" t="s">
        <v>19</v>
      </c>
      <c r="L246">
        <v>4475</v>
      </c>
      <c r="M246" t="s">
        <v>19</v>
      </c>
      <c r="N246" t="s">
        <v>19</v>
      </c>
      <c r="O246">
        <v>4478</v>
      </c>
      <c r="P246" t="s">
        <v>1486</v>
      </c>
      <c r="Q246" t="s">
        <v>19</v>
      </c>
      <c r="R246">
        <v>4479</v>
      </c>
      <c r="S246" t="s">
        <v>1495</v>
      </c>
      <c r="T246" t="s">
        <v>19</v>
      </c>
      <c r="U246">
        <v>4482</v>
      </c>
      <c r="V246" t="s">
        <v>1488</v>
      </c>
      <c r="W246" t="s">
        <v>19</v>
      </c>
      <c r="X246">
        <v>4578</v>
      </c>
      <c r="Y246" t="s">
        <v>1493</v>
      </c>
      <c r="Z246" t="s">
        <v>19</v>
      </c>
      <c r="AA246">
        <v>4713</v>
      </c>
      <c r="AB246" t="s">
        <v>19</v>
      </c>
      <c r="AC246" t="s">
        <v>19</v>
      </c>
      <c r="AD246">
        <v>4714</v>
      </c>
      <c r="AE246" t="s">
        <v>1488</v>
      </c>
      <c r="AF246" t="s">
        <v>19</v>
      </c>
      <c r="AG246">
        <v>4717</v>
      </c>
      <c r="AH246" t="s">
        <v>19</v>
      </c>
      <c r="AI246" t="s">
        <v>19</v>
      </c>
      <c r="AJ246">
        <v>4737</v>
      </c>
      <c r="AK246" t="s">
        <v>1490</v>
      </c>
      <c r="AL246" t="s">
        <v>19</v>
      </c>
      <c r="AM246">
        <v>4741</v>
      </c>
      <c r="AN246" t="s">
        <v>1491</v>
      </c>
      <c r="AO246" t="s">
        <v>19</v>
      </c>
    </row>
    <row r="247" spans="1:41" x14ac:dyDescent="0.45">
      <c r="A247" t="s">
        <v>1266</v>
      </c>
      <c r="B247">
        <v>8</v>
      </c>
      <c r="C247" t="str">
        <f>HYPERLINK("http://www.ncbi.nlm.nih.gov/protein/XP_047233120.1","XP_047233120.1")</f>
        <v>XP_047233120.1</v>
      </c>
      <c r="D247">
        <v>48650</v>
      </c>
      <c r="E247" t="str">
        <f>HYPERLINK("http://www.ncbi.nlm.nih.gov/Taxonomy/Browser/wwwtax.cgi?mode=Info&amp;id=208333&amp;lvl=3&amp;lin=f&amp;keep=1&amp;srchmode=1&amp;unlock","208333")</f>
        <v>208333</v>
      </c>
      <c r="F247" t="s">
        <v>17</v>
      </c>
      <c r="G247" t="str">
        <f>HYPERLINK("http://www.ncbi.nlm.nih.gov/Taxonomy/Browser/wwwtax.cgi?mode=Info&amp;id=208333&amp;lvl=3&amp;lin=f&amp;keep=1&amp;srchmode=1&amp;unlock","Girardinichthys multiradiatus")</f>
        <v>Girardinichthys multiradiatus</v>
      </c>
      <c r="H247" t="s">
        <v>122</v>
      </c>
      <c r="I247" t="str">
        <f>HYPERLINK("http://www.ncbi.nlm.nih.gov/protein/XP_047233120.1","ryanodine receptor 2")</f>
        <v>ryanodine receptor 2</v>
      </c>
      <c r="J247" t="s">
        <v>1494</v>
      </c>
      <c r="K247" t="s">
        <v>19</v>
      </c>
      <c r="L247">
        <v>4481</v>
      </c>
      <c r="M247" t="s">
        <v>19</v>
      </c>
      <c r="N247" t="s">
        <v>19</v>
      </c>
      <c r="O247">
        <v>4484</v>
      </c>
      <c r="P247" t="s">
        <v>1486</v>
      </c>
      <c r="Q247" t="s">
        <v>19</v>
      </c>
      <c r="R247">
        <v>4485</v>
      </c>
      <c r="S247" t="s">
        <v>1495</v>
      </c>
      <c r="T247" t="s">
        <v>19</v>
      </c>
      <c r="U247">
        <v>4488</v>
      </c>
      <c r="V247" t="s">
        <v>1488</v>
      </c>
      <c r="W247" t="s">
        <v>19</v>
      </c>
      <c r="X247">
        <v>4584</v>
      </c>
      <c r="Y247" t="s">
        <v>1493</v>
      </c>
      <c r="Z247" t="s">
        <v>19</v>
      </c>
      <c r="AA247">
        <v>4719</v>
      </c>
      <c r="AB247" t="s">
        <v>19</v>
      </c>
      <c r="AC247" t="s">
        <v>19</v>
      </c>
      <c r="AD247">
        <v>4720</v>
      </c>
      <c r="AE247" t="s">
        <v>1488</v>
      </c>
      <c r="AF247" t="s">
        <v>19</v>
      </c>
      <c r="AG247">
        <v>4723</v>
      </c>
      <c r="AH247" t="s">
        <v>19</v>
      </c>
      <c r="AI247" t="s">
        <v>19</v>
      </c>
      <c r="AJ247">
        <v>4743</v>
      </c>
      <c r="AK247" t="s">
        <v>1490</v>
      </c>
      <c r="AL247" t="s">
        <v>19</v>
      </c>
      <c r="AM247">
        <v>4747</v>
      </c>
      <c r="AN247" t="s">
        <v>1491</v>
      </c>
      <c r="AO247" t="s">
        <v>19</v>
      </c>
    </row>
    <row r="248" spans="1:41" x14ac:dyDescent="0.45">
      <c r="A248" t="s">
        <v>1266</v>
      </c>
      <c r="B248">
        <v>8</v>
      </c>
      <c r="C248" t="str">
        <f>HYPERLINK("http://www.ncbi.nlm.nih.gov/protein/XP_024913176.1","XP_024913176.1")</f>
        <v>XP_024913176.1</v>
      </c>
      <c r="D248">
        <v>40033</v>
      </c>
      <c r="E248" t="str">
        <f>HYPERLINK("http://www.ncbi.nlm.nih.gov/Taxonomy/Browser/wwwtax.cgi?mode=Info&amp;id=244447&amp;lvl=3&amp;lin=f&amp;keep=1&amp;srchmode=1&amp;unlock","244447")</f>
        <v>244447</v>
      </c>
      <c r="F248" t="s">
        <v>17</v>
      </c>
      <c r="G248" t="str">
        <f>HYPERLINK("http://www.ncbi.nlm.nih.gov/Taxonomy/Browser/wwwtax.cgi?mode=Info&amp;id=244447&amp;lvl=3&amp;lin=f&amp;keep=1&amp;srchmode=1&amp;unlock","Cynoglossus semilaevis")</f>
        <v>Cynoglossus semilaevis</v>
      </c>
      <c r="H248" t="s">
        <v>137</v>
      </c>
      <c r="I248" t="str">
        <f>HYPERLINK("http://www.ncbi.nlm.nih.gov/protein/XP_024913176.1","ryanodine receptor 2")</f>
        <v>ryanodine receptor 2</v>
      </c>
      <c r="J248" t="s">
        <v>1494</v>
      </c>
      <c r="K248" t="s">
        <v>19</v>
      </c>
      <c r="L248">
        <v>4496</v>
      </c>
      <c r="M248" t="s">
        <v>19</v>
      </c>
      <c r="N248" t="s">
        <v>19</v>
      </c>
      <c r="O248">
        <v>4499</v>
      </c>
      <c r="P248" t="s">
        <v>1486</v>
      </c>
      <c r="Q248" t="s">
        <v>19</v>
      </c>
      <c r="R248">
        <v>4500</v>
      </c>
      <c r="S248" t="s">
        <v>1495</v>
      </c>
      <c r="T248" t="s">
        <v>19</v>
      </c>
      <c r="U248">
        <v>4503</v>
      </c>
      <c r="V248" t="s">
        <v>1488</v>
      </c>
      <c r="W248" t="s">
        <v>19</v>
      </c>
      <c r="X248">
        <v>4601</v>
      </c>
      <c r="Y248" t="s">
        <v>1493</v>
      </c>
      <c r="Z248" t="s">
        <v>19</v>
      </c>
      <c r="AA248">
        <v>4736</v>
      </c>
      <c r="AB248" t="s">
        <v>19</v>
      </c>
      <c r="AC248" t="s">
        <v>19</v>
      </c>
      <c r="AD248">
        <v>4737</v>
      </c>
      <c r="AE248" t="s">
        <v>1488</v>
      </c>
      <c r="AF248" t="s">
        <v>19</v>
      </c>
      <c r="AG248">
        <v>4740</v>
      </c>
      <c r="AH248" t="s">
        <v>19</v>
      </c>
      <c r="AI248" t="s">
        <v>19</v>
      </c>
      <c r="AJ248">
        <v>4760</v>
      </c>
      <c r="AK248" t="s">
        <v>1490</v>
      </c>
      <c r="AL248" t="s">
        <v>19</v>
      </c>
      <c r="AM248">
        <v>4764</v>
      </c>
      <c r="AN248" t="s">
        <v>1491</v>
      </c>
      <c r="AO248" t="s">
        <v>19</v>
      </c>
    </row>
    <row r="249" spans="1:41" x14ac:dyDescent="0.45">
      <c r="A249" t="s">
        <v>1266</v>
      </c>
      <c r="B249">
        <v>8</v>
      </c>
      <c r="C249" t="str">
        <f>HYPERLINK("http://www.ncbi.nlm.nih.gov/protein/XP_041107810.1","XP_041107810.1")</f>
        <v>XP_041107810.1</v>
      </c>
      <c r="D249">
        <v>79674</v>
      </c>
      <c r="E249" t="str">
        <f>HYPERLINK("http://www.ncbi.nlm.nih.gov/Taxonomy/Browser/wwwtax.cgi?mode=Info&amp;id=7913&amp;lvl=3&amp;lin=f&amp;keep=1&amp;srchmode=1&amp;unlock","7913")</f>
        <v>7913</v>
      </c>
      <c r="F249" t="s">
        <v>17</v>
      </c>
      <c r="G249" t="str">
        <f>HYPERLINK("http://www.ncbi.nlm.nih.gov/Taxonomy/Browser/wwwtax.cgi?mode=Info&amp;id=7913&amp;lvl=3&amp;lin=f&amp;keep=1&amp;srchmode=1&amp;unlock","Polyodon spathula")</f>
        <v>Polyodon spathula</v>
      </c>
      <c r="H249" t="s">
        <v>363</v>
      </c>
      <c r="I249" t="str">
        <f>HYPERLINK("http://www.ncbi.nlm.nih.gov/protein/XP_041107810.1","ryanodine receptor 2 isoform X6")</f>
        <v>ryanodine receptor 2 isoform X6</v>
      </c>
      <c r="J249" t="s">
        <v>1494</v>
      </c>
      <c r="K249" t="s">
        <v>19</v>
      </c>
      <c r="L249">
        <v>4482</v>
      </c>
      <c r="M249" t="s">
        <v>19</v>
      </c>
      <c r="N249" t="s">
        <v>19</v>
      </c>
      <c r="O249">
        <v>4485</v>
      </c>
      <c r="P249" t="s">
        <v>1486</v>
      </c>
      <c r="Q249" t="s">
        <v>19</v>
      </c>
      <c r="R249">
        <v>4486</v>
      </c>
      <c r="S249" t="s">
        <v>1495</v>
      </c>
      <c r="T249" t="s">
        <v>19</v>
      </c>
      <c r="U249">
        <v>4489</v>
      </c>
      <c r="V249" t="s">
        <v>1488</v>
      </c>
      <c r="W249" t="s">
        <v>19</v>
      </c>
      <c r="X249">
        <v>4570</v>
      </c>
      <c r="Y249" t="s">
        <v>1493</v>
      </c>
      <c r="Z249" t="s">
        <v>19</v>
      </c>
      <c r="AA249">
        <v>4705</v>
      </c>
      <c r="AB249" t="s">
        <v>19</v>
      </c>
      <c r="AC249" t="s">
        <v>19</v>
      </c>
      <c r="AD249">
        <v>4706</v>
      </c>
      <c r="AE249" t="s">
        <v>1488</v>
      </c>
      <c r="AF249" t="s">
        <v>19</v>
      </c>
      <c r="AG249">
        <v>4709</v>
      </c>
      <c r="AH249" t="s">
        <v>19</v>
      </c>
      <c r="AI249" t="s">
        <v>19</v>
      </c>
      <c r="AJ249">
        <v>4729</v>
      </c>
      <c r="AK249" t="s">
        <v>1490</v>
      </c>
      <c r="AL249" t="s">
        <v>19</v>
      </c>
      <c r="AM249">
        <v>4733</v>
      </c>
      <c r="AN249" t="s">
        <v>1491</v>
      </c>
      <c r="AO249" t="s">
        <v>19</v>
      </c>
    </row>
    <row r="250" spans="1:41" x14ac:dyDescent="0.45">
      <c r="A250" t="s">
        <v>1266</v>
      </c>
      <c r="B250">
        <v>8</v>
      </c>
      <c r="C250" t="str">
        <f>HYPERLINK("http://www.ncbi.nlm.nih.gov/protein/XP_014328564.1","XP_014328564.1")</f>
        <v>XP_014328564.1</v>
      </c>
      <c r="D250">
        <v>43739</v>
      </c>
      <c r="E250" t="str">
        <f>HYPERLINK("http://www.ncbi.nlm.nih.gov/Taxonomy/Browser/wwwtax.cgi?mode=Info&amp;id=8083&amp;lvl=3&amp;lin=f&amp;keep=1&amp;srchmode=1&amp;unlock","8083")</f>
        <v>8083</v>
      </c>
      <c r="F250" t="s">
        <v>17</v>
      </c>
      <c r="G250" t="str">
        <f>HYPERLINK("http://www.ncbi.nlm.nih.gov/Taxonomy/Browser/wwwtax.cgi?mode=Info&amp;id=8083&amp;lvl=3&amp;lin=f&amp;keep=1&amp;srchmode=1&amp;unlock","Xiphophorus maculatus")</f>
        <v>Xiphophorus maculatus</v>
      </c>
      <c r="H250" t="s">
        <v>126</v>
      </c>
      <c r="I250" t="str">
        <f>HYPERLINK("http://www.ncbi.nlm.nih.gov/protein/XP_014328564.1","ryanodine receptor 2 isoform X4")</f>
        <v>ryanodine receptor 2 isoform X4</v>
      </c>
      <c r="J250" t="s">
        <v>1494</v>
      </c>
      <c r="K250" t="s">
        <v>19</v>
      </c>
      <c r="L250">
        <v>4479</v>
      </c>
      <c r="M250" t="s">
        <v>19</v>
      </c>
      <c r="N250" t="s">
        <v>19</v>
      </c>
      <c r="O250">
        <v>4482</v>
      </c>
      <c r="P250" t="s">
        <v>1486</v>
      </c>
      <c r="Q250" t="s">
        <v>19</v>
      </c>
      <c r="R250">
        <v>4483</v>
      </c>
      <c r="S250" t="s">
        <v>1495</v>
      </c>
      <c r="T250" t="s">
        <v>19</v>
      </c>
      <c r="U250">
        <v>4486</v>
      </c>
      <c r="V250" t="s">
        <v>1488</v>
      </c>
      <c r="W250" t="s">
        <v>19</v>
      </c>
      <c r="X250">
        <v>4582</v>
      </c>
      <c r="Y250" t="s">
        <v>1493</v>
      </c>
      <c r="Z250" t="s">
        <v>19</v>
      </c>
      <c r="AA250">
        <v>4717</v>
      </c>
      <c r="AB250" t="s">
        <v>19</v>
      </c>
      <c r="AC250" t="s">
        <v>19</v>
      </c>
      <c r="AD250">
        <v>4718</v>
      </c>
      <c r="AE250" t="s">
        <v>1488</v>
      </c>
      <c r="AF250" t="s">
        <v>19</v>
      </c>
      <c r="AG250">
        <v>4721</v>
      </c>
      <c r="AH250" t="s">
        <v>19</v>
      </c>
      <c r="AI250" t="s">
        <v>19</v>
      </c>
      <c r="AJ250">
        <v>4741</v>
      </c>
      <c r="AK250" t="s">
        <v>1490</v>
      </c>
      <c r="AL250" t="s">
        <v>19</v>
      </c>
      <c r="AM250">
        <v>4745</v>
      </c>
      <c r="AN250" t="s">
        <v>1491</v>
      </c>
      <c r="AO250" t="s">
        <v>19</v>
      </c>
    </row>
    <row r="251" spans="1:41" x14ac:dyDescent="0.45">
      <c r="A251" t="s">
        <v>1266</v>
      </c>
      <c r="B251">
        <v>8</v>
      </c>
      <c r="C251" t="str">
        <f>HYPERLINK("http://www.ncbi.nlm.nih.gov/protein/XP_029382997.1","XP_029382997.1")</f>
        <v>XP_029382997.1</v>
      </c>
      <c r="D251">
        <v>38281</v>
      </c>
      <c r="E251" t="str">
        <f>HYPERLINK("http://www.ncbi.nlm.nih.gov/Taxonomy/Browser/wwwtax.cgi?mode=Info&amp;id=173247&amp;lvl=3&amp;lin=f&amp;keep=1&amp;srchmode=1&amp;unlock","173247")</f>
        <v>173247</v>
      </c>
      <c r="F251" t="s">
        <v>17</v>
      </c>
      <c r="G251" t="str">
        <f>HYPERLINK("http://www.ncbi.nlm.nih.gov/Taxonomy/Browser/wwwtax.cgi?mode=Info&amp;id=173247&amp;lvl=3&amp;lin=f&amp;keep=1&amp;srchmode=1&amp;unlock","Echeneis naucrates")</f>
        <v>Echeneis naucrates</v>
      </c>
      <c r="H251" t="s">
        <v>66</v>
      </c>
      <c r="I251" t="str">
        <f>HYPERLINK("http://www.ncbi.nlm.nih.gov/protein/XP_029382997.1","LOW QUALITY PROTEIN: ryanodine receptor 2")</f>
        <v>LOW QUALITY PROTEIN: ryanodine receptor 2</v>
      </c>
      <c r="J251" t="s">
        <v>1494</v>
      </c>
      <c r="K251" t="s">
        <v>19</v>
      </c>
      <c r="L251">
        <v>4489</v>
      </c>
      <c r="M251" t="s">
        <v>19</v>
      </c>
      <c r="N251" t="s">
        <v>19</v>
      </c>
      <c r="O251">
        <v>4492</v>
      </c>
      <c r="P251" t="s">
        <v>1486</v>
      </c>
      <c r="Q251" t="s">
        <v>19</v>
      </c>
      <c r="R251">
        <v>4493</v>
      </c>
      <c r="S251" t="s">
        <v>1495</v>
      </c>
      <c r="T251" t="s">
        <v>19</v>
      </c>
      <c r="U251">
        <v>4496</v>
      </c>
      <c r="V251" t="s">
        <v>1488</v>
      </c>
      <c r="W251" t="s">
        <v>19</v>
      </c>
      <c r="X251">
        <v>4578</v>
      </c>
      <c r="Y251" t="s">
        <v>1493</v>
      </c>
      <c r="Z251" t="s">
        <v>19</v>
      </c>
      <c r="AA251">
        <v>4713</v>
      </c>
      <c r="AB251" t="s">
        <v>19</v>
      </c>
      <c r="AC251" t="s">
        <v>19</v>
      </c>
      <c r="AD251">
        <v>4714</v>
      </c>
      <c r="AE251" t="s">
        <v>1488</v>
      </c>
      <c r="AF251" t="s">
        <v>19</v>
      </c>
      <c r="AG251">
        <v>4717</v>
      </c>
      <c r="AH251" t="s">
        <v>19</v>
      </c>
      <c r="AI251" t="s">
        <v>19</v>
      </c>
      <c r="AJ251">
        <v>4737</v>
      </c>
      <c r="AK251" t="s">
        <v>1490</v>
      </c>
      <c r="AL251" t="s">
        <v>19</v>
      </c>
      <c r="AM251">
        <v>4741</v>
      </c>
      <c r="AN251" t="s">
        <v>1491</v>
      </c>
      <c r="AO251" t="s">
        <v>19</v>
      </c>
    </row>
    <row r="252" spans="1:41" x14ac:dyDescent="0.45">
      <c r="A252" t="s">
        <v>1266</v>
      </c>
      <c r="B252">
        <v>8</v>
      </c>
      <c r="C252" t="str">
        <f>HYPERLINK("http://www.ncbi.nlm.nih.gov/protein/XP_054877196.1","XP_054877196.1")</f>
        <v>XP_054877196.1</v>
      </c>
      <c r="D252">
        <v>41286</v>
      </c>
      <c r="E252" t="str">
        <f>HYPERLINK("http://www.ncbi.nlm.nih.gov/Taxonomy/Browser/wwwtax.cgi?mode=Info&amp;id=188132&amp;lvl=3&amp;lin=f&amp;keep=1&amp;srchmode=1&amp;unlock","188132")</f>
        <v>188132</v>
      </c>
      <c r="F252" t="s">
        <v>17</v>
      </c>
      <c r="G252" t="str">
        <f>HYPERLINK("http://www.ncbi.nlm.nih.gov/Taxonomy/Browser/wwwtax.cgi?mode=Info&amp;id=188132&amp;lvl=3&amp;lin=f&amp;keep=1&amp;srchmode=1&amp;unlock","Poeciliopsis prolifica")</f>
        <v>Poeciliopsis prolifica</v>
      </c>
      <c r="H252" t="s">
        <v>145</v>
      </c>
      <c r="I252" t="str">
        <f>HYPERLINK("http://www.ncbi.nlm.nih.gov/protein/XP_054877196.1","ryanodine receptor 2")</f>
        <v>ryanodine receptor 2</v>
      </c>
      <c r="J252" t="s">
        <v>1494</v>
      </c>
      <c r="K252" t="s">
        <v>19</v>
      </c>
      <c r="L252">
        <v>4479</v>
      </c>
      <c r="M252" t="s">
        <v>19</v>
      </c>
      <c r="N252" t="s">
        <v>19</v>
      </c>
      <c r="O252">
        <v>4482</v>
      </c>
      <c r="P252" t="s">
        <v>1486</v>
      </c>
      <c r="Q252" t="s">
        <v>19</v>
      </c>
      <c r="R252">
        <v>4483</v>
      </c>
      <c r="S252" t="s">
        <v>1495</v>
      </c>
      <c r="T252" t="s">
        <v>19</v>
      </c>
      <c r="U252">
        <v>4486</v>
      </c>
      <c r="V252" t="s">
        <v>1488</v>
      </c>
      <c r="W252" t="s">
        <v>19</v>
      </c>
      <c r="X252">
        <v>4582</v>
      </c>
      <c r="Y252" t="s">
        <v>1493</v>
      </c>
      <c r="Z252" t="s">
        <v>19</v>
      </c>
      <c r="AA252">
        <v>4717</v>
      </c>
      <c r="AB252" t="s">
        <v>19</v>
      </c>
      <c r="AC252" t="s">
        <v>19</v>
      </c>
      <c r="AD252">
        <v>4718</v>
      </c>
      <c r="AE252" t="s">
        <v>1488</v>
      </c>
      <c r="AF252" t="s">
        <v>19</v>
      </c>
      <c r="AG252">
        <v>4721</v>
      </c>
      <c r="AH252" t="s">
        <v>19</v>
      </c>
      <c r="AI252" t="s">
        <v>19</v>
      </c>
      <c r="AJ252">
        <v>4741</v>
      </c>
      <c r="AK252" t="s">
        <v>1490</v>
      </c>
      <c r="AL252" t="s">
        <v>19</v>
      </c>
      <c r="AM252">
        <v>4745</v>
      </c>
      <c r="AN252" t="s">
        <v>1491</v>
      </c>
      <c r="AO252" t="s">
        <v>19</v>
      </c>
    </row>
    <row r="253" spans="1:41" x14ac:dyDescent="0.45">
      <c r="A253" t="s">
        <v>1266</v>
      </c>
      <c r="B253">
        <v>8</v>
      </c>
      <c r="C253" t="str">
        <f>HYPERLINK("http://www.ncbi.nlm.nih.gov/protein/CAJ1080474.1","CAJ1080474.1")</f>
        <v>CAJ1080474.1</v>
      </c>
      <c r="D253">
        <v>39630</v>
      </c>
      <c r="E253" t="str">
        <f>HYPERLINK("http://www.ncbi.nlm.nih.gov/Taxonomy/Browser/wwwtax.cgi?mode=Info&amp;id=13765&amp;lvl=3&amp;lin=f&amp;keep=1&amp;srchmode=1&amp;unlock","13765")</f>
        <v>13765</v>
      </c>
      <c r="F253" t="s">
        <v>17</v>
      </c>
      <c r="G253" t="str">
        <f>HYPERLINK("http://www.ncbi.nlm.nih.gov/Taxonomy/Browser/wwwtax.cgi?mode=Info&amp;id=13765&amp;lvl=3&amp;lin=f&amp;keep=1&amp;srchmode=1&amp;unlock","Xyrichtys novacula")</f>
        <v>Xyrichtys novacula</v>
      </c>
      <c r="H253" t="s">
        <v>460</v>
      </c>
      <c r="I253" t="str">
        <f>HYPERLINK("http://www.ncbi.nlm.nih.gov/protein/CAJ1080474.1","ryanodine receptor 2")</f>
        <v>ryanodine receptor 2</v>
      </c>
      <c r="J253" t="s">
        <v>1494</v>
      </c>
      <c r="K253" t="s">
        <v>19</v>
      </c>
      <c r="L253">
        <v>4537</v>
      </c>
      <c r="M253" t="s">
        <v>19</v>
      </c>
      <c r="N253" t="s">
        <v>19</v>
      </c>
      <c r="O253">
        <v>4540</v>
      </c>
      <c r="P253" t="s">
        <v>1486</v>
      </c>
      <c r="Q253" t="s">
        <v>19</v>
      </c>
      <c r="R253">
        <v>4541</v>
      </c>
      <c r="S253" t="s">
        <v>1495</v>
      </c>
      <c r="T253" t="s">
        <v>19</v>
      </c>
      <c r="U253">
        <v>4544</v>
      </c>
      <c r="V253" t="s">
        <v>1488</v>
      </c>
      <c r="W253" t="s">
        <v>19</v>
      </c>
      <c r="X253">
        <v>4641</v>
      </c>
      <c r="Y253" t="s">
        <v>1493</v>
      </c>
      <c r="Z253" t="s">
        <v>19</v>
      </c>
      <c r="AA253">
        <v>4776</v>
      </c>
      <c r="AB253" t="s">
        <v>19</v>
      </c>
      <c r="AC253" t="s">
        <v>19</v>
      </c>
      <c r="AD253">
        <v>4777</v>
      </c>
      <c r="AE253" t="s">
        <v>1488</v>
      </c>
      <c r="AF253" t="s">
        <v>19</v>
      </c>
      <c r="AG253">
        <v>4780</v>
      </c>
      <c r="AH253" t="s">
        <v>19</v>
      </c>
      <c r="AI253" t="s">
        <v>19</v>
      </c>
      <c r="AJ253">
        <v>4800</v>
      </c>
      <c r="AK253" t="s">
        <v>1490</v>
      </c>
      <c r="AL253" t="s">
        <v>19</v>
      </c>
      <c r="AM253">
        <v>4804</v>
      </c>
      <c r="AN253" t="s">
        <v>1491</v>
      </c>
      <c r="AO253" t="s">
        <v>19</v>
      </c>
    </row>
    <row r="254" spans="1:41" x14ac:dyDescent="0.45">
      <c r="A254" t="s">
        <v>1266</v>
      </c>
      <c r="B254">
        <v>8</v>
      </c>
      <c r="C254" t="str">
        <f>HYPERLINK("http://www.ncbi.nlm.nih.gov/protein/XP_032430466.1","XP_032430466.1")</f>
        <v>XP_032430466.1</v>
      </c>
      <c r="D254">
        <v>46466</v>
      </c>
      <c r="E254" t="str">
        <f>HYPERLINK("http://www.ncbi.nlm.nih.gov/Taxonomy/Browser/wwwtax.cgi?mode=Info&amp;id=8084&amp;lvl=3&amp;lin=f&amp;keep=1&amp;srchmode=1&amp;unlock","8084")</f>
        <v>8084</v>
      </c>
      <c r="F254" t="s">
        <v>17</v>
      </c>
      <c r="G254" t="str">
        <f>HYPERLINK("http://www.ncbi.nlm.nih.gov/Taxonomy/Browser/wwwtax.cgi?mode=Info&amp;id=8084&amp;lvl=3&amp;lin=f&amp;keep=1&amp;srchmode=1&amp;unlock","Xiphophorus hellerii")</f>
        <v>Xiphophorus hellerii</v>
      </c>
      <c r="H254" t="s">
        <v>129</v>
      </c>
      <c r="I254" t="str">
        <f>HYPERLINK("http://www.ncbi.nlm.nih.gov/protein/XP_032430466.1","ryanodine receptor 2 isoform X3")</f>
        <v>ryanodine receptor 2 isoform X3</v>
      </c>
      <c r="J254" t="s">
        <v>1494</v>
      </c>
      <c r="K254" t="s">
        <v>19</v>
      </c>
      <c r="L254">
        <v>4479</v>
      </c>
      <c r="M254" t="s">
        <v>19</v>
      </c>
      <c r="N254" t="s">
        <v>19</v>
      </c>
      <c r="O254">
        <v>4482</v>
      </c>
      <c r="P254" t="s">
        <v>1486</v>
      </c>
      <c r="Q254" t="s">
        <v>19</v>
      </c>
      <c r="R254">
        <v>4483</v>
      </c>
      <c r="S254" t="s">
        <v>1495</v>
      </c>
      <c r="T254" t="s">
        <v>19</v>
      </c>
      <c r="U254">
        <v>4486</v>
      </c>
      <c r="V254" t="s">
        <v>1488</v>
      </c>
      <c r="W254" t="s">
        <v>19</v>
      </c>
      <c r="X254">
        <v>4582</v>
      </c>
      <c r="Y254" t="s">
        <v>1493</v>
      </c>
      <c r="Z254" t="s">
        <v>19</v>
      </c>
      <c r="AA254">
        <v>4717</v>
      </c>
      <c r="AB254" t="s">
        <v>19</v>
      </c>
      <c r="AC254" t="s">
        <v>19</v>
      </c>
      <c r="AD254">
        <v>4718</v>
      </c>
      <c r="AE254" t="s">
        <v>1488</v>
      </c>
      <c r="AF254" t="s">
        <v>19</v>
      </c>
      <c r="AG254">
        <v>4721</v>
      </c>
      <c r="AH254" t="s">
        <v>19</v>
      </c>
      <c r="AI254" t="s">
        <v>19</v>
      </c>
      <c r="AJ254">
        <v>4741</v>
      </c>
      <c r="AK254" t="s">
        <v>1490</v>
      </c>
      <c r="AL254" t="s">
        <v>19</v>
      </c>
      <c r="AM254">
        <v>4745</v>
      </c>
      <c r="AN254" t="s">
        <v>1491</v>
      </c>
      <c r="AO254" t="s">
        <v>19</v>
      </c>
    </row>
    <row r="255" spans="1:41" x14ac:dyDescent="0.45">
      <c r="A255" t="s">
        <v>1266</v>
      </c>
      <c r="B255">
        <v>8</v>
      </c>
      <c r="C255" t="str">
        <f>HYPERLINK("http://www.ncbi.nlm.nih.gov/protein/XP_040033348.1","XP_040033348.1")</f>
        <v>XP_040033348.1</v>
      </c>
      <c r="D255">
        <v>45332</v>
      </c>
      <c r="E255" t="str">
        <f>HYPERLINK("http://www.ncbi.nlm.nih.gov/Taxonomy/Browser/wwwtax.cgi?mode=Info&amp;id=481459&amp;lvl=3&amp;lin=f&amp;keep=1&amp;srchmode=1&amp;unlock","481459")</f>
        <v>481459</v>
      </c>
      <c r="F255" t="s">
        <v>17</v>
      </c>
      <c r="G255" t="str">
        <f>HYPERLINK("http://www.ncbi.nlm.nih.gov/Taxonomy/Browser/wwwtax.cgi?mode=Info&amp;id=481459&amp;lvl=3&amp;lin=f&amp;keep=1&amp;srchmode=1&amp;unlock","Gasterosteus aculeatus aculeatus")</f>
        <v>Gasterosteus aculeatus aculeatus</v>
      </c>
      <c r="H255" t="s">
        <v>138</v>
      </c>
      <c r="I255" t="str">
        <f>HYPERLINK("http://www.ncbi.nlm.nih.gov/protein/XP_040033348.1","ryanodine receptor 2 isoform X1")</f>
        <v>ryanodine receptor 2 isoform X1</v>
      </c>
      <c r="J255" t="s">
        <v>1494</v>
      </c>
      <c r="K255" t="s">
        <v>19</v>
      </c>
      <c r="L255">
        <v>4472</v>
      </c>
      <c r="M255" t="s">
        <v>19</v>
      </c>
      <c r="N255" t="s">
        <v>19</v>
      </c>
      <c r="O255">
        <v>4475</v>
      </c>
      <c r="P255" t="s">
        <v>1486</v>
      </c>
      <c r="Q255" t="s">
        <v>19</v>
      </c>
      <c r="R255">
        <v>4476</v>
      </c>
      <c r="S255" t="s">
        <v>1495</v>
      </c>
      <c r="T255" t="s">
        <v>19</v>
      </c>
      <c r="U255">
        <v>4479</v>
      </c>
      <c r="V255" t="s">
        <v>1488</v>
      </c>
      <c r="W255" t="s">
        <v>19</v>
      </c>
      <c r="X255">
        <v>4575</v>
      </c>
      <c r="Y255" t="s">
        <v>1493</v>
      </c>
      <c r="Z255" t="s">
        <v>19</v>
      </c>
      <c r="AA255">
        <v>4710</v>
      </c>
      <c r="AB255" t="s">
        <v>19</v>
      </c>
      <c r="AC255" t="s">
        <v>19</v>
      </c>
      <c r="AD255">
        <v>4711</v>
      </c>
      <c r="AE255" t="s">
        <v>1488</v>
      </c>
      <c r="AF255" t="s">
        <v>19</v>
      </c>
      <c r="AG255">
        <v>4714</v>
      </c>
      <c r="AH255" t="s">
        <v>19</v>
      </c>
      <c r="AI255" t="s">
        <v>19</v>
      </c>
      <c r="AJ255">
        <v>4734</v>
      </c>
      <c r="AK255" t="s">
        <v>1490</v>
      </c>
      <c r="AL255" t="s">
        <v>19</v>
      </c>
      <c r="AM255">
        <v>4738</v>
      </c>
      <c r="AN255" t="s">
        <v>1491</v>
      </c>
      <c r="AO255" t="s">
        <v>19</v>
      </c>
    </row>
    <row r="256" spans="1:41" x14ac:dyDescent="0.45">
      <c r="A256" t="s">
        <v>1266</v>
      </c>
      <c r="B256">
        <v>8</v>
      </c>
      <c r="C256" t="str">
        <f>HYPERLINK("http://www.ncbi.nlm.nih.gov/protein/XP_038159869.1","XP_038159869.1")</f>
        <v>XP_038159869.1</v>
      </c>
      <c r="D256">
        <v>42402</v>
      </c>
      <c r="E256" t="str">
        <f>HYPERLINK("http://www.ncbi.nlm.nih.gov/Taxonomy/Browser/wwwtax.cgi?mode=Info&amp;id=77115&amp;lvl=3&amp;lin=f&amp;keep=1&amp;srchmode=1&amp;unlock","77115")</f>
        <v>77115</v>
      </c>
      <c r="F256" t="s">
        <v>17</v>
      </c>
      <c r="G256" t="str">
        <f>HYPERLINK("http://www.ncbi.nlm.nih.gov/Taxonomy/Browser/wwwtax.cgi?mode=Info&amp;id=77115&amp;lvl=3&amp;lin=f&amp;keep=1&amp;srchmode=1&amp;unlock","Cyprinodon tularosa")</f>
        <v>Cyprinodon tularosa</v>
      </c>
      <c r="H256" t="s">
        <v>125</v>
      </c>
      <c r="I256" t="str">
        <f>HYPERLINK("http://www.ncbi.nlm.nih.gov/protein/XP_038159869.1","ryanodine receptor 2")</f>
        <v>ryanodine receptor 2</v>
      </c>
      <c r="J256" t="s">
        <v>1494</v>
      </c>
      <c r="K256" t="s">
        <v>19</v>
      </c>
      <c r="L256">
        <v>4477</v>
      </c>
      <c r="M256" t="s">
        <v>19</v>
      </c>
      <c r="N256" t="s">
        <v>19</v>
      </c>
      <c r="O256">
        <v>4480</v>
      </c>
      <c r="P256" t="s">
        <v>1486</v>
      </c>
      <c r="Q256" t="s">
        <v>19</v>
      </c>
      <c r="R256">
        <v>4481</v>
      </c>
      <c r="S256" t="s">
        <v>1495</v>
      </c>
      <c r="T256" t="s">
        <v>19</v>
      </c>
      <c r="U256">
        <v>4484</v>
      </c>
      <c r="V256" t="s">
        <v>1488</v>
      </c>
      <c r="W256" t="s">
        <v>19</v>
      </c>
      <c r="X256">
        <v>4580</v>
      </c>
      <c r="Y256" t="s">
        <v>1493</v>
      </c>
      <c r="Z256" t="s">
        <v>19</v>
      </c>
      <c r="AA256">
        <v>4715</v>
      </c>
      <c r="AB256" t="s">
        <v>19</v>
      </c>
      <c r="AC256" t="s">
        <v>19</v>
      </c>
      <c r="AD256">
        <v>4716</v>
      </c>
      <c r="AE256" t="s">
        <v>1488</v>
      </c>
      <c r="AF256" t="s">
        <v>19</v>
      </c>
      <c r="AG256">
        <v>4719</v>
      </c>
      <c r="AH256" t="s">
        <v>19</v>
      </c>
      <c r="AI256" t="s">
        <v>19</v>
      </c>
      <c r="AJ256">
        <v>4739</v>
      </c>
      <c r="AK256" t="s">
        <v>1490</v>
      </c>
      <c r="AL256" t="s">
        <v>19</v>
      </c>
      <c r="AM256">
        <v>4743</v>
      </c>
      <c r="AN256" t="s">
        <v>1491</v>
      </c>
      <c r="AO256" t="s">
        <v>19</v>
      </c>
    </row>
    <row r="257" spans="1:41" x14ac:dyDescent="0.45">
      <c r="A257" t="s">
        <v>1266</v>
      </c>
      <c r="B257">
        <v>8</v>
      </c>
      <c r="C257" t="str">
        <f>HYPERLINK("http://www.ncbi.nlm.nih.gov/protein/XP_027882912.1","XP_027882912.1")</f>
        <v>XP_027882912.1</v>
      </c>
      <c r="D257">
        <v>47115</v>
      </c>
      <c r="E257" t="str">
        <f>HYPERLINK("http://www.ncbi.nlm.nih.gov/Taxonomy/Browser/wwwtax.cgi?mode=Info&amp;id=32473&amp;lvl=3&amp;lin=f&amp;keep=1&amp;srchmode=1&amp;unlock","32473")</f>
        <v>32473</v>
      </c>
      <c r="F257" t="s">
        <v>17</v>
      </c>
      <c r="G257" t="str">
        <f>HYPERLINK("http://www.ncbi.nlm.nih.gov/Taxonomy/Browser/wwwtax.cgi?mode=Info&amp;id=32473&amp;lvl=3&amp;lin=f&amp;keep=1&amp;srchmode=1&amp;unlock","Xiphophorus couchianus")</f>
        <v>Xiphophorus couchianus</v>
      </c>
      <c r="H257" t="s">
        <v>132</v>
      </c>
      <c r="I257" t="str">
        <f>HYPERLINK("http://www.ncbi.nlm.nih.gov/protein/XP_027882912.1","ryanodine receptor 2 isoform X4")</f>
        <v>ryanodine receptor 2 isoform X4</v>
      </c>
      <c r="J257" t="s">
        <v>1494</v>
      </c>
      <c r="K257" t="s">
        <v>19</v>
      </c>
      <c r="L257">
        <v>4479</v>
      </c>
      <c r="M257" t="s">
        <v>19</v>
      </c>
      <c r="N257" t="s">
        <v>19</v>
      </c>
      <c r="O257">
        <v>4482</v>
      </c>
      <c r="P257" t="s">
        <v>1486</v>
      </c>
      <c r="Q257" t="s">
        <v>19</v>
      </c>
      <c r="R257">
        <v>4483</v>
      </c>
      <c r="S257" t="s">
        <v>1495</v>
      </c>
      <c r="T257" t="s">
        <v>19</v>
      </c>
      <c r="U257">
        <v>4486</v>
      </c>
      <c r="V257" t="s">
        <v>1488</v>
      </c>
      <c r="W257" t="s">
        <v>19</v>
      </c>
      <c r="X257">
        <v>4582</v>
      </c>
      <c r="Y257" t="s">
        <v>1493</v>
      </c>
      <c r="Z257" t="s">
        <v>19</v>
      </c>
      <c r="AA257">
        <v>4717</v>
      </c>
      <c r="AB257" t="s">
        <v>19</v>
      </c>
      <c r="AC257" t="s">
        <v>19</v>
      </c>
      <c r="AD257">
        <v>4718</v>
      </c>
      <c r="AE257" t="s">
        <v>1488</v>
      </c>
      <c r="AF257" t="s">
        <v>19</v>
      </c>
      <c r="AG257">
        <v>4721</v>
      </c>
      <c r="AH257" t="s">
        <v>19</v>
      </c>
      <c r="AI257" t="s">
        <v>19</v>
      </c>
      <c r="AJ257">
        <v>4741</v>
      </c>
      <c r="AK257" t="s">
        <v>1490</v>
      </c>
      <c r="AL257" t="s">
        <v>19</v>
      </c>
      <c r="AM257">
        <v>4745</v>
      </c>
      <c r="AN257" t="s">
        <v>1491</v>
      </c>
      <c r="AO257" t="s">
        <v>19</v>
      </c>
    </row>
    <row r="258" spans="1:41" x14ac:dyDescent="0.45">
      <c r="A258" t="s">
        <v>1266</v>
      </c>
      <c r="B258">
        <v>8</v>
      </c>
      <c r="C258" t="str">
        <f>HYPERLINK("http://www.ncbi.nlm.nih.gov/protein/XP_060885132.1","XP_060885132.1")</f>
        <v>XP_060885132.1</v>
      </c>
      <c r="D258">
        <v>39850</v>
      </c>
      <c r="E258" t="str">
        <f>HYPERLINK("http://www.ncbi.nlm.nih.gov/Taxonomy/Browser/wwwtax.cgi?mode=Info&amp;id=508554&amp;lvl=3&amp;lin=f&amp;keep=1&amp;srchmode=1&amp;unlock","508554")</f>
        <v>508554</v>
      </c>
      <c r="F258" t="s">
        <v>17</v>
      </c>
      <c r="G258" t="str">
        <f>HYPERLINK("http://www.ncbi.nlm.nih.gov/Taxonomy/Browser/wwwtax.cgi?mode=Info&amp;id=508554&amp;lvl=3&amp;lin=f&amp;keep=1&amp;srchmode=1&amp;unlock","Labrus mixtus")</f>
        <v>Labrus mixtus</v>
      </c>
      <c r="H258" t="s">
        <v>92</v>
      </c>
      <c r="I258" t="str">
        <f>HYPERLINK("http://www.ncbi.nlm.nih.gov/protein/XP_060885132.1","ryanodine receptor 2")</f>
        <v>ryanodine receptor 2</v>
      </c>
      <c r="J258" t="s">
        <v>1494</v>
      </c>
      <c r="K258" t="s">
        <v>19</v>
      </c>
      <c r="L258">
        <v>4475</v>
      </c>
      <c r="M258" t="s">
        <v>19</v>
      </c>
      <c r="N258" t="s">
        <v>19</v>
      </c>
      <c r="O258">
        <v>4478</v>
      </c>
      <c r="P258" t="s">
        <v>1486</v>
      </c>
      <c r="Q258" t="s">
        <v>19</v>
      </c>
      <c r="R258">
        <v>4479</v>
      </c>
      <c r="S258" t="s">
        <v>1495</v>
      </c>
      <c r="T258" t="s">
        <v>19</v>
      </c>
      <c r="U258">
        <v>4482</v>
      </c>
      <c r="V258" t="s">
        <v>1488</v>
      </c>
      <c r="W258" t="s">
        <v>19</v>
      </c>
      <c r="X258">
        <v>4578</v>
      </c>
      <c r="Y258" t="s">
        <v>1493</v>
      </c>
      <c r="Z258" t="s">
        <v>19</v>
      </c>
      <c r="AA258">
        <v>4713</v>
      </c>
      <c r="AB258" t="s">
        <v>19</v>
      </c>
      <c r="AC258" t="s">
        <v>19</v>
      </c>
      <c r="AD258">
        <v>4714</v>
      </c>
      <c r="AE258" t="s">
        <v>1488</v>
      </c>
      <c r="AF258" t="s">
        <v>19</v>
      </c>
      <c r="AG258">
        <v>4717</v>
      </c>
      <c r="AH258" t="s">
        <v>19</v>
      </c>
      <c r="AI258" t="s">
        <v>19</v>
      </c>
      <c r="AJ258">
        <v>4737</v>
      </c>
      <c r="AK258" t="s">
        <v>1490</v>
      </c>
      <c r="AL258" t="s">
        <v>19</v>
      </c>
      <c r="AM258">
        <v>4741</v>
      </c>
      <c r="AN258" t="s">
        <v>1491</v>
      </c>
      <c r="AO258" t="s">
        <v>19</v>
      </c>
    </row>
    <row r="259" spans="1:41" x14ac:dyDescent="0.45">
      <c r="A259" t="s">
        <v>1266</v>
      </c>
      <c r="B259">
        <v>8</v>
      </c>
      <c r="C259" t="str">
        <f>HYPERLINK("http://www.ncbi.nlm.nih.gov/protein/XP_043957955.1","XP_043957955.1")</f>
        <v>XP_043957955.1</v>
      </c>
      <c r="D259">
        <v>68845</v>
      </c>
      <c r="E259" t="str">
        <f>HYPERLINK("http://www.ncbi.nlm.nih.gov/Taxonomy/Browser/wwwtax.cgi?mode=Info&amp;id=33528&amp;lvl=3&amp;lin=f&amp;keep=1&amp;srchmode=1&amp;unlock","33528")</f>
        <v>33528</v>
      </c>
      <c r="F259" t="s">
        <v>17</v>
      </c>
      <c r="G259" t="str">
        <f>HYPERLINK("http://www.ncbi.nlm.nih.gov/Taxonomy/Browser/wwwtax.cgi?mode=Info&amp;id=33528&amp;lvl=3&amp;lin=f&amp;keep=1&amp;srchmode=1&amp;unlock","Gambusia affinis")</f>
        <v>Gambusia affinis</v>
      </c>
      <c r="H259" t="s">
        <v>148</v>
      </c>
      <c r="I259" t="str">
        <f>HYPERLINK("http://www.ncbi.nlm.nih.gov/protein/XP_043957955.1","ryanodine receptor 2 isoform X1")</f>
        <v>ryanodine receptor 2 isoform X1</v>
      </c>
      <c r="J259" t="s">
        <v>1494</v>
      </c>
      <c r="K259" t="s">
        <v>19</v>
      </c>
      <c r="L259">
        <v>4478</v>
      </c>
      <c r="M259" t="s">
        <v>19</v>
      </c>
      <c r="N259" t="s">
        <v>19</v>
      </c>
      <c r="O259">
        <v>4481</v>
      </c>
      <c r="P259" t="s">
        <v>1486</v>
      </c>
      <c r="Q259" t="s">
        <v>19</v>
      </c>
      <c r="R259">
        <v>4482</v>
      </c>
      <c r="S259" t="s">
        <v>1495</v>
      </c>
      <c r="T259" t="s">
        <v>19</v>
      </c>
      <c r="U259">
        <v>4485</v>
      </c>
      <c r="V259" t="s">
        <v>1488</v>
      </c>
      <c r="W259" t="s">
        <v>19</v>
      </c>
      <c r="X259">
        <v>4581</v>
      </c>
      <c r="Y259" t="s">
        <v>1493</v>
      </c>
      <c r="Z259" t="s">
        <v>19</v>
      </c>
      <c r="AA259">
        <v>4716</v>
      </c>
      <c r="AB259" t="s">
        <v>19</v>
      </c>
      <c r="AC259" t="s">
        <v>19</v>
      </c>
      <c r="AD259">
        <v>4717</v>
      </c>
      <c r="AE259" t="s">
        <v>1488</v>
      </c>
      <c r="AF259" t="s">
        <v>19</v>
      </c>
      <c r="AG259">
        <v>4720</v>
      </c>
      <c r="AH259" t="s">
        <v>19</v>
      </c>
      <c r="AI259" t="s">
        <v>19</v>
      </c>
      <c r="AJ259">
        <v>4740</v>
      </c>
      <c r="AK259" t="s">
        <v>1490</v>
      </c>
      <c r="AL259" t="s">
        <v>19</v>
      </c>
      <c r="AM259">
        <v>4744</v>
      </c>
      <c r="AN259" t="s">
        <v>1491</v>
      </c>
      <c r="AO259" t="s">
        <v>19</v>
      </c>
    </row>
    <row r="260" spans="1:41" x14ac:dyDescent="0.45">
      <c r="A260" t="s">
        <v>1266</v>
      </c>
      <c r="B260">
        <v>8</v>
      </c>
      <c r="C260" t="str">
        <f>HYPERLINK("http://www.ncbi.nlm.nih.gov/protein/XP_033962934.1","XP_033962934.1")</f>
        <v>XP_033962934.1</v>
      </c>
      <c r="D260">
        <v>38014</v>
      </c>
      <c r="E260" t="str">
        <f>HYPERLINK("http://www.ncbi.nlm.nih.gov/Taxonomy/Browser/wwwtax.cgi?mode=Info&amp;id=52239&amp;lvl=3&amp;lin=f&amp;keep=1&amp;srchmode=1&amp;unlock","52239")</f>
        <v>52239</v>
      </c>
      <c r="F260" t="s">
        <v>17</v>
      </c>
      <c r="G260" t="str">
        <f>HYPERLINK("http://www.ncbi.nlm.nih.gov/Taxonomy/Browser/wwwtax.cgi?mode=Info&amp;id=52239&amp;lvl=3&amp;lin=f&amp;keep=1&amp;srchmode=1&amp;unlock","Pseudochaenichthys georgianus")</f>
        <v>Pseudochaenichthys georgianus</v>
      </c>
      <c r="H260" t="s">
        <v>160</v>
      </c>
      <c r="I260" t="str">
        <f>HYPERLINK("http://www.ncbi.nlm.nih.gov/protein/XP_033962934.1","ryanodine receptor 2")</f>
        <v>ryanodine receptor 2</v>
      </c>
      <c r="J260" t="s">
        <v>1494</v>
      </c>
      <c r="K260" t="s">
        <v>19</v>
      </c>
      <c r="L260">
        <v>4484</v>
      </c>
      <c r="M260" t="s">
        <v>19</v>
      </c>
      <c r="N260" t="s">
        <v>19</v>
      </c>
      <c r="O260">
        <v>4487</v>
      </c>
      <c r="P260" t="s">
        <v>1486</v>
      </c>
      <c r="Q260" t="s">
        <v>19</v>
      </c>
      <c r="R260">
        <v>4488</v>
      </c>
      <c r="S260" t="s">
        <v>1495</v>
      </c>
      <c r="T260" t="s">
        <v>19</v>
      </c>
      <c r="U260">
        <v>4491</v>
      </c>
      <c r="V260" t="s">
        <v>1488</v>
      </c>
      <c r="W260" t="s">
        <v>19</v>
      </c>
      <c r="X260">
        <v>4587</v>
      </c>
      <c r="Y260" t="s">
        <v>1493</v>
      </c>
      <c r="Z260" t="s">
        <v>19</v>
      </c>
      <c r="AA260">
        <v>4722</v>
      </c>
      <c r="AB260" t="s">
        <v>19</v>
      </c>
      <c r="AC260" t="s">
        <v>19</v>
      </c>
      <c r="AD260">
        <v>4723</v>
      </c>
      <c r="AE260" t="s">
        <v>1488</v>
      </c>
      <c r="AF260" t="s">
        <v>19</v>
      </c>
      <c r="AG260">
        <v>4726</v>
      </c>
      <c r="AH260" t="s">
        <v>19</v>
      </c>
      <c r="AI260" t="s">
        <v>19</v>
      </c>
      <c r="AJ260">
        <v>4746</v>
      </c>
      <c r="AK260" t="s">
        <v>1490</v>
      </c>
      <c r="AL260" t="s">
        <v>19</v>
      </c>
      <c r="AM260">
        <v>4750</v>
      </c>
      <c r="AN260" t="s">
        <v>1491</v>
      </c>
      <c r="AO260" t="s">
        <v>19</v>
      </c>
    </row>
    <row r="261" spans="1:41" x14ac:dyDescent="0.45">
      <c r="A261" t="s">
        <v>1266</v>
      </c>
      <c r="B261">
        <v>8</v>
      </c>
      <c r="C261" t="str">
        <f>HYPERLINK("http://www.ncbi.nlm.nih.gov/protein/XP_037318734.1","XP_037318734.1")</f>
        <v>XP_037318734.1</v>
      </c>
      <c r="D261">
        <v>43860</v>
      </c>
      <c r="E261" t="str">
        <f>HYPERLINK("http://www.ncbi.nlm.nih.gov/Taxonomy/Browser/wwwtax.cgi?mode=Info&amp;id=134920&amp;lvl=3&amp;lin=f&amp;keep=1&amp;srchmode=1&amp;unlock","134920")</f>
        <v>134920</v>
      </c>
      <c r="F261" t="s">
        <v>17</v>
      </c>
      <c r="G261" t="str">
        <f>HYPERLINK("http://www.ncbi.nlm.nih.gov/Taxonomy/Browser/wwwtax.cgi?mode=Info&amp;id=134920&amp;lvl=3&amp;lin=f&amp;keep=1&amp;srchmode=1&amp;unlock","Pungitius pungitius")</f>
        <v>Pungitius pungitius</v>
      </c>
      <c r="H261" t="s">
        <v>128</v>
      </c>
      <c r="I261" t="str">
        <f>HYPERLINK("http://www.ncbi.nlm.nih.gov/protein/XP_037318734.1","ryanodine receptor 2 isoform X1")</f>
        <v>ryanodine receptor 2 isoform X1</v>
      </c>
      <c r="J261" t="s">
        <v>1494</v>
      </c>
      <c r="K261" t="s">
        <v>19</v>
      </c>
      <c r="L261">
        <v>4473</v>
      </c>
      <c r="M261" t="s">
        <v>19</v>
      </c>
      <c r="N261" t="s">
        <v>19</v>
      </c>
      <c r="O261">
        <v>4476</v>
      </c>
      <c r="P261" t="s">
        <v>1486</v>
      </c>
      <c r="Q261" t="s">
        <v>19</v>
      </c>
      <c r="R261">
        <v>4477</v>
      </c>
      <c r="S261" t="s">
        <v>1495</v>
      </c>
      <c r="T261" t="s">
        <v>19</v>
      </c>
      <c r="U261">
        <v>4480</v>
      </c>
      <c r="V261" t="s">
        <v>1488</v>
      </c>
      <c r="W261" t="s">
        <v>19</v>
      </c>
      <c r="X261">
        <v>4577</v>
      </c>
      <c r="Y261" t="s">
        <v>1493</v>
      </c>
      <c r="Z261" t="s">
        <v>19</v>
      </c>
      <c r="AA261">
        <v>4712</v>
      </c>
      <c r="AB261" t="s">
        <v>19</v>
      </c>
      <c r="AC261" t="s">
        <v>19</v>
      </c>
      <c r="AD261">
        <v>4713</v>
      </c>
      <c r="AE261" t="s">
        <v>1488</v>
      </c>
      <c r="AF261" t="s">
        <v>19</v>
      </c>
      <c r="AG261">
        <v>4716</v>
      </c>
      <c r="AH261" t="s">
        <v>19</v>
      </c>
      <c r="AI261" t="s">
        <v>19</v>
      </c>
      <c r="AJ261">
        <v>4736</v>
      </c>
      <c r="AK261" t="s">
        <v>1490</v>
      </c>
      <c r="AL261" t="s">
        <v>19</v>
      </c>
      <c r="AM261">
        <v>4740</v>
      </c>
      <c r="AN261" t="s">
        <v>1491</v>
      </c>
      <c r="AO261" t="s">
        <v>19</v>
      </c>
    </row>
    <row r="262" spans="1:41" x14ac:dyDescent="0.45">
      <c r="A262" t="s">
        <v>1266</v>
      </c>
      <c r="B262">
        <v>8</v>
      </c>
      <c r="C262" t="str">
        <f>HYPERLINK("http://www.ncbi.nlm.nih.gov/protein/XP_035998270.1","XP_035998270.1")</f>
        <v>XP_035998270.1</v>
      </c>
      <c r="D262">
        <v>50139</v>
      </c>
      <c r="E262" t="str">
        <f>HYPERLINK("http://www.ncbi.nlm.nih.gov/Taxonomy/Browser/wwwtax.cgi?mode=Info&amp;id=8078&amp;lvl=3&amp;lin=f&amp;keep=1&amp;srchmode=1&amp;unlock","8078")</f>
        <v>8078</v>
      </c>
      <c r="F262" t="s">
        <v>17</v>
      </c>
      <c r="G262" t="str">
        <f>HYPERLINK("http://www.ncbi.nlm.nih.gov/Taxonomy/Browser/wwwtax.cgi?mode=Info&amp;id=8078&amp;lvl=3&amp;lin=f&amp;keep=1&amp;srchmode=1&amp;unlock","Fundulus heteroclitus")</f>
        <v>Fundulus heteroclitus</v>
      </c>
      <c r="H262" t="s">
        <v>114</v>
      </c>
      <c r="I262" t="str">
        <f>HYPERLINK("http://www.ncbi.nlm.nih.gov/protein/XP_035998270.1","ryanodine receptor 2")</f>
        <v>ryanodine receptor 2</v>
      </c>
      <c r="J262" t="s">
        <v>1494</v>
      </c>
      <c r="K262" t="s">
        <v>19</v>
      </c>
      <c r="L262">
        <v>4585</v>
      </c>
      <c r="M262" t="s">
        <v>19</v>
      </c>
      <c r="N262" t="s">
        <v>19</v>
      </c>
      <c r="O262">
        <v>4588</v>
      </c>
      <c r="P262" t="s">
        <v>1486</v>
      </c>
      <c r="Q262" t="s">
        <v>19</v>
      </c>
      <c r="R262">
        <v>4589</v>
      </c>
      <c r="S262" t="s">
        <v>1495</v>
      </c>
      <c r="T262" t="s">
        <v>19</v>
      </c>
      <c r="U262">
        <v>4592</v>
      </c>
      <c r="V262" t="s">
        <v>1488</v>
      </c>
      <c r="W262" t="s">
        <v>19</v>
      </c>
      <c r="X262">
        <v>4688</v>
      </c>
      <c r="Y262" t="s">
        <v>1493</v>
      </c>
      <c r="Z262" t="s">
        <v>19</v>
      </c>
      <c r="AA262">
        <v>4823</v>
      </c>
      <c r="AB262" t="s">
        <v>19</v>
      </c>
      <c r="AC262" t="s">
        <v>19</v>
      </c>
      <c r="AD262">
        <v>4824</v>
      </c>
      <c r="AE262" t="s">
        <v>1488</v>
      </c>
      <c r="AF262" t="s">
        <v>19</v>
      </c>
      <c r="AG262">
        <v>4827</v>
      </c>
      <c r="AH262" t="s">
        <v>19</v>
      </c>
      <c r="AI262" t="s">
        <v>19</v>
      </c>
      <c r="AJ262">
        <v>4847</v>
      </c>
      <c r="AK262" t="s">
        <v>1490</v>
      </c>
      <c r="AL262" t="s">
        <v>19</v>
      </c>
      <c r="AM262">
        <v>4851</v>
      </c>
      <c r="AN262" t="s">
        <v>1491</v>
      </c>
      <c r="AO262" t="s">
        <v>19</v>
      </c>
    </row>
    <row r="263" spans="1:41" x14ac:dyDescent="0.45">
      <c r="A263" t="s">
        <v>1266</v>
      </c>
      <c r="B263">
        <v>8</v>
      </c>
      <c r="C263" t="str">
        <f>HYPERLINK("http://www.ncbi.nlm.nih.gov/protein/KAK1170997.1","KAK1170997.1")</f>
        <v>KAK1170997.1</v>
      </c>
      <c r="D263">
        <v>28028</v>
      </c>
      <c r="E263" t="str">
        <f>HYPERLINK("http://www.ncbi.nlm.nih.gov/Taxonomy/Browser/wwwtax.cgi?mode=Info&amp;id=40147&amp;lvl=3&amp;lin=f&amp;keep=1&amp;srchmode=1&amp;unlock","40147")</f>
        <v>40147</v>
      </c>
      <c r="F263" t="s">
        <v>17</v>
      </c>
      <c r="G263" t="str">
        <f>HYPERLINK("http://www.ncbi.nlm.nih.gov/Taxonomy/Browser/wwwtax.cgi?mode=Info&amp;id=40147&amp;lvl=3&amp;lin=f&amp;keep=1&amp;srchmode=1&amp;unlock","Acipenser oxyrinchus oxyrinchus")</f>
        <v>Acipenser oxyrinchus oxyrinchus</v>
      </c>
      <c r="H263" t="s">
        <v>599</v>
      </c>
      <c r="I263" t="str">
        <f>HYPERLINK("http://www.ncbi.nlm.nih.gov/protein/KAK1170997.1","ryanodine receptor 2")</f>
        <v>ryanodine receptor 2</v>
      </c>
      <c r="J263" t="s">
        <v>1494</v>
      </c>
      <c r="K263" t="s">
        <v>19</v>
      </c>
      <c r="L263">
        <v>4482</v>
      </c>
      <c r="M263" t="s">
        <v>19</v>
      </c>
      <c r="N263" t="s">
        <v>19</v>
      </c>
      <c r="O263">
        <v>4485</v>
      </c>
      <c r="P263" t="s">
        <v>1486</v>
      </c>
      <c r="Q263" t="s">
        <v>19</v>
      </c>
      <c r="R263">
        <v>4486</v>
      </c>
      <c r="S263" t="s">
        <v>1495</v>
      </c>
      <c r="T263" t="s">
        <v>19</v>
      </c>
      <c r="U263">
        <v>4489</v>
      </c>
      <c r="V263" t="s">
        <v>1488</v>
      </c>
      <c r="W263" t="s">
        <v>19</v>
      </c>
      <c r="X263">
        <v>4570</v>
      </c>
      <c r="Y263" t="s">
        <v>1493</v>
      </c>
      <c r="Z263" t="s">
        <v>19</v>
      </c>
      <c r="AA263">
        <v>4705</v>
      </c>
      <c r="AB263" t="s">
        <v>19</v>
      </c>
      <c r="AC263" t="s">
        <v>19</v>
      </c>
      <c r="AD263">
        <v>4706</v>
      </c>
      <c r="AE263" t="s">
        <v>1488</v>
      </c>
      <c r="AF263" t="s">
        <v>19</v>
      </c>
      <c r="AG263">
        <v>4709</v>
      </c>
      <c r="AH263" t="s">
        <v>19</v>
      </c>
      <c r="AI263" t="s">
        <v>19</v>
      </c>
      <c r="AJ263">
        <v>4729</v>
      </c>
      <c r="AK263" t="s">
        <v>1490</v>
      </c>
      <c r="AL263" t="s">
        <v>19</v>
      </c>
      <c r="AM263">
        <v>4733</v>
      </c>
      <c r="AN263" t="s">
        <v>1491</v>
      </c>
      <c r="AO263" t="s">
        <v>19</v>
      </c>
    </row>
    <row r="264" spans="1:41" x14ac:dyDescent="0.45">
      <c r="A264" t="s">
        <v>1266</v>
      </c>
      <c r="B264">
        <v>8</v>
      </c>
      <c r="C264" t="str">
        <f>HYPERLINK("http://www.ncbi.nlm.nih.gov/protein/XP_053721789.1","XP_053721789.1")</f>
        <v>XP_053721789.1</v>
      </c>
      <c r="D264">
        <v>44916</v>
      </c>
      <c r="E264" t="str">
        <f>HYPERLINK("http://www.ncbi.nlm.nih.gov/Taxonomy/Browser/wwwtax.cgi?mode=Info&amp;id=270530&amp;lvl=3&amp;lin=f&amp;keep=1&amp;srchmode=1&amp;unlock","270530")</f>
        <v>270530</v>
      </c>
      <c r="F264" t="s">
        <v>17</v>
      </c>
      <c r="G264" t="str">
        <f>HYPERLINK("http://www.ncbi.nlm.nih.gov/Taxonomy/Browser/wwwtax.cgi?mode=Info&amp;id=270530&amp;lvl=3&amp;lin=f&amp;keep=1&amp;srchmode=1&amp;unlock","Synchiropus splendidus")</f>
        <v>Synchiropus splendidus</v>
      </c>
      <c r="H264" t="s">
        <v>134</v>
      </c>
      <c r="I264" t="str">
        <f>HYPERLINK("http://www.ncbi.nlm.nih.gov/protein/XP_053721789.1","ryanodine receptor 2 isoform X3")</f>
        <v>ryanodine receptor 2 isoform X3</v>
      </c>
      <c r="J264" t="s">
        <v>1494</v>
      </c>
      <c r="K264" t="s">
        <v>19</v>
      </c>
      <c r="L264">
        <v>4475</v>
      </c>
      <c r="M264" t="s">
        <v>19</v>
      </c>
      <c r="N264" t="s">
        <v>19</v>
      </c>
      <c r="O264">
        <v>4478</v>
      </c>
      <c r="P264" t="s">
        <v>1486</v>
      </c>
      <c r="Q264" t="s">
        <v>19</v>
      </c>
      <c r="R264">
        <v>4479</v>
      </c>
      <c r="S264" t="s">
        <v>1495</v>
      </c>
      <c r="T264" t="s">
        <v>19</v>
      </c>
      <c r="U264">
        <v>4482</v>
      </c>
      <c r="V264" t="s">
        <v>1488</v>
      </c>
      <c r="W264" t="s">
        <v>19</v>
      </c>
      <c r="X264">
        <v>4576</v>
      </c>
      <c r="Y264" t="s">
        <v>1493</v>
      </c>
      <c r="Z264" t="s">
        <v>19</v>
      </c>
      <c r="AA264">
        <v>4711</v>
      </c>
      <c r="AB264" t="s">
        <v>19</v>
      </c>
      <c r="AC264" t="s">
        <v>19</v>
      </c>
      <c r="AD264">
        <v>4712</v>
      </c>
      <c r="AE264" t="s">
        <v>1488</v>
      </c>
      <c r="AF264" t="s">
        <v>19</v>
      </c>
      <c r="AG264">
        <v>4715</v>
      </c>
      <c r="AH264" t="s">
        <v>19</v>
      </c>
      <c r="AI264" t="s">
        <v>19</v>
      </c>
      <c r="AJ264">
        <v>4735</v>
      </c>
      <c r="AK264" t="s">
        <v>1490</v>
      </c>
      <c r="AL264" t="s">
        <v>19</v>
      </c>
      <c r="AM264">
        <v>4739</v>
      </c>
      <c r="AN264" t="s">
        <v>1491</v>
      </c>
      <c r="AO264" t="s">
        <v>19</v>
      </c>
    </row>
    <row r="265" spans="1:41" x14ac:dyDescent="0.45">
      <c r="A265" t="s">
        <v>1266</v>
      </c>
      <c r="B265">
        <v>8</v>
      </c>
      <c r="C265" t="str">
        <f>HYPERLINK("http://www.ncbi.nlm.nih.gov/protein/XP_023274600.1","XP_023274600.1")</f>
        <v>XP_023274600.1</v>
      </c>
      <c r="D265">
        <v>38591</v>
      </c>
      <c r="E265" t="str">
        <f>HYPERLINK("http://www.ncbi.nlm.nih.gov/Taxonomy/Browser/wwwtax.cgi?mode=Info&amp;id=1841481&amp;lvl=3&amp;lin=f&amp;keep=1&amp;srchmode=1&amp;unlock","1841481")</f>
        <v>1841481</v>
      </c>
      <c r="F265" t="s">
        <v>17</v>
      </c>
      <c r="G265" t="str">
        <f>HYPERLINK("http://www.ncbi.nlm.nih.gov/Taxonomy/Browser/wwwtax.cgi?mode=Info&amp;id=1841481&amp;lvl=3&amp;lin=f&amp;keep=1&amp;srchmode=1&amp;unlock","Seriola lalandi dorsalis")</f>
        <v>Seriola lalandi dorsalis</v>
      </c>
      <c r="H265" t="s">
        <v>61</v>
      </c>
      <c r="I265" t="str">
        <f>HYPERLINK("http://www.ncbi.nlm.nih.gov/protein/XP_023274600.1","ryanodine receptor 2")</f>
        <v>ryanodine receptor 2</v>
      </c>
      <c r="J265" t="s">
        <v>1494</v>
      </c>
      <c r="K265" t="s">
        <v>19</v>
      </c>
      <c r="L265">
        <v>4434</v>
      </c>
      <c r="M265" t="s">
        <v>19</v>
      </c>
      <c r="N265" t="s">
        <v>19</v>
      </c>
      <c r="O265">
        <v>4437</v>
      </c>
      <c r="P265" t="s">
        <v>1486</v>
      </c>
      <c r="Q265" t="s">
        <v>19</v>
      </c>
      <c r="R265">
        <v>4438</v>
      </c>
      <c r="S265" t="s">
        <v>1495</v>
      </c>
      <c r="T265" t="s">
        <v>19</v>
      </c>
      <c r="U265">
        <v>4441</v>
      </c>
      <c r="V265" t="s">
        <v>1488</v>
      </c>
      <c r="W265" t="s">
        <v>19</v>
      </c>
      <c r="X265">
        <v>4537</v>
      </c>
      <c r="Y265" t="s">
        <v>1493</v>
      </c>
      <c r="Z265" t="s">
        <v>19</v>
      </c>
      <c r="AA265">
        <v>4672</v>
      </c>
      <c r="AB265" t="s">
        <v>19</v>
      </c>
      <c r="AC265" t="s">
        <v>19</v>
      </c>
      <c r="AD265">
        <v>4673</v>
      </c>
      <c r="AE265" t="s">
        <v>1488</v>
      </c>
      <c r="AF265" t="s">
        <v>19</v>
      </c>
      <c r="AG265">
        <v>4676</v>
      </c>
      <c r="AH265" t="s">
        <v>19</v>
      </c>
      <c r="AI265" t="s">
        <v>19</v>
      </c>
      <c r="AJ265">
        <v>4696</v>
      </c>
      <c r="AK265" t="s">
        <v>1490</v>
      </c>
      <c r="AL265" t="s">
        <v>19</v>
      </c>
      <c r="AM265">
        <v>4700</v>
      </c>
      <c r="AN265" t="s">
        <v>1491</v>
      </c>
      <c r="AO265" t="s">
        <v>19</v>
      </c>
    </row>
    <row r="266" spans="1:41" x14ac:dyDescent="0.45">
      <c r="A266" t="s">
        <v>1266</v>
      </c>
      <c r="B266">
        <v>8</v>
      </c>
      <c r="C266" t="str">
        <f>HYPERLINK("http://www.ncbi.nlm.nih.gov/protein/MBN3320313.1","MBN3320313.1")</f>
        <v>MBN3320313.1</v>
      </c>
      <c r="D266">
        <v>15567</v>
      </c>
      <c r="E266" t="str">
        <f>HYPERLINK("http://www.ncbi.nlm.nih.gov/Taxonomy/Browser/wwwtax.cgi?mode=Info&amp;id=7917&amp;lvl=3&amp;lin=f&amp;keep=1&amp;srchmode=1&amp;unlock","7917")</f>
        <v>7917</v>
      </c>
      <c r="F266" t="s">
        <v>17</v>
      </c>
      <c r="G266" t="str">
        <f>HYPERLINK("http://www.ncbi.nlm.nih.gov/Taxonomy/Browser/wwwtax.cgi?mode=Info&amp;id=7917&amp;lvl=3&amp;lin=f&amp;keep=1&amp;srchmode=1&amp;unlock","Atractosteus spatula")</f>
        <v>Atractosteus spatula</v>
      </c>
      <c r="H266" t="s">
        <v>498</v>
      </c>
      <c r="I266" t="str">
        <f>HYPERLINK("http://www.ncbi.nlm.nih.gov/protein/MBN3320313.1","RYR2 protein")</f>
        <v>RYR2 protein</v>
      </c>
      <c r="J266" t="s">
        <v>1494</v>
      </c>
      <c r="K266" t="s">
        <v>19</v>
      </c>
      <c r="L266">
        <v>4453</v>
      </c>
      <c r="M266" t="s">
        <v>19</v>
      </c>
      <c r="N266" t="s">
        <v>19</v>
      </c>
      <c r="O266">
        <v>4456</v>
      </c>
      <c r="P266" t="s">
        <v>1486</v>
      </c>
      <c r="Q266" t="s">
        <v>19</v>
      </c>
      <c r="R266">
        <v>4457</v>
      </c>
      <c r="S266" t="s">
        <v>1495</v>
      </c>
      <c r="T266" t="s">
        <v>19</v>
      </c>
      <c r="U266">
        <v>4460</v>
      </c>
      <c r="V266" t="s">
        <v>1488</v>
      </c>
      <c r="W266" t="s">
        <v>19</v>
      </c>
      <c r="X266">
        <v>4541</v>
      </c>
      <c r="Y266" t="s">
        <v>1493</v>
      </c>
      <c r="Z266" t="s">
        <v>19</v>
      </c>
      <c r="AA266">
        <v>4671</v>
      </c>
      <c r="AB266" t="s">
        <v>19</v>
      </c>
      <c r="AC266" t="s">
        <v>19</v>
      </c>
      <c r="AD266">
        <v>4672</v>
      </c>
      <c r="AE266" t="s">
        <v>1488</v>
      </c>
      <c r="AF266" t="s">
        <v>19</v>
      </c>
      <c r="AG266">
        <v>4675</v>
      </c>
      <c r="AH266" t="s">
        <v>19</v>
      </c>
      <c r="AI266" t="s">
        <v>19</v>
      </c>
      <c r="AJ266">
        <v>4695</v>
      </c>
      <c r="AK266" t="s">
        <v>1490</v>
      </c>
      <c r="AL266" t="s">
        <v>19</v>
      </c>
      <c r="AM266">
        <v>4699</v>
      </c>
      <c r="AN266" t="s">
        <v>1491</v>
      </c>
      <c r="AO266" t="s">
        <v>19</v>
      </c>
    </row>
    <row r="267" spans="1:41" x14ac:dyDescent="0.45">
      <c r="A267" t="s">
        <v>1266</v>
      </c>
      <c r="B267">
        <v>8</v>
      </c>
      <c r="C267" t="str">
        <f>HYPERLINK("http://www.ncbi.nlm.nih.gov/protein/XP_032358827.1","XP_032358827.1")</f>
        <v>XP_032358827.1</v>
      </c>
      <c r="D267">
        <v>64511</v>
      </c>
      <c r="E267" t="str">
        <f>HYPERLINK("http://www.ncbi.nlm.nih.gov/Taxonomy/Browser/wwwtax.cgi?mode=Info&amp;id=54343&amp;lvl=3&amp;lin=f&amp;keep=1&amp;srchmode=1&amp;unlock","54343")</f>
        <v>54343</v>
      </c>
      <c r="F267" t="s">
        <v>17</v>
      </c>
      <c r="G267" t="str">
        <f>HYPERLINK("http://www.ncbi.nlm.nih.gov/Taxonomy/Browser/wwwtax.cgi?mode=Info&amp;id=54343&amp;lvl=3&amp;lin=f&amp;keep=1&amp;srchmode=1&amp;unlock","Etheostoma spectabile")</f>
        <v>Etheostoma spectabile</v>
      </c>
      <c r="H267" t="s">
        <v>89</v>
      </c>
      <c r="I267" t="str">
        <f>HYPERLINK("http://www.ncbi.nlm.nih.gov/protein/XP_032358827.1","ryanodine receptor 2")</f>
        <v>ryanodine receptor 2</v>
      </c>
      <c r="J267" t="s">
        <v>1494</v>
      </c>
      <c r="K267" t="s">
        <v>19</v>
      </c>
      <c r="L267">
        <v>4418</v>
      </c>
      <c r="M267" t="s">
        <v>19</v>
      </c>
      <c r="N267" t="s">
        <v>19</v>
      </c>
      <c r="O267">
        <v>4421</v>
      </c>
      <c r="P267" t="s">
        <v>1486</v>
      </c>
      <c r="Q267" t="s">
        <v>19</v>
      </c>
      <c r="R267">
        <v>4422</v>
      </c>
      <c r="S267" t="s">
        <v>1495</v>
      </c>
      <c r="T267" t="s">
        <v>19</v>
      </c>
      <c r="U267">
        <v>4425</v>
      </c>
      <c r="V267" t="s">
        <v>1488</v>
      </c>
      <c r="W267" t="s">
        <v>19</v>
      </c>
      <c r="X267">
        <v>4521</v>
      </c>
      <c r="Y267" t="s">
        <v>1493</v>
      </c>
      <c r="Z267" t="s">
        <v>19</v>
      </c>
      <c r="AA267">
        <v>4656</v>
      </c>
      <c r="AB267" t="s">
        <v>19</v>
      </c>
      <c r="AC267" t="s">
        <v>19</v>
      </c>
      <c r="AD267">
        <v>4657</v>
      </c>
      <c r="AE267" t="s">
        <v>1488</v>
      </c>
      <c r="AF267" t="s">
        <v>19</v>
      </c>
      <c r="AG267">
        <v>4660</v>
      </c>
      <c r="AH267" t="s">
        <v>19</v>
      </c>
      <c r="AI267" t="s">
        <v>19</v>
      </c>
      <c r="AJ267">
        <v>4680</v>
      </c>
      <c r="AK267" t="s">
        <v>1490</v>
      </c>
      <c r="AL267" t="s">
        <v>19</v>
      </c>
      <c r="AM267">
        <v>4684</v>
      </c>
      <c r="AN267" t="s">
        <v>1491</v>
      </c>
      <c r="AO267" t="s">
        <v>19</v>
      </c>
    </row>
    <row r="268" spans="1:41" x14ac:dyDescent="0.45">
      <c r="A268" t="s">
        <v>1266</v>
      </c>
      <c r="B268">
        <v>8</v>
      </c>
      <c r="C268" t="str">
        <f>HYPERLINK("http://www.ncbi.nlm.nih.gov/protein/XP_034715421.1","XP_034715421.1")</f>
        <v>XP_034715421.1</v>
      </c>
      <c r="D268">
        <v>45233</v>
      </c>
      <c r="E268" t="str">
        <f>HYPERLINK("http://www.ncbi.nlm.nih.gov/Taxonomy/Browser/wwwtax.cgi?mode=Info&amp;id=417921&amp;lvl=3&amp;lin=f&amp;keep=1&amp;srchmode=1&amp;unlock","417921")</f>
        <v>417921</v>
      </c>
      <c r="F268" t="s">
        <v>17</v>
      </c>
      <c r="G268" t="str">
        <f>HYPERLINK("http://www.ncbi.nlm.nih.gov/Taxonomy/Browser/wwwtax.cgi?mode=Info&amp;id=417921&amp;lvl=3&amp;lin=f&amp;keep=1&amp;srchmode=1&amp;unlock","Etheostoma cragini")</f>
        <v>Etheostoma cragini</v>
      </c>
      <c r="H268" t="s">
        <v>76</v>
      </c>
      <c r="I268" t="str">
        <f>HYPERLINK("http://www.ncbi.nlm.nih.gov/protein/XP_034715421.1","ryanodine receptor 2 isoform X1")</f>
        <v>ryanodine receptor 2 isoform X1</v>
      </c>
      <c r="J268" t="s">
        <v>1494</v>
      </c>
      <c r="K268" t="s">
        <v>19</v>
      </c>
      <c r="L268">
        <v>4402</v>
      </c>
      <c r="M268" t="s">
        <v>19</v>
      </c>
      <c r="N268" t="s">
        <v>19</v>
      </c>
      <c r="O268">
        <v>4405</v>
      </c>
      <c r="P268" t="s">
        <v>1486</v>
      </c>
      <c r="Q268" t="s">
        <v>19</v>
      </c>
      <c r="R268">
        <v>4406</v>
      </c>
      <c r="S268" t="s">
        <v>1495</v>
      </c>
      <c r="T268" t="s">
        <v>19</v>
      </c>
      <c r="U268">
        <v>4409</v>
      </c>
      <c r="V268" t="s">
        <v>1488</v>
      </c>
      <c r="W268" t="s">
        <v>19</v>
      </c>
      <c r="X268">
        <v>4505</v>
      </c>
      <c r="Y268" t="s">
        <v>1493</v>
      </c>
      <c r="Z268" t="s">
        <v>19</v>
      </c>
      <c r="AA268">
        <v>4640</v>
      </c>
      <c r="AB268" t="s">
        <v>19</v>
      </c>
      <c r="AC268" t="s">
        <v>19</v>
      </c>
      <c r="AD268">
        <v>4641</v>
      </c>
      <c r="AE268" t="s">
        <v>1488</v>
      </c>
      <c r="AF268" t="s">
        <v>19</v>
      </c>
      <c r="AG268">
        <v>4644</v>
      </c>
      <c r="AH268" t="s">
        <v>19</v>
      </c>
      <c r="AI268" t="s">
        <v>19</v>
      </c>
      <c r="AJ268">
        <v>4664</v>
      </c>
      <c r="AK268" t="s">
        <v>1490</v>
      </c>
      <c r="AL268" t="s">
        <v>19</v>
      </c>
      <c r="AM268">
        <v>4668</v>
      </c>
      <c r="AN268" t="s">
        <v>1491</v>
      </c>
      <c r="AO268" t="s">
        <v>19</v>
      </c>
    </row>
    <row r="269" spans="1:41" x14ac:dyDescent="0.45">
      <c r="A269" t="s">
        <v>1266</v>
      </c>
      <c r="B269">
        <v>8</v>
      </c>
      <c r="C269" t="str">
        <f>HYPERLINK("http://www.ncbi.nlm.nih.gov/protein/XP_041671593.1","XP_041671593.1")</f>
        <v>XP_041671593.1</v>
      </c>
      <c r="D269">
        <v>40157</v>
      </c>
      <c r="E269" t="str">
        <f>HYPERLINK("http://www.ncbi.nlm.nih.gov/Taxonomy/Browser/wwwtax.cgi?mode=Info&amp;id=241271&amp;lvl=3&amp;lin=f&amp;keep=1&amp;srchmode=1&amp;unlock","241271")</f>
        <v>241271</v>
      </c>
      <c r="F269" t="s">
        <v>17</v>
      </c>
      <c r="G269" t="str">
        <f>HYPERLINK("http://www.ncbi.nlm.nih.gov/Taxonomy/Browser/wwwtax.cgi?mode=Info&amp;id=241271&amp;lvl=3&amp;lin=f&amp;keep=1&amp;srchmode=1&amp;unlock","Cheilinus undulatus")</f>
        <v>Cheilinus undulatus</v>
      </c>
      <c r="H269" t="s">
        <v>686</v>
      </c>
      <c r="I269" t="str">
        <f>HYPERLINK("http://www.ncbi.nlm.nih.gov/protein/XP_041671593.1","ryanodine receptor 2")</f>
        <v>ryanodine receptor 2</v>
      </c>
      <c r="J269" t="s">
        <v>1494</v>
      </c>
      <c r="K269" t="s">
        <v>19</v>
      </c>
      <c r="L269">
        <v>4486</v>
      </c>
      <c r="M269" t="s">
        <v>19</v>
      </c>
      <c r="N269" t="s">
        <v>19</v>
      </c>
      <c r="O269">
        <v>4489</v>
      </c>
      <c r="P269" t="s">
        <v>1486</v>
      </c>
      <c r="Q269" t="s">
        <v>19</v>
      </c>
      <c r="R269">
        <v>4490</v>
      </c>
      <c r="S269" t="s">
        <v>1495</v>
      </c>
      <c r="T269" t="s">
        <v>19</v>
      </c>
      <c r="U269">
        <v>4493</v>
      </c>
      <c r="V269" t="s">
        <v>1488</v>
      </c>
      <c r="W269" t="s">
        <v>19</v>
      </c>
      <c r="X269">
        <v>4590</v>
      </c>
      <c r="Y269" t="s">
        <v>1493</v>
      </c>
      <c r="Z269" t="s">
        <v>19</v>
      </c>
      <c r="AA269">
        <v>4725</v>
      </c>
      <c r="AB269" t="s">
        <v>19</v>
      </c>
      <c r="AC269" t="s">
        <v>19</v>
      </c>
      <c r="AD269">
        <v>4726</v>
      </c>
      <c r="AE269" t="s">
        <v>1488</v>
      </c>
      <c r="AF269" t="s">
        <v>19</v>
      </c>
      <c r="AG269">
        <v>4729</v>
      </c>
      <c r="AH269" t="s">
        <v>19</v>
      </c>
      <c r="AI269" t="s">
        <v>19</v>
      </c>
      <c r="AJ269">
        <v>4749</v>
      </c>
      <c r="AK269" t="s">
        <v>1490</v>
      </c>
      <c r="AL269" t="s">
        <v>19</v>
      </c>
      <c r="AM269">
        <v>4753</v>
      </c>
      <c r="AN269" t="s">
        <v>1491</v>
      </c>
      <c r="AO269" t="s">
        <v>19</v>
      </c>
    </row>
    <row r="270" spans="1:41" x14ac:dyDescent="0.45">
      <c r="A270" t="s">
        <v>1266</v>
      </c>
      <c r="B270">
        <v>8</v>
      </c>
      <c r="C270" t="str">
        <f>HYPERLINK("http://www.ncbi.nlm.nih.gov/protein/XP_024119162.1","XP_024119162.1")</f>
        <v>XP_024119162.1</v>
      </c>
      <c r="D270">
        <v>69270</v>
      </c>
      <c r="E270" t="str">
        <f>HYPERLINK("http://www.ncbi.nlm.nih.gov/Taxonomy/Browser/wwwtax.cgi?mode=Info&amp;id=30732&amp;lvl=3&amp;lin=f&amp;keep=1&amp;srchmode=1&amp;unlock","30732")</f>
        <v>30732</v>
      </c>
      <c r="F270" t="s">
        <v>17</v>
      </c>
      <c r="G270" t="str">
        <f>HYPERLINK("http://www.ncbi.nlm.nih.gov/Taxonomy/Browser/wwwtax.cgi?mode=Info&amp;id=30732&amp;lvl=3&amp;lin=f&amp;keep=1&amp;srchmode=1&amp;unlock","Oryzias melastigma")</f>
        <v>Oryzias melastigma</v>
      </c>
      <c r="H270" t="s">
        <v>69</v>
      </c>
      <c r="I270" t="str">
        <f>HYPERLINK("http://www.ncbi.nlm.nih.gov/protein/XP_024119162.1","ryanodine receptor 2 isoform X1")</f>
        <v>ryanodine receptor 2 isoform X1</v>
      </c>
      <c r="J270" t="s">
        <v>1494</v>
      </c>
      <c r="K270" t="s">
        <v>19</v>
      </c>
      <c r="L270">
        <v>4501</v>
      </c>
      <c r="M270" t="s">
        <v>19</v>
      </c>
      <c r="N270" t="s">
        <v>19</v>
      </c>
      <c r="O270">
        <v>4504</v>
      </c>
      <c r="P270" t="s">
        <v>1486</v>
      </c>
      <c r="Q270" t="s">
        <v>19</v>
      </c>
      <c r="R270">
        <v>4505</v>
      </c>
      <c r="S270" t="s">
        <v>1495</v>
      </c>
      <c r="T270" t="s">
        <v>19</v>
      </c>
      <c r="U270">
        <v>4508</v>
      </c>
      <c r="V270" t="s">
        <v>1488</v>
      </c>
      <c r="W270" t="s">
        <v>19</v>
      </c>
      <c r="X270">
        <v>4602</v>
      </c>
      <c r="Y270" t="s">
        <v>1493</v>
      </c>
      <c r="Z270" t="s">
        <v>19</v>
      </c>
      <c r="AA270">
        <v>4737</v>
      </c>
      <c r="AB270" t="s">
        <v>19</v>
      </c>
      <c r="AC270" t="s">
        <v>19</v>
      </c>
      <c r="AD270">
        <v>4738</v>
      </c>
      <c r="AE270" t="s">
        <v>1488</v>
      </c>
      <c r="AF270" t="s">
        <v>19</v>
      </c>
      <c r="AG270">
        <v>4741</v>
      </c>
      <c r="AH270" t="s">
        <v>19</v>
      </c>
      <c r="AI270" t="s">
        <v>19</v>
      </c>
      <c r="AJ270">
        <v>4761</v>
      </c>
      <c r="AK270" t="s">
        <v>1490</v>
      </c>
      <c r="AL270" t="s">
        <v>19</v>
      </c>
      <c r="AM270">
        <v>4765</v>
      </c>
      <c r="AN270" t="s">
        <v>1491</v>
      </c>
      <c r="AO270" t="s">
        <v>19</v>
      </c>
    </row>
    <row r="271" spans="1:41" x14ac:dyDescent="0.45">
      <c r="A271" t="s">
        <v>1266</v>
      </c>
      <c r="B271">
        <v>8</v>
      </c>
      <c r="C271" t="str">
        <f>HYPERLINK("http://www.ncbi.nlm.nih.gov/protein/XP_030196346.1","XP_030196346.1")</f>
        <v>XP_030196346.1</v>
      </c>
      <c r="D271">
        <v>47359</v>
      </c>
      <c r="E271" t="str">
        <f>HYPERLINK("http://www.ncbi.nlm.nih.gov/Taxonomy/Browser/wwwtax.cgi?mode=Info&amp;id=8049&amp;lvl=3&amp;lin=f&amp;keep=1&amp;srchmode=1&amp;unlock","8049")</f>
        <v>8049</v>
      </c>
      <c r="F271" t="s">
        <v>17</v>
      </c>
      <c r="G271" t="str">
        <f>HYPERLINK("http://www.ncbi.nlm.nih.gov/Taxonomy/Browser/wwwtax.cgi?mode=Info&amp;id=8049&amp;lvl=3&amp;lin=f&amp;keep=1&amp;srchmode=1&amp;unlock","Gadus morhua")</f>
        <v>Gadus morhua</v>
      </c>
      <c r="H271" t="s">
        <v>165</v>
      </c>
      <c r="I271" t="str">
        <f>HYPERLINK("http://www.ncbi.nlm.nih.gov/protein/XP_030196346.1","ryanodine receptor 2 isoform X1")</f>
        <v>ryanodine receptor 2 isoform X1</v>
      </c>
      <c r="J271" t="s">
        <v>1494</v>
      </c>
      <c r="K271" t="s">
        <v>19</v>
      </c>
      <c r="L271">
        <v>4498</v>
      </c>
      <c r="M271" t="s">
        <v>19</v>
      </c>
      <c r="N271" t="s">
        <v>19</v>
      </c>
      <c r="O271">
        <v>4501</v>
      </c>
      <c r="P271" t="s">
        <v>1486</v>
      </c>
      <c r="Q271" t="s">
        <v>19</v>
      </c>
      <c r="R271">
        <v>4502</v>
      </c>
      <c r="S271" t="s">
        <v>1495</v>
      </c>
      <c r="T271" t="s">
        <v>19</v>
      </c>
      <c r="U271">
        <v>4505</v>
      </c>
      <c r="V271" t="s">
        <v>1488</v>
      </c>
      <c r="W271" t="s">
        <v>19</v>
      </c>
      <c r="X271">
        <v>4595</v>
      </c>
      <c r="Y271" t="s">
        <v>1493</v>
      </c>
      <c r="Z271" t="s">
        <v>19</v>
      </c>
      <c r="AA271">
        <v>4730</v>
      </c>
      <c r="AB271" t="s">
        <v>19</v>
      </c>
      <c r="AC271" t="s">
        <v>19</v>
      </c>
      <c r="AD271">
        <v>4731</v>
      </c>
      <c r="AE271" t="s">
        <v>1488</v>
      </c>
      <c r="AF271" t="s">
        <v>19</v>
      </c>
      <c r="AG271">
        <v>4734</v>
      </c>
      <c r="AH271" t="s">
        <v>19</v>
      </c>
      <c r="AI271" t="s">
        <v>19</v>
      </c>
      <c r="AJ271">
        <v>4754</v>
      </c>
      <c r="AK271" t="s">
        <v>1490</v>
      </c>
      <c r="AL271" t="s">
        <v>19</v>
      </c>
      <c r="AM271">
        <v>4758</v>
      </c>
      <c r="AN271" t="s">
        <v>1491</v>
      </c>
      <c r="AO271" t="s">
        <v>19</v>
      </c>
    </row>
    <row r="272" spans="1:41" x14ac:dyDescent="0.45">
      <c r="A272" t="s">
        <v>1266</v>
      </c>
      <c r="B272">
        <v>8</v>
      </c>
      <c r="C272" t="str">
        <f>HYPERLINK("http://www.ncbi.nlm.nih.gov/protein/XP_047465592.1","XP_047465592.1")</f>
        <v>XP_047465592.1</v>
      </c>
      <c r="D272">
        <v>45447</v>
      </c>
      <c r="E272" t="str">
        <f>HYPERLINK("http://www.ncbi.nlm.nih.gov/Taxonomy/Browser/wwwtax.cgi?mode=Info&amp;id=48193&amp;lvl=3&amp;lin=f&amp;keep=1&amp;srchmode=1&amp;unlock","48193")</f>
        <v>48193</v>
      </c>
      <c r="F272" t="s">
        <v>17</v>
      </c>
      <c r="G272" t="str">
        <f>HYPERLINK("http://www.ncbi.nlm.nih.gov/Taxonomy/Browser/wwwtax.cgi?mode=Info&amp;id=48193&amp;lvl=3&amp;lin=f&amp;keep=1&amp;srchmode=1&amp;unlock","Mugil cephalus")</f>
        <v>Mugil cephalus</v>
      </c>
      <c r="H272" t="s">
        <v>68</v>
      </c>
      <c r="I272" t="str">
        <f>HYPERLINK("http://www.ncbi.nlm.nih.gov/protein/XP_047465592.1","ryanodine receptor 2 isoform X5")</f>
        <v>ryanodine receptor 2 isoform X5</v>
      </c>
      <c r="J272" t="s">
        <v>1494</v>
      </c>
      <c r="K272" t="s">
        <v>19</v>
      </c>
      <c r="L272">
        <v>4480</v>
      </c>
      <c r="M272" t="s">
        <v>19</v>
      </c>
      <c r="N272" t="s">
        <v>19</v>
      </c>
      <c r="O272">
        <v>4483</v>
      </c>
      <c r="P272" t="s">
        <v>1486</v>
      </c>
      <c r="Q272" t="s">
        <v>19</v>
      </c>
      <c r="R272">
        <v>4484</v>
      </c>
      <c r="S272" t="s">
        <v>1495</v>
      </c>
      <c r="T272" t="s">
        <v>19</v>
      </c>
      <c r="U272">
        <v>4487</v>
      </c>
      <c r="V272" t="s">
        <v>1488</v>
      </c>
      <c r="W272" t="s">
        <v>19</v>
      </c>
      <c r="X272">
        <v>4583</v>
      </c>
      <c r="Y272" t="s">
        <v>1493</v>
      </c>
      <c r="Z272" t="s">
        <v>19</v>
      </c>
      <c r="AA272">
        <v>4718</v>
      </c>
      <c r="AB272" t="s">
        <v>19</v>
      </c>
      <c r="AC272" t="s">
        <v>19</v>
      </c>
      <c r="AD272">
        <v>4719</v>
      </c>
      <c r="AE272" t="s">
        <v>1488</v>
      </c>
      <c r="AF272" t="s">
        <v>19</v>
      </c>
      <c r="AG272">
        <v>4722</v>
      </c>
      <c r="AH272" t="s">
        <v>19</v>
      </c>
      <c r="AI272" t="s">
        <v>19</v>
      </c>
      <c r="AJ272">
        <v>4742</v>
      </c>
      <c r="AK272" t="s">
        <v>1490</v>
      </c>
      <c r="AL272" t="s">
        <v>19</v>
      </c>
      <c r="AM272">
        <v>4746</v>
      </c>
      <c r="AN272" t="s">
        <v>1491</v>
      </c>
      <c r="AO272" t="s">
        <v>19</v>
      </c>
    </row>
    <row r="273" spans="1:41" x14ac:dyDescent="0.45">
      <c r="A273" t="s">
        <v>1266</v>
      </c>
      <c r="B273">
        <v>8</v>
      </c>
      <c r="C273" t="str">
        <f>HYPERLINK("http://www.ncbi.nlm.nih.gov/protein/XP_059893056.1","XP_059893056.1")</f>
        <v>XP_059893056.1</v>
      </c>
      <c r="D273">
        <v>42356</v>
      </c>
      <c r="E273" t="str">
        <f>HYPERLINK("http://www.ncbi.nlm.nih.gov/Taxonomy/Browser/wwwtax.cgi?mode=Info&amp;id=80720&amp;lvl=3&amp;lin=f&amp;keep=1&amp;srchmode=1&amp;unlock","80720")</f>
        <v>80720</v>
      </c>
      <c r="F273" t="s">
        <v>17</v>
      </c>
      <c r="G273" t="str">
        <f>HYPERLINK("http://www.ncbi.nlm.nih.gov/Taxonomy/Browser/wwwtax.cgi?mode=Info&amp;id=80720&amp;lvl=3&amp;lin=f&amp;keep=1&amp;srchmode=1&amp;unlock","Gadus macrocephalus")</f>
        <v>Gadus macrocephalus</v>
      </c>
      <c r="H273" t="s">
        <v>168</v>
      </c>
      <c r="I273" t="str">
        <f>HYPERLINK("http://www.ncbi.nlm.nih.gov/protein/XP_059893056.1","ryanodine receptor 2-like")</f>
        <v>ryanodine receptor 2-like</v>
      </c>
      <c r="J273" t="s">
        <v>1494</v>
      </c>
      <c r="K273" t="s">
        <v>19</v>
      </c>
      <c r="L273">
        <v>4487</v>
      </c>
      <c r="M273" t="s">
        <v>19</v>
      </c>
      <c r="N273" t="s">
        <v>19</v>
      </c>
      <c r="O273">
        <v>4490</v>
      </c>
      <c r="P273" t="s">
        <v>1486</v>
      </c>
      <c r="Q273" t="s">
        <v>19</v>
      </c>
      <c r="R273">
        <v>4491</v>
      </c>
      <c r="S273" t="s">
        <v>1495</v>
      </c>
      <c r="T273" t="s">
        <v>19</v>
      </c>
      <c r="U273">
        <v>4494</v>
      </c>
      <c r="V273" t="s">
        <v>1488</v>
      </c>
      <c r="W273" t="s">
        <v>19</v>
      </c>
      <c r="X273">
        <v>4584</v>
      </c>
      <c r="Y273" t="s">
        <v>1493</v>
      </c>
      <c r="Z273" t="s">
        <v>19</v>
      </c>
      <c r="AA273">
        <v>4719</v>
      </c>
      <c r="AB273" t="s">
        <v>19</v>
      </c>
      <c r="AC273" t="s">
        <v>19</v>
      </c>
      <c r="AD273">
        <v>4720</v>
      </c>
      <c r="AE273" t="s">
        <v>1488</v>
      </c>
      <c r="AF273" t="s">
        <v>19</v>
      </c>
      <c r="AG273">
        <v>4723</v>
      </c>
      <c r="AH273" t="s">
        <v>19</v>
      </c>
      <c r="AI273" t="s">
        <v>19</v>
      </c>
      <c r="AJ273">
        <v>4743</v>
      </c>
      <c r="AK273" t="s">
        <v>1490</v>
      </c>
      <c r="AL273" t="s">
        <v>19</v>
      </c>
      <c r="AM273">
        <v>4747</v>
      </c>
      <c r="AN273" t="s">
        <v>1491</v>
      </c>
      <c r="AO273" t="s">
        <v>19</v>
      </c>
    </row>
    <row r="274" spans="1:41" x14ac:dyDescent="0.45">
      <c r="A274" t="s">
        <v>1266</v>
      </c>
      <c r="B274">
        <v>8</v>
      </c>
      <c r="C274" t="str">
        <f>HYPERLINK("http://www.ncbi.nlm.nih.gov/protein/XP_056432662.1","XP_056432662.1")</f>
        <v>XP_056432662.1</v>
      </c>
      <c r="D274">
        <v>37803</v>
      </c>
      <c r="E274" t="str">
        <f>HYPERLINK("http://www.ncbi.nlm.nih.gov/Taxonomy/Browser/wwwtax.cgi?mode=Info&amp;id=1042646&amp;lvl=3&amp;lin=f&amp;keep=1&amp;srchmode=1&amp;unlock","1042646")</f>
        <v>1042646</v>
      </c>
      <c r="F274" t="s">
        <v>17</v>
      </c>
      <c r="G274" t="str">
        <f>HYPERLINK("http://www.ncbi.nlm.nih.gov/Taxonomy/Browser/wwwtax.cgi?mode=Info&amp;id=1042646&amp;lvl=3&amp;lin=f&amp;keep=1&amp;srchmode=1&amp;unlock","Gadus chalcogrammus")</f>
        <v>Gadus chalcogrammus</v>
      </c>
      <c r="H274" t="s">
        <v>501</v>
      </c>
      <c r="I274" t="str">
        <f>HYPERLINK("http://www.ncbi.nlm.nih.gov/protein/XP_056432662.1","ryanodine receptor 2")</f>
        <v>ryanodine receptor 2</v>
      </c>
      <c r="J274" t="s">
        <v>1494</v>
      </c>
      <c r="K274" t="s">
        <v>19</v>
      </c>
      <c r="L274">
        <v>4495</v>
      </c>
      <c r="M274" t="s">
        <v>19</v>
      </c>
      <c r="N274" t="s">
        <v>19</v>
      </c>
      <c r="O274">
        <v>4498</v>
      </c>
      <c r="P274" t="s">
        <v>1486</v>
      </c>
      <c r="Q274" t="s">
        <v>19</v>
      </c>
      <c r="R274">
        <v>4499</v>
      </c>
      <c r="S274" t="s">
        <v>1495</v>
      </c>
      <c r="T274" t="s">
        <v>19</v>
      </c>
      <c r="U274">
        <v>4502</v>
      </c>
      <c r="V274" t="s">
        <v>1488</v>
      </c>
      <c r="W274" t="s">
        <v>19</v>
      </c>
      <c r="X274">
        <v>4592</v>
      </c>
      <c r="Y274" t="s">
        <v>1493</v>
      </c>
      <c r="Z274" t="s">
        <v>19</v>
      </c>
      <c r="AA274">
        <v>4727</v>
      </c>
      <c r="AB274" t="s">
        <v>19</v>
      </c>
      <c r="AC274" t="s">
        <v>19</v>
      </c>
      <c r="AD274">
        <v>4728</v>
      </c>
      <c r="AE274" t="s">
        <v>1488</v>
      </c>
      <c r="AF274" t="s">
        <v>19</v>
      </c>
      <c r="AG274">
        <v>4731</v>
      </c>
      <c r="AH274" t="s">
        <v>19</v>
      </c>
      <c r="AI274" t="s">
        <v>19</v>
      </c>
      <c r="AJ274">
        <v>4751</v>
      </c>
      <c r="AK274" t="s">
        <v>1490</v>
      </c>
      <c r="AL274" t="s">
        <v>19</v>
      </c>
      <c r="AM274">
        <v>4755</v>
      </c>
      <c r="AN274" t="s">
        <v>1491</v>
      </c>
      <c r="AO274" t="s">
        <v>19</v>
      </c>
    </row>
    <row r="275" spans="1:41" x14ac:dyDescent="0.45">
      <c r="A275" t="s">
        <v>1266</v>
      </c>
      <c r="B275">
        <v>8</v>
      </c>
      <c r="C275" t="str">
        <f>HYPERLINK("http://www.ncbi.nlm.nih.gov/protein/XP_039472192.1","XP_039472192.1")</f>
        <v>XP_039472192.1</v>
      </c>
      <c r="D275">
        <v>49867</v>
      </c>
      <c r="E275" t="str">
        <f>HYPERLINK("http://www.ncbi.nlm.nih.gov/Taxonomy/Browser/wwwtax.cgi?mode=Info&amp;id=47969&amp;lvl=3&amp;lin=f&amp;keep=1&amp;srchmode=1&amp;unlock","47969")</f>
        <v>47969</v>
      </c>
      <c r="F275" t="s">
        <v>17</v>
      </c>
      <c r="G275" t="str">
        <f>HYPERLINK("http://www.ncbi.nlm.nih.gov/Taxonomy/Browser/wwwtax.cgi?mode=Info&amp;id=47969&amp;lvl=3&amp;lin=f&amp;keep=1&amp;srchmode=1&amp;unlock","Oreochromis aureus")</f>
        <v>Oreochromis aureus</v>
      </c>
      <c r="H275" t="s">
        <v>93</v>
      </c>
      <c r="I275" t="str">
        <f>HYPERLINK("http://www.ncbi.nlm.nih.gov/protein/XP_039472192.1","LOW QUALITY PROTEIN: ryanodine receptor 2")</f>
        <v>LOW QUALITY PROTEIN: ryanodine receptor 2</v>
      </c>
      <c r="J275" t="s">
        <v>1494</v>
      </c>
      <c r="K275" t="s">
        <v>19</v>
      </c>
      <c r="L275">
        <v>4469</v>
      </c>
      <c r="M275" t="s">
        <v>19</v>
      </c>
      <c r="N275" t="s">
        <v>19</v>
      </c>
      <c r="O275">
        <v>4472</v>
      </c>
      <c r="P275" t="s">
        <v>1486</v>
      </c>
      <c r="Q275" t="s">
        <v>19</v>
      </c>
      <c r="R275">
        <v>4473</v>
      </c>
      <c r="S275" t="s">
        <v>1495</v>
      </c>
      <c r="T275" t="s">
        <v>19</v>
      </c>
      <c r="U275">
        <v>4476</v>
      </c>
      <c r="V275" t="s">
        <v>1488</v>
      </c>
      <c r="W275" t="s">
        <v>19</v>
      </c>
      <c r="X275">
        <v>4571</v>
      </c>
      <c r="Y275" t="s">
        <v>1493</v>
      </c>
      <c r="Z275" t="s">
        <v>19</v>
      </c>
      <c r="AA275">
        <v>4706</v>
      </c>
      <c r="AB275" t="s">
        <v>19</v>
      </c>
      <c r="AC275" t="s">
        <v>19</v>
      </c>
      <c r="AD275">
        <v>4707</v>
      </c>
      <c r="AE275" t="s">
        <v>1488</v>
      </c>
      <c r="AF275" t="s">
        <v>19</v>
      </c>
      <c r="AG275">
        <v>4710</v>
      </c>
      <c r="AH275" t="s">
        <v>19</v>
      </c>
      <c r="AI275" t="s">
        <v>19</v>
      </c>
      <c r="AJ275">
        <v>4730</v>
      </c>
      <c r="AK275" t="s">
        <v>1490</v>
      </c>
      <c r="AL275" t="s">
        <v>19</v>
      </c>
      <c r="AM275">
        <v>4734</v>
      </c>
      <c r="AN275" t="s">
        <v>1491</v>
      </c>
      <c r="AO275" t="s">
        <v>19</v>
      </c>
    </row>
    <row r="276" spans="1:41" x14ac:dyDescent="0.45">
      <c r="A276" t="s">
        <v>1266</v>
      </c>
      <c r="B276">
        <v>8</v>
      </c>
      <c r="C276" t="str">
        <f>HYPERLINK("http://www.ncbi.nlm.nih.gov/protein/XP_033975526.1","XP_033975526.1")</f>
        <v>XP_033975526.1</v>
      </c>
      <c r="D276">
        <v>41311</v>
      </c>
      <c r="E276" t="str">
        <f>HYPERLINK("http://www.ncbi.nlm.nih.gov/Taxonomy/Browser/wwwtax.cgi?mode=Info&amp;id=40690&amp;lvl=3&amp;lin=f&amp;keep=1&amp;srchmode=1&amp;unlock","40690")</f>
        <v>40690</v>
      </c>
      <c r="F276" t="s">
        <v>17</v>
      </c>
      <c r="G276" t="str">
        <f>HYPERLINK("http://www.ncbi.nlm.nih.gov/Taxonomy/Browser/wwwtax.cgi?mode=Info&amp;id=40690&amp;lvl=3&amp;lin=f&amp;keep=1&amp;srchmode=1&amp;unlock","Trematomus bernacchii")</f>
        <v>Trematomus bernacchii</v>
      </c>
      <c r="H276" t="s">
        <v>167</v>
      </c>
      <c r="I276" t="str">
        <f>HYPERLINK("http://www.ncbi.nlm.nih.gov/protein/XP_033975526.1","ryanodine receptor 2")</f>
        <v>ryanodine receptor 2</v>
      </c>
      <c r="J276" t="s">
        <v>1494</v>
      </c>
      <c r="K276" t="s">
        <v>19</v>
      </c>
      <c r="L276">
        <v>4354</v>
      </c>
      <c r="M276" t="s">
        <v>19</v>
      </c>
      <c r="N276" t="s">
        <v>19</v>
      </c>
      <c r="O276">
        <v>4357</v>
      </c>
      <c r="P276" t="s">
        <v>1486</v>
      </c>
      <c r="Q276" t="s">
        <v>19</v>
      </c>
      <c r="R276">
        <v>4358</v>
      </c>
      <c r="S276" t="s">
        <v>1495</v>
      </c>
      <c r="T276" t="s">
        <v>19</v>
      </c>
      <c r="U276">
        <v>4361</v>
      </c>
      <c r="V276" t="s">
        <v>1488</v>
      </c>
      <c r="W276" t="s">
        <v>19</v>
      </c>
      <c r="X276">
        <v>4457</v>
      </c>
      <c r="Y276" t="s">
        <v>1493</v>
      </c>
      <c r="Z276" t="s">
        <v>19</v>
      </c>
      <c r="AA276">
        <v>4592</v>
      </c>
      <c r="AB276" t="s">
        <v>19</v>
      </c>
      <c r="AC276" t="s">
        <v>19</v>
      </c>
      <c r="AD276">
        <v>4593</v>
      </c>
      <c r="AE276" t="s">
        <v>1488</v>
      </c>
      <c r="AF276" t="s">
        <v>19</v>
      </c>
      <c r="AG276">
        <v>4596</v>
      </c>
      <c r="AH276" t="s">
        <v>19</v>
      </c>
      <c r="AI276" t="s">
        <v>19</v>
      </c>
      <c r="AJ276">
        <v>4616</v>
      </c>
      <c r="AK276" t="s">
        <v>1490</v>
      </c>
      <c r="AL276" t="s">
        <v>19</v>
      </c>
      <c r="AM276">
        <v>4620</v>
      </c>
      <c r="AN276" t="s">
        <v>1491</v>
      </c>
      <c r="AO276" t="s">
        <v>19</v>
      </c>
    </row>
    <row r="277" spans="1:41" x14ac:dyDescent="0.45">
      <c r="A277" t="s">
        <v>1266</v>
      </c>
      <c r="B277">
        <v>8</v>
      </c>
      <c r="C277" t="str">
        <f>HYPERLINK("http://www.ncbi.nlm.nih.gov/protein/XP_028331495.1","XP_028331495.1")</f>
        <v>XP_028331495.1</v>
      </c>
      <c r="D277">
        <v>43575</v>
      </c>
      <c r="E277" t="str">
        <f>HYPERLINK("http://www.ncbi.nlm.nih.gov/Taxonomy/Browser/wwwtax.cgi?mode=Info&amp;id=441366&amp;lvl=3&amp;lin=f&amp;keep=1&amp;srchmode=1&amp;unlock","441366")</f>
        <v>441366</v>
      </c>
      <c r="F277" t="s">
        <v>17</v>
      </c>
      <c r="G277" t="str">
        <f>HYPERLINK("http://www.ncbi.nlm.nih.gov/Taxonomy/Browser/wwwtax.cgi?mode=Info&amp;id=441366&amp;lvl=3&amp;lin=f&amp;keep=1&amp;srchmode=1&amp;unlock","Gouania willdenowi")</f>
        <v>Gouania willdenowi</v>
      </c>
      <c r="H277" t="s">
        <v>116</v>
      </c>
      <c r="I277" t="str">
        <f>HYPERLINK("http://www.ncbi.nlm.nih.gov/protein/XP_028331495.1","ryanodine receptor 2 isoform X1")</f>
        <v>ryanodine receptor 2 isoform X1</v>
      </c>
      <c r="J277" t="s">
        <v>1494</v>
      </c>
      <c r="K277" t="s">
        <v>19</v>
      </c>
      <c r="L277">
        <v>4477</v>
      </c>
      <c r="M277" t="s">
        <v>19</v>
      </c>
      <c r="N277" t="s">
        <v>19</v>
      </c>
      <c r="O277">
        <v>4480</v>
      </c>
      <c r="P277" t="s">
        <v>1486</v>
      </c>
      <c r="Q277" t="s">
        <v>19</v>
      </c>
      <c r="R277">
        <v>4481</v>
      </c>
      <c r="S277" t="s">
        <v>1495</v>
      </c>
      <c r="T277" t="s">
        <v>19</v>
      </c>
      <c r="U277">
        <v>4484</v>
      </c>
      <c r="V277" t="s">
        <v>1488</v>
      </c>
      <c r="W277" t="s">
        <v>19</v>
      </c>
      <c r="X277">
        <v>4580</v>
      </c>
      <c r="Y277" t="s">
        <v>1493</v>
      </c>
      <c r="Z277" t="s">
        <v>19</v>
      </c>
      <c r="AA277">
        <v>4715</v>
      </c>
      <c r="AB277" t="s">
        <v>19</v>
      </c>
      <c r="AC277" t="s">
        <v>19</v>
      </c>
      <c r="AD277">
        <v>4716</v>
      </c>
      <c r="AE277" t="s">
        <v>1488</v>
      </c>
      <c r="AF277" t="s">
        <v>19</v>
      </c>
      <c r="AG277">
        <v>4719</v>
      </c>
      <c r="AH277" t="s">
        <v>19</v>
      </c>
      <c r="AI277" t="s">
        <v>19</v>
      </c>
      <c r="AJ277">
        <v>4739</v>
      </c>
      <c r="AK277" t="s">
        <v>1490</v>
      </c>
      <c r="AL277" t="s">
        <v>19</v>
      </c>
      <c r="AM277">
        <v>4743</v>
      </c>
      <c r="AN277" t="s">
        <v>1491</v>
      </c>
      <c r="AO277" t="s">
        <v>19</v>
      </c>
    </row>
    <row r="278" spans="1:41" x14ac:dyDescent="0.45">
      <c r="A278" t="s">
        <v>1266</v>
      </c>
      <c r="B278">
        <v>8</v>
      </c>
      <c r="C278" t="str">
        <f>HYPERLINK("http://www.ncbi.nlm.nih.gov/protein/XP_055085768.1","XP_055085768.1")</f>
        <v>XP_055085768.1</v>
      </c>
      <c r="D278">
        <v>50626</v>
      </c>
      <c r="E278" t="str">
        <f>HYPERLINK("http://www.ncbi.nlm.nih.gov/Taxonomy/Browser/wwwtax.cgi?mode=Info&amp;id=409849&amp;lvl=3&amp;lin=f&amp;keep=1&amp;srchmode=1&amp;unlock","409849")</f>
        <v>409849</v>
      </c>
      <c r="F278" t="s">
        <v>17</v>
      </c>
      <c r="G278" t="str">
        <f>HYPERLINK("http://www.ncbi.nlm.nih.gov/Taxonomy/Browser/wwwtax.cgi?mode=Info&amp;id=409849&amp;lvl=3&amp;lin=f&amp;keep=1&amp;srchmode=1&amp;unlock","Periophthalmus magnuspinnatus")</f>
        <v>Periophthalmus magnuspinnatus</v>
      </c>
      <c r="H278" t="s">
        <v>94</v>
      </c>
      <c r="I278" t="str">
        <f>HYPERLINK("http://www.ncbi.nlm.nih.gov/protein/XP_055085768.1","ryanodine receptor 2")</f>
        <v>ryanodine receptor 2</v>
      </c>
      <c r="J278" t="s">
        <v>1494</v>
      </c>
      <c r="K278" t="s">
        <v>19</v>
      </c>
      <c r="L278">
        <v>4465</v>
      </c>
      <c r="M278" t="s">
        <v>19</v>
      </c>
      <c r="N278" t="s">
        <v>19</v>
      </c>
      <c r="O278">
        <v>4468</v>
      </c>
      <c r="P278" t="s">
        <v>1486</v>
      </c>
      <c r="Q278" t="s">
        <v>19</v>
      </c>
      <c r="R278">
        <v>4469</v>
      </c>
      <c r="S278" t="s">
        <v>1495</v>
      </c>
      <c r="T278" t="s">
        <v>19</v>
      </c>
      <c r="U278">
        <v>4472</v>
      </c>
      <c r="V278" t="s">
        <v>1488</v>
      </c>
      <c r="W278" t="s">
        <v>19</v>
      </c>
      <c r="X278">
        <v>4567</v>
      </c>
      <c r="Y278" t="s">
        <v>1493</v>
      </c>
      <c r="Z278" t="s">
        <v>19</v>
      </c>
      <c r="AA278">
        <v>4702</v>
      </c>
      <c r="AB278" t="s">
        <v>19</v>
      </c>
      <c r="AC278" t="s">
        <v>19</v>
      </c>
      <c r="AD278">
        <v>4703</v>
      </c>
      <c r="AE278" t="s">
        <v>1488</v>
      </c>
      <c r="AF278" t="s">
        <v>19</v>
      </c>
      <c r="AG278">
        <v>4706</v>
      </c>
      <c r="AH278" t="s">
        <v>19</v>
      </c>
      <c r="AI278" t="s">
        <v>19</v>
      </c>
      <c r="AJ278">
        <v>4726</v>
      </c>
      <c r="AK278" t="s">
        <v>1490</v>
      </c>
      <c r="AL278" t="s">
        <v>19</v>
      </c>
      <c r="AM278">
        <v>4730</v>
      </c>
      <c r="AN278" t="s">
        <v>1491</v>
      </c>
      <c r="AO278" t="s">
        <v>19</v>
      </c>
    </row>
    <row r="279" spans="1:41" x14ac:dyDescent="0.45">
      <c r="A279" t="s">
        <v>1266</v>
      </c>
      <c r="B279">
        <v>8</v>
      </c>
      <c r="C279" t="str">
        <f>HYPERLINK("http://www.ncbi.nlm.nih.gov/protein/XP_055006532.1","XP_055006532.1")</f>
        <v>XP_055006532.1</v>
      </c>
      <c r="D279">
        <v>52854</v>
      </c>
      <c r="E279" t="str">
        <f>HYPERLINK("http://www.ncbi.nlm.nih.gov/Taxonomy/Browser/wwwtax.cgi?mode=Info&amp;id=150288&amp;lvl=3&amp;lin=f&amp;keep=1&amp;srchmode=1&amp;unlock","150288")</f>
        <v>150288</v>
      </c>
      <c r="F279" t="s">
        <v>17</v>
      </c>
      <c r="G279" t="str">
        <f>HYPERLINK("http://www.ncbi.nlm.nih.gov/Taxonomy/Browser/wwwtax.cgi?mode=Info&amp;id=150288&amp;lvl=3&amp;lin=f&amp;keep=1&amp;srchmode=1&amp;unlock","Boleophthalmus pectinirostris")</f>
        <v>Boleophthalmus pectinirostris</v>
      </c>
      <c r="H279" t="s">
        <v>127</v>
      </c>
      <c r="I279" t="str">
        <f>HYPERLINK("http://www.ncbi.nlm.nih.gov/protein/XP_055006532.1","ryanodine receptor 2")</f>
        <v>ryanodine receptor 2</v>
      </c>
      <c r="J279" t="s">
        <v>1494</v>
      </c>
      <c r="K279" t="s">
        <v>19</v>
      </c>
      <c r="L279">
        <v>4464</v>
      </c>
      <c r="M279" t="s">
        <v>19</v>
      </c>
      <c r="N279" t="s">
        <v>19</v>
      </c>
      <c r="O279">
        <v>4467</v>
      </c>
      <c r="P279" t="s">
        <v>1486</v>
      </c>
      <c r="Q279" t="s">
        <v>19</v>
      </c>
      <c r="R279">
        <v>4468</v>
      </c>
      <c r="S279" t="s">
        <v>1495</v>
      </c>
      <c r="T279" t="s">
        <v>19</v>
      </c>
      <c r="U279">
        <v>4471</v>
      </c>
      <c r="V279" t="s">
        <v>1488</v>
      </c>
      <c r="W279" t="s">
        <v>19</v>
      </c>
      <c r="X279">
        <v>4546</v>
      </c>
      <c r="Y279" t="s">
        <v>1493</v>
      </c>
      <c r="Z279" t="s">
        <v>19</v>
      </c>
      <c r="AA279">
        <v>4681</v>
      </c>
      <c r="AB279" t="s">
        <v>19</v>
      </c>
      <c r="AC279" t="s">
        <v>19</v>
      </c>
      <c r="AD279">
        <v>4682</v>
      </c>
      <c r="AE279" t="s">
        <v>1488</v>
      </c>
      <c r="AF279" t="s">
        <v>19</v>
      </c>
      <c r="AG279">
        <v>4685</v>
      </c>
      <c r="AH279" t="s">
        <v>19</v>
      </c>
      <c r="AI279" t="s">
        <v>19</v>
      </c>
      <c r="AJ279">
        <v>4705</v>
      </c>
      <c r="AK279" t="s">
        <v>1490</v>
      </c>
      <c r="AL279" t="s">
        <v>19</v>
      </c>
      <c r="AM279">
        <v>4709</v>
      </c>
      <c r="AN279" t="s">
        <v>1491</v>
      </c>
      <c r="AO279" t="s">
        <v>19</v>
      </c>
    </row>
    <row r="280" spans="1:41" x14ac:dyDescent="0.45">
      <c r="A280" t="s">
        <v>1266</v>
      </c>
      <c r="B280">
        <v>8</v>
      </c>
      <c r="C280" t="str">
        <f>HYPERLINK("http://www.ncbi.nlm.nih.gov/protein/XP_023805328.1","XP_023805328.1")</f>
        <v>XP_023805328.1</v>
      </c>
      <c r="D280">
        <v>47355</v>
      </c>
      <c r="E280" t="str">
        <f>HYPERLINK("http://www.ncbi.nlm.nih.gov/Taxonomy/Browser/wwwtax.cgi?mode=Info&amp;id=8090&amp;lvl=3&amp;lin=f&amp;keep=1&amp;srchmode=1&amp;unlock","8090")</f>
        <v>8090</v>
      </c>
      <c r="F280" t="s">
        <v>17</v>
      </c>
      <c r="G280" t="str">
        <f>HYPERLINK("http://www.ncbi.nlm.nih.gov/Taxonomy/Browser/wwwtax.cgi?mode=Info&amp;id=8090&amp;lvl=3&amp;lin=f&amp;keep=1&amp;srchmode=1&amp;unlock","Oryzias latipes")</f>
        <v>Oryzias latipes</v>
      </c>
      <c r="H280" t="s">
        <v>106</v>
      </c>
      <c r="I280" t="str">
        <f>HYPERLINK("http://www.ncbi.nlm.nih.gov/protein/XP_023805328.1","ryanodine receptor 2 isoform X1")</f>
        <v>ryanodine receptor 2 isoform X1</v>
      </c>
      <c r="J280" t="s">
        <v>1494</v>
      </c>
      <c r="K280" t="s">
        <v>19</v>
      </c>
      <c r="L280">
        <v>4506</v>
      </c>
      <c r="M280" t="s">
        <v>19</v>
      </c>
      <c r="N280" t="s">
        <v>19</v>
      </c>
      <c r="O280">
        <v>4509</v>
      </c>
      <c r="P280" t="s">
        <v>1486</v>
      </c>
      <c r="Q280" t="s">
        <v>19</v>
      </c>
      <c r="R280">
        <v>4510</v>
      </c>
      <c r="S280" t="s">
        <v>1495</v>
      </c>
      <c r="T280" t="s">
        <v>19</v>
      </c>
      <c r="U280">
        <v>4513</v>
      </c>
      <c r="V280" t="s">
        <v>1488</v>
      </c>
      <c r="W280" t="s">
        <v>19</v>
      </c>
      <c r="X280">
        <v>4605</v>
      </c>
      <c r="Y280" t="s">
        <v>1493</v>
      </c>
      <c r="Z280" t="s">
        <v>19</v>
      </c>
      <c r="AA280">
        <v>4740</v>
      </c>
      <c r="AB280" t="s">
        <v>19</v>
      </c>
      <c r="AC280" t="s">
        <v>19</v>
      </c>
      <c r="AD280">
        <v>4741</v>
      </c>
      <c r="AE280" t="s">
        <v>1488</v>
      </c>
      <c r="AF280" t="s">
        <v>19</v>
      </c>
      <c r="AG280">
        <v>4744</v>
      </c>
      <c r="AH280" t="s">
        <v>19</v>
      </c>
      <c r="AI280" t="s">
        <v>19</v>
      </c>
      <c r="AJ280">
        <v>4764</v>
      </c>
      <c r="AK280" t="s">
        <v>1490</v>
      </c>
      <c r="AL280" t="s">
        <v>19</v>
      </c>
      <c r="AM280">
        <v>4768</v>
      </c>
      <c r="AN280" t="s">
        <v>1491</v>
      </c>
      <c r="AO280" t="s">
        <v>19</v>
      </c>
    </row>
    <row r="281" spans="1:41" x14ac:dyDescent="0.45">
      <c r="A281" t="s">
        <v>1266</v>
      </c>
      <c r="B281">
        <v>8</v>
      </c>
      <c r="C281" t="str">
        <f>HYPERLINK("http://www.ncbi.nlm.nih.gov/protein/XP_008295421.1","XP_008295421.1")</f>
        <v>XP_008295421.1</v>
      </c>
      <c r="D281">
        <v>31764</v>
      </c>
      <c r="E281" t="str">
        <f>HYPERLINK("http://www.ncbi.nlm.nih.gov/Taxonomy/Browser/wwwtax.cgi?mode=Info&amp;id=144197&amp;lvl=3&amp;lin=f&amp;keep=1&amp;srchmode=1&amp;unlock","144197")</f>
        <v>144197</v>
      </c>
      <c r="F281" t="s">
        <v>17</v>
      </c>
      <c r="G281" t="str">
        <f>HYPERLINK("http://www.ncbi.nlm.nih.gov/Taxonomy/Browser/wwwtax.cgi?mode=Info&amp;id=144197&amp;lvl=3&amp;lin=f&amp;keep=1&amp;srchmode=1&amp;unlock","Stegastes partitus")</f>
        <v>Stegastes partitus</v>
      </c>
      <c r="H281" t="s">
        <v>85</v>
      </c>
      <c r="I281" t="str">
        <f>HYPERLINK("http://www.ncbi.nlm.nih.gov/protein/XP_008295421.1","PREDICTED: LOW QUALITY PROTEIN: ryanodine receptor 2-like")</f>
        <v>PREDICTED: LOW QUALITY PROTEIN: ryanodine receptor 2-like</v>
      </c>
      <c r="J281" t="s">
        <v>1494</v>
      </c>
      <c r="K281" t="s">
        <v>19</v>
      </c>
      <c r="L281">
        <v>4403</v>
      </c>
      <c r="M281" t="s">
        <v>19</v>
      </c>
      <c r="N281" t="s">
        <v>19</v>
      </c>
      <c r="O281">
        <v>4406</v>
      </c>
      <c r="P281" t="s">
        <v>1486</v>
      </c>
      <c r="Q281" t="s">
        <v>19</v>
      </c>
      <c r="R281">
        <v>4407</v>
      </c>
      <c r="S281" t="s">
        <v>1495</v>
      </c>
      <c r="T281" t="s">
        <v>19</v>
      </c>
      <c r="U281">
        <v>4410</v>
      </c>
      <c r="V281" t="s">
        <v>1488</v>
      </c>
      <c r="W281" t="s">
        <v>19</v>
      </c>
      <c r="X281">
        <v>4492</v>
      </c>
      <c r="Y281" t="s">
        <v>1493</v>
      </c>
      <c r="Z281" t="s">
        <v>19</v>
      </c>
      <c r="AA281">
        <v>4627</v>
      </c>
      <c r="AB281" t="s">
        <v>19</v>
      </c>
      <c r="AC281" t="s">
        <v>19</v>
      </c>
      <c r="AD281">
        <v>4628</v>
      </c>
      <c r="AE281" t="s">
        <v>1488</v>
      </c>
      <c r="AF281" t="s">
        <v>19</v>
      </c>
      <c r="AG281">
        <v>4631</v>
      </c>
      <c r="AH281" t="s">
        <v>19</v>
      </c>
      <c r="AI281" t="s">
        <v>19</v>
      </c>
      <c r="AJ281">
        <v>4651</v>
      </c>
      <c r="AK281" t="s">
        <v>1490</v>
      </c>
      <c r="AL281" t="s">
        <v>19</v>
      </c>
      <c r="AM281">
        <v>4655</v>
      </c>
      <c r="AN281" t="s">
        <v>1491</v>
      </c>
      <c r="AO281" t="s">
        <v>19</v>
      </c>
    </row>
    <row r="282" spans="1:41" x14ac:dyDescent="0.45">
      <c r="A282" t="s">
        <v>1266</v>
      </c>
      <c r="B282">
        <v>8</v>
      </c>
      <c r="C282" t="str">
        <f>HYPERLINK("http://www.ncbi.nlm.nih.gov/protein/XP_054615455.1","XP_054615455.1")</f>
        <v>XP_054615455.1</v>
      </c>
      <c r="D282">
        <v>48595</v>
      </c>
      <c r="E282" t="str">
        <f>HYPERLINK("http://www.ncbi.nlm.nih.gov/Taxonomy/Browser/wwwtax.cgi?mode=Info&amp;id=161453&amp;lvl=3&amp;lin=f&amp;keep=1&amp;srchmode=1&amp;unlock","161453")</f>
        <v>161453</v>
      </c>
      <c r="F282" t="s">
        <v>17</v>
      </c>
      <c r="G282" t="str">
        <f>HYPERLINK("http://www.ncbi.nlm.nih.gov/Taxonomy/Browser/wwwtax.cgi?mode=Info&amp;id=161453&amp;lvl=3&amp;lin=f&amp;keep=1&amp;srchmode=1&amp;unlock","Dunckerocampus dactyliophorus")</f>
        <v>Dunckerocampus dactyliophorus</v>
      </c>
      <c r="H282" t="s">
        <v>107</v>
      </c>
      <c r="I282" t="str">
        <f>HYPERLINK("http://www.ncbi.nlm.nih.gov/protein/XP_054615455.1","ryanodine receptor 2 isoform X8")</f>
        <v>ryanodine receptor 2 isoform X8</v>
      </c>
      <c r="J282" t="s">
        <v>1494</v>
      </c>
      <c r="K282" t="s">
        <v>19</v>
      </c>
      <c r="L282">
        <v>4504</v>
      </c>
      <c r="M282" t="s">
        <v>19</v>
      </c>
      <c r="N282" t="s">
        <v>19</v>
      </c>
      <c r="O282">
        <v>4507</v>
      </c>
      <c r="P282" t="s">
        <v>1486</v>
      </c>
      <c r="Q282" t="s">
        <v>19</v>
      </c>
      <c r="R282">
        <v>4508</v>
      </c>
      <c r="S282" t="s">
        <v>1495</v>
      </c>
      <c r="T282" t="s">
        <v>19</v>
      </c>
      <c r="U282">
        <v>4511</v>
      </c>
      <c r="V282" t="s">
        <v>1488</v>
      </c>
      <c r="W282" t="s">
        <v>19</v>
      </c>
      <c r="X282">
        <v>4609</v>
      </c>
      <c r="Y282" t="s">
        <v>1493</v>
      </c>
      <c r="Z282" t="s">
        <v>19</v>
      </c>
      <c r="AA282">
        <v>4744</v>
      </c>
      <c r="AB282" t="s">
        <v>19</v>
      </c>
      <c r="AC282" t="s">
        <v>19</v>
      </c>
      <c r="AD282">
        <v>4745</v>
      </c>
      <c r="AE282" t="s">
        <v>1488</v>
      </c>
      <c r="AF282" t="s">
        <v>19</v>
      </c>
      <c r="AG282">
        <v>4748</v>
      </c>
      <c r="AH282" t="s">
        <v>19</v>
      </c>
      <c r="AI282" t="s">
        <v>19</v>
      </c>
      <c r="AJ282">
        <v>4768</v>
      </c>
      <c r="AK282" t="s">
        <v>1490</v>
      </c>
      <c r="AL282" t="s">
        <v>19</v>
      </c>
      <c r="AM282">
        <v>4772</v>
      </c>
      <c r="AN282" t="s">
        <v>1491</v>
      </c>
      <c r="AO282" t="s">
        <v>19</v>
      </c>
    </row>
    <row r="283" spans="1:41" x14ac:dyDescent="0.45">
      <c r="A283" t="s">
        <v>1266</v>
      </c>
      <c r="B283">
        <v>8</v>
      </c>
      <c r="C283" t="str">
        <f>HYPERLINK("http://www.ncbi.nlm.nih.gov/protein/XP_057917876.1","XP_057917876.1")</f>
        <v>XP_057917876.1</v>
      </c>
      <c r="D283">
        <v>45989</v>
      </c>
      <c r="E283" t="str">
        <f>HYPERLINK("http://www.ncbi.nlm.nih.gov/Taxonomy/Browser/wwwtax.cgi?mode=Info&amp;id=161450&amp;lvl=3&amp;lin=f&amp;keep=1&amp;srchmode=1&amp;unlock","161450")</f>
        <v>161450</v>
      </c>
      <c r="F283" t="s">
        <v>17</v>
      </c>
      <c r="G283" t="str">
        <f>HYPERLINK("http://www.ncbi.nlm.nih.gov/Taxonomy/Browser/wwwtax.cgi?mode=Info&amp;id=161450&amp;lvl=3&amp;lin=f&amp;keep=1&amp;srchmode=1&amp;unlock","Doryrhamphus excisus")</f>
        <v>Doryrhamphus excisus</v>
      </c>
      <c r="H283" t="s">
        <v>81</v>
      </c>
      <c r="I283" t="str">
        <f>HYPERLINK("http://www.ncbi.nlm.nih.gov/protein/XP_057917876.1","ryanodine receptor 2 isoform X2")</f>
        <v>ryanodine receptor 2 isoform X2</v>
      </c>
      <c r="J283" t="s">
        <v>1494</v>
      </c>
      <c r="K283" t="s">
        <v>19</v>
      </c>
      <c r="L283">
        <v>4480</v>
      </c>
      <c r="M283" t="s">
        <v>19</v>
      </c>
      <c r="N283" t="s">
        <v>19</v>
      </c>
      <c r="O283">
        <v>4483</v>
      </c>
      <c r="P283" t="s">
        <v>1486</v>
      </c>
      <c r="Q283" t="s">
        <v>19</v>
      </c>
      <c r="R283">
        <v>4484</v>
      </c>
      <c r="S283" t="s">
        <v>1495</v>
      </c>
      <c r="T283" t="s">
        <v>19</v>
      </c>
      <c r="U283">
        <v>4487</v>
      </c>
      <c r="V283" t="s">
        <v>1488</v>
      </c>
      <c r="W283" t="s">
        <v>19</v>
      </c>
      <c r="X283">
        <v>4585</v>
      </c>
      <c r="Y283" t="s">
        <v>1493</v>
      </c>
      <c r="Z283" t="s">
        <v>19</v>
      </c>
      <c r="AA283">
        <v>4720</v>
      </c>
      <c r="AB283" t="s">
        <v>19</v>
      </c>
      <c r="AC283" t="s">
        <v>19</v>
      </c>
      <c r="AD283">
        <v>4721</v>
      </c>
      <c r="AE283" t="s">
        <v>1488</v>
      </c>
      <c r="AF283" t="s">
        <v>19</v>
      </c>
      <c r="AG283">
        <v>4724</v>
      </c>
      <c r="AH283" t="s">
        <v>19</v>
      </c>
      <c r="AI283" t="s">
        <v>19</v>
      </c>
      <c r="AJ283">
        <v>4744</v>
      </c>
      <c r="AK283" t="s">
        <v>1490</v>
      </c>
      <c r="AL283" t="s">
        <v>19</v>
      </c>
      <c r="AM283">
        <v>4748</v>
      </c>
      <c r="AN283" t="s">
        <v>1491</v>
      </c>
      <c r="AO283" t="s">
        <v>19</v>
      </c>
    </row>
    <row r="284" spans="1:41" x14ac:dyDescent="0.45">
      <c r="A284" t="s">
        <v>1266</v>
      </c>
      <c r="B284">
        <v>8</v>
      </c>
      <c r="C284" t="str">
        <f>HYPERLINK("http://www.ncbi.nlm.nih.gov/protein/XP_017166270.1","XP_017166270.1")</f>
        <v>XP_017166270.1</v>
      </c>
      <c r="D284">
        <v>45432</v>
      </c>
      <c r="E284" t="str">
        <f>HYPERLINK("http://www.ncbi.nlm.nih.gov/Taxonomy/Browser/wwwtax.cgi?mode=Info&amp;id=8081&amp;lvl=3&amp;lin=f&amp;keep=1&amp;srchmode=1&amp;unlock","8081")</f>
        <v>8081</v>
      </c>
      <c r="F284" t="s">
        <v>17</v>
      </c>
      <c r="G284" t="str">
        <f>HYPERLINK("http://www.ncbi.nlm.nih.gov/Taxonomy/Browser/wwwtax.cgi?mode=Info&amp;id=8081&amp;lvl=3&amp;lin=f&amp;keep=1&amp;srchmode=1&amp;unlock","Poecilia reticulata")</f>
        <v>Poecilia reticulata</v>
      </c>
      <c r="H284" t="s">
        <v>504</v>
      </c>
      <c r="I284" t="str">
        <f>HYPERLINK("http://www.ncbi.nlm.nih.gov/protein/XP_017166270.1","PREDICTED: ryanodine receptor 2 isoform X1")</f>
        <v>PREDICTED: ryanodine receptor 2 isoform X1</v>
      </c>
      <c r="J284" t="s">
        <v>1494</v>
      </c>
      <c r="K284" t="s">
        <v>19</v>
      </c>
      <c r="L284">
        <v>4344</v>
      </c>
      <c r="M284" t="s">
        <v>19</v>
      </c>
      <c r="N284" t="s">
        <v>19</v>
      </c>
      <c r="O284">
        <v>4347</v>
      </c>
      <c r="P284" t="s">
        <v>1486</v>
      </c>
      <c r="Q284" t="s">
        <v>19</v>
      </c>
      <c r="R284">
        <v>4348</v>
      </c>
      <c r="S284" t="s">
        <v>1495</v>
      </c>
      <c r="T284" t="s">
        <v>19</v>
      </c>
      <c r="U284">
        <v>4351</v>
      </c>
      <c r="V284" t="s">
        <v>1488</v>
      </c>
      <c r="W284" t="s">
        <v>19</v>
      </c>
      <c r="X284">
        <v>4447</v>
      </c>
      <c r="Y284" t="s">
        <v>1493</v>
      </c>
      <c r="Z284" t="s">
        <v>19</v>
      </c>
      <c r="AA284">
        <v>4582</v>
      </c>
      <c r="AB284" t="s">
        <v>19</v>
      </c>
      <c r="AC284" t="s">
        <v>19</v>
      </c>
      <c r="AD284">
        <v>4583</v>
      </c>
      <c r="AE284" t="s">
        <v>1488</v>
      </c>
      <c r="AF284" t="s">
        <v>19</v>
      </c>
      <c r="AG284">
        <v>4586</v>
      </c>
      <c r="AH284" t="s">
        <v>19</v>
      </c>
      <c r="AI284" t="s">
        <v>19</v>
      </c>
      <c r="AJ284">
        <v>4606</v>
      </c>
      <c r="AK284" t="s">
        <v>1490</v>
      </c>
      <c r="AL284" t="s">
        <v>19</v>
      </c>
      <c r="AM284">
        <v>4610</v>
      </c>
      <c r="AN284" t="s">
        <v>1491</v>
      </c>
      <c r="AO284" t="s">
        <v>19</v>
      </c>
    </row>
    <row r="285" spans="1:41" x14ac:dyDescent="0.45">
      <c r="A285" t="s">
        <v>1266</v>
      </c>
      <c r="B285">
        <v>8</v>
      </c>
      <c r="C285" t="str">
        <f>HYPERLINK("http://www.ncbi.nlm.nih.gov/protein/XP_034049810.1","XP_034049810.1")</f>
        <v>XP_034049810.1</v>
      </c>
      <c r="D285">
        <v>36365</v>
      </c>
      <c r="E285" t="str">
        <f>HYPERLINK("http://www.ncbi.nlm.nih.gov/Taxonomy/Browser/wwwtax.cgi?mode=Info&amp;id=390379&amp;lvl=3&amp;lin=f&amp;keep=1&amp;srchmode=1&amp;unlock","390379")</f>
        <v>390379</v>
      </c>
      <c r="F285" t="s">
        <v>17</v>
      </c>
      <c r="G285" t="str">
        <f>HYPERLINK("http://www.ncbi.nlm.nih.gov/Taxonomy/Browser/wwwtax.cgi?mode=Info&amp;id=390379&amp;lvl=3&amp;lin=f&amp;keep=1&amp;srchmode=1&amp;unlock","Thalassophryne amazonica")</f>
        <v>Thalassophryne amazonica</v>
      </c>
      <c r="H285" t="s">
        <v>147</v>
      </c>
      <c r="I285" t="str">
        <f>HYPERLINK("http://www.ncbi.nlm.nih.gov/protein/XP_034049810.1","ryanodine receptor 2 isoform X3")</f>
        <v>ryanodine receptor 2 isoform X3</v>
      </c>
      <c r="J285" t="s">
        <v>1494</v>
      </c>
      <c r="K285" t="s">
        <v>19</v>
      </c>
      <c r="L285">
        <v>4404</v>
      </c>
      <c r="M285" t="s">
        <v>19</v>
      </c>
      <c r="N285" t="s">
        <v>19</v>
      </c>
      <c r="O285">
        <v>4407</v>
      </c>
      <c r="P285" t="s">
        <v>1486</v>
      </c>
      <c r="Q285" t="s">
        <v>19</v>
      </c>
      <c r="R285">
        <v>4408</v>
      </c>
      <c r="S285" t="s">
        <v>1495</v>
      </c>
      <c r="T285" t="s">
        <v>19</v>
      </c>
      <c r="U285">
        <v>4411</v>
      </c>
      <c r="V285" t="s">
        <v>1488</v>
      </c>
      <c r="W285" t="s">
        <v>19</v>
      </c>
      <c r="X285">
        <v>4508</v>
      </c>
      <c r="Y285" t="s">
        <v>1493</v>
      </c>
      <c r="Z285" t="s">
        <v>19</v>
      </c>
      <c r="AA285">
        <v>4643</v>
      </c>
      <c r="AB285" t="s">
        <v>19</v>
      </c>
      <c r="AC285" t="s">
        <v>19</v>
      </c>
      <c r="AD285">
        <v>4644</v>
      </c>
      <c r="AE285" t="s">
        <v>1488</v>
      </c>
      <c r="AF285" t="s">
        <v>19</v>
      </c>
      <c r="AG285">
        <v>4647</v>
      </c>
      <c r="AH285" t="s">
        <v>19</v>
      </c>
      <c r="AI285" t="s">
        <v>19</v>
      </c>
      <c r="AJ285">
        <v>4667</v>
      </c>
      <c r="AK285" t="s">
        <v>1490</v>
      </c>
      <c r="AL285" t="s">
        <v>19</v>
      </c>
      <c r="AM285">
        <v>4671</v>
      </c>
      <c r="AN285" t="s">
        <v>1491</v>
      </c>
      <c r="AO285" t="s">
        <v>19</v>
      </c>
    </row>
    <row r="286" spans="1:41" x14ac:dyDescent="0.45">
      <c r="A286" t="s">
        <v>1266</v>
      </c>
      <c r="B286">
        <v>8</v>
      </c>
      <c r="C286" t="str">
        <f>HYPERLINK("http://www.ncbi.nlm.nih.gov/protein/TSL04189.1","TSL04189.1")</f>
        <v>TSL04189.1</v>
      </c>
      <c r="D286">
        <v>17329</v>
      </c>
      <c r="E286" t="str">
        <f>HYPERLINK("http://www.ncbi.nlm.nih.gov/Taxonomy/Browser/wwwtax.cgi?mode=Info&amp;id=175774&amp;lvl=3&amp;lin=f&amp;keep=1&amp;srchmode=1&amp;unlock","175774")</f>
        <v>175774</v>
      </c>
      <c r="F286" t="s">
        <v>17</v>
      </c>
      <c r="G286" t="str">
        <f>HYPERLINK("http://www.ncbi.nlm.nih.gov/Taxonomy/Browser/wwwtax.cgi?mode=Info&amp;id=175774&amp;lvl=3&amp;lin=f&amp;keep=1&amp;srchmode=1&amp;unlock","Bagarius yarrelli")</f>
        <v>Bagarius yarrelli</v>
      </c>
      <c r="H286" t="s">
        <v>518</v>
      </c>
      <c r="I286" t="str">
        <f>HYPERLINK("http://www.ncbi.nlm.nih.gov/protein/TSL04189.1","Ryanodine receptor 2")</f>
        <v>Ryanodine receptor 2</v>
      </c>
      <c r="J286" t="s">
        <v>1494</v>
      </c>
      <c r="K286" t="s">
        <v>19</v>
      </c>
      <c r="L286">
        <v>4291</v>
      </c>
      <c r="M286" t="s">
        <v>19</v>
      </c>
      <c r="N286" t="s">
        <v>19</v>
      </c>
      <c r="O286">
        <v>4294</v>
      </c>
      <c r="P286" t="s">
        <v>1486</v>
      </c>
      <c r="Q286" t="s">
        <v>19</v>
      </c>
      <c r="R286">
        <v>4295</v>
      </c>
      <c r="S286" t="s">
        <v>1495</v>
      </c>
      <c r="T286" t="s">
        <v>19</v>
      </c>
      <c r="U286">
        <v>4298</v>
      </c>
      <c r="V286" t="s">
        <v>1488</v>
      </c>
      <c r="W286" t="s">
        <v>19</v>
      </c>
      <c r="X286">
        <v>4381</v>
      </c>
      <c r="Y286" t="s">
        <v>1493</v>
      </c>
      <c r="Z286" t="s">
        <v>19</v>
      </c>
      <c r="AA286">
        <v>4516</v>
      </c>
      <c r="AB286" t="s">
        <v>19</v>
      </c>
      <c r="AC286" t="s">
        <v>19</v>
      </c>
      <c r="AD286">
        <v>4517</v>
      </c>
      <c r="AE286" t="s">
        <v>1488</v>
      </c>
      <c r="AF286" t="s">
        <v>19</v>
      </c>
      <c r="AG286">
        <v>4520</v>
      </c>
      <c r="AH286" t="s">
        <v>19</v>
      </c>
      <c r="AI286" t="s">
        <v>19</v>
      </c>
      <c r="AJ286">
        <v>4540</v>
      </c>
      <c r="AK286" t="s">
        <v>1490</v>
      </c>
      <c r="AL286" t="s">
        <v>19</v>
      </c>
      <c r="AM286">
        <v>4544</v>
      </c>
      <c r="AN286" t="s">
        <v>1491</v>
      </c>
      <c r="AO286" t="s">
        <v>19</v>
      </c>
    </row>
    <row r="287" spans="1:41" x14ac:dyDescent="0.45">
      <c r="A287" t="s">
        <v>1266</v>
      </c>
      <c r="B287">
        <v>8</v>
      </c>
      <c r="C287" t="str">
        <f>HYPERLINK("http://www.ncbi.nlm.nih.gov/protein/XP_049614488.1","XP_049614488.1")</f>
        <v>XP_049614488.1</v>
      </c>
      <c r="D287">
        <v>47901</v>
      </c>
      <c r="E287" t="str">
        <f>HYPERLINK("http://www.ncbi.nlm.nih.gov/Taxonomy/Browser/wwwtax.cgi?mode=Info&amp;id=161590&amp;lvl=3&amp;lin=f&amp;keep=1&amp;srchmode=1&amp;unlock","161590")</f>
        <v>161590</v>
      </c>
      <c r="F287" t="s">
        <v>17</v>
      </c>
      <c r="G287" t="str">
        <f>HYPERLINK("http://www.ncbi.nlm.nih.gov/Taxonomy/Browser/wwwtax.cgi?mode=Info&amp;id=161590&amp;lvl=3&amp;lin=f&amp;keep=1&amp;srchmode=1&amp;unlock","Syngnathus scovelli")</f>
        <v>Syngnathus scovelli</v>
      </c>
      <c r="H287" t="s">
        <v>135</v>
      </c>
      <c r="I287" t="str">
        <f>HYPERLINK("http://www.ncbi.nlm.nih.gov/protein/XP_049614488.1","ryanodine receptor 2 isoform X2")</f>
        <v>ryanodine receptor 2 isoform X2</v>
      </c>
      <c r="J287" t="s">
        <v>1494</v>
      </c>
      <c r="K287" t="s">
        <v>19</v>
      </c>
      <c r="L287">
        <v>4455</v>
      </c>
      <c r="M287" t="s">
        <v>19</v>
      </c>
      <c r="N287" t="s">
        <v>19</v>
      </c>
      <c r="O287">
        <v>4458</v>
      </c>
      <c r="P287" t="s">
        <v>1486</v>
      </c>
      <c r="Q287" t="s">
        <v>19</v>
      </c>
      <c r="R287">
        <v>4459</v>
      </c>
      <c r="S287" t="s">
        <v>1495</v>
      </c>
      <c r="T287" t="s">
        <v>19</v>
      </c>
      <c r="U287">
        <v>4462</v>
      </c>
      <c r="V287" t="s">
        <v>1488</v>
      </c>
      <c r="W287" t="s">
        <v>19</v>
      </c>
      <c r="X287">
        <v>4556</v>
      </c>
      <c r="Y287" t="s">
        <v>1493</v>
      </c>
      <c r="Z287" t="s">
        <v>19</v>
      </c>
      <c r="AA287">
        <v>4691</v>
      </c>
      <c r="AB287" t="s">
        <v>19</v>
      </c>
      <c r="AC287" t="s">
        <v>19</v>
      </c>
      <c r="AD287">
        <v>4692</v>
      </c>
      <c r="AE287" t="s">
        <v>1488</v>
      </c>
      <c r="AF287" t="s">
        <v>19</v>
      </c>
      <c r="AG287">
        <v>4695</v>
      </c>
      <c r="AH287" t="s">
        <v>19</v>
      </c>
      <c r="AI287" t="s">
        <v>19</v>
      </c>
      <c r="AJ287">
        <v>4715</v>
      </c>
      <c r="AK287" t="s">
        <v>1490</v>
      </c>
      <c r="AL287" t="s">
        <v>19</v>
      </c>
      <c r="AM287">
        <v>4719</v>
      </c>
      <c r="AN287" t="s">
        <v>1491</v>
      </c>
      <c r="AO287" t="s">
        <v>19</v>
      </c>
    </row>
    <row r="288" spans="1:41" x14ac:dyDescent="0.45">
      <c r="A288" t="s">
        <v>1266</v>
      </c>
      <c r="B288">
        <v>8</v>
      </c>
      <c r="C288" t="str">
        <f>HYPERLINK("http://www.ncbi.nlm.nih.gov/protein/XP_051926913.1","XP_051926913.1")</f>
        <v>XP_051926913.1</v>
      </c>
      <c r="D288">
        <v>42976</v>
      </c>
      <c r="E288" t="str">
        <f>HYPERLINK("http://www.ncbi.nlm.nih.gov/Taxonomy/Browser/wwwtax.cgi?mode=Info&amp;id=109293&amp;lvl=3&amp;lin=f&amp;keep=1&amp;srchmode=1&amp;unlock","109293")</f>
        <v>109293</v>
      </c>
      <c r="F288" t="s">
        <v>17</v>
      </c>
      <c r="G288" t="str">
        <f>HYPERLINK("http://www.ncbi.nlm.nih.gov/Taxonomy/Browser/wwwtax.cgi?mode=Info&amp;id=109293&amp;lvl=3&amp;lin=f&amp;keep=1&amp;srchmode=1&amp;unlock","Hippocampus zosterae")</f>
        <v>Hippocampus zosterae</v>
      </c>
      <c r="H288" t="s">
        <v>91</v>
      </c>
      <c r="I288" t="str">
        <f>HYPERLINK("http://www.ncbi.nlm.nih.gov/protein/XP_051926913.1","ryanodine receptor 2 isoform X4")</f>
        <v>ryanodine receptor 2 isoform X4</v>
      </c>
      <c r="J288" t="s">
        <v>1494</v>
      </c>
      <c r="K288" t="s">
        <v>19</v>
      </c>
      <c r="L288">
        <v>4460</v>
      </c>
      <c r="M288" t="s">
        <v>19</v>
      </c>
      <c r="N288" t="s">
        <v>19</v>
      </c>
      <c r="O288">
        <v>4463</v>
      </c>
      <c r="P288" t="s">
        <v>1486</v>
      </c>
      <c r="Q288" t="s">
        <v>19</v>
      </c>
      <c r="R288">
        <v>4464</v>
      </c>
      <c r="S288" t="s">
        <v>1495</v>
      </c>
      <c r="T288" t="s">
        <v>19</v>
      </c>
      <c r="U288">
        <v>4467</v>
      </c>
      <c r="V288" t="s">
        <v>1488</v>
      </c>
      <c r="W288" t="s">
        <v>19</v>
      </c>
      <c r="X288">
        <v>4561</v>
      </c>
      <c r="Y288" t="s">
        <v>1493</v>
      </c>
      <c r="Z288" t="s">
        <v>19</v>
      </c>
      <c r="AA288">
        <v>4696</v>
      </c>
      <c r="AB288" t="s">
        <v>19</v>
      </c>
      <c r="AC288" t="s">
        <v>19</v>
      </c>
      <c r="AD288">
        <v>4697</v>
      </c>
      <c r="AE288" t="s">
        <v>1488</v>
      </c>
      <c r="AF288" t="s">
        <v>19</v>
      </c>
      <c r="AG288">
        <v>4700</v>
      </c>
      <c r="AH288" t="s">
        <v>19</v>
      </c>
      <c r="AI288" t="s">
        <v>19</v>
      </c>
      <c r="AJ288">
        <v>4720</v>
      </c>
      <c r="AK288" t="s">
        <v>1490</v>
      </c>
      <c r="AL288" t="s">
        <v>19</v>
      </c>
      <c r="AM288">
        <v>4724</v>
      </c>
      <c r="AN288" t="s">
        <v>1491</v>
      </c>
      <c r="AO288" t="s">
        <v>19</v>
      </c>
    </row>
    <row r="289" spans="1:41" x14ac:dyDescent="0.45">
      <c r="A289" t="s">
        <v>1266</v>
      </c>
      <c r="B289">
        <v>8</v>
      </c>
      <c r="C289" t="str">
        <f>HYPERLINK("http://www.ncbi.nlm.nih.gov/protein/XP_037134452.1","XP_037134452.1")</f>
        <v>XP_037134452.1</v>
      </c>
      <c r="D289">
        <v>41996</v>
      </c>
      <c r="E289" t="str">
        <f>HYPERLINK("http://www.ncbi.nlm.nih.gov/Taxonomy/Browser/wwwtax.cgi?mode=Info&amp;id=161584&amp;lvl=3&amp;lin=f&amp;keep=1&amp;srchmode=1&amp;unlock","161584")</f>
        <v>161584</v>
      </c>
      <c r="F289" t="s">
        <v>17</v>
      </c>
      <c r="G289" t="str">
        <f>HYPERLINK("http://www.ncbi.nlm.nih.gov/Taxonomy/Browser/wwwtax.cgi?mode=Info&amp;id=161584&amp;lvl=3&amp;lin=f&amp;keep=1&amp;srchmode=1&amp;unlock","Syngnathus acus")</f>
        <v>Syngnathus acus</v>
      </c>
      <c r="H289" t="s">
        <v>139</v>
      </c>
      <c r="I289" t="str">
        <f>HYPERLINK("http://www.ncbi.nlm.nih.gov/protein/XP_037134452.1","LOW QUALITY PROTEIN: ryanodine receptor 2")</f>
        <v>LOW QUALITY PROTEIN: ryanodine receptor 2</v>
      </c>
      <c r="J289" t="s">
        <v>1494</v>
      </c>
      <c r="K289" t="s">
        <v>19</v>
      </c>
      <c r="L289">
        <v>4454</v>
      </c>
      <c r="M289" t="s">
        <v>19</v>
      </c>
      <c r="N289" t="s">
        <v>19</v>
      </c>
      <c r="O289">
        <v>4457</v>
      </c>
      <c r="P289" t="s">
        <v>1486</v>
      </c>
      <c r="Q289" t="s">
        <v>19</v>
      </c>
      <c r="R289">
        <v>4458</v>
      </c>
      <c r="S289" t="s">
        <v>1495</v>
      </c>
      <c r="T289" t="s">
        <v>19</v>
      </c>
      <c r="U289">
        <v>4461</v>
      </c>
      <c r="V289" t="s">
        <v>1488</v>
      </c>
      <c r="W289" t="s">
        <v>19</v>
      </c>
      <c r="X289">
        <v>4555</v>
      </c>
      <c r="Y289" t="s">
        <v>1493</v>
      </c>
      <c r="Z289" t="s">
        <v>19</v>
      </c>
      <c r="AA289">
        <v>4690</v>
      </c>
      <c r="AB289" t="s">
        <v>19</v>
      </c>
      <c r="AC289" t="s">
        <v>19</v>
      </c>
      <c r="AD289">
        <v>4691</v>
      </c>
      <c r="AE289" t="s">
        <v>1488</v>
      </c>
      <c r="AF289" t="s">
        <v>19</v>
      </c>
      <c r="AG289">
        <v>4694</v>
      </c>
      <c r="AH289" t="s">
        <v>19</v>
      </c>
      <c r="AI289" t="s">
        <v>19</v>
      </c>
      <c r="AJ289">
        <v>4714</v>
      </c>
      <c r="AK289" t="s">
        <v>1490</v>
      </c>
      <c r="AL289" t="s">
        <v>19</v>
      </c>
      <c r="AM289">
        <v>4718</v>
      </c>
      <c r="AN289" t="s">
        <v>1491</v>
      </c>
      <c r="AO289" t="s">
        <v>19</v>
      </c>
    </row>
    <row r="290" spans="1:41" x14ac:dyDescent="0.45">
      <c r="A290" t="s">
        <v>1266</v>
      </c>
      <c r="B290">
        <v>8</v>
      </c>
      <c r="C290" t="str">
        <f>HYPERLINK("http://www.ncbi.nlm.nih.gov/protein/XP_057681553.1","XP_057681553.1")</f>
        <v>XP_057681553.1</v>
      </c>
      <c r="D290">
        <v>44748</v>
      </c>
      <c r="E290" t="str">
        <f>HYPERLINK("http://www.ncbi.nlm.nih.gov/Taxonomy/Browser/wwwtax.cgi?mode=Info&amp;id=161448&amp;lvl=3&amp;lin=f&amp;keep=1&amp;srchmode=1&amp;unlock","161448")</f>
        <v>161448</v>
      </c>
      <c r="F290" t="s">
        <v>17</v>
      </c>
      <c r="G290" t="str">
        <f>HYPERLINK("http://www.ncbi.nlm.nih.gov/Taxonomy/Browser/wwwtax.cgi?mode=Info&amp;id=161448&amp;lvl=3&amp;lin=f&amp;keep=1&amp;srchmode=1&amp;unlock","Corythoichthys intestinalis")</f>
        <v>Corythoichthys intestinalis</v>
      </c>
      <c r="H290" t="s">
        <v>111</v>
      </c>
      <c r="I290" t="str">
        <f>HYPERLINK("http://www.ncbi.nlm.nih.gov/protein/XP_057681553.1","ryanodine receptor 2 isoform X1")</f>
        <v>ryanodine receptor 2 isoform X1</v>
      </c>
      <c r="J290" t="s">
        <v>1494</v>
      </c>
      <c r="K290" t="s">
        <v>19</v>
      </c>
      <c r="L290">
        <v>4465</v>
      </c>
      <c r="M290" t="s">
        <v>19</v>
      </c>
      <c r="N290" t="s">
        <v>19</v>
      </c>
      <c r="O290">
        <v>4468</v>
      </c>
      <c r="P290" t="s">
        <v>1486</v>
      </c>
      <c r="Q290" t="s">
        <v>19</v>
      </c>
      <c r="R290">
        <v>4469</v>
      </c>
      <c r="S290" t="s">
        <v>1495</v>
      </c>
      <c r="T290" t="s">
        <v>19</v>
      </c>
      <c r="U290">
        <v>4472</v>
      </c>
      <c r="V290" t="s">
        <v>1488</v>
      </c>
      <c r="W290" t="s">
        <v>19</v>
      </c>
      <c r="X290">
        <v>4559</v>
      </c>
      <c r="Y290" t="s">
        <v>1493</v>
      </c>
      <c r="Z290" t="s">
        <v>19</v>
      </c>
      <c r="AA290">
        <v>4694</v>
      </c>
      <c r="AB290" t="s">
        <v>19</v>
      </c>
      <c r="AC290" t="s">
        <v>19</v>
      </c>
      <c r="AD290">
        <v>4695</v>
      </c>
      <c r="AE290" t="s">
        <v>1488</v>
      </c>
      <c r="AF290" t="s">
        <v>19</v>
      </c>
      <c r="AG290">
        <v>4698</v>
      </c>
      <c r="AH290" t="s">
        <v>19</v>
      </c>
      <c r="AI290" t="s">
        <v>19</v>
      </c>
      <c r="AJ290">
        <v>4718</v>
      </c>
      <c r="AK290" t="s">
        <v>1490</v>
      </c>
      <c r="AL290" t="s">
        <v>19</v>
      </c>
      <c r="AM290">
        <v>4722</v>
      </c>
      <c r="AN290" t="s">
        <v>1491</v>
      </c>
      <c r="AO290" t="s">
        <v>19</v>
      </c>
    </row>
    <row r="291" spans="1:41" x14ac:dyDescent="0.45">
      <c r="A291" t="s">
        <v>1266</v>
      </c>
      <c r="B291">
        <v>8</v>
      </c>
      <c r="C291" t="str">
        <f>HYPERLINK("http://www.ncbi.nlm.nih.gov/protein/XP_026171554.1","XP_026171554.1")</f>
        <v>XP_026171554.1</v>
      </c>
      <c r="D291">
        <v>42546</v>
      </c>
      <c r="E291" t="str">
        <f>HYPERLINK("http://www.ncbi.nlm.nih.gov/Taxonomy/Browser/wwwtax.cgi?mode=Info&amp;id=205130&amp;lvl=3&amp;lin=f&amp;keep=1&amp;srchmode=1&amp;unlock","205130")</f>
        <v>205130</v>
      </c>
      <c r="F291" t="s">
        <v>17</v>
      </c>
      <c r="G291" t="str">
        <f>HYPERLINK("http://www.ncbi.nlm.nih.gov/Taxonomy/Browser/wwwtax.cgi?mode=Info&amp;id=205130&amp;lvl=3&amp;lin=f&amp;keep=1&amp;srchmode=1&amp;unlock","Mastacembelus armatus")</f>
        <v>Mastacembelus armatus</v>
      </c>
      <c r="H291" t="s">
        <v>513</v>
      </c>
      <c r="I291" t="str">
        <f>HYPERLINK("http://www.ncbi.nlm.nih.gov/protein/XP_026171554.1","LOW QUALITY PROTEIN: ryanodine receptor 2")</f>
        <v>LOW QUALITY PROTEIN: ryanodine receptor 2</v>
      </c>
      <c r="J291" t="s">
        <v>1494</v>
      </c>
      <c r="K291" t="s">
        <v>19</v>
      </c>
      <c r="L291">
        <v>4259</v>
      </c>
      <c r="M291" t="s">
        <v>19</v>
      </c>
      <c r="N291" t="s">
        <v>19</v>
      </c>
      <c r="O291">
        <v>4262</v>
      </c>
      <c r="P291" t="s">
        <v>1486</v>
      </c>
      <c r="Q291" t="s">
        <v>19</v>
      </c>
      <c r="R291">
        <v>4263</v>
      </c>
      <c r="S291" t="s">
        <v>1495</v>
      </c>
      <c r="T291" t="s">
        <v>19</v>
      </c>
      <c r="U291">
        <v>4266</v>
      </c>
      <c r="V291" t="s">
        <v>1488</v>
      </c>
      <c r="W291" t="s">
        <v>19</v>
      </c>
      <c r="X291">
        <v>4362</v>
      </c>
      <c r="Y291" t="s">
        <v>1493</v>
      </c>
      <c r="Z291" t="s">
        <v>19</v>
      </c>
      <c r="AA291">
        <v>4510</v>
      </c>
      <c r="AB291" t="s">
        <v>19</v>
      </c>
      <c r="AC291" t="s">
        <v>19</v>
      </c>
      <c r="AD291">
        <v>4511</v>
      </c>
      <c r="AE291" t="s">
        <v>1488</v>
      </c>
      <c r="AF291" t="s">
        <v>19</v>
      </c>
      <c r="AG291">
        <v>4514</v>
      </c>
      <c r="AH291" t="s">
        <v>19</v>
      </c>
      <c r="AI291" t="s">
        <v>19</v>
      </c>
      <c r="AJ291">
        <v>4534</v>
      </c>
      <c r="AK291" t="s">
        <v>1490</v>
      </c>
      <c r="AL291" t="s">
        <v>19</v>
      </c>
      <c r="AM291">
        <v>4538</v>
      </c>
      <c r="AN291" t="s">
        <v>1491</v>
      </c>
      <c r="AO291" t="s">
        <v>19</v>
      </c>
    </row>
    <row r="292" spans="1:41" x14ac:dyDescent="0.45">
      <c r="A292" t="s">
        <v>1266</v>
      </c>
      <c r="B292">
        <v>8</v>
      </c>
      <c r="C292" t="str">
        <f>HYPERLINK("http://www.ncbi.nlm.nih.gov/protein/XP_061120435.1","XP_061120435.1")</f>
        <v>XP_061120435.1</v>
      </c>
      <c r="D292">
        <v>41143</v>
      </c>
      <c r="E292" t="str">
        <f>HYPERLINK("http://www.ncbi.nlm.nih.gov/Taxonomy/Browser/wwwtax.cgi?mode=Info&amp;id=161592&amp;lvl=3&amp;lin=f&amp;keep=1&amp;srchmode=1&amp;unlock","161592")</f>
        <v>161592</v>
      </c>
      <c r="F292" t="s">
        <v>17</v>
      </c>
      <c r="G292" t="str">
        <f>HYPERLINK("http://www.ncbi.nlm.nih.gov/Taxonomy/Browser/wwwtax.cgi?mode=Info&amp;id=161592&amp;lvl=3&amp;lin=f&amp;keep=1&amp;srchmode=1&amp;unlock","Syngnathus typhle")</f>
        <v>Syngnathus typhle</v>
      </c>
      <c r="H292" t="s">
        <v>143</v>
      </c>
      <c r="I292" t="str">
        <f>HYPERLINK("http://www.ncbi.nlm.nih.gov/protein/XP_061120435.1","LOW QUALITY PROTEIN: ryanodine receptor 2")</f>
        <v>LOW QUALITY PROTEIN: ryanodine receptor 2</v>
      </c>
      <c r="J292" t="s">
        <v>1494</v>
      </c>
      <c r="K292" t="s">
        <v>19</v>
      </c>
      <c r="L292">
        <v>4481</v>
      </c>
      <c r="M292" t="s">
        <v>19</v>
      </c>
      <c r="N292" t="s">
        <v>19</v>
      </c>
      <c r="O292">
        <v>4484</v>
      </c>
      <c r="P292" t="s">
        <v>1486</v>
      </c>
      <c r="Q292" t="s">
        <v>19</v>
      </c>
      <c r="R292">
        <v>4485</v>
      </c>
      <c r="S292" t="s">
        <v>1495</v>
      </c>
      <c r="T292" t="s">
        <v>19</v>
      </c>
      <c r="U292">
        <v>4488</v>
      </c>
      <c r="V292" t="s">
        <v>1488</v>
      </c>
      <c r="W292" t="s">
        <v>19</v>
      </c>
      <c r="X292">
        <v>4582</v>
      </c>
      <c r="Y292" t="s">
        <v>1493</v>
      </c>
      <c r="Z292" t="s">
        <v>19</v>
      </c>
      <c r="AA292">
        <v>4717</v>
      </c>
      <c r="AB292" t="s">
        <v>19</v>
      </c>
      <c r="AC292" t="s">
        <v>19</v>
      </c>
      <c r="AD292">
        <v>4718</v>
      </c>
      <c r="AE292" t="s">
        <v>1488</v>
      </c>
      <c r="AF292" t="s">
        <v>19</v>
      </c>
      <c r="AG292">
        <v>4721</v>
      </c>
      <c r="AH292" t="s">
        <v>19</v>
      </c>
      <c r="AI292" t="s">
        <v>19</v>
      </c>
      <c r="AJ292">
        <v>4741</v>
      </c>
      <c r="AK292" t="s">
        <v>1490</v>
      </c>
      <c r="AL292" t="s">
        <v>19</v>
      </c>
      <c r="AM292">
        <v>4745</v>
      </c>
      <c r="AN292" t="s">
        <v>1491</v>
      </c>
      <c r="AO292" t="s">
        <v>19</v>
      </c>
    </row>
    <row r="293" spans="1:41" x14ac:dyDescent="0.45">
      <c r="A293" t="s">
        <v>1266</v>
      </c>
      <c r="B293">
        <v>8</v>
      </c>
      <c r="C293" t="str">
        <f>HYPERLINK("http://www.ncbi.nlm.nih.gov/protein/XP_019748143.1","XP_019748143.1")</f>
        <v>XP_019748143.1</v>
      </c>
      <c r="D293">
        <v>42022</v>
      </c>
      <c r="E293" t="str">
        <f>HYPERLINK("http://www.ncbi.nlm.nih.gov/Taxonomy/Browser/wwwtax.cgi?mode=Info&amp;id=109280&amp;lvl=3&amp;lin=f&amp;keep=1&amp;srchmode=1&amp;unlock","109280")</f>
        <v>109280</v>
      </c>
      <c r="F293" t="s">
        <v>17</v>
      </c>
      <c r="G293" t="str">
        <f>HYPERLINK("http://www.ncbi.nlm.nih.gov/Taxonomy/Browser/wwwtax.cgi?mode=Info&amp;id=109280&amp;lvl=3&amp;lin=f&amp;keep=1&amp;srchmode=1&amp;unlock","Hippocampus comes")</f>
        <v>Hippocampus comes</v>
      </c>
      <c r="H293" t="s">
        <v>142</v>
      </c>
      <c r="I293" t="str">
        <f>HYPERLINK("http://www.ncbi.nlm.nih.gov/protein/XP_019748143.1","PREDICTED: ryanodine receptor 2")</f>
        <v>PREDICTED: ryanodine receptor 2</v>
      </c>
      <c r="J293" t="s">
        <v>1494</v>
      </c>
      <c r="K293" t="s">
        <v>19</v>
      </c>
      <c r="L293">
        <v>4381</v>
      </c>
      <c r="M293" t="s">
        <v>19</v>
      </c>
      <c r="N293" t="s">
        <v>19</v>
      </c>
      <c r="O293">
        <v>4384</v>
      </c>
      <c r="P293" t="s">
        <v>1486</v>
      </c>
      <c r="Q293" t="s">
        <v>19</v>
      </c>
      <c r="R293">
        <v>4385</v>
      </c>
      <c r="S293" t="s">
        <v>1495</v>
      </c>
      <c r="T293" t="s">
        <v>19</v>
      </c>
      <c r="U293">
        <v>4388</v>
      </c>
      <c r="V293" t="s">
        <v>1488</v>
      </c>
      <c r="W293" t="s">
        <v>19</v>
      </c>
      <c r="X293">
        <v>4482</v>
      </c>
      <c r="Y293" t="s">
        <v>1493</v>
      </c>
      <c r="Z293" t="s">
        <v>19</v>
      </c>
      <c r="AA293">
        <v>4617</v>
      </c>
      <c r="AB293" t="s">
        <v>19</v>
      </c>
      <c r="AC293" t="s">
        <v>19</v>
      </c>
      <c r="AD293">
        <v>4618</v>
      </c>
      <c r="AE293" t="s">
        <v>1488</v>
      </c>
      <c r="AF293" t="s">
        <v>19</v>
      </c>
      <c r="AG293">
        <v>4621</v>
      </c>
      <c r="AH293" t="s">
        <v>19</v>
      </c>
      <c r="AI293" t="s">
        <v>19</v>
      </c>
      <c r="AJ293">
        <v>4641</v>
      </c>
      <c r="AK293" t="s">
        <v>1490</v>
      </c>
      <c r="AL293" t="s">
        <v>19</v>
      </c>
      <c r="AM293">
        <v>4645</v>
      </c>
      <c r="AN293" t="s">
        <v>1491</v>
      </c>
      <c r="AO293" t="s">
        <v>19</v>
      </c>
    </row>
    <row r="294" spans="1:41" x14ac:dyDescent="0.45">
      <c r="A294" t="s">
        <v>1266</v>
      </c>
      <c r="B294">
        <v>8</v>
      </c>
      <c r="C294" t="str">
        <f>HYPERLINK("http://www.ncbi.nlm.nih.gov/protein/XP_031676783.1","XP_031676783.1")</f>
        <v>XP_031676783.1</v>
      </c>
      <c r="D294">
        <v>89618</v>
      </c>
      <c r="E294" t="str">
        <f>HYPERLINK("http://www.ncbi.nlm.nih.gov/Taxonomy/Browser/wwwtax.cgi?mode=Info&amp;id=8019&amp;lvl=3&amp;lin=f&amp;keep=1&amp;srchmode=1&amp;unlock","8019")</f>
        <v>8019</v>
      </c>
      <c r="F294" t="s">
        <v>17</v>
      </c>
      <c r="G294" t="str">
        <f>HYPERLINK("http://www.ncbi.nlm.nih.gov/Taxonomy/Browser/wwwtax.cgi?mode=Info&amp;id=8019&amp;lvl=3&amp;lin=f&amp;keep=1&amp;srchmode=1&amp;unlock","Oncorhynchus kisutch")</f>
        <v>Oncorhynchus kisutch</v>
      </c>
      <c r="H294" t="s">
        <v>164</v>
      </c>
      <c r="I294" t="str">
        <f>HYPERLINK("http://www.ncbi.nlm.nih.gov/protein/XP_031676783.1","LOW QUALITY PROTEIN: ryanodine receptor 2-like")</f>
        <v>LOW QUALITY PROTEIN: ryanodine receptor 2-like</v>
      </c>
      <c r="J294" t="s">
        <v>1494</v>
      </c>
      <c r="K294" t="s">
        <v>19</v>
      </c>
      <c r="L294">
        <v>4140</v>
      </c>
      <c r="M294" t="s">
        <v>19</v>
      </c>
      <c r="N294" t="s">
        <v>19</v>
      </c>
      <c r="O294">
        <v>4143</v>
      </c>
      <c r="P294" t="s">
        <v>1486</v>
      </c>
      <c r="Q294" t="s">
        <v>19</v>
      </c>
      <c r="R294">
        <v>4144</v>
      </c>
      <c r="S294" t="s">
        <v>1495</v>
      </c>
      <c r="T294" t="s">
        <v>19</v>
      </c>
      <c r="U294">
        <v>4147</v>
      </c>
      <c r="V294" t="s">
        <v>1488</v>
      </c>
      <c r="W294" t="s">
        <v>19</v>
      </c>
      <c r="X294">
        <v>4234</v>
      </c>
      <c r="Y294" t="s">
        <v>1493</v>
      </c>
      <c r="Z294" t="s">
        <v>19</v>
      </c>
      <c r="AA294">
        <v>4369</v>
      </c>
      <c r="AB294" t="s">
        <v>19</v>
      </c>
      <c r="AC294" t="s">
        <v>19</v>
      </c>
      <c r="AD294">
        <v>4370</v>
      </c>
      <c r="AE294" t="s">
        <v>1488</v>
      </c>
      <c r="AF294" t="s">
        <v>19</v>
      </c>
      <c r="AG294">
        <v>4373</v>
      </c>
      <c r="AH294" t="s">
        <v>19</v>
      </c>
      <c r="AI294" t="s">
        <v>19</v>
      </c>
      <c r="AJ294">
        <v>4393</v>
      </c>
      <c r="AK294" t="s">
        <v>1490</v>
      </c>
      <c r="AL294" t="s">
        <v>19</v>
      </c>
      <c r="AM294">
        <v>4397</v>
      </c>
      <c r="AN294" t="s">
        <v>1491</v>
      </c>
      <c r="AO294" t="s">
        <v>19</v>
      </c>
    </row>
    <row r="295" spans="1:41" x14ac:dyDescent="0.45">
      <c r="A295" t="s">
        <v>1266</v>
      </c>
      <c r="B295">
        <v>8</v>
      </c>
      <c r="C295" t="str">
        <f>HYPERLINK("http://www.ncbi.nlm.nih.gov/protein/XP_029697864.1","XP_029697864.1")</f>
        <v>XP_029697864.1</v>
      </c>
      <c r="D295">
        <v>49116</v>
      </c>
      <c r="E295" t="str">
        <f>HYPERLINK("http://www.ncbi.nlm.nih.gov/Taxonomy/Browser/wwwtax.cgi?mode=Info&amp;id=31033&amp;lvl=3&amp;lin=f&amp;keep=1&amp;srchmode=1&amp;unlock","31033")</f>
        <v>31033</v>
      </c>
      <c r="F295" t="s">
        <v>17</v>
      </c>
      <c r="G295" t="str">
        <f>HYPERLINK("http://www.ncbi.nlm.nih.gov/Taxonomy/Browser/wwwtax.cgi?mode=Info&amp;id=31033&amp;lvl=3&amp;lin=f&amp;keep=1&amp;srchmode=1&amp;unlock","Takifugu rubripes")</f>
        <v>Takifugu rubripes</v>
      </c>
      <c r="H295" t="s">
        <v>109</v>
      </c>
      <c r="I295" t="str">
        <f>HYPERLINK("http://www.ncbi.nlm.nih.gov/protein/XP_029697864.1","ryanodine receptor 2 isoform X1")</f>
        <v>ryanodine receptor 2 isoform X1</v>
      </c>
      <c r="J295" t="s">
        <v>1494</v>
      </c>
      <c r="K295" t="s">
        <v>19</v>
      </c>
      <c r="L295">
        <v>4457</v>
      </c>
      <c r="M295" t="s">
        <v>19</v>
      </c>
      <c r="N295" t="s">
        <v>19</v>
      </c>
      <c r="O295">
        <v>4460</v>
      </c>
      <c r="P295" t="s">
        <v>1486</v>
      </c>
      <c r="Q295" t="s">
        <v>19</v>
      </c>
      <c r="R295">
        <v>4461</v>
      </c>
      <c r="S295" t="s">
        <v>1495</v>
      </c>
      <c r="T295" t="s">
        <v>19</v>
      </c>
      <c r="U295">
        <v>4464</v>
      </c>
      <c r="V295" t="s">
        <v>1488</v>
      </c>
      <c r="W295" t="s">
        <v>19</v>
      </c>
      <c r="X295">
        <v>4553</v>
      </c>
      <c r="Y295" t="s">
        <v>1493</v>
      </c>
      <c r="Z295" t="s">
        <v>19</v>
      </c>
      <c r="AA295">
        <v>4688</v>
      </c>
      <c r="AB295" t="s">
        <v>19</v>
      </c>
      <c r="AC295" t="s">
        <v>19</v>
      </c>
      <c r="AD295">
        <v>4689</v>
      </c>
      <c r="AE295" t="s">
        <v>1488</v>
      </c>
      <c r="AF295" t="s">
        <v>19</v>
      </c>
      <c r="AG295">
        <v>4692</v>
      </c>
      <c r="AH295" t="s">
        <v>19</v>
      </c>
      <c r="AI295" t="s">
        <v>19</v>
      </c>
      <c r="AJ295">
        <v>4712</v>
      </c>
      <c r="AK295" t="s">
        <v>1490</v>
      </c>
      <c r="AL295" t="s">
        <v>19</v>
      </c>
      <c r="AM295">
        <v>4716</v>
      </c>
      <c r="AN295" t="s">
        <v>1491</v>
      </c>
      <c r="AO295" t="s">
        <v>19</v>
      </c>
    </row>
    <row r="296" spans="1:41" x14ac:dyDescent="0.45">
      <c r="A296" t="s">
        <v>1266</v>
      </c>
      <c r="B296">
        <v>8</v>
      </c>
      <c r="C296" t="str">
        <f>HYPERLINK("http://www.ncbi.nlm.nih.gov/protein/XP_056888726.1","XP_056888726.1")</f>
        <v>XP_056888726.1</v>
      </c>
      <c r="D296">
        <v>77522</v>
      </c>
      <c r="E296" t="str">
        <f>HYPERLINK("http://www.ncbi.nlm.nih.gov/Taxonomy/Browser/wwwtax.cgi?mode=Info&amp;id=433684&amp;lvl=3&amp;lin=f&amp;keep=1&amp;srchmode=1&amp;unlock","433684")</f>
        <v>433684</v>
      </c>
      <c r="F296" t="s">
        <v>17</v>
      </c>
      <c r="G296" t="str">
        <f>HYPERLINK("http://www.ncbi.nlm.nih.gov/Taxonomy/Browser/wwwtax.cgi?mode=Info&amp;id=433684&amp;lvl=3&amp;lin=f&amp;keep=1&amp;srchmode=1&amp;unlock","Takifugu flavidus")</f>
        <v>Takifugu flavidus</v>
      </c>
      <c r="H296" t="s">
        <v>509</v>
      </c>
      <c r="I296" t="str">
        <f>HYPERLINK("http://www.ncbi.nlm.nih.gov/protein/XP_056888726.1","ryanodine receptor 2 isoform X1")</f>
        <v>ryanodine receptor 2 isoform X1</v>
      </c>
      <c r="J296" t="s">
        <v>1494</v>
      </c>
      <c r="K296" t="s">
        <v>19</v>
      </c>
      <c r="L296">
        <v>4456</v>
      </c>
      <c r="M296" t="s">
        <v>19</v>
      </c>
      <c r="N296" t="s">
        <v>19</v>
      </c>
      <c r="O296">
        <v>4459</v>
      </c>
      <c r="P296" t="s">
        <v>1486</v>
      </c>
      <c r="Q296" t="s">
        <v>19</v>
      </c>
      <c r="R296">
        <v>4460</v>
      </c>
      <c r="S296" t="s">
        <v>1495</v>
      </c>
      <c r="T296" t="s">
        <v>19</v>
      </c>
      <c r="U296">
        <v>4463</v>
      </c>
      <c r="V296" t="s">
        <v>1488</v>
      </c>
      <c r="W296" t="s">
        <v>19</v>
      </c>
      <c r="X296">
        <v>4552</v>
      </c>
      <c r="Y296" t="s">
        <v>1493</v>
      </c>
      <c r="Z296" t="s">
        <v>19</v>
      </c>
      <c r="AA296">
        <v>4687</v>
      </c>
      <c r="AB296" t="s">
        <v>19</v>
      </c>
      <c r="AC296" t="s">
        <v>19</v>
      </c>
      <c r="AD296">
        <v>4688</v>
      </c>
      <c r="AE296" t="s">
        <v>1488</v>
      </c>
      <c r="AF296" t="s">
        <v>19</v>
      </c>
      <c r="AG296">
        <v>4691</v>
      </c>
      <c r="AH296" t="s">
        <v>19</v>
      </c>
      <c r="AI296" t="s">
        <v>19</v>
      </c>
      <c r="AJ296">
        <v>4711</v>
      </c>
      <c r="AK296" t="s">
        <v>1490</v>
      </c>
      <c r="AL296" t="s">
        <v>19</v>
      </c>
      <c r="AM296">
        <v>4715</v>
      </c>
      <c r="AN296" t="s">
        <v>1491</v>
      </c>
      <c r="AO296" t="s">
        <v>19</v>
      </c>
    </row>
    <row r="297" spans="1:41" x14ac:dyDescent="0.45">
      <c r="A297" t="s">
        <v>1266</v>
      </c>
      <c r="B297">
        <v>8</v>
      </c>
      <c r="C297" t="str">
        <f>HYPERLINK("http://www.ncbi.nlm.nih.gov/protein/XP_044035463.1","XP_044035463.1")</f>
        <v>XP_044035463.1</v>
      </c>
      <c r="D297">
        <v>59434</v>
      </c>
      <c r="E297" t="str">
        <f>HYPERLINK("http://www.ncbi.nlm.nih.gov/Taxonomy/Browser/wwwtax.cgi?mode=Info&amp;id=119488&amp;lvl=3&amp;lin=f&amp;keep=1&amp;srchmode=1&amp;unlock","119488")</f>
        <v>119488</v>
      </c>
      <c r="F297" t="s">
        <v>17</v>
      </c>
      <c r="G297" t="str">
        <f>HYPERLINK("http://www.ncbi.nlm.nih.gov/Taxonomy/Browser/wwwtax.cgi?mode=Info&amp;id=119488&amp;lvl=3&amp;lin=f&amp;keep=1&amp;srchmode=1&amp;unlock","Siniperca chuatsi")</f>
        <v>Siniperca chuatsi</v>
      </c>
      <c r="H297" t="s">
        <v>62</v>
      </c>
      <c r="I297" t="str">
        <f>HYPERLINK("http://www.ncbi.nlm.nih.gov/protein/XP_044035463.1","LOW QUALITY PROTEIN: ryanodine receptor 2")</f>
        <v>LOW QUALITY PROTEIN: ryanodine receptor 2</v>
      </c>
      <c r="J297" t="s">
        <v>1494</v>
      </c>
      <c r="K297" t="s">
        <v>19</v>
      </c>
      <c r="L297">
        <v>4542</v>
      </c>
      <c r="M297" t="s">
        <v>19</v>
      </c>
      <c r="N297" t="s">
        <v>19</v>
      </c>
      <c r="O297">
        <v>4545</v>
      </c>
      <c r="P297" t="s">
        <v>1486</v>
      </c>
      <c r="Q297" t="s">
        <v>19</v>
      </c>
      <c r="R297">
        <v>4546</v>
      </c>
      <c r="S297" t="s">
        <v>1495</v>
      </c>
      <c r="T297" t="s">
        <v>19</v>
      </c>
      <c r="U297">
        <v>4549</v>
      </c>
      <c r="V297" t="s">
        <v>1488</v>
      </c>
      <c r="W297" t="s">
        <v>19</v>
      </c>
      <c r="X297">
        <v>4645</v>
      </c>
      <c r="Y297" t="s">
        <v>1493</v>
      </c>
      <c r="Z297" t="s">
        <v>19</v>
      </c>
      <c r="AA297">
        <v>4780</v>
      </c>
      <c r="AB297" t="s">
        <v>19</v>
      </c>
      <c r="AC297" t="s">
        <v>19</v>
      </c>
      <c r="AD297">
        <v>4781</v>
      </c>
      <c r="AE297" t="s">
        <v>1488</v>
      </c>
      <c r="AF297" t="s">
        <v>19</v>
      </c>
      <c r="AG297">
        <v>4784</v>
      </c>
      <c r="AH297" t="s">
        <v>19</v>
      </c>
      <c r="AI297" t="s">
        <v>19</v>
      </c>
      <c r="AJ297">
        <v>4804</v>
      </c>
      <c r="AK297" t="s">
        <v>1490</v>
      </c>
      <c r="AL297" t="s">
        <v>19</v>
      </c>
      <c r="AM297">
        <v>4808</v>
      </c>
      <c r="AN297" t="s">
        <v>1491</v>
      </c>
      <c r="AO297" t="s">
        <v>19</v>
      </c>
    </row>
    <row r="298" spans="1:41" x14ac:dyDescent="0.45">
      <c r="A298" t="s">
        <v>1266</v>
      </c>
      <c r="B298">
        <v>8</v>
      </c>
      <c r="C298" t="str">
        <f>HYPERLINK("http://www.ncbi.nlm.nih.gov/protein/RXM33023.1","RXM33023.1")</f>
        <v>RXM33023.1</v>
      </c>
      <c r="D298">
        <v>106531</v>
      </c>
      <c r="E298" t="str">
        <f>HYPERLINK("http://www.ncbi.nlm.nih.gov/Taxonomy/Browser/wwwtax.cgi?mode=Info&amp;id=7906&amp;lvl=3&amp;lin=f&amp;keep=1&amp;srchmode=1&amp;unlock","7906")</f>
        <v>7906</v>
      </c>
      <c r="F298" t="s">
        <v>17</v>
      </c>
      <c r="G298" t="str">
        <f>HYPERLINK("http://www.ncbi.nlm.nih.gov/Taxonomy/Browser/wwwtax.cgi?mode=Info&amp;id=7906&amp;lvl=3&amp;lin=f&amp;keep=1&amp;srchmode=1&amp;unlock","Acipenser ruthenus")</f>
        <v>Acipenser ruthenus</v>
      </c>
      <c r="H298" t="s">
        <v>697</v>
      </c>
      <c r="I298" t="str">
        <f>HYPERLINK("http://www.ncbi.nlm.nih.gov/protein/RXM33023.1","Ryanodine receptor 2")</f>
        <v>Ryanodine receptor 2</v>
      </c>
      <c r="J298" t="s">
        <v>1494</v>
      </c>
      <c r="K298" t="s">
        <v>19</v>
      </c>
      <c r="L298">
        <v>4398</v>
      </c>
      <c r="M298" t="s">
        <v>19</v>
      </c>
      <c r="N298" t="s">
        <v>19</v>
      </c>
      <c r="O298">
        <v>4401</v>
      </c>
      <c r="P298" t="s">
        <v>1486</v>
      </c>
      <c r="Q298" t="s">
        <v>19</v>
      </c>
      <c r="R298">
        <v>4402</v>
      </c>
      <c r="S298" t="s">
        <v>1495</v>
      </c>
      <c r="T298" t="s">
        <v>19</v>
      </c>
      <c r="U298">
        <v>4405</v>
      </c>
      <c r="V298" t="s">
        <v>1488</v>
      </c>
      <c r="W298" t="s">
        <v>19</v>
      </c>
      <c r="X298">
        <v>4484</v>
      </c>
      <c r="Y298" t="s">
        <v>1493</v>
      </c>
      <c r="Z298" t="s">
        <v>19</v>
      </c>
      <c r="AA298">
        <v>4576</v>
      </c>
      <c r="AB298" t="s">
        <v>19</v>
      </c>
      <c r="AC298" t="s">
        <v>19</v>
      </c>
      <c r="AD298">
        <v>4577</v>
      </c>
      <c r="AE298" t="s">
        <v>1488</v>
      </c>
      <c r="AF298" t="s">
        <v>19</v>
      </c>
      <c r="AG298">
        <v>4580</v>
      </c>
      <c r="AH298" t="s">
        <v>19</v>
      </c>
      <c r="AI298" t="s">
        <v>19</v>
      </c>
      <c r="AJ298">
        <v>4600</v>
      </c>
      <c r="AK298" t="s">
        <v>1490</v>
      </c>
      <c r="AL298" t="s">
        <v>19</v>
      </c>
      <c r="AM298">
        <v>4604</v>
      </c>
      <c r="AN298" t="s">
        <v>1491</v>
      </c>
      <c r="AO298" t="s">
        <v>19</v>
      </c>
    </row>
    <row r="299" spans="1:41" x14ac:dyDescent="0.45">
      <c r="A299" t="s">
        <v>1266</v>
      </c>
      <c r="B299">
        <v>8</v>
      </c>
      <c r="C299" t="str">
        <f>HYPERLINK("http://www.ncbi.nlm.nih.gov/protein/XP_015234788.1","XP_015234788.1")</f>
        <v>XP_015234788.1</v>
      </c>
      <c r="D299">
        <v>36660</v>
      </c>
      <c r="E299" t="str">
        <f>HYPERLINK("http://www.ncbi.nlm.nih.gov/Taxonomy/Browser/wwwtax.cgi?mode=Info&amp;id=28743&amp;lvl=3&amp;lin=f&amp;keep=1&amp;srchmode=1&amp;unlock","28743")</f>
        <v>28743</v>
      </c>
      <c r="F299" t="s">
        <v>17</v>
      </c>
      <c r="G299" t="str">
        <f>HYPERLINK("http://www.ncbi.nlm.nih.gov/Taxonomy/Browser/wwwtax.cgi?mode=Info&amp;id=28743&amp;lvl=3&amp;lin=f&amp;keep=1&amp;srchmode=1&amp;unlock","Cyprinodon variegatus")</f>
        <v>Cyprinodon variegatus</v>
      </c>
      <c r="H299" t="s">
        <v>123</v>
      </c>
      <c r="I299" t="str">
        <f>HYPERLINK("http://www.ncbi.nlm.nih.gov/protein/XP_015234788.1","PREDICTED: ryanodine receptor 2")</f>
        <v>PREDICTED: ryanodine receptor 2</v>
      </c>
      <c r="J299" t="s">
        <v>1494</v>
      </c>
      <c r="K299" t="s">
        <v>19</v>
      </c>
      <c r="L299">
        <v>4320</v>
      </c>
      <c r="M299" t="s">
        <v>19</v>
      </c>
      <c r="N299" t="s">
        <v>19</v>
      </c>
      <c r="O299">
        <v>4323</v>
      </c>
      <c r="P299" t="s">
        <v>1486</v>
      </c>
      <c r="Q299" t="s">
        <v>19</v>
      </c>
      <c r="R299">
        <v>4324</v>
      </c>
      <c r="S299" t="s">
        <v>1495</v>
      </c>
      <c r="T299" t="s">
        <v>19</v>
      </c>
      <c r="U299">
        <v>4327</v>
      </c>
      <c r="V299" t="s">
        <v>1488</v>
      </c>
      <c r="W299" t="s">
        <v>19</v>
      </c>
      <c r="X299">
        <v>4423</v>
      </c>
      <c r="Y299" t="s">
        <v>1493</v>
      </c>
      <c r="Z299" t="s">
        <v>19</v>
      </c>
      <c r="AA299">
        <v>4558</v>
      </c>
      <c r="AB299" t="s">
        <v>19</v>
      </c>
      <c r="AC299" t="s">
        <v>19</v>
      </c>
      <c r="AD299">
        <v>4559</v>
      </c>
      <c r="AE299" t="s">
        <v>1488</v>
      </c>
      <c r="AF299" t="s">
        <v>19</v>
      </c>
      <c r="AG299">
        <v>4562</v>
      </c>
      <c r="AH299" t="s">
        <v>19</v>
      </c>
      <c r="AI299" t="s">
        <v>19</v>
      </c>
      <c r="AJ299">
        <v>4582</v>
      </c>
      <c r="AK299" t="s">
        <v>1490</v>
      </c>
      <c r="AL299" t="s">
        <v>19</v>
      </c>
      <c r="AM299">
        <v>4586</v>
      </c>
      <c r="AN299" t="s">
        <v>1491</v>
      </c>
      <c r="AO299" t="s">
        <v>19</v>
      </c>
    </row>
    <row r="300" spans="1:41" x14ac:dyDescent="0.45">
      <c r="A300" t="s">
        <v>1266</v>
      </c>
      <c r="B300">
        <v>8</v>
      </c>
      <c r="C300" t="str">
        <f>HYPERLINK("http://www.ncbi.nlm.nih.gov/protein/XP_034564299.1","XP_034564299.1")</f>
        <v>XP_034564299.1</v>
      </c>
      <c r="D300">
        <v>39441</v>
      </c>
      <c r="E300" t="str">
        <f>HYPERLINK("http://www.ncbi.nlm.nih.gov/Taxonomy/Browser/wwwtax.cgi?mode=Info&amp;id=1203425&amp;lvl=3&amp;lin=f&amp;keep=1&amp;srchmode=1&amp;unlock","1203425")</f>
        <v>1203425</v>
      </c>
      <c r="F300" t="s">
        <v>17</v>
      </c>
      <c r="G300" t="str">
        <f>HYPERLINK("http://www.ncbi.nlm.nih.gov/Taxonomy/Browser/wwwtax.cgi?mode=Info&amp;id=1203425&amp;lvl=3&amp;lin=f&amp;keep=1&amp;srchmode=1&amp;unlock","Notolabrus celidotus")</f>
        <v>Notolabrus celidotus</v>
      </c>
      <c r="H300" t="s">
        <v>703</v>
      </c>
      <c r="I300" t="str">
        <f>HYPERLINK("http://www.ncbi.nlm.nih.gov/protein/XP_034564299.1","ryanodine receptor 2")</f>
        <v>ryanodine receptor 2</v>
      </c>
      <c r="J300" t="s">
        <v>1494</v>
      </c>
      <c r="K300" t="s">
        <v>19</v>
      </c>
      <c r="L300">
        <v>3723</v>
      </c>
      <c r="M300" t="s">
        <v>19</v>
      </c>
      <c r="N300" t="s">
        <v>19</v>
      </c>
      <c r="O300">
        <v>3726</v>
      </c>
      <c r="P300" t="s">
        <v>1486</v>
      </c>
      <c r="Q300" t="s">
        <v>19</v>
      </c>
      <c r="R300">
        <v>3727</v>
      </c>
      <c r="S300" t="s">
        <v>1495</v>
      </c>
      <c r="T300" t="s">
        <v>19</v>
      </c>
      <c r="U300">
        <v>3730</v>
      </c>
      <c r="V300" t="s">
        <v>1488</v>
      </c>
      <c r="W300" t="s">
        <v>19</v>
      </c>
      <c r="X300">
        <v>3823</v>
      </c>
      <c r="Y300" t="s">
        <v>1493</v>
      </c>
      <c r="Z300" t="s">
        <v>19</v>
      </c>
      <c r="AA300">
        <v>3958</v>
      </c>
      <c r="AB300" t="s">
        <v>19</v>
      </c>
      <c r="AC300" t="s">
        <v>19</v>
      </c>
      <c r="AD300">
        <v>3959</v>
      </c>
      <c r="AE300" t="s">
        <v>1488</v>
      </c>
      <c r="AF300" t="s">
        <v>19</v>
      </c>
      <c r="AG300">
        <v>3962</v>
      </c>
      <c r="AH300" t="s">
        <v>19</v>
      </c>
      <c r="AI300" t="s">
        <v>19</v>
      </c>
      <c r="AJ300">
        <v>3982</v>
      </c>
      <c r="AK300" t="s">
        <v>1490</v>
      </c>
      <c r="AL300" t="s">
        <v>19</v>
      </c>
      <c r="AM300">
        <v>3986</v>
      </c>
      <c r="AN300" t="s">
        <v>1491</v>
      </c>
      <c r="AO300" t="s">
        <v>19</v>
      </c>
    </row>
    <row r="301" spans="1:41" x14ac:dyDescent="0.45">
      <c r="A301" t="s">
        <v>1266</v>
      </c>
      <c r="B301">
        <v>8</v>
      </c>
      <c r="C301" t="str">
        <f>HYPERLINK("http://www.ncbi.nlm.nih.gov/protein/XP_035526010.1","XP_035526010.1")</f>
        <v>XP_035526010.1</v>
      </c>
      <c r="D301">
        <v>31152</v>
      </c>
      <c r="E301" t="str">
        <f>HYPERLINK("http://www.ncbi.nlm.nih.gov/Taxonomy/Browser/wwwtax.cgi?mode=Info&amp;id=34816&amp;lvl=3&amp;lin=f&amp;keep=1&amp;srchmode=1&amp;unlock","34816")</f>
        <v>34816</v>
      </c>
      <c r="F301" t="s">
        <v>17</v>
      </c>
      <c r="G301" t="str">
        <f>HYPERLINK("http://www.ncbi.nlm.nih.gov/Taxonomy/Browser/wwwtax.cgi?mode=Info&amp;id=34816&amp;lvl=3&amp;lin=f&amp;keep=1&amp;srchmode=1&amp;unlock","Morone saxatilis")</f>
        <v>Morone saxatilis</v>
      </c>
      <c r="H301" t="s">
        <v>52</v>
      </c>
      <c r="I301" t="str">
        <f>HYPERLINK("http://www.ncbi.nlm.nih.gov/protein/XP_035526010.1","ryanodine receptor 2-like")</f>
        <v>ryanodine receptor 2-like</v>
      </c>
      <c r="J301" t="s">
        <v>1494</v>
      </c>
      <c r="K301" t="s">
        <v>19</v>
      </c>
      <c r="L301">
        <v>3826</v>
      </c>
      <c r="M301" t="s">
        <v>19</v>
      </c>
      <c r="N301" t="s">
        <v>19</v>
      </c>
      <c r="O301">
        <v>3829</v>
      </c>
      <c r="P301" t="s">
        <v>1486</v>
      </c>
      <c r="Q301" t="s">
        <v>19</v>
      </c>
      <c r="R301">
        <v>3830</v>
      </c>
      <c r="S301" t="s">
        <v>1495</v>
      </c>
      <c r="T301" t="s">
        <v>19</v>
      </c>
      <c r="U301">
        <v>3833</v>
      </c>
      <c r="V301" t="s">
        <v>1488</v>
      </c>
      <c r="W301" t="s">
        <v>19</v>
      </c>
      <c r="X301">
        <v>3929</v>
      </c>
      <c r="Y301" t="s">
        <v>1493</v>
      </c>
      <c r="Z301" t="s">
        <v>19</v>
      </c>
      <c r="AA301">
        <v>4064</v>
      </c>
      <c r="AB301" t="s">
        <v>19</v>
      </c>
      <c r="AC301" t="s">
        <v>19</v>
      </c>
      <c r="AD301">
        <v>4065</v>
      </c>
      <c r="AE301" t="s">
        <v>1488</v>
      </c>
      <c r="AF301" t="s">
        <v>19</v>
      </c>
      <c r="AG301">
        <v>4068</v>
      </c>
      <c r="AH301" t="s">
        <v>19</v>
      </c>
      <c r="AI301" t="s">
        <v>19</v>
      </c>
      <c r="AJ301">
        <v>4088</v>
      </c>
      <c r="AK301" t="s">
        <v>1490</v>
      </c>
      <c r="AL301" t="s">
        <v>19</v>
      </c>
      <c r="AM301">
        <v>4092</v>
      </c>
      <c r="AN301" t="s">
        <v>1491</v>
      </c>
      <c r="AO301" t="s">
        <v>19</v>
      </c>
    </row>
    <row r="302" spans="1:41" x14ac:dyDescent="0.45">
      <c r="A302" t="s">
        <v>1266</v>
      </c>
      <c r="B302">
        <v>8</v>
      </c>
      <c r="C302" t="str">
        <f>HYPERLINK("http://www.ncbi.nlm.nih.gov/protein/TKS90259.1","TKS90259.1")</f>
        <v>TKS90259.1</v>
      </c>
      <c r="D302">
        <v>28578</v>
      </c>
      <c r="E302" t="str">
        <f>HYPERLINK("http://www.ncbi.nlm.nih.gov/Taxonomy/Browser/wwwtax.cgi?mode=Info&amp;id=240159&amp;lvl=3&amp;lin=f&amp;keep=1&amp;srchmode=1&amp;unlock","240159")</f>
        <v>240159</v>
      </c>
      <c r="F302" t="s">
        <v>17</v>
      </c>
      <c r="G302" t="str">
        <f>HYPERLINK("http://www.ncbi.nlm.nih.gov/Taxonomy/Browser/wwwtax.cgi?mode=Info&amp;id=240159&amp;lvl=3&amp;lin=f&amp;keep=1&amp;srchmode=1&amp;unlock","Collichthys lucidus")</f>
        <v>Collichthys lucidus</v>
      </c>
      <c r="H302" t="s">
        <v>712</v>
      </c>
      <c r="I302" t="str">
        <f>HYPERLINK("http://www.ncbi.nlm.nih.gov/protein/TKS90259.1","Ryanodine receptor 2")</f>
        <v>Ryanodine receptor 2</v>
      </c>
      <c r="J302" t="s">
        <v>1494</v>
      </c>
      <c r="K302" t="s">
        <v>19</v>
      </c>
      <c r="L302">
        <v>3537</v>
      </c>
      <c r="M302" t="s">
        <v>19</v>
      </c>
      <c r="N302" t="s">
        <v>19</v>
      </c>
      <c r="O302">
        <v>3540</v>
      </c>
      <c r="P302" t="s">
        <v>1486</v>
      </c>
      <c r="Q302" t="s">
        <v>19</v>
      </c>
      <c r="R302">
        <v>3541</v>
      </c>
      <c r="S302" t="s">
        <v>1495</v>
      </c>
      <c r="T302" t="s">
        <v>19</v>
      </c>
      <c r="U302">
        <v>3544</v>
      </c>
      <c r="V302" t="s">
        <v>1488</v>
      </c>
      <c r="W302" t="s">
        <v>19</v>
      </c>
      <c r="X302">
        <v>3640</v>
      </c>
      <c r="Y302" t="s">
        <v>1493</v>
      </c>
      <c r="Z302" t="s">
        <v>19</v>
      </c>
      <c r="AA302">
        <v>3775</v>
      </c>
      <c r="AB302" t="s">
        <v>19</v>
      </c>
      <c r="AC302" t="s">
        <v>19</v>
      </c>
      <c r="AD302">
        <v>3776</v>
      </c>
      <c r="AE302" t="s">
        <v>1488</v>
      </c>
      <c r="AF302" t="s">
        <v>19</v>
      </c>
      <c r="AG302">
        <v>3779</v>
      </c>
      <c r="AH302" t="s">
        <v>19</v>
      </c>
      <c r="AI302" t="s">
        <v>19</v>
      </c>
      <c r="AJ302">
        <v>3799</v>
      </c>
      <c r="AK302" t="s">
        <v>1490</v>
      </c>
      <c r="AL302" t="s">
        <v>19</v>
      </c>
      <c r="AM302">
        <v>3803</v>
      </c>
      <c r="AN302" t="s">
        <v>1491</v>
      </c>
      <c r="AO302" t="s">
        <v>19</v>
      </c>
    </row>
    <row r="303" spans="1:41" x14ac:dyDescent="0.45">
      <c r="A303" t="s">
        <v>1266</v>
      </c>
      <c r="B303">
        <v>8</v>
      </c>
      <c r="C303" t="str">
        <f>HYPERLINK("http://www.ncbi.nlm.nih.gov/protein/XP_046214466.1","XP_046214466.1")</f>
        <v>XP_046214466.1</v>
      </c>
      <c r="D303">
        <v>81040</v>
      </c>
      <c r="E303" t="str">
        <f>HYPERLINK("http://www.ncbi.nlm.nih.gov/Taxonomy/Browser/wwwtax.cgi?mode=Info&amp;id=8017&amp;lvl=3&amp;lin=f&amp;keep=1&amp;srchmode=1&amp;unlock","8017")</f>
        <v>8017</v>
      </c>
      <c r="F303" t="s">
        <v>17</v>
      </c>
      <c r="G303" t="str">
        <f>HYPERLINK("http://www.ncbi.nlm.nih.gov/Taxonomy/Browser/wwwtax.cgi?mode=Info&amp;id=8017&amp;lvl=3&amp;lin=f&amp;keep=1&amp;srchmode=1&amp;unlock","Oncorhynchus gorbuscha")</f>
        <v>Oncorhynchus gorbuscha</v>
      </c>
      <c r="H303" t="s">
        <v>159</v>
      </c>
      <c r="I303" t="str">
        <f>HYPERLINK("http://www.ncbi.nlm.nih.gov/protein/XP_046214466.1","ryanodine receptor 2-like isoform X1")</f>
        <v>ryanodine receptor 2-like isoform X1</v>
      </c>
      <c r="J303" t="s">
        <v>1494</v>
      </c>
      <c r="K303" t="s">
        <v>19</v>
      </c>
      <c r="L303">
        <v>4510</v>
      </c>
      <c r="M303" t="s">
        <v>19</v>
      </c>
      <c r="N303" t="s">
        <v>19</v>
      </c>
      <c r="O303">
        <v>4513</v>
      </c>
      <c r="P303" t="s">
        <v>1486</v>
      </c>
      <c r="Q303" t="s">
        <v>19</v>
      </c>
      <c r="R303">
        <v>4514</v>
      </c>
      <c r="S303" t="s">
        <v>1495</v>
      </c>
      <c r="T303" t="s">
        <v>19</v>
      </c>
      <c r="U303">
        <v>4517</v>
      </c>
      <c r="V303" t="s">
        <v>1488</v>
      </c>
      <c r="W303" t="s">
        <v>19</v>
      </c>
      <c r="X303">
        <v>4598</v>
      </c>
      <c r="Y303" t="s">
        <v>1493</v>
      </c>
      <c r="Z303" t="s">
        <v>19</v>
      </c>
      <c r="AA303">
        <v>4734</v>
      </c>
      <c r="AB303" t="s">
        <v>19</v>
      </c>
      <c r="AC303" t="s">
        <v>19</v>
      </c>
      <c r="AD303">
        <v>4735</v>
      </c>
      <c r="AE303" t="s">
        <v>1488</v>
      </c>
      <c r="AF303" t="s">
        <v>19</v>
      </c>
      <c r="AG303">
        <v>4738</v>
      </c>
      <c r="AH303" t="s">
        <v>19</v>
      </c>
      <c r="AI303" t="s">
        <v>19</v>
      </c>
      <c r="AJ303">
        <v>4758</v>
      </c>
      <c r="AK303" t="s">
        <v>1490</v>
      </c>
      <c r="AL303" t="s">
        <v>19</v>
      </c>
      <c r="AM303">
        <v>4762</v>
      </c>
      <c r="AN303" t="s">
        <v>1491</v>
      </c>
      <c r="AO303" t="s">
        <v>19</v>
      </c>
    </row>
    <row r="304" spans="1:41" x14ac:dyDescent="0.45">
      <c r="A304" t="s">
        <v>1266</v>
      </c>
      <c r="B304">
        <v>8</v>
      </c>
      <c r="C304" t="str">
        <f>HYPERLINK("http://www.ncbi.nlm.nih.gov/protein/XP_029527949.1","XP_029527949.1")</f>
        <v>XP_029527949.1</v>
      </c>
      <c r="D304">
        <v>68886</v>
      </c>
      <c r="E304" t="str">
        <f>HYPERLINK("http://www.ncbi.nlm.nih.gov/Taxonomy/Browser/wwwtax.cgi?mode=Info&amp;id=8023&amp;lvl=3&amp;lin=f&amp;keep=1&amp;srchmode=1&amp;unlock","8023")</f>
        <v>8023</v>
      </c>
      <c r="F304" t="s">
        <v>17</v>
      </c>
      <c r="G304" t="str">
        <f>HYPERLINK("http://www.ncbi.nlm.nih.gov/Taxonomy/Browser/wwwtax.cgi?mode=Info&amp;id=8023&amp;lvl=3&amp;lin=f&amp;keep=1&amp;srchmode=1&amp;unlock","Oncorhynchus nerka")</f>
        <v>Oncorhynchus nerka</v>
      </c>
      <c r="H304" t="s">
        <v>163</v>
      </c>
      <c r="I304" t="str">
        <f>HYPERLINK("http://www.ncbi.nlm.nih.gov/protein/XP_029527949.1","LOW QUALITY PROTEIN: ryanodine receptor 2-like")</f>
        <v>LOW QUALITY PROTEIN: ryanodine receptor 2-like</v>
      </c>
      <c r="J304" t="s">
        <v>1494</v>
      </c>
      <c r="K304" t="s">
        <v>19</v>
      </c>
      <c r="L304">
        <v>4514</v>
      </c>
      <c r="M304" t="s">
        <v>19</v>
      </c>
      <c r="N304" t="s">
        <v>19</v>
      </c>
      <c r="O304">
        <v>4517</v>
      </c>
      <c r="P304" t="s">
        <v>1486</v>
      </c>
      <c r="Q304" t="s">
        <v>19</v>
      </c>
      <c r="R304">
        <v>4518</v>
      </c>
      <c r="S304" t="s">
        <v>1495</v>
      </c>
      <c r="T304" t="s">
        <v>19</v>
      </c>
      <c r="U304">
        <v>4521</v>
      </c>
      <c r="V304" t="s">
        <v>1488</v>
      </c>
      <c r="W304" t="s">
        <v>19</v>
      </c>
      <c r="X304">
        <v>4602</v>
      </c>
      <c r="Y304" t="s">
        <v>1493</v>
      </c>
      <c r="Z304" t="s">
        <v>19</v>
      </c>
      <c r="AA304">
        <v>4738</v>
      </c>
      <c r="AB304" t="s">
        <v>19</v>
      </c>
      <c r="AC304" t="s">
        <v>19</v>
      </c>
      <c r="AD304">
        <v>4739</v>
      </c>
      <c r="AE304" t="s">
        <v>1488</v>
      </c>
      <c r="AF304" t="s">
        <v>19</v>
      </c>
      <c r="AG304">
        <v>4742</v>
      </c>
      <c r="AH304" t="s">
        <v>19</v>
      </c>
      <c r="AI304" t="s">
        <v>19</v>
      </c>
      <c r="AJ304">
        <v>4762</v>
      </c>
      <c r="AK304" t="s">
        <v>1490</v>
      </c>
      <c r="AL304" t="s">
        <v>19</v>
      </c>
      <c r="AM304">
        <v>4766</v>
      </c>
      <c r="AN304" t="s">
        <v>1491</v>
      </c>
      <c r="AO304" t="s">
        <v>19</v>
      </c>
    </row>
    <row r="305" spans="1:41" x14ac:dyDescent="0.45">
      <c r="A305" t="s">
        <v>1266</v>
      </c>
      <c r="B305">
        <v>8</v>
      </c>
      <c r="C305" t="str">
        <f>HYPERLINK("http://www.ncbi.nlm.nih.gov/protein/XP_024281256.1","XP_024281256.1")</f>
        <v>XP_024281256.1</v>
      </c>
      <c r="D305">
        <v>83228</v>
      </c>
      <c r="E305" t="str">
        <f>HYPERLINK("http://www.ncbi.nlm.nih.gov/Taxonomy/Browser/wwwtax.cgi?mode=Info&amp;id=74940&amp;lvl=3&amp;lin=f&amp;keep=1&amp;srchmode=1&amp;unlock","74940")</f>
        <v>74940</v>
      </c>
      <c r="F305" t="s">
        <v>17</v>
      </c>
      <c r="G305" t="str">
        <f>HYPERLINK("http://www.ncbi.nlm.nih.gov/Taxonomy/Browser/wwwtax.cgi?mode=Info&amp;id=74940&amp;lvl=3&amp;lin=f&amp;keep=1&amp;srchmode=1&amp;unlock","Oncorhynchus tshawytscha")</f>
        <v>Oncorhynchus tshawytscha</v>
      </c>
      <c r="H305" t="s">
        <v>185</v>
      </c>
      <c r="I305" t="str">
        <f>HYPERLINK("http://www.ncbi.nlm.nih.gov/protein/XP_024281256.1","ryanodine receptor 2")</f>
        <v>ryanodine receptor 2</v>
      </c>
      <c r="J305" t="s">
        <v>1494</v>
      </c>
      <c r="K305" t="s">
        <v>19</v>
      </c>
      <c r="L305">
        <v>4506</v>
      </c>
      <c r="M305" t="s">
        <v>19</v>
      </c>
      <c r="N305" t="s">
        <v>19</v>
      </c>
      <c r="O305">
        <v>4509</v>
      </c>
      <c r="P305" t="s">
        <v>1486</v>
      </c>
      <c r="Q305" t="s">
        <v>19</v>
      </c>
      <c r="R305">
        <v>4510</v>
      </c>
      <c r="S305" t="s">
        <v>1495</v>
      </c>
      <c r="T305" t="s">
        <v>19</v>
      </c>
      <c r="U305">
        <v>4513</v>
      </c>
      <c r="V305" t="s">
        <v>1488</v>
      </c>
      <c r="W305" t="s">
        <v>19</v>
      </c>
      <c r="X305">
        <v>4594</v>
      </c>
      <c r="Y305" t="s">
        <v>1493</v>
      </c>
      <c r="Z305" t="s">
        <v>19</v>
      </c>
      <c r="AA305">
        <v>4730</v>
      </c>
      <c r="AB305" t="s">
        <v>19</v>
      </c>
      <c r="AC305" t="s">
        <v>19</v>
      </c>
      <c r="AD305">
        <v>4731</v>
      </c>
      <c r="AE305" t="s">
        <v>1488</v>
      </c>
      <c r="AF305" t="s">
        <v>19</v>
      </c>
      <c r="AG305">
        <v>4734</v>
      </c>
      <c r="AH305" t="s">
        <v>19</v>
      </c>
      <c r="AI305" t="s">
        <v>19</v>
      </c>
      <c r="AJ305">
        <v>4754</v>
      </c>
      <c r="AK305" t="s">
        <v>1490</v>
      </c>
      <c r="AL305" t="s">
        <v>19</v>
      </c>
      <c r="AM305">
        <v>4758</v>
      </c>
      <c r="AN305" t="s">
        <v>1491</v>
      </c>
      <c r="AO305" t="s">
        <v>19</v>
      </c>
    </row>
    <row r="306" spans="1:41" x14ac:dyDescent="0.45">
      <c r="A306" t="s">
        <v>1266</v>
      </c>
      <c r="B306">
        <v>8</v>
      </c>
      <c r="C306" t="str">
        <f>HYPERLINK("http://www.ncbi.nlm.nih.gov/protein/XP_038816831.1","XP_038816831.1")</f>
        <v>XP_038816831.1</v>
      </c>
      <c r="D306">
        <v>58431</v>
      </c>
      <c r="E306" t="str">
        <f>HYPERLINK("http://www.ncbi.nlm.nih.gov/Taxonomy/Browser/wwwtax.cgi?mode=Info&amp;id=8040&amp;lvl=3&amp;lin=f&amp;keep=1&amp;srchmode=1&amp;unlock","8040")</f>
        <v>8040</v>
      </c>
      <c r="F306" t="s">
        <v>17</v>
      </c>
      <c r="G306" t="str">
        <f>HYPERLINK("http://www.ncbi.nlm.nih.gov/Taxonomy/Browser/wwwtax.cgi?mode=Info&amp;id=8040&amp;lvl=3&amp;lin=f&amp;keep=1&amp;srchmode=1&amp;unlock","Salvelinus namaycush")</f>
        <v>Salvelinus namaycush</v>
      </c>
      <c r="H306" t="s">
        <v>133</v>
      </c>
      <c r="I306" t="str">
        <f>HYPERLINK("http://www.ncbi.nlm.nih.gov/protein/XP_038816831.1","ryanodine receptor 2-like")</f>
        <v>ryanodine receptor 2-like</v>
      </c>
      <c r="J306" t="s">
        <v>1494</v>
      </c>
      <c r="K306" t="s">
        <v>19</v>
      </c>
      <c r="L306">
        <v>4506</v>
      </c>
      <c r="M306" t="s">
        <v>19</v>
      </c>
      <c r="N306" t="s">
        <v>19</v>
      </c>
      <c r="O306">
        <v>4509</v>
      </c>
      <c r="P306" t="s">
        <v>1486</v>
      </c>
      <c r="Q306" t="s">
        <v>19</v>
      </c>
      <c r="R306">
        <v>4510</v>
      </c>
      <c r="S306" t="s">
        <v>1495</v>
      </c>
      <c r="T306" t="s">
        <v>19</v>
      </c>
      <c r="U306">
        <v>4513</v>
      </c>
      <c r="V306" t="s">
        <v>1488</v>
      </c>
      <c r="W306" t="s">
        <v>19</v>
      </c>
      <c r="X306">
        <v>4595</v>
      </c>
      <c r="Y306" t="s">
        <v>1493</v>
      </c>
      <c r="Z306" t="s">
        <v>19</v>
      </c>
      <c r="AA306">
        <v>4731</v>
      </c>
      <c r="AB306" t="s">
        <v>19</v>
      </c>
      <c r="AC306" t="s">
        <v>19</v>
      </c>
      <c r="AD306">
        <v>4732</v>
      </c>
      <c r="AE306" t="s">
        <v>1488</v>
      </c>
      <c r="AF306" t="s">
        <v>19</v>
      </c>
      <c r="AG306">
        <v>4735</v>
      </c>
      <c r="AH306" t="s">
        <v>19</v>
      </c>
      <c r="AI306" t="s">
        <v>19</v>
      </c>
      <c r="AJ306">
        <v>4755</v>
      </c>
      <c r="AK306" t="s">
        <v>1490</v>
      </c>
      <c r="AL306" t="s">
        <v>19</v>
      </c>
      <c r="AM306">
        <v>4759</v>
      </c>
      <c r="AN306" t="s">
        <v>1491</v>
      </c>
      <c r="AO306" t="s">
        <v>19</v>
      </c>
    </row>
    <row r="307" spans="1:41" x14ac:dyDescent="0.45">
      <c r="A307" t="s">
        <v>1266</v>
      </c>
      <c r="B307">
        <v>8</v>
      </c>
      <c r="C307" t="str">
        <f>HYPERLINK("http://www.ncbi.nlm.nih.gov/protein/XP_035610361.2","XP_035610361.2")</f>
        <v>XP_035610361.2</v>
      </c>
      <c r="D307">
        <v>116232</v>
      </c>
      <c r="E307" t="str">
        <f>HYPERLINK("http://www.ncbi.nlm.nih.gov/Taxonomy/Browser/wwwtax.cgi?mode=Info&amp;id=8018&amp;lvl=3&amp;lin=f&amp;keep=1&amp;srchmode=1&amp;unlock","8018")</f>
        <v>8018</v>
      </c>
      <c r="F307" t="s">
        <v>17</v>
      </c>
      <c r="G307" t="str">
        <f>HYPERLINK("http://www.ncbi.nlm.nih.gov/Taxonomy/Browser/wwwtax.cgi?mode=Info&amp;id=8018&amp;lvl=3&amp;lin=f&amp;keep=1&amp;srchmode=1&amp;unlock","Oncorhynchus keta")</f>
        <v>Oncorhynchus keta</v>
      </c>
      <c r="H307" t="s">
        <v>146</v>
      </c>
      <c r="I307" t="str">
        <f>HYPERLINK("http://www.ncbi.nlm.nih.gov/protein/XP_035610361.2","ryanodine receptor 2-like isoform X2")</f>
        <v>ryanodine receptor 2-like isoform X2</v>
      </c>
      <c r="J307" t="s">
        <v>1494</v>
      </c>
      <c r="K307" t="s">
        <v>19</v>
      </c>
      <c r="L307">
        <v>4508</v>
      </c>
      <c r="M307" t="s">
        <v>19</v>
      </c>
      <c r="N307" t="s">
        <v>19</v>
      </c>
      <c r="O307">
        <v>4511</v>
      </c>
      <c r="P307" t="s">
        <v>1486</v>
      </c>
      <c r="Q307" t="s">
        <v>19</v>
      </c>
      <c r="R307">
        <v>4512</v>
      </c>
      <c r="S307" t="s">
        <v>1495</v>
      </c>
      <c r="T307" t="s">
        <v>19</v>
      </c>
      <c r="U307">
        <v>4515</v>
      </c>
      <c r="V307" t="s">
        <v>1488</v>
      </c>
      <c r="W307" t="s">
        <v>19</v>
      </c>
      <c r="X307">
        <v>4596</v>
      </c>
      <c r="Y307" t="s">
        <v>1493</v>
      </c>
      <c r="Z307" t="s">
        <v>19</v>
      </c>
      <c r="AA307">
        <v>4732</v>
      </c>
      <c r="AB307" t="s">
        <v>19</v>
      </c>
      <c r="AC307" t="s">
        <v>19</v>
      </c>
      <c r="AD307">
        <v>4733</v>
      </c>
      <c r="AE307" t="s">
        <v>1488</v>
      </c>
      <c r="AF307" t="s">
        <v>19</v>
      </c>
      <c r="AG307">
        <v>4736</v>
      </c>
      <c r="AH307" t="s">
        <v>19</v>
      </c>
      <c r="AI307" t="s">
        <v>19</v>
      </c>
      <c r="AJ307">
        <v>4756</v>
      </c>
      <c r="AK307" t="s">
        <v>1490</v>
      </c>
      <c r="AL307" t="s">
        <v>19</v>
      </c>
      <c r="AM307">
        <v>4760</v>
      </c>
      <c r="AN307" t="s">
        <v>1491</v>
      </c>
      <c r="AO307" t="s">
        <v>19</v>
      </c>
    </row>
    <row r="308" spans="1:41" x14ac:dyDescent="0.45">
      <c r="A308" t="s">
        <v>1266</v>
      </c>
      <c r="B308">
        <v>8</v>
      </c>
      <c r="C308" t="str">
        <f>HYPERLINK("http://www.ncbi.nlm.nih.gov/protein/XP_023825699.1","XP_023825699.1")</f>
        <v>XP_023825699.1</v>
      </c>
      <c r="D308">
        <v>60852</v>
      </c>
      <c r="E308" t="str">
        <f>HYPERLINK("http://www.ncbi.nlm.nih.gov/Taxonomy/Browser/wwwtax.cgi?mode=Info&amp;id=8036&amp;lvl=3&amp;lin=f&amp;keep=1&amp;srchmode=1&amp;unlock","8036")</f>
        <v>8036</v>
      </c>
      <c r="F308" t="s">
        <v>17</v>
      </c>
      <c r="G308" t="str">
        <f>HYPERLINK("http://www.ncbi.nlm.nih.gov/Taxonomy/Browser/wwwtax.cgi?mode=Info&amp;id=8036&amp;lvl=3&amp;lin=f&amp;keep=1&amp;srchmode=1&amp;unlock","Salvelinus alpinus")</f>
        <v>Salvelinus alpinus</v>
      </c>
      <c r="H308" t="s">
        <v>514</v>
      </c>
      <c r="I308" t="str">
        <f>HYPERLINK("http://www.ncbi.nlm.nih.gov/protein/XP_023825699.1","ryanodine receptor 2-like")</f>
        <v>ryanodine receptor 2-like</v>
      </c>
      <c r="J308" t="s">
        <v>1494</v>
      </c>
      <c r="K308" t="s">
        <v>19</v>
      </c>
      <c r="L308">
        <v>4492</v>
      </c>
      <c r="M308" t="s">
        <v>19</v>
      </c>
      <c r="N308" t="s">
        <v>19</v>
      </c>
      <c r="O308">
        <v>4495</v>
      </c>
      <c r="P308" t="s">
        <v>1486</v>
      </c>
      <c r="Q308" t="s">
        <v>19</v>
      </c>
      <c r="R308">
        <v>4496</v>
      </c>
      <c r="S308" t="s">
        <v>1495</v>
      </c>
      <c r="T308" t="s">
        <v>19</v>
      </c>
      <c r="U308">
        <v>4499</v>
      </c>
      <c r="V308" t="s">
        <v>1488</v>
      </c>
      <c r="W308" t="s">
        <v>19</v>
      </c>
      <c r="X308">
        <v>4581</v>
      </c>
      <c r="Y308" t="s">
        <v>1492</v>
      </c>
      <c r="Z308" t="s">
        <v>19</v>
      </c>
      <c r="AA308">
        <v>4717</v>
      </c>
      <c r="AB308" t="s">
        <v>19</v>
      </c>
      <c r="AC308" t="s">
        <v>19</v>
      </c>
      <c r="AD308">
        <v>4718</v>
      </c>
      <c r="AE308" t="s">
        <v>1488</v>
      </c>
      <c r="AF308" t="s">
        <v>19</v>
      </c>
      <c r="AG308">
        <v>4721</v>
      </c>
      <c r="AH308" t="s">
        <v>19</v>
      </c>
      <c r="AI308" t="s">
        <v>19</v>
      </c>
      <c r="AJ308">
        <v>4741</v>
      </c>
      <c r="AK308" t="s">
        <v>1490</v>
      </c>
      <c r="AL308" t="s">
        <v>19</v>
      </c>
      <c r="AM308">
        <v>4745</v>
      </c>
      <c r="AN308" t="s">
        <v>1491</v>
      </c>
      <c r="AO308" t="s">
        <v>19</v>
      </c>
    </row>
    <row r="309" spans="1:41" x14ac:dyDescent="0.45">
      <c r="A309" t="s">
        <v>1266</v>
      </c>
      <c r="B309">
        <v>8</v>
      </c>
      <c r="C309" t="str">
        <f>HYPERLINK("http://www.ncbi.nlm.nih.gov/protein/XP_036381526.1","XP_036381526.1")</f>
        <v>XP_036381526.1</v>
      </c>
      <c r="D309">
        <v>40219</v>
      </c>
      <c r="E309" t="str">
        <f>HYPERLINK("http://www.ncbi.nlm.nih.gov/Taxonomy/Browser/wwwtax.cgi?mode=Info&amp;id=118141&amp;lvl=3&amp;lin=f&amp;keep=1&amp;srchmode=1&amp;unlock","118141")</f>
        <v>118141</v>
      </c>
      <c r="F309" t="s">
        <v>17</v>
      </c>
      <c r="G309" t="str">
        <f>HYPERLINK("http://www.ncbi.nlm.nih.gov/Taxonomy/Browser/wwwtax.cgi?mode=Info&amp;id=118141&amp;lvl=3&amp;lin=f&amp;keep=1&amp;srchmode=1&amp;unlock","Megalops cyprinoides")</f>
        <v>Megalops cyprinoides</v>
      </c>
      <c r="H309" t="s">
        <v>724</v>
      </c>
      <c r="I309" t="str">
        <f>HYPERLINK("http://www.ncbi.nlm.nih.gov/protein/XP_036381526.1","ryanodine receptor 2")</f>
        <v>ryanodine receptor 2</v>
      </c>
      <c r="J309" t="s">
        <v>1494</v>
      </c>
      <c r="K309" t="s">
        <v>19</v>
      </c>
      <c r="L309">
        <v>4598</v>
      </c>
      <c r="M309" t="s">
        <v>19</v>
      </c>
      <c r="N309" t="s">
        <v>19</v>
      </c>
      <c r="O309">
        <v>4601</v>
      </c>
      <c r="P309" t="s">
        <v>1486</v>
      </c>
      <c r="Q309" t="s">
        <v>19</v>
      </c>
      <c r="R309">
        <v>4602</v>
      </c>
      <c r="S309" t="s">
        <v>1495</v>
      </c>
      <c r="T309" t="s">
        <v>19</v>
      </c>
      <c r="U309">
        <v>4605</v>
      </c>
      <c r="V309" t="s">
        <v>1488</v>
      </c>
      <c r="W309" t="s">
        <v>19</v>
      </c>
      <c r="X309">
        <v>4686</v>
      </c>
      <c r="Y309" t="s">
        <v>1493</v>
      </c>
      <c r="Z309" t="s">
        <v>19</v>
      </c>
      <c r="AA309">
        <v>4821</v>
      </c>
      <c r="AB309" t="s">
        <v>19</v>
      </c>
      <c r="AC309" t="s">
        <v>19</v>
      </c>
      <c r="AD309">
        <v>4822</v>
      </c>
      <c r="AE309" t="s">
        <v>1488</v>
      </c>
      <c r="AF309" t="s">
        <v>19</v>
      </c>
      <c r="AG309">
        <v>4825</v>
      </c>
      <c r="AH309" t="s">
        <v>19</v>
      </c>
      <c r="AI309" t="s">
        <v>19</v>
      </c>
      <c r="AJ309">
        <v>4845</v>
      </c>
      <c r="AK309" t="s">
        <v>1490</v>
      </c>
      <c r="AL309" t="s">
        <v>19</v>
      </c>
      <c r="AM309">
        <v>4849</v>
      </c>
      <c r="AN309" t="s">
        <v>1491</v>
      </c>
      <c r="AO309" t="s">
        <v>19</v>
      </c>
    </row>
    <row r="310" spans="1:41" x14ac:dyDescent="0.45">
      <c r="A310" t="s">
        <v>1266</v>
      </c>
      <c r="B310">
        <v>8</v>
      </c>
      <c r="C310" t="str">
        <f>HYPERLINK("http://www.ncbi.nlm.nih.gov/protein/XP_014909908.1","XP_014909908.1")</f>
        <v>XP_014909908.1</v>
      </c>
      <c r="D310">
        <v>47235</v>
      </c>
      <c r="E310" t="str">
        <f>HYPERLINK("http://www.ncbi.nlm.nih.gov/Taxonomy/Browser/wwwtax.cgi?mode=Info&amp;id=48699&amp;lvl=3&amp;lin=f&amp;keep=1&amp;srchmode=1&amp;unlock","48699")</f>
        <v>48699</v>
      </c>
      <c r="F310" t="s">
        <v>17</v>
      </c>
      <c r="G310" t="str">
        <f>HYPERLINK("http://www.ncbi.nlm.nih.gov/Taxonomy/Browser/wwwtax.cgi?mode=Info&amp;id=48699&amp;lvl=3&amp;lin=f&amp;keep=1&amp;srchmode=1&amp;unlock","Poecilia latipinna")</f>
        <v>Poecilia latipinna</v>
      </c>
      <c r="H310" t="s">
        <v>117</v>
      </c>
      <c r="I310" t="str">
        <f>HYPERLINK("http://www.ncbi.nlm.nih.gov/protein/XP_014909908.1","PREDICTED: ryanodine receptor 2-like")</f>
        <v>PREDICTED: ryanodine receptor 2-like</v>
      </c>
      <c r="J310" t="s">
        <v>1494</v>
      </c>
      <c r="K310" t="s">
        <v>19</v>
      </c>
      <c r="L310">
        <v>3253</v>
      </c>
      <c r="M310" t="s">
        <v>19</v>
      </c>
      <c r="N310" t="s">
        <v>19</v>
      </c>
      <c r="O310">
        <v>3256</v>
      </c>
      <c r="P310" t="s">
        <v>1486</v>
      </c>
      <c r="Q310" t="s">
        <v>19</v>
      </c>
      <c r="R310">
        <v>3257</v>
      </c>
      <c r="S310" t="s">
        <v>1495</v>
      </c>
      <c r="T310" t="s">
        <v>19</v>
      </c>
      <c r="U310">
        <v>3260</v>
      </c>
      <c r="V310" t="s">
        <v>1488</v>
      </c>
      <c r="W310" t="s">
        <v>19</v>
      </c>
      <c r="X310">
        <v>3356</v>
      </c>
      <c r="Y310" t="s">
        <v>1493</v>
      </c>
      <c r="Z310" t="s">
        <v>19</v>
      </c>
      <c r="AA310">
        <v>3491</v>
      </c>
      <c r="AB310" t="s">
        <v>19</v>
      </c>
      <c r="AC310" t="s">
        <v>19</v>
      </c>
      <c r="AD310">
        <v>3492</v>
      </c>
      <c r="AE310" t="s">
        <v>1488</v>
      </c>
      <c r="AF310" t="s">
        <v>19</v>
      </c>
      <c r="AG310">
        <v>3495</v>
      </c>
      <c r="AH310" t="s">
        <v>19</v>
      </c>
      <c r="AI310" t="s">
        <v>19</v>
      </c>
      <c r="AJ310">
        <v>3515</v>
      </c>
      <c r="AK310" t="s">
        <v>1490</v>
      </c>
      <c r="AL310" t="s">
        <v>19</v>
      </c>
      <c r="AM310">
        <v>3519</v>
      </c>
      <c r="AN310" t="s">
        <v>1491</v>
      </c>
      <c r="AO310" t="s">
        <v>19</v>
      </c>
    </row>
    <row r="311" spans="1:41" x14ac:dyDescent="0.45">
      <c r="A311" t="s">
        <v>1266</v>
      </c>
      <c r="B311">
        <v>8</v>
      </c>
      <c r="C311" t="str">
        <f>HYPERLINK("http://www.ncbi.nlm.nih.gov/protein/XP_021323063.1","XP_021323063.1")</f>
        <v>XP_021323063.1</v>
      </c>
      <c r="D311">
        <v>88318</v>
      </c>
      <c r="E311" t="str">
        <f>HYPERLINK("http://www.ncbi.nlm.nih.gov/Taxonomy/Browser/wwwtax.cgi?mode=Info&amp;id=7955&amp;lvl=3&amp;lin=f&amp;keep=1&amp;srchmode=1&amp;unlock","7955")</f>
        <v>7955</v>
      </c>
      <c r="F311" t="s">
        <v>17</v>
      </c>
      <c r="G311" t="str">
        <f>HYPERLINK("http://www.ncbi.nlm.nih.gov/Taxonomy/Browser/wwwtax.cgi?mode=Info&amp;id=7955&amp;lvl=3&amp;lin=f&amp;keep=1&amp;srchmode=1&amp;unlock","Danio rerio")</f>
        <v>Danio rerio</v>
      </c>
      <c r="H311" t="s">
        <v>26</v>
      </c>
      <c r="I311" t="str">
        <f>HYPERLINK("http://www.ncbi.nlm.nih.gov/protein/XP_021323063.1","LOW QUALITY PROTEIN: ryanodine receptor 2 isoform X1")</f>
        <v>LOW QUALITY PROTEIN: ryanodine receptor 2 isoform X1</v>
      </c>
      <c r="J311" t="s">
        <v>1494</v>
      </c>
      <c r="K311" t="s">
        <v>19</v>
      </c>
      <c r="L311">
        <v>4463</v>
      </c>
      <c r="M311" t="s">
        <v>19</v>
      </c>
      <c r="N311" t="s">
        <v>19</v>
      </c>
      <c r="O311">
        <v>4466</v>
      </c>
      <c r="P311" t="s">
        <v>1486</v>
      </c>
      <c r="Q311" t="s">
        <v>19</v>
      </c>
      <c r="R311">
        <v>4467</v>
      </c>
      <c r="S311" t="s">
        <v>1488</v>
      </c>
      <c r="T311" t="s">
        <v>19</v>
      </c>
      <c r="U311">
        <v>4470</v>
      </c>
      <c r="V311" t="s">
        <v>1488</v>
      </c>
      <c r="W311" t="s">
        <v>19</v>
      </c>
      <c r="X311">
        <v>4536</v>
      </c>
      <c r="Y311" t="s">
        <v>1493</v>
      </c>
      <c r="Z311" t="s">
        <v>19</v>
      </c>
      <c r="AA311">
        <v>4671</v>
      </c>
      <c r="AB311" t="s">
        <v>19</v>
      </c>
      <c r="AC311" t="s">
        <v>19</v>
      </c>
      <c r="AD311">
        <v>4672</v>
      </c>
      <c r="AE311" t="s">
        <v>1488</v>
      </c>
      <c r="AF311" t="s">
        <v>19</v>
      </c>
      <c r="AG311">
        <v>4675</v>
      </c>
      <c r="AH311" t="s">
        <v>19</v>
      </c>
      <c r="AI311" t="s">
        <v>19</v>
      </c>
      <c r="AJ311">
        <v>4695</v>
      </c>
      <c r="AK311" t="s">
        <v>1490</v>
      </c>
      <c r="AL311" t="s">
        <v>19</v>
      </c>
      <c r="AM311">
        <v>4699</v>
      </c>
      <c r="AN311" t="s">
        <v>1491</v>
      </c>
      <c r="AO311" t="s">
        <v>19</v>
      </c>
    </row>
    <row r="312" spans="1:41" x14ac:dyDescent="0.45">
      <c r="A312" t="s">
        <v>1266</v>
      </c>
      <c r="B312">
        <v>8</v>
      </c>
      <c r="C312" t="str">
        <f>HYPERLINK("http://www.ncbi.nlm.nih.gov/protein/XP_016523492.1","XP_016523492.1")</f>
        <v>XP_016523492.1</v>
      </c>
      <c r="D312">
        <v>49657</v>
      </c>
      <c r="E312" t="str">
        <f>HYPERLINK("http://www.ncbi.nlm.nih.gov/Taxonomy/Browser/wwwtax.cgi?mode=Info&amp;id=48698&amp;lvl=3&amp;lin=f&amp;keep=1&amp;srchmode=1&amp;unlock","48698")</f>
        <v>48698</v>
      </c>
      <c r="F312" t="s">
        <v>17</v>
      </c>
      <c r="G312" t="str">
        <f>HYPERLINK("http://www.ncbi.nlm.nih.gov/Taxonomy/Browser/wwwtax.cgi?mode=Info&amp;id=48698&amp;lvl=3&amp;lin=f&amp;keep=1&amp;srchmode=1&amp;unlock","Poecilia formosa")</f>
        <v>Poecilia formosa</v>
      </c>
      <c r="H312" t="s">
        <v>119</v>
      </c>
      <c r="I312" t="str">
        <f>HYPERLINK("http://www.ncbi.nlm.nih.gov/protein/XP_016523492.1","PREDICTED: ryanodine receptor 2")</f>
        <v>PREDICTED: ryanodine receptor 2</v>
      </c>
      <c r="J312" t="s">
        <v>1494</v>
      </c>
      <c r="K312" t="s">
        <v>19</v>
      </c>
      <c r="L312">
        <v>4480</v>
      </c>
      <c r="M312" t="s">
        <v>19</v>
      </c>
      <c r="N312" t="s">
        <v>19</v>
      </c>
      <c r="O312">
        <v>4483</v>
      </c>
      <c r="P312" t="s">
        <v>1486</v>
      </c>
      <c r="Q312" t="s">
        <v>19</v>
      </c>
      <c r="R312">
        <v>4484</v>
      </c>
      <c r="S312" t="s">
        <v>1488</v>
      </c>
      <c r="T312" t="s">
        <v>19</v>
      </c>
      <c r="U312">
        <v>4487</v>
      </c>
      <c r="V312" t="s">
        <v>1488</v>
      </c>
      <c r="W312" t="s">
        <v>19</v>
      </c>
      <c r="X312">
        <v>4563</v>
      </c>
      <c r="Y312" t="s">
        <v>1493</v>
      </c>
      <c r="Z312" t="s">
        <v>19</v>
      </c>
      <c r="AA312">
        <v>4704</v>
      </c>
      <c r="AB312" t="s">
        <v>19</v>
      </c>
      <c r="AC312" t="s">
        <v>19</v>
      </c>
      <c r="AD312">
        <v>4705</v>
      </c>
      <c r="AE312" t="s">
        <v>1488</v>
      </c>
      <c r="AF312" t="s">
        <v>19</v>
      </c>
      <c r="AG312">
        <v>4708</v>
      </c>
      <c r="AH312" t="s">
        <v>19</v>
      </c>
      <c r="AI312" t="s">
        <v>19</v>
      </c>
      <c r="AJ312">
        <v>4728</v>
      </c>
      <c r="AK312" t="s">
        <v>1490</v>
      </c>
      <c r="AL312" t="s">
        <v>19</v>
      </c>
      <c r="AM312">
        <v>4732</v>
      </c>
      <c r="AN312" t="s">
        <v>1491</v>
      </c>
      <c r="AO312" t="s">
        <v>19</v>
      </c>
    </row>
    <row r="313" spans="1:41" x14ac:dyDescent="0.45">
      <c r="A313" t="s">
        <v>1266</v>
      </c>
      <c r="B313">
        <v>8</v>
      </c>
      <c r="C313" t="str">
        <f>HYPERLINK("http://www.ncbi.nlm.nih.gov/protein/XP_014836101.1","XP_014836101.1")</f>
        <v>XP_014836101.1</v>
      </c>
      <c r="D313">
        <v>47808</v>
      </c>
      <c r="E313" t="str">
        <f>HYPERLINK("http://www.ncbi.nlm.nih.gov/Taxonomy/Browser/wwwtax.cgi?mode=Info&amp;id=48701&amp;lvl=3&amp;lin=f&amp;keep=1&amp;srchmode=1&amp;unlock","48701")</f>
        <v>48701</v>
      </c>
      <c r="F313" t="s">
        <v>17</v>
      </c>
      <c r="G313" t="str">
        <f>HYPERLINK("http://www.ncbi.nlm.nih.gov/Taxonomy/Browser/wwwtax.cgi?mode=Info&amp;id=48701&amp;lvl=3&amp;lin=f&amp;keep=1&amp;srchmode=1&amp;unlock","Poecilia mexicana")</f>
        <v>Poecilia mexicana</v>
      </c>
      <c r="H313" t="s">
        <v>120</v>
      </c>
      <c r="I313" t="str">
        <f>HYPERLINK("http://www.ncbi.nlm.nih.gov/protein/XP_014836101.1","PREDICTED: ryanodine receptor 2-like")</f>
        <v>PREDICTED: ryanodine receptor 2-like</v>
      </c>
      <c r="J313" t="s">
        <v>1494</v>
      </c>
      <c r="K313" t="s">
        <v>19</v>
      </c>
      <c r="L313">
        <v>4480</v>
      </c>
      <c r="M313" t="s">
        <v>19</v>
      </c>
      <c r="N313" t="s">
        <v>19</v>
      </c>
      <c r="O313">
        <v>4483</v>
      </c>
      <c r="P313" t="s">
        <v>1486</v>
      </c>
      <c r="Q313" t="s">
        <v>19</v>
      </c>
      <c r="R313">
        <v>4484</v>
      </c>
      <c r="S313" t="s">
        <v>1488</v>
      </c>
      <c r="T313" t="s">
        <v>19</v>
      </c>
      <c r="U313">
        <v>4487</v>
      </c>
      <c r="V313" t="s">
        <v>1488</v>
      </c>
      <c r="W313" t="s">
        <v>19</v>
      </c>
      <c r="X313">
        <v>4563</v>
      </c>
      <c r="Y313" t="s">
        <v>1493</v>
      </c>
      <c r="Z313" t="s">
        <v>19</v>
      </c>
      <c r="AA313">
        <v>4705</v>
      </c>
      <c r="AB313" t="s">
        <v>19</v>
      </c>
      <c r="AC313" t="s">
        <v>19</v>
      </c>
      <c r="AD313">
        <v>4706</v>
      </c>
      <c r="AE313" t="s">
        <v>1488</v>
      </c>
      <c r="AF313" t="s">
        <v>19</v>
      </c>
      <c r="AG313">
        <v>4709</v>
      </c>
      <c r="AH313" t="s">
        <v>19</v>
      </c>
      <c r="AI313" t="s">
        <v>19</v>
      </c>
      <c r="AJ313">
        <v>4729</v>
      </c>
      <c r="AK313" t="s">
        <v>1490</v>
      </c>
      <c r="AL313" t="s">
        <v>19</v>
      </c>
      <c r="AM313">
        <v>4733</v>
      </c>
      <c r="AN313" t="s">
        <v>1491</v>
      </c>
      <c r="AO313" t="s">
        <v>19</v>
      </c>
    </row>
    <row r="314" spans="1:41" x14ac:dyDescent="0.45">
      <c r="A314" t="s">
        <v>1266</v>
      </c>
      <c r="B314">
        <v>8</v>
      </c>
      <c r="C314" t="str">
        <f>HYPERLINK("http://www.ncbi.nlm.nih.gov/protein/XP_054606771.1","XP_054606771.1")</f>
        <v>XP_054606771.1</v>
      </c>
      <c r="D314">
        <v>79907</v>
      </c>
      <c r="E314" t="str">
        <f>HYPERLINK("http://www.ncbi.nlm.nih.gov/Taxonomy/Browser/wwwtax.cgi?mode=Info&amp;id=105023&amp;lvl=3&amp;lin=f&amp;keep=1&amp;srchmode=1&amp;unlock","105023")</f>
        <v>105023</v>
      </c>
      <c r="F314" t="s">
        <v>17</v>
      </c>
      <c r="G314" t="str">
        <f>HYPERLINK("http://www.ncbi.nlm.nih.gov/Taxonomy/Browser/wwwtax.cgi?mode=Info&amp;id=105023&amp;lvl=3&amp;lin=f&amp;keep=1&amp;srchmode=1&amp;unlock","Nothobranchius furzeri")</f>
        <v>Nothobranchius furzeri</v>
      </c>
      <c r="H314" t="s">
        <v>65</v>
      </c>
      <c r="I314" t="str">
        <f>HYPERLINK("http://www.ncbi.nlm.nih.gov/protein/XP_054606771.1","ryanodine receptor 2")</f>
        <v>ryanodine receptor 2</v>
      </c>
      <c r="J314" t="s">
        <v>1494</v>
      </c>
      <c r="K314" t="s">
        <v>19</v>
      </c>
      <c r="L314">
        <v>4573</v>
      </c>
      <c r="M314" t="s">
        <v>19</v>
      </c>
      <c r="N314" t="s">
        <v>19</v>
      </c>
      <c r="O314">
        <v>4576</v>
      </c>
      <c r="P314" t="s">
        <v>1486</v>
      </c>
      <c r="Q314" t="s">
        <v>19</v>
      </c>
      <c r="R314">
        <v>4577</v>
      </c>
      <c r="S314" t="s">
        <v>1488</v>
      </c>
      <c r="T314" t="s">
        <v>19</v>
      </c>
      <c r="U314">
        <v>4580</v>
      </c>
      <c r="V314" t="s">
        <v>1488</v>
      </c>
      <c r="W314" t="s">
        <v>19</v>
      </c>
      <c r="X314">
        <v>4647</v>
      </c>
      <c r="Y314" t="s">
        <v>1493</v>
      </c>
      <c r="Z314" t="s">
        <v>19</v>
      </c>
      <c r="AA314">
        <v>4783</v>
      </c>
      <c r="AB314" t="s">
        <v>19</v>
      </c>
      <c r="AC314" t="s">
        <v>19</v>
      </c>
      <c r="AD314">
        <v>4784</v>
      </c>
      <c r="AE314" t="s">
        <v>1488</v>
      </c>
      <c r="AF314" t="s">
        <v>19</v>
      </c>
      <c r="AG314">
        <v>4787</v>
      </c>
      <c r="AH314" t="s">
        <v>19</v>
      </c>
      <c r="AI314" t="s">
        <v>19</v>
      </c>
      <c r="AJ314">
        <v>4807</v>
      </c>
      <c r="AK314" t="s">
        <v>1490</v>
      </c>
      <c r="AL314" t="s">
        <v>19</v>
      </c>
      <c r="AM314">
        <v>4811</v>
      </c>
      <c r="AN314" t="s">
        <v>1491</v>
      </c>
      <c r="AO314" t="s">
        <v>19</v>
      </c>
    </row>
    <row r="315" spans="1:41" x14ac:dyDescent="0.45">
      <c r="A315" t="s">
        <v>1266</v>
      </c>
      <c r="B315">
        <v>8</v>
      </c>
      <c r="C315" t="str">
        <f>HYPERLINK("http://www.ncbi.nlm.nih.gov/protein/KAG8000214.1","KAG8000214.1")</f>
        <v>KAG8000214.1</v>
      </c>
      <c r="D315">
        <v>16095</v>
      </c>
      <c r="E315" t="str">
        <f>HYPERLINK("http://www.ncbi.nlm.nih.gov/Taxonomy/Browser/wwwtax.cgi?mode=Info&amp;id=240163&amp;lvl=3&amp;lin=f&amp;keep=1&amp;srchmode=1&amp;unlock","240163")</f>
        <v>240163</v>
      </c>
      <c r="F315" t="s">
        <v>17</v>
      </c>
      <c r="G315" t="str">
        <f>HYPERLINK("http://www.ncbi.nlm.nih.gov/Taxonomy/Browser/wwwtax.cgi?mode=Info&amp;id=240163&amp;lvl=3&amp;lin=f&amp;keep=1&amp;srchmode=1&amp;unlock","Nibea albiflora")</f>
        <v>Nibea albiflora</v>
      </c>
      <c r="H315" t="s">
        <v>1200</v>
      </c>
      <c r="I315" t="str">
        <f>HYPERLINK("http://www.ncbi.nlm.nih.gov/protein/KAG8000214.1","Ryanodine receptor 2")</f>
        <v>Ryanodine receptor 2</v>
      </c>
      <c r="J315" t="s">
        <v>1494</v>
      </c>
      <c r="K315" t="s">
        <v>19</v>
      </c>
      <c r="L315">
        <v>491</v>
      </c>
      <c r="M315" t="s">
        <v>19</v>
      </c>
      <c r="N315" t="s">
        <v>19</v>
      </c>
      <c r="O315">
        <v>494</v>
      </c>
      <c r="P315" t="s">
        <v>1486</v>
      </c>
      <c r="Q315" t="s">
        <v>19</v>
      </c>
      <c r="R315">
        <v>495</v>
      </c>
      <c r="S315" t="s">
        <v>1488</v>
      </c>
      <c r="T315" t="s">
        <v>19</v>
      </c>
      <c r="U315">
        <v>498</v>
      </c>
      <c r="V315" t="s">
        <v>1488</v>
      </c>
      <c r="W315" t="s">
        <v>19</v>
      </c>
      <c r="X315">
        <v>575</v>
      </c>
      <c r="Y315" t="s">
        <v>1493</v>
      </c>
      <c r="Z315" t="s">
        <v>19</v>
      </c>
      <c r="AA315">
        <v>711</v>
      </c>
      <c r="AB315" t="s">
        <v>19</v>
      </c>
      <c r="AC315" t="s">
        <v>19</v>
      </c>
      <c r="AD315">
        <v>712</v>
      </c>
      <c r="AE315" t="s">
        <v>1488</v>
      </c>
      <c r="AF315" t="s">
        <v>19</v>
      </c>
      <c r="AG315">
        <v>715</v>
      </c>
      <c r="AH315" t="s">
        <v>19</v>
      </c>
      <c r="AI315" t="s">
        <v>19</v>
      </c>
      <c r="AJ315">
        <v>735</v>
      </c>
      <c r="AK315" t="s">
        <v>1490</v>
      </c>
      <c r="AL315" t="s">
        <v>19</v>
      </c>
      <c r="AM315">
        <v>739</v>
      </c>
      <c r="AN315" t="s">
        <v>1491</v>
      </c>
      <c r="AO315" t="s">
        <v>19</v>
      </c>
    </row>
    <row r="316" spans="1:41" x14ac:dyDescent="0.45">
      <c r="A316" t="s">
        <v>1265</v>
      </c>
      <c r="B316">
        <v>8</v>
      </c>
      <c r="C316" t="str">
        <f>HYPERLINK("http://www.ncbi.nlm.nih.gov/protein/XP_039525313.1","XP_039525313.1")</f>
        <v>XP_039525313.1</v>
      </c>
      <c r="D316">
        <v>96127</v>
      </c>
      <c r="E316" t="str">
        <f>HYPERLINK("http://www.ncbi.nlm.nih.gov/Taxonomy/Browser/wwwtax.cgi?mode=Info&amp;id=90988&amp;lvl=3&amp;lin=f&amp;keep=1&amp;srchmode=1&amp;unlock","90988")</f>
        <v>90988</v>
      </c>
      <c r="F316" t="s">
        <v>17</v>
      </c>
      <c r="G316" t="str">
        <f>HYPERLINK("http://www.ncbi.nlm.nih.gov/Taxonomy/Browser/wwwtax.cgi?mode=Info&amp;id=90988&amp;lvl=3&amp;lin=f&amp;keep=1&amp;srchmode=1&amp;unlock","Pimephales promelas")</f>
        <v>Pimephales promelas</v>
      </c>
      <c r="H316" t="s">
        <v>18</v>
      </c>
      <c r="I316" t="str">
        <f>HYPERLINK("http://www.ncbi.nlm.nih.gov/protein/XP_039525313.1","ryanodine receptor 3 isoform X15")</f>
        <v>ryanodine receptor 3 isoform X15</v>
      </c>
      <c r="J316" t="s">
        <v>1496</v>
      </c>
      <c r="K316" t="s">
        <v>19</v>
      </c>
      <c r="L316">
        <v>4412</v>
      </c>
      <c r="M316" t="s">
        <v>19</v>
      </c>
      <c r="N316" t="s">
        <v>19</v>
      </c>
      <c r="O316">
        <v>4415</v>
      </c>
      <c r="P316" t="s">
        <v>1486</v>
      </c>
      <c r="Q316" t="s">
        <v>19</v>
      </c>
      <c r="R316">
        <v>4416</v>
      </c>
      <c r="S316" t="s">
        <v>1487</v>
      </c>
      <c r="T316" t="s">
        <v>19</v>
      </c>
      <c r="U316">
        <v>4419</v>
      </c>
      <c r="V316" t="s">
        <v>1488</v>
      </c>
      <c r="W316" t="s">
        <v>19</v>
      </c>
      <c r="X316">
        <v>4488</v>
      </c>
      <c r="Y316" t="s">
        <v>1493</v>
      </c>
      <c r="Z316" t="s">
        <v>19</v>
      </c>
      <c r="AA316">
        <v>4621</v>
      </c>
      <c r="AB316" t="s">
        <v>19</v>
      </c>
      <c r="AC316" t="s">
        <v>19</v>
      </c>
      <c r="AD316">
        <v>4622</v>
      </c>
      <c r="AE316" t="s">
        <v>1488</v>
      </c>
      <c r="AF316" t="s">
        <v>19</v>
      </c>
      <c r="AG316">
        <v>4625</v>
      </c>
      <c r="AH316" t="s">
        <v>19</v>
      </c>
      <c r="AI316" t="s">
        <v>19</v>
      </c>
      <c r="AJ316">
        <v>4645</v>
      </c>
      <c r="AK316" t="s">
        <v>1490</v>
      </c>
      <c r="AL316" t="s">
        <v>19</v>
      </c>
      <c r="AM316">
        <v>4649</v>
      </c>
      <c r="AN316" t="s">
        <v>1491</v>
      </c>
      <c r="AO316" t="s">
        <v>19</v>
      </c>
    </row>
    <row r="317" spans="1:41" x14ac:dyDescent="0.45">
      <c r="A317" t="s">
        <v>1265</v>
      </c>
      <c r="B317">
        <v>8</v>
      </c>
      <c r="C317" t="str">
        <f>HYPERLINK("http://www.ncbi.nlm.nih.gov/protein/XP_056092684.1","XP_056092684.1")</f>
        <v>XP_056092684.1</v>
      </c>
      <c r="D317">
        <v>40181</v>
      </c>
      <c r="E317" t="str">
        <f>HYPERLINK("http://www.ncbi.nlm.nih.gov/Taxonomy/Browser/wwwtax.cgi?mode=Info&amp;id=3034132&amp;lvl=3&amp;lin=f&amp;keep=1&amp;srchmode=1&amp;unlock","3034132")</f>
        <v>3034132</v>
      </c>
      <c r="F317" t="s">
        <v>17</v>
      </c>
      <c r="G317" t="str">
        <f>HYPERLINK("http://www.ncbi.nlm.nih.gov/Taxonomy/Browser/wwwtax.cgi?mode=Info&amp;id=3034132&amp;lvl=3&amp;lin=f&amp;keep=1&amp;srchmode=1&amp;unlock","Rhinichthys klamathensis goyatoka")</f>
        <v>Rhinichthys klamathensis goyatoka</v>
      </c>
      <c r="H317" t="s">
        <v>21</v>
      </c>
      <c r="I317" t="str">
        <f>HYPERLINK("http://www.ncbi.nlm.nih.gov/protein/XP_056092684.1","ryanodine receptor 3")</f>
        <v>ryanodine receptor 3</v>
      </c>
      <c r="J317" t="s">
        <v>1496</v>
      </c>
      <c r="K317" t="s">
        <v>19</v>
      </c>
      <c r="L317">
        <v>4412</v>
      </c>
      <c r="M317" t="s">
        <v>19</v>
      </c>
      <c r="N317" t="s">
        <v>19</v>
      </c>
      <c r="O317">
        <v>4415</v>
      </c>
      <c r="P317" t="s">
        <v>1486</v>
      </c>
      <c r="Q317" t="s">
        <v>19</v>
      </c>
      <c r="R317">
        <v>4416</v>
      </c>
      <c r="S317" t="s">
        <v>1487</v>
      </c>
      <c r="T317" t="s">
        <v>19</v>
      </c>
      <c r="U317">
        <v>4419</v>
      </c>
      <c r="V317" t="s">
        <v>1488</v>
      </c>
      <c r="W317" t="s">
        <v>19</v>
      </c>
      <c r="X317">
        <v>4487</v>
      </c>
      <c r="Y317" t="s">
        <v>1493</v>
      </c>
      <c r="Z317" t="s">
        <v>19</v>
      </c>
      <c r="AA317">
        <v>4620</v>
      </c>
      <c r="AB317" t="s">
        <v>19</v>
      </c>
      <c r="AC317" t="s">
        <v>19</v>
      </c>
      <c r="AD317">
        <v>4621</v>
      </c>
      <c r="AE317" t="s">
        <v>1488</v>
      </c>
      <c r="AF317" t="s">
        <v>19</v>
      </c>
      <c r="AG317">
        <v>4624</v>
      </c>
      <c r="AH317" t="s">
        <v>19</v>
      </c>
      <c r="AI317" t="s">
        <v>19</v>
      </c>
      <c r="AJ317">
        <v>4644</v>
      </c>
      <c r="AK317" t="s">
        <v>1490</v>
      </c>
      <c r="AL317" t="s">
        <v>19</v>
      </c>
      <c r="AM317">
        <v>4648</v>
      </c>
      <c r="AN317" t="s">
        <v>1491</v>
      </c>
      <c r="AO317" t="s">
        <v>19</v>
      </c>
    </row>
    <row r="318" spans="1:41" x14ac:dyDescent="0.45">
      <c r="A318" t="s">
        <v>1265</v>
      </c>
      <c r="B318">
        <v>8</v>
      </c>
      <c r="C318" t="str">
        <f>HYPERLINK("http://www.ncbi.nlm.nih.gov/protein/XP_048048046.1","XP_048048046.1")</f>
        <v>XP_048048046.1</v>
      </c>
      <c r="D318">
        <v>60768</v>
      </c>
      <c r="E318" t="str">
        <f>HYPERLINK("http://www.ncbi.nlm.nih.gov/Taxonomy/Browser/wwwtax.cgi?mode=Info&amp;id=75352&amp;lvl=3&amp;lin=f&amp;keep=1&amp;srchmode=1&amp;unlock","75352")</f>
        <v>75352</v>
      </c>
      <c r="F318" t="s">
        <v>17</v>
      </c>
      <c r="G318" t="str">
        <f>HYPERLINK("http://www.ncbi.nlm.nih.gov/Taxonomy/Browser/wwwtax.cgi?mode=Info&amp;id=75352&amp;lvl=3&amp;lin=f&amp;keep=1&amp;srchmode=1&amp;unlock","Megalobrama amblycephala")</f>
        <v>Megalobrama amblycephala</v>
      </c>
      <c r="H318" t="s">
        <v>23</v>
      </c>
      <c r="I318" t="str">
        <f>HYPERLINK("http://www.ncbi.nlm.nih.gov/protein/XP_048048046.1","ryanodine receptor 3 isoform X2")</f>
        <v>ryanodine receptor 3 isoform X2</v>
      </c>
      <c r="J318" t="s">
        <v>1496</v>
      </c>
      <c r="K318" t="s">
        <v>19</v>
      </c>
      <c r="L318">
        <v>4463</v>
      </c>
      <c r="M318" t="s">
        <v>19</v>
      </c>
      <c r="N318" t="s">
        <v>19</v>
      </c>
      <c r="O318">
        <v>4466</v>
      </c>
      <c r="P318" t="s">
        <v>1486</v>
      </c>
      <c r="Q318" t="s">
        <v>19</v>
      </c>
      <c r="R318">
        <v>4467</v>
      </c>
      <c r="S318" t="s">
        <v>1487</v>
      </c>
      <c r="T318" t="s">
        <v>19</v>
      </c>
      <c r="U318">
        <v>4470</v>
      </c>
      <c r="V318" t="s">
        <v>1488</v>
      </c>
      <c r="W318" t="s">
        <v>19</v>
      </c>
      <c r="X318">
        <v>4538</v>
      </c>
      <c r="Y318" t="s">
        <v>1493</v>
      </c>
      <c r="Z318" t="s">
        <v>19</v>
      </c>
      <c r="AA318">
        <v>4671</v>
      </c>
      <c r="AB318" t="s">
        <v>19</v>
      </c>
      <c r="AC318" t="s">
        <v>19</v>
      </c>
      <c r="AD318">
        <v>4672</v>
      </c>
      <c r="AE318" t="s">
        <v>1488</v>
      </c>
      <c r="AF318" t="s">
        <v>19</v>
      </c>
      <c r="AG318">
        <v>4675</v>
      </c>
      <c r="AH318" t="s">
        <v>19</v>
      </c>
      <c r="AI318" t="s">
        <v>19</v>
      </c>
      <c r="AJ318">
        <v>4695</v>
      </c>
      <c r="AK318" t="s">
        <v>1490</v>
      </c>
      <c r="AL318" t="s">
        <v>19</v>
      </c>
      <c r="AM318">
        <v>4699</v>
      </c>
      <c r="AN318" t="s">
        <v>1491</v>
      </c>
      <c r="AO318" t="s">
        <v>19</v>
      </c>
    </row>
    <row r="319" spans="1:41" x14ac:dyDescent="0.45">
      <c r="A319" t="s">
        <v>1265</v>
      </c>
      <c r="B319">
        <v>8</v>
      </c>
      <c r="C319" t="str">
        <f>HYPERLINK("http://www.ncbi.nlm.nih.gov/protein/XP_051725113.1","XP_051725113.1")</f>
        <v>XP_051725113.1</v>
      </c>
      <c r="D319">
        <v>61666</v>
      </c>
      <c r="E319" t="str">
        <f>HYPERLINK("http://www.ncbi.nlm.nih.gov/Taxonomy/Browser/wwwtax.cgi?mode=Info&amp;id=7959&amp;lvl=3&amp;lin=f&amp;keep=1&amp;srchmode=1&amp;unlock","7959")</f>
        <v>7959</v>
      </c>
      <c r="F319" t="s">
        <v>17</v>
      </c>
      <c r="G319" t="str">
        <f>HYPERLINK("http://www.ncbi.nlm.nih.gov/Taxonomy/Browser/wwwtax.cgi?mode=Info&amp;id=7959&amp;lvl=3&amp;lin=f&amp;keep=1&amp;srchmode=1&amp;unlock","Ctenopharyngodon idella")</f>
        <v>Ctenopharyngodon idella</v>
      </c>
      <c r="H319" t="s">
        <v>24</v>
      </c>
      <c r="I319" t="str">
        <f>HYPERLINK("http://www.ncbi.nlm.nih.gov/protein/XP_051725113.1","ryanodine receptor 3 isoform X12")</f>
        <v>ryanodine receptor 3 isoform X12</v>
      </c>
      <c r="J319" t="s">
        <v>1496</v>
      </c>
      <c r="K319" t="s">
        <v>19</v>
      </c>
      <c r="L319">
        <v>4408</v>
      </c>
      <c r="M319" t="s">
        <v>19</v>
      </c>
      <c r="N319" t="s">
        <v>19</v>
      </c>
      <c r="O319">
        <v>4411</v>
      </c>
      <c r="P319" t="s">
        <v>1486</v>
      </c>
      <c r="Q319" t="s">
        <v>19</v>
      </c>
      <c r="R319">
        <v>4412</v>
      </c>
      <c r="S319" t="s">
        <v>1487</v>
      </c>
      <c r="T319" t="s">
        <v>19</v>
      </c>
      <c r="U319">
        <v>4415</v>
      </c>
      <c r="V319" t="s">
        <v>1488</v>
      </c>
      <c r="W319" t="s">
        <v>19</v>
      </c>
      <c r="X319">
        <v>4483</v>
      </c>
      <c r="Y319" t="s">
        <v>1493</v>
      </c>
      <c r="Z319" t="s">
        <v>19</v>
      </c>
      <c r="AA319">
        <v>4616</v>
      </c>
      <c r="AB319" t="s">
        <v>19</v>
      </c>
      <c r="AC319" t="s">
        <v>19</v>
      </c>
      <c r="AD319">
        <v>4617</v>
      </c>
      <c r="AE319" t="s">
        <v>1488</v>
      </c>
      <c r="AF319" t="s">
        <v>19</v>
      </c>
      <c r="AG319">
        <v>4620</v>
      </c>
      <c r="AH319" t="s">
        <v>19</v>
      </c>
      <c r="AI319" t="s">
        <v>19</v>
      </c>
      <c r="AJ319">
        <v>4640</v>
      </c>
      <c r="AK319" t="s">
        <v>1490</v>
      </c>
      <c r="AL319" t="s">
        <v>19</v>
      </c>
      <c r="AM319">
        <v>4644</v>
      </c>
      <c r="AN319" t="s">
        <v>1491</v>
      </c>
      <c r="AO319" t="s">
        <v>19</v>
      </c>
    </row>
    <row r="320" spans="1:41" x14ac:dyDescent="0.45">
      <c r="A320" t="s">
        <v>1265</v>
      </c>
      <c r="B320">
        <v>8</v>
      </c>
      <c r="C320" t="str">
        <f>HYPERLINK("http://www.ncbi.nlm.nih.gov/protein/XP_050990010.1","XP_050990010.1")</f>
        <v>XP_050990010.1</v>
      </c>
      <c r="D320">
        <v>110562</v>
      </c>
      <c r="E320" t="str">
        <f>HYPERLINK("http://www.ncbi.nlm.nih.gov/Taxonomy/Browser/wwwtax.cgi?mode=Info&amp;id=84645&amp;lvl=3&amp;lin=f&amp;keep=1&amp;srchmode=1&amp;unlock","84645")</f>
        <v>84645</v>
      </c>
      <c r="F320" t="s">
        <v>17</v>
      </c>
      <c r="G320" t="str">
        <f>HYPERLINK("http://www.ncbi.nlm.nih.gov/Taxonomy/Browser/wwwtax.cgi?mode=Info&amp;id=84645&amp;lvl=3&amp;lin=f&amp;keep=1&amp;srchmode=1&amp;unlock","Labeo rohita")</f>
        <v>Labeo rohita</v>
      </c>
      <c r="H320" t="s">
        <v>30</v>
      </c>
      <c r="I320" t="str">
        <f>HYPERLINK("http://www.ncbi.nlm.nih.gov/protein/XP_050990010.1","ryanodine receptor 3 isoform X1")</f>
        <v>ryanodine receptor 3 isoform X1</v>
      </c>
      <c r="J320" t="s">
        <v>1496</v>
      </c>
      <c r="K320" t="s">
        <v>19</v>
      </c>
      <c r="L320">
        <v>4428</v>
      </c>
      <c r="M320" t="s">
        <v>19</v>
      </c>
      <c r="N320" t="s">
        <v>19</v>
      </c>
      <c r="O320">
        <v>4431</v>
      </c>
      <c r="P320" t="s">
        <v>1486</v>
      </c>
      <c r="Q320" t="s">
        <v>19</v>
      </c>
      <c r="R320">
        <v>4432</v>
      </c>
      <c r="S320" t="s">
        <v>1487</v>
      </c>
      <c r="T320" t="s">
        <v>19</v>
      </c>
      <c r="U320">
        <v>4435</v>
      </c>
      <c r="V320" t="s">
        <v>1488</v>
      </c>
      <c r="W320" t="s">
        <v>19</v>
      </c>
      <c r="X320">
        <v>4503</v>
      </c>
      <c r="Y320" t="s">
        <v>1493</v>
      </c>
      <c r="Z320" t="s">
        <v>19</v>
      </c>
      <c r="AA320">
        <v>4636</v>
      </c>
      <c r="AB320" t="s">
        <v>19</v>
      </c>
      <c r="AC320" t="s">
        <v>19</v>
      </c>
      <c r="AD320">
        <v>4637</v>
      </c>
      <c r="AE320" t="s">
        <v>1488</v>
      </c>
      <c r="AF320" t="s">
        <v>19</v>
      </c>
      <c r="AG320">
        <v>4640</v>
      </c>
      <c r="AH320" t="s">
        <v>19</v>
      </c>
      <c r="AI320" t="s">
        <v>19</v>
      </c>
      <c r="AJ320">
        <v>4660</v>
      </c>
      <c r="AK320" t="s">
        <v>1490</v>
      </c>
      <c r="AL320" t="s">
        <v>19</v>
      </c>
      <c r="AM320">
        <v>4664</v>
      </c>
      <c r="AN320" t="s">
        <v>1491</v>
      </c>
      <c r="AO320" t="s">
        <v>19</v>
      </c>
    </row>
    <row r="321" spans="1:41" x14ac:dyDescent="0.45">
      <c r="A321" t="s">
        <v>1265</v>
      </c>
      <c r="B321">
        <v>8</v>
      </c>
      <c r="C321" t="str">
        <f>HYPERLINK("http://www.ncbi.nlm.nih.gov/protein/XP_051578743.1","XP_051578743.1")</f>
        <v>XP_051578743.1</v>
      </c>
      <c r="D321">
        <v>81242</v>
      </c>
      <c r="E321" t="str">
        <f>HYPERLINK("http://www.ncbi.nlm.nih.gov/Taxonomy/Browser/wwwtax.cgi?mode=Info&amp;id=70543&amp;lvl=3&amp;lin=f&amp;keep=1&amp;srchmode=1&amp;unlock","70543")</f>
        <v>70543</v>
      </c>
      <c r="F321" t="s">
        <v>17</v>
      </c>
      <c r="G321" t="str">
        <f>HYPERLINK("http://www.ncbi.nlm.nih.gov/Taxonomy/Browser/wwwtax.cgi?mode=Info&amp;id=70543&amp;lvl=3&amp;lin=f&amp;keep=1&amp;srchmode=1&amp;unlock","Myxocyprinus asiaticus")</f>
        <v>Myxocyprinus asiaticus</v>
      </c>
      <c r="H321" t="s">
        <v>32</v>
      </c>
      <c r="I321" t="str">
        <f>HYPERLINK("http://www.ncbi.nlm.nih.gov/protein/XP_051578743.1","ryanodine receptor 3-like")</f>
        <v>ryanodine receptor 3-like</v>
      </c>
      <c r="J321" t="s">
        <v>1496</v>
      </c>
      <c r="K321" t="s">
        <v>19</v>
      </c>
      <c r="L321">
        <v>4433</v>
      </c>
      <c r="M321" t="s">
        <v>19</v>
      </c>
      <c r="N321" t="s">
        <v>19</v>
      </c>
      <c r="O321">
        <v>4436</v>
      </c>
      <c r="P321" t="s">
        <v>1486</v>
      </c>
      <c r="Q321" t="s">
        <v>19</v>
      </c>
      <c r="R321">
        <v>4437</v>
      </c>
      <c r="S321" t="s">
        <v>1487</v>
      </c>
      <c r="T321" t="s">
        <v>19</v>
      </c>
      <c r="U321">
        <v>4440</v>
      </c>
      <c r="V321" t="s">
        <v>1488</v>
      </c>
      <c r="W321" t="s">
        <v>19</v>
      </c>
      <c r="X321">
        <v>4508</v>
      </c>
      <c r="Y321" t="s">
        <v>1493</v>
      </c>
      <c r="Z321" t="s">
        <v>19</v>
      </c>
      <c r="AA321">
        <v>4641</v>
      </c>
      <c r="AB321" t="s">
        <v>19</v>
      </c>
      <c r="AC321" t="s">
        <v>19</v>
      </c>
      <c r="AD321">
        <v>4642</v>
      </c>
      <c r="AE321" t="s">
        <v>1488</v>
      </c>
      <c r="AF321" t="s">
        <v>19</v>
      </c>
      <c r="AG321">
        <v>4645</v>
      </c>
      <c r="AH321" t="s">
        <v>19</v>
      </c>
      <c r="AI321" t="s">
        <v>19</v>
      </c>
      <c r="AJ321">
        <v>4665</v>
      </c>
      <c r="AK321" t="s">
        <v>1490</v>
      </c>
      <c r="AL321" t="s">
        <v>19</v>
      </c>
      <c r="AM321">
        <v>4669</v>
      </c>
      <c r="AN321" t="s">
        <v>1491</v>
      </c>
      <c r="AO321" t="s">
        <v>19</v>
      </c>
    </row>
    <row r="322" spans="1:41" x14ac:dyDescent="0.45">
      <c r="A322" t="s">
        <v>1265</v>
      </c>
      <c r="B322">
        <v>8</v>
      </c>
      <c r="C322" t="str">
        <f>HYPERLINK("http://www.ncbi.nlm.nih.gov/protein/XP_058604317.1","XP_058604317.1")</f>
        <v>XP_058604317.1</v>
      </c>
      <c r="D322">
        <v>80341</v>
      </c>
      <c r="E322" t="str">
        <f>HYPERLINK("http://www.ncbi.nlm.nih.gov/Taxonomy/Browser/wwwtax.cgi?mode=Info&amp;id=369639&amp;lvl=3&amp;lin=f&amp;keep=1&amp;srchmode=1&amp;unlock","369639")</f>
        <v>369639</v>
      </c>
      <c r="F322" t="s">
        <v>17</v>
      </c>
      <c r="G322" t="str">
        <f>HYPERLINK("http://www.ncbi.nlm.nih.gov/Taxonomy/Browser/wwwtax.cgi?mode=Info&amp;id=369639&amp;lvl=3&amp;lin=f&amp;keep=1&amp;srchmode=1&amp;unlock","Onychostoma macrolepis")</f>
        <v>Onychostoma macrolepis</v>
      </c>
      <c r="H322" t="s">
        <v>21</v>
      </c>
      <c r="I322" t="str">
        <f>HYPERLINK("http://www.ncbi.nlm.nih.gov/protein/XP_058604317.1","LOW QUALITY PROTEIN: ryanodine receptor 3")</f>
        <v>LOW QUALITY PROTEIN: ryanodine receptor 3</v>
      </c>
      <c r="J322" t="s">
        <v>1496</v>
      </c>
      <c r="K322" t="s">
        <v>19</v>
      </c>
      <c r="L322">
        <v>4427</v>
      </c>
      <c r="M322" t="s">
        <v>19</v>
      </c>
      <c r="N322" t="s">
        <v>19</v>
      </c>
      <c r="O322">
        <v>4430</v>
      </c>
      <c r="P322" t="s">
        <v>1486</v>
      </c>
      <c r="Q322" t="s">
        <v>19</v>
      </c>
      <c r="R322">
        <v>4431</v>
      </c>
      <c r="S322" t="s">
        <v>1487</v>
      </c>
      <c r="T322" t="s">
        <v>19</v>
      </c>
      <c r="U322">
        <v>4434</v>
      </c>
      <c r="V322" t="s">
        <v>1488</v>
      </c>
      <c r="W322" t="s">
        <v>19</v>
      </c>
      <c r="X322">
        <v>4503</v>
      </c>
      <c r="Y322" t="s">
        <v>1493</v>
      </c>
      <c r="Z322" t="s">
        <v>19</v>
      </c>
      <c r="AA322">
        <v>4636</v>
      </c>
      <c r="AB322" t="s">
        <v>19</v>
      </c>
      <c r="AC322" t="s">
        <v>19</v>
      </c>
      <c r="AD322">
        <v>4637</v>
      </c>
      <c r="AE322" t="s">
        <v>1488</v>
      </c>
      <c r="AF322" t="s">
        <v>19</v>
      </c>
      <c r="AG322">
        <v>4640</v>
      </c>
      <c r="AH322" t="s">
        <v>19</v>
      </c>
      <c r="AI322" t="s">
        <v>19</v>
      </c>
      <c r="AJ322">
        <v>4660</v>
      </c>
      <c r="AK322" t="s">
        <v>1490</v>
      </c>
      <c r="AL322" t="s">
        <v>19</v>
      </c>
      <c r="AM322">
        <v>4664</v>
      </c>
      <c r="AN322" t="s">
        <v>1491</v>
      </c>
      <c r="AO322" t="s">
        <v>19</v>
      </c>
    </row>
    <row r="323" spans="1:41" x14ac:dyDescent="0.45">
      <c r="A323" t="s">
        <v>1265</v>
      </c>
      <c r="B323">
        <v>8</v>
      </c>
      <c r="C323" t="str">
        <f>HYPERLINK("http://www.ncbi.nlm.nih.gov/protein/XP_043088311.1","XP_043088311.1")</f>
        <v>XP_043088311.1</v>
      </c>
      <c r="D323">
        <v>48795</v>
      </c>
      <c r="E323" t="str">
        <f>HYPERLINK("http://www.ncbi.nlm.nih.gov/Taxonomy/Browser/wwwtax.cgi?mode=Info&amp;id=1606681&amp;lvl=3&amp;lin=f&amp;keep=1&amp;srchmode=1&amp;unlock","1606681")</f>
        <v>1606681</v>
      </c>
      <c r="F323" t="s">
        <v>17</v>
      </c>
      <c r="G323" t="str">
        <f>HYPERLINK("http://www.ncbi.nlm.nih.gov/Taxonomy/Browser/wwwtax.cgi?mode=Info&amp;id=1606681&amp;lvl=3&amp;lin=f&amp;keep=1&amp;srchmode=1&amp;unlock","Puntigrus tetrazona")</f>
        <v>Puntigrus tetrazona</v>
      </c>
      <c r="H323" t="s">
        <v>27</v>
      </c>
      <c r="I323" t="str">
        <f>HYPERLINK("http://www.ncbi.nlm.nih.gov/protein/XP_043088311.1","ryanodine receptor 3 isoform X10")</f>
        <v>ryanodine receptor 3 isoform X10</v>
      </c>
      <c r="J323" t="s">
        <v>1496</v>
      </c>
      <c r="K323" t="s">
        <v>19</v>
      </c>
      <c r="L323">
        <v>4423</v>
      </c>
      <c r="M323" t="s">
        <v>19</v>
      </c>
      <c r="N323" t="s">
        <v>19</v>
      </c>
      <c r="O323">
        <v>4426</v>
      </c>
      <c r="P323" t="s">
        <v>1486</v>
      </c>
      <c r="Q323" t="s">
        <v>19</v>
      </c>
      <c r="R323">
        <v>4427</v>
      </c>
      <c r="S323" t="s">
        <v>1487</v>
      </c>
      <c r="T323" t="s">
        <v>19</v>
      </c>
      <c r="U323">
        <v>4430</v>
      </c>
      <c r="V323" t="s">
        <v>1488</v>
      </c>
      <c r="W323" t="s">
        <v>19</v>
      </c>
      <c r="X323">
        <v>4499</v>
      </c>
      <c r="Y323" t="s">
        <v>1493</v>
      </c>
      <c r="Z323" t="s">
        <v>19</v>
      </c>
      <c r="AA323">
        <v>4632</v>
      </c>
      <c r="AB323" t="s">
        <v>19</v>
      </c>
      <c r="AC323" t="s">
        <v>19</v>
      </c>
      <c r="AD323">
        <v>4633</v>
      </c>
      <c r="AE323" t="s">
        <v>1488</v>
      </c>
      <c r="AF323" t="s">
        <v>19</v>
      </c>
      <c r="AG323">
        <v>4636</v>
      </c>
      <c r="AH323" t="s">
        <v>19</v>
      </c>
      <c r="AI323" t="s">
        <v>19</v>
      </c>
      <c r="AJ323">
        <v>4656</v>
      </c>
      <c r="AK323" t="s">
        <v>1490</v>
      </c>
      <c r="AL323" t="s">
        <v>19</v>
      </c>
      <c r="AM323">
        <v>4660</v>
      </c>
      <c r="AN323" t="s">
        <v>1491</v>
      </c>
      <c r="AO323" t="s">
        <v>19</v>
      </c>
    </row>
    <row r="324" spans="1:41" x14ac:dyDescent="0.45">
      <c r="A324" t="s">
        <v>1265</v>
      </c>
      <c r="B324">
        <v>8</v>
      </c>
      <c r="C324" t="str">
        <f>HYPERLINK("http://www.ncbi.nlm.nih.gov/protein/XP_052385870.1","XP_052385870.1")</f>
        <v>XP_052385870.1</v>
      </c>
      <c r="D324">
        <v>91592</v>
      </c>
      <c r="E324" t="str">
        <f>HYPERLINK("http://www.ncbi.nlm.nih.gov/Taxonomy/Browser/wwwtax.cgi?mode=Info&amp;id=101364&amp;lvl=3&amp;lin=f&amp;keep=1&amp;srchmode=1&amp;unlock","101364")</f>
        <v>101364</v>
      </c>
      <c r="F324" t="s">
        <v>17</v>
      </c>
      <c r="G324" t="str">
        <f>HYPERLINK("http://www.ncbi.nlm.nih.gov/Taxonomy/Browser/wwwtax.cgi?mode=Info&amp;id=101364&amp;lvl=3&amp;lin=f&amp;keep=1&amp;srchmode=1&amp;unlock","Carassius gibelio")</f>
        <v>Carassius gibelio</v>
      </c>
      <c r="H324" t="s">
        <v>28</v>
      </c>
      <c r="I324" t="str">
        <f>HYPERLINK("http://www.ncbi.nlm.nih.gov/protein/XP_052385870.1","ryanodine receptor 3 isoform X1")</f>
        <v>ryanodine receptor 3 isoform X1</v>
      </c>
      <c r="J324" t="s">
        <v>1496</v>
      </c>
      <c r="K324" t="s">
        <v>19</v>
      </c>
      <c r="L324">
        <v>4427</v>
      </c>
      <c r="M324" t="s">
        <v>19</v>
      </c>
      <c r="N324" t="s">
        <v>19</v>
      </c>
      <c r="O324">
        <v>4430</v>
      </c>
      <c r="P324" t="s">
        <v>1486</v>
      </c>
      <c r="Q324" t="s">
        <v>19</v>
      </c>
      <c r="R324">
        <v>4431</v>
      </c>
      <c r="S324" t="s">
        <v>1487</v>
      </c>
      <c r="T324" t="s">
        <v>19</v>
      </c>
      <c r="U324">
        <v>4434</v>
      </c>
      <c r="V324" t="s">
        <v>1488</v>
      </c>
      <c r="W324" t="s">
        <v>19</v>
      </c>
      <c r="X324">
        <v>4501</v>
      </c>
      <c r="Y324" t="s">
        <v>1493</v>
      </c>
      <c r="Z324" t="s">
        <v>19</v>
      </c>
      <c r="AA324">
        <v>4634</v>
      </c>
      <c r="AB324" t="s">
        <v>19</v>
      </c>
      <c r="AC324" t="s">
        <v>19</v>
      </c>
      <c r="AD324">
        <v>4635</v>
      </c>
      <c r="AE324" t="s">
        <v>1488</v>
      </c>
      <c r="AF324" t="s">
        <v>19</v>
      </c>
      <c r="AG324">
        <v>4638</v>
      </c>
      <c r="AH324" t="s">
        <v>19</v>
      </c>
      <c r="AI324" t="s">
        <v>19</v>
      </c>
      <c r="AJ324">
        <v>4658</v>
      </c>
      <c r="AK324" t="s">
        <v>1490</v>
      </c>
      <c r="AL324" t="s">
        <v>19</v>
      </c>
      <c r="AM324">
        <v>4662</v>
      </c>
      <c r="AN324" t="s">
        <v>1491</v>
      </c>
      <c r="AO324" t="s">
        <v>19</v>
      </c>
    </row>
    <row r="325" spans="1:41" x14ac:dyDescent="0.45">
      <c r="A325" t="s">
        <v>1265</v>
      </c>
      <c r="B325">
        <v>8</v>
      </c>
      <c r="C325" t="str">
        <f>HYPERLINK("http://www.ncbi.nlm.nih.gov/protein/XP_059411480.1","XP_059411480.1")</f>
        <v>XP_059411480.1</v>
      </c>
      <c r="D325">
        <v>74399</v>
      </c>
      <c r="E325" t="str">
        <f>HYPERLINK("http://www.ncbi.nlm.nih.gov/Taxonomy/Browser/wwwtax.cgi?mode=Info&amp;id=217509&amp;lvl=3&amp;lin=f&amp;keep=1&amp;srchmode=1&amp;unlock","217509")</f>
        <v>217509</v>
      </c>
      <c r="F325" t="s">
        <v>17</v>
      </c>
      <c r="G325" t="str">
        <f>HYPERLINK("http://www.ncbi.nlm.nih.gov/Taxonomy/Browser/wwwtax.cgi?mode=Info&amp;id=217509&amp;lvl=3&amp;lin=f&amp;keep=1&amp;srchmode=1&amp;unlock","Carassius carassius")</f>
        <v>Carassius carassius</v>
      </c>
      <c r="H325" t="s">
        <v>25</v>
      </c>
      <c r="I325" t="str">
        <f>HYPERLINK("http://www.ncbi.nlm.nih.gov/protein/XP_059411480.1","ryanodine receptor 3 isoform X6")</f>
        <v>ryanodine receptor 3 isoform X6</v>
      </c>
      <c r="J325" t="s">
        <v>1496</v>
      </c>
      <c r="K325" t="s">
        <v>19</v>
      </c>
      <c r="L325">
        <v>4421</v>
      </c>
      <c r="M325" t="s">
        <v>19</v>
      </c>
      <c r="N325" t="s">
        <v>19</v>
      </c>
      <c r="O325">
        <v>4424</v>
      </c>
      <c r="P325" t="s">
        <v>1486</v>
      </c>
      <c r="Q325" t="s">
        <v>19</v>
      </c>
      <c r="R325">
        <v>4425</v>
      </c>
      <c r="S325" t="s">
        <v>1487</v>
      </c>
      <c r="T325" t="s">
        <v>19</v>
      </c>
      <c r="U325">
        <v>4428</v>
      </c>
      <c r="V325" t="s">
        <v>1488</v>
      </c>
      <c r="W325" t="s">
        <v>19</v>
      </c>
      <c r="X325">
        <v>4496</v>
      </c>
      <c r="Y325" t="s">
        <v>1493</v>
      </c>
      <c r="Z325" t="s">
        <v>19</v>
      </c>
      <c r="AA325">
        <v>4629</v>
      </c>
      <c r="AB325" t="s">
        <v>19</v>
      </c>
      <c r="AC325" t="s">
        <v>19</v>
      </c>
      <c r="AD325">
        <v>4630</v>
      </c>
      <c r="AE325" t="s">
        <v>1488</v>
      </c>
      <c r="AF325" t="s">
        <v>19</v>
      </c>
      <c r="AG325">
        <v>4633</v>
      </c>
      <c r="AH325" t="s">
        <v>19</v>
      </c>
      <c r="AI325" t="s">
        <v>19</v>
      </c>
      <c r="AJ325">
        <v>4653</v>
      </c>
      <c r="AK325" t="s">
        <v>1490</v>
      </c>
      <c r="AL325" t="s">
        <v>19</v>
      </c>
      <c r="AM325">
        <v>4657</v>
      </c>
      <c r="AN325" t="s">
        <v>1491</v>
      </c>
      <c r="AO325" t="s">
        <v>19</v>
      </c>
    </row>
    <row r="326" spans="1:41" x14ac:dyDescent="0.45">
      <c r="A326" t="s">
        <v>1265</v>
      </c>
      <c r="B326">
        <v>8</v>
      </c>
      <c r="C326" t="str">
        <f>HYPERLINK("http://www.ncbi.nlm.nih.gov/protein/XP_016329558.1","XP_016329558.1")</f>
        <v>XP_016329558.1</v>
      </c>
      <c r="D326">
        <v>68489</v>
      </c>
      <c r="E326" t="str">
        <f>HYPERLINK("http://www.ncbi.nlm.nih.gov/Taxonomy/Browser/wwwtax.cgi?mode=Info&amp;id=1608454&amp;lvl=3&amp;lin=f&amp;keep=1&amp;srchmode=1&amp;unlock","1608454")</f>
        <v>1608454</v>
      </c>
      <c r="F326" t="s">
        <v>17</v>
      </c>
      <c r="G326" t="str">
        <f>HYPERLINK("http://www.ncbi.nlm.nih.gov/Taxonomy/Browser/wwwtax.cgi?mode=Info&amp;id=1608454&amp;lvl=3&amp;lin=f&amp;keep=1&amp;srchmode=1&amp;unlock","Sinocyclocheilus anshuiensis")</f>
        <v>Sinocyclocheilus anshuiensis</v>
      </c>
      <c r="H326" t="s">
        <v>21</v>
      </c>
      <c r="I326" t="str">
        <f>HYPERLINK("http://www.ncbi.nlm.nih.gov/protein/XP_016329558.1","PREDICTED: ryanodine receptor 3-like")</f>
        <v>PREDICTED: ryanodine receptor 3-like</v>
      </c>
      <c r="J326" t="s">
        <v>1496</v>
      </c>
      <c r="K326" t="s">
        <v>19</v>
      </c>
      <c r="L326">
        <v>4424</v>
      </c>
      <c r="M326" t="s">
        <v>19</v>
      </c>
      <c r="N326" t="s">
        <v>19</v>
      </c>
      <c r="O326">
        <v>4427</v>
      </c>
      <c r="P326" t="s">
        <v>1486</v>
      </c>
      <c r="Q326" t="s">
        <v>19</v>
      </c>
      <c r="R326">
        <v>4428</v>
      </c>
      <c r="S326" t="s">
        <v>1487</v>
      </c>
      <c r="T326" t="s">
        <v>19</v>
      </c>
      <c r="U326">
        <v>4431</v>
      </c>
      <c r="V326" t="s">
        <v>1488</v>
      </c>
      <c r="W326" t="s">
        <v>19</v>
      </c>
      <c r="X326">
        <v>4500</v>
      </c>
      <c r="Y326" t="s">
        <v>1493</v>
      </c>
      <c r="Z326" t="s">
        <v>19</v>
      </c>
      <c r="AA326">
        <v>4633</v>
      </c>
      <c r="AB326" t="s">
        <v>19</v>
      </c>
      <c r="AC326" t="s">
        <v>19</v>
      </c>
      <c r="AD326">
        <v>4634</v>
      </c>
      <c r="AE326" t="s">
        <v>1488</v>
      </c>
      <c r="AF326" t="s">
        <v>19</v>
      </c>
      <c r="AG326">
        <v>4637</v>
      </c>
      <c r="AH326" t="s">
        <v>19</v>
      </c>
      <c r="AI326" t="s">
        <v>19</v>
      </c>
      <c r="AJ326">
        <v>4657</v>
      </c>
      <c r="AK326" t="s">
        <v>1490</v>
      </c>
      <c r="AL326" t="s">
        <v>19</v>
      </c>
      <c r="AM326">
        <v>4661</v>
      </c>
      <c r="AN326" t="s">
        <v>1491</v>
      </c>
      <c r="AO326" t="s">
        <v>19</v>
      </c>
    </row>
    <row r="327" spans="1:41" x14ac:dyDescent="0.45">
      <c r="A327" t="s">
        <v>1265</v>
      </c>
      <c r="B327">
        <v>8</v>
      </c>
      <c r="C327" t="str">
        <f>HYPERLINK("http://www.ncbi.nlm.nih.gov/protein/XP_052001465.1","XP_052001465.1")</f>
        <v>XP_052001465.1</v>
      </c>
      <c r="D327">
        <v>66368</v>
      </c>
      <c r="E327" t="str">
        <f>HYPERLINK("http://www.ncbi.nlm.nih.gov/Taxonomy/Browser/wwwtax.cgi?mode=Info&amp;id=154827&amp;lvl=3&amp;lin=f&amp;keep=1&amp;srchmode=1&amp;unlock","154827")</f>
        <v>154827</v>
      </c>
      <c r="F327" t="s">
        <v>17</v>
      </c>
      <c r="G327" t="str">
        <f>HYPERLINK("http://www.ncbi.nlm.nih.gov/Taxonomy/Browser/wwwtax.cgi?mode=Info&amp;id=154827&amp;lvl=3&amp;lin=f&amp;keep=1&amp;srchmode=1&amp;unlock","Xyrauchen texanus")</f>
        <v>Xyrauchen texanus</v>
      </c>
      <c r="H327" t="s">
        <v>34</v>
      </c>
      <c r="I327" t="str">
        <f>HYPERLINK("http://www.ncbi.nlm.nih.gov/protein/XP_052001465.1","LOW QUALITY PROTEIN: ryanodine receptor 3")</f>
        <v>LOW QUALITY PROTEIN: ryanodine receptor 3</v>
      </c>
      <c r="J327" t="s">
        <v>1496</v>
      </c>
      <c r="K327" t="s">
        <v>19</v>
      </c>
      <c r="L327">
        <v>4409</v>
      </c>
      <c r="M327" t="s">
        <v>19</v>
      </c>
      <c r="N327" t="s">
        <v>19</v>
      </c>
      <c r="O327">
        <v>4412</v>
      </c>
      <c r="P327" t="s">
        <v>1486</v>
      </c>
      <c r="Q327" t="s">
        <v>19</v>
      </c>
      <c r="R327">
        <v>4413</v>
      </c>
      <c r="S327" t="s">
        <v>1487</v>
      </c>
      <c r="T327" t="s">
        <v>19</v>
      </c>
      <c r="U327">
        <v>4416</v>
      </c>
      <c r="V327" t="s">
        <v>1488</v>
      </c>
      <c r="W327" t="s">
        <v>19</v>
      </c>
      <c r="X327">
        <v>4483</v>
      </c>
      <c r="Y327" t="s">
        <v>1493</v>
      </c>
      <c r="Z327" t="s">
        <v>19</v>
      </c>
      <c r="AA327">
        <v>4616</v>
      </c>
      <c r="AB327" t="s">
        <v>19</v>
      </c>
      <c r="AC327" t="s">
        <v>19</v>
      </c>
      <c r="AD327">
        <v>4617</v>
      </c>
      <c r="AE327" t="s">
        <v>1488</v>
      </c>
      <c r="AF327" t="s">
        <v>19</v>
      </c>
      <c r="AG327">
        <v>4620</v>
      </c>
      <c r="AH327" t="s">
        <v>19</v>
      </c>
      <c r="AI327" t="s">
        <v>19</v>
      </c>
      <c r="AJ327">
        <v>4640</v>
      </c>
      <c r="AK327" t="s">
        <v>1490</v>
      </c>
      <c r="AL327" t="s">
        <v>19</v>
      </c>
      <c r="AM327">
        <v>4644</v>
      </c>
      <c r="AN327" t="s">
        <v>1491</v>
      </c>
      <c r="AO327" t="s">
        <v>19</v>
      </c>
    </row>
    <row r="328" spans="1:41" x14ac:dyDescent="0.45">
      <c r="A328" t="s">
        <v>1265</v>
      </c>
      <c r="B328">
        <v>8</v>
      </c>
      <c r="C328" t="str">
        <f>HYPERLINK("http://www.ncbi.nlm.nih.gov/protein/XP_026100727.1","XP_026100727.1")</f>
        <v>XP_026100727.1</v>
      </c>
      <c r="D328">
        <v>99050</v>
      </c>
      <c r="E328" t="str">
        <f>HYPERLINK("http://www.ncbi.nlm.nih.gov/Taxonomy/Browser/wwwtax.cgi?mode=Info&amp;id=7957&amp;lvl=3&amp;lin=f&amp;keep=1&amp;srchmode=1&amp;unlock","7957")</f>
        <v>7957</v>
      </c>
      <c r="F328" t="s">
        <v>17</v>
      </c>
      <c r="G328" t="str">
        <f>HYPERLINK("http://www.ncbi.nlm.nih.gov/Taxonomy/Browser/wwwtax.cgi?mode=Info&amp;id=7957&amp;lvl=3&amp;lin=f&amp;keep=1&amp;srchmode=1&amp;unlock","Carassius auratus")</f>
        <v>Carassius auratus</v>
      </c>
      <c r="H328" t="s">
        <v>29</v>
      </c>
      <c r="I328" t="str">
        <f>HYPERLINK("http://www.ncbi.nlm.nih.gov/protein/XP_026100727.1","ryanodine receptor 3-like")</f>
        <v>ryanodine receptor 3-like</v>
      </c>
      <c r="J328" t="s">
        <v>1496</v>
      </c>
      <c r="K328" t="s">
        <v>19</v>
      </c>
      <c r="L328">
        <v>4430</v>
      </c>
      <c r="M328" t="s">
        <v>19</v>
      </c>
      <c r="N328" t="s">
        <v>19</v>
      </c>
      <c r="O328">
        <v>4433</v>
      </c>
      <c r="P328" t="s">
        <v>1486</v>
      </c>
      <c r="Q328" t="s">
        <v>19</v>
      </c>
      <c r="R328">
        <v>4434</v>
      </c>
      <c r="S328" t="s">
        <v>1487</v>
      </c>
      <c r="T328" t="s">
        <v>19</v>
      </c>
      <c r="U328">
        <v>4437</v>
      </c>
      <c r="V328" t="s">
        <v>1488</v>
      </c>
      <c r="W328" t="s">
        <v>19</v>
      </c>
      <c r="X328">
        <v>4505</v>
      </c>
      <c r="Y328" t="s">
        <v>1493</v>
      </c>
      <c r="Z328" t="s">
        <v>19</v>
      </c>
      <c r="AA328">
        <v>4638</v>
      </c>
      <c r="AB328" t="s">
        <v>19</v>
      </c>
      <c r="AC328" t="s">
        <v>19</v>
      </c>
      <c r="AD328">
        <v>4639</v>
      </c>
      <c r="AE328" t="s">
        <v>1488</v>
      </c>
      <c r="AF328" t="s">
        <v>19</v>
      </c>
      <c r="AG328">
        <v>4642</v>
      </c>
      <c r="AH328" t="s">
        <v>19</v>
      </c>
      <c r="AI328" t="s">
        <v>19</v>
      </c>
      <c r="AJ328">
        <v>4662</v>
      </c>
      <c r="AK328" t="s">
        <v>1490</v>
      </c>
      <c r="AL328" t="s">
        <v>19</v>
      </c>
      <c r="AM328">
        <v>4666</v>
      </c>
      <c r="AN328" t="s">
        <v>1491</v>
      </c>
      <c r="AO328" t="s">
        <v>19</v>
      </c>
    </row>
    <row r="329" spans="1:41" x14ac:dyDescent="0.45">
      <c r="A329" t="s">
        <v>1265</v>
      </c>
      <c r="B329">
        <v>8</v>
      </c>
      <c r="C329" t="str">
        <f>HYPERLINK("http://www.ncbi.nlm.nih.gov/protein/XP_055028691.1","XP_055028691.1")</f>
        <v>XP_055028691.1</v>
      </c>
      <c r="D329">
        <v>54879</v>
      </c>
      <c r="E329" t="str">
        <f>HYPERLINK("http://www.ncbi.nlm.nih.gov/Taxonomy/Browser/wwwtax.cgi?mode=Info&amp;id=75329&amp;lvl=3&amp;lin=f&amp;keep=1&amp;srchmode=1&amp;unlock","75329")</f>
        <v>75329</v>
      </c>
      <c r="F329" t="s">
        <v>17</v>
      </c>
      <c r="G329" t="str">
        <f>HYPERLINK("http://www.ncbi.nlm.nih.gov/Taxonomy/Browser/wwwtax.cgi?mode=Info&amp;id=75329&amp;lvl=3&amp;lin=f&amp;keep=1&amp;srchmode=1&amp;unlock","Misgurnus anguillicaudatus")</f>
        <v>Misgurnus anguillicaudatus</v>
      </c>
      <c r="H329" t="s">
        <v>36</v>
      </c>
      <c r="I329" t="str">
        <f>HYPERLINK("http://www.ncbi.nlm.nih.gov/protein/XP_055028691.1","ryanodine receptor 3 isoform X15")</f>
        <v>ryanodine receptor 3 isoform X15</v>
      </c>
      <c r="J329" t="s">
        <v>1496</v>
      </c>
      <c r="K329" t="s">
        <v>19</v>
      </c>
      <c r="L329">
        <v>4420</v>
      </c>
      <c r="M329" t="s">
        <v>19</v>
      </c>
      <c r="N329" t="s">
        <v>19</v>
      </c>
      <c r="O329">
        <v>4423</v>
      </c>
      <c r="P329" t="s">
        <v>1486</v>
      </c>
      <c r="Q329" t="s">
        <v>19</v>
      </c>
      <c r="R329">
        <v>4424</v>
      </c>
      <c r="S329" t="s">
        <v>1487</v>
      </c>
      <c r="T329" t="s">
        <v>19</v>
      </c>
      <c r="U329">
        <v>4427</v>
      </c>
      <c r="V329" t="s">
        <v>1488</v>
      </c>
      <c r="W329" t="s">
        <v>19</v>
      </c>
      <c r="X329">
        <v>4498</v>
      </c>
      <c r="Y329" t="s">
        <v>1493</v>
      </c>
      <c r="Z329" t="s">
        <v>19</v>
      </c>
      <c r="AA329">
        <v>4631</v>
      </c>
      <c r="AB329" t="s">
        <v>19</v>
      </c>
      <c r="AC329" t="s">
        <v>19</v>
      </c>
      <c r="AD329">
        <v>4632</v>
      </c>
      <c r="AE329" t="s">
        <v>1488</v>
      </c>
      <c r="AF329" t="s">
        <v>19</v>
      </c>
      <c r="AG329">
        <v>4635</v>
      </c>
      <c r="AH329" t="s">
        <v>19</v>
      </c>
      <c r="AI329" t="s">
        <v>19</v>
      </c>
      <c r="AJ329">
        <v>4655</v>
      </c>
      <c r="AK329" t="s">
        <v>1490</v>
      </c>
      <c r="AL329" t="s">
        <v>19</v>
      </c>
      <c r="AM329">
        <v>4659</v>
      </c>
      <c r="AN329" t="s">
        <v>1491</v>
      </c>
      <c r="AO329" t="s">
        <v>19</v>
      </c>
    </row>
    <row r="330" spans="1:41" x14ac:dyDescent="0.45">
      <c r="A330" t="s">
        <v>1265</v>
      </c>
      <c r="B330">
        <v>8</v>
      </c>
      <c r="C330" t="str">
        <f>HYPERLINK("http://www.ncbi.nlm.nih.gov/protein/XP_049319477.1","XP_049319477.1")</f>
        <v>XP_049319477.1</v>
      </c>
      <c r="D330">
        <v>77276</v>
      </c>
      <c r="E330" t="str">
        <f>HYPERLINK("http://www.ncbi.nlm.nih.gov/Taxonomy/Browser/wwwtax.cgi?mode=Info&amp;id=7994&amp;lvl=3&amp;lin=f&amp;keep=1&amp;srchmode=1&amp;unlock","7994")</f>
        <v>7994</v>
      </c>
      <c r="F330" t="s">
        <v>17</v>
      </c>
      <c r="G330" t="str">
        <f>HYPERLINK("http://www.ncbi.nlm.nih.gov/Taxonomy/Browser/wwwtax.cgi?mode=Info&amp;id=7994&amp;lvl=3&amp;lin=f&amp;keep=1&amp;srchmode=1&amp;unlock","Astyanax mexicanus")</f>
        <v>Astyanax mexicanus</v>
      </c>
      <c r="H330" t="s">
        <v>37</v>
      </c>
      <c r="I330" t="str">
        <f>HYPERLINK("http://www.ncbi.nlm.nih.gov/protein/XP_049319477.1","ryanodine receptor 3-like isoform X4")</f>
        <v>ryanodine receptor 3-like isoform X4</v>
      </c>
      <c r="J330" t="s">
        <v>1496</v>
      </c>
      <c r="K330" t="s">
        <v>19</v>
      </c>
      <c r="L330">
        <v>4428</v>
      </c>
      <c r="M330" t="s">
        <v>19</v>
      </c>
      <c r="N330" t="s">
        <v>19</v>
      </c>
      <c r="O330">
        <v>4431</v>
      </c>
      <c r="P330" t="s">
        <v>1486</v>
      </c>
      <c r="Q330" t="s">
        <v>19</v>
      </c>
      <c r="R330">
        <v>4432</v>
      </c>
      <c r="S330" t="s">
        <v>1487</v>
      </c>
      <c r="T330" t="s">
        <v>19</v>
      </c>
      <c r="U330">
        <v>4435</v>
      </c>
      <c r="V330" t="s">
        <v>1488</v>
      </c>
      <c r="W330" t="s">
        <v>19</v>
      </c>
      <c r="X330">
        <v>4502</v>
      </c>
      <c r="Y330" t="s">
        <v>1493</v>
      </c>
      <c r="Z330" t="s">
        <v>19</v>
      </c>
      <c r="AA330">
        <v>4635</v>
      </c>
      <c r="AB330" t="s">
        <v>19</v>
      </c>
      <c r="AC330" t="s">
        <v>19</v>
      </c>
      <c r="AD330">
        <v>4636</v>
      </c>
      <c r="AE330" t="s">
        <v>1488</v>
      </c>
      <c r="AF330" t="s">
        <v>19</v>
      </c>
      <c r="AG330">
        <v>4639</v>
      </c>
      <c r="AH330" t="s">
        <v>19</v>
      </c>
      <c r="AI330" t="s">
        <v>19</v>
      </c>
      <c r="AJ330">
        <v>4659</v>
      </c>
      <c r="AK330" t="s">
        <v>1490</v>
      </c>
      <c r="AL330" t="s">
        <v>19</v>
      </c>
      <c r="AM330">
        <v>4663</v>
      </c>
      <c r="AN330" t="s">
        <v>1491</v>
      </c>
      <c r="AO330" t="s">
        <v>19</v>
      </c>
    </row>
    <row r="331" spans="1:41" x14ac:dyDescent="0.45">
      <c r="A331" t="s">
        <v>1265</v>
      </c>
      <c r="B331">
        <v>8</v>
      </c>
      <c r="C331" t="str">
        <f>HYPERLINK("http://www.ncbi.nlm.nih.gov/protein/XP_036448593.1","XP_036448593.1")</f>
        <v>XP_036448593.1</v>
      </c>
      <c r="D331">
        <v>43804</v>
      </c>
      <c r="E331" t="str">
        <f>HYPERLINK("http://www.ncbi.nlm.nih.gov/Taxonomy/Browser/wwwtax.cgi?mode=Info&amp;id=42526&amp;lvl=3&amp;lin=f&amp;keep=1&amp;srchmode=1&amp;unlock","42526")</f>
        <v>42526</v>
      </c>
      <c r="F331" t="s">
        <v>17</v>
      </c>
      <c r="G331" t="str">
        <f>HYPERLINK("http://www.ncbi.nlm.nih.gov/Taxonomy/Browser/wwwtax.cgi?mode=Info&amp;id=42526&amp;lvl=3&amp;lin=f&amp;keep=1&amp;srchmode=1&amp;unlock","Colossoma macropomum")</f>
        <v>Colossoma macropomum</v>
      </c>
      <c r="H331" t="s">
        <v>38</v>
      </c>
      <c r="I331" t="str">
        <f>HYPERLINK("http://www.ncbi.nlm.nih.gov/protein/XP_036448593.1","ryanodine receptor 3")</f>
        <v>ryanodine receptor 3</v>
      </c>
      <c r="J331" t="s">
        <v>1496</v>
      </c>
      <c r="K331" t="s">
        <v>19</v>
      </c>
      <c r="L331">
        <v>4434</v>
      </c>
      <c r="M331" t="s">
        <v>19</v>
      </c>
      <c r="N331" t="s">
        <v>19</v>
      </c>
      <c r="O331">
        <v>4437</v>
      </c>
      <c r="P331" t="s">
        <v>1486</v>
      </c>
      <c r="Q331" t="s">
        <v>19</v>
      </c>
      <c r="R331">
        <v>4438</v>
      </c>
      <c r="S331" t="s">
        <v>1487</v>
      </c>
      <c r="T331" t="s">
        <v>19</v>
      </c>
      <c r="U331">
        <v>4441</v>
      </c>
      <c r="V331" t="s">
        <v>1488</v>
      </c>
      <c r="W331" t="s">
        <v>19</v>
      </c>
      <c r="X331">
        <v>4507</v>
      </c>
      <c r="Y331" t="s">
        <v>1493</v>
      </c>
      <c r="Z331" t="s">
        <v>19</v>
      </c>
      <c r="AA331">
        <v>4640</v>
      </c>
      <c r="AB331" t="s">
        <v>19</v>
      </c>
      <c r="AC331" t="s">
        <v>19</v>
      </c>
      <c r="AD331">
        <v>4641</v>
      </c>
      <c r="AE331" t="s">
        <v>1488</v>
      </c>
      <c r="AF331" t="s">
        <v>19</v>
      </c>
      <c r="AG331">
        <v>4644</v>
      </c>
      <c r="AH331" t="s">
        <v>19</v>
      </c>
      <c r="AI331" t="s">
        <v>19</v>
      </c>
      <c r="AJ331">
        <v>4664</v>
      </c>
      <c r="AK331" t="s">
        <v>1490</v>
      </c>
      <c r="AL331" t="s">
        <v>19</v>
      </c>
      <c r="AM331">
        <v>4668</v>
      </c>
      <c r="AN331" t="s">
        <v>1491</v>
      </c>
      <c r="AO331" t="s">
        <v>19</v>
      </c>
    </row>
    <row r="332" spans="1:41" x14ac:dyDescent="0.45">
      <c r="A332" t="s">
        <v>1265</v>
      </c>
      <c r="B332">
        <v>8</v>
      </c>
      <c r="C332" t="str">
        <f>HYPERLINK("http://www.ncbi.nlm.nih.gov/protein/XP_056624493.1","XP_056624493.1")</f>
        <v>XP_056624493.1</v>
      </c>
      <c r="D332">
        <v>44187</v>
      </c>
      <c r="E332" t="str">
        <f>HYPERLINK("http://www.ncbi.nlm.nih.gov/Taxonomy/Browser/wwwtax.cgi?mode=Info&amp;id=1582913&amp;lvl=3&amp;lin=f&amp;keep=1&amp;srchmode=1&amp;unlock","1582913")</f>
        <v>1582913</v>
      </c>
      <c r="F332" t="s">
        <v>17</v>
      </c>
      <c r="G332" t="str">
        <f>HYPERLINK("http://www.ncbi.nlm.nih.gov/Taxonomy/Browser/wwwtax.cgi?mode=Info&amp;id=1582913&amp;lvl=3&amp;lin=f&amp;keep=1&amp;srchmode=1&amp;unlock","Triplophysa dalaica")</f>
        <v>Triplophysa dalaica</v>
      </c>
      <c r="H332" t="s">
        <v>33</v>
      </c>
      <c r="I332" t="str">
        <f>HYPERLINK("http://www.ncbi.nlm.nih.gov/protein/XP_056624493.1","ryanodine receptor 3 isoform X2")</f>
        <v>ryanodine receptor 3 isoform X2</v>
      </c>
      <c r="J332" t="s">
        <v>1496</v>
      </c>
      <c r="K332" t="s">
        <v>19</v>
      </c>
      <c r="L332">
        <v>4430</v>
      </c>
      <c r="M332" t="s">
        <v>19</v>
      </c>
      <c r="N332" t="s">
        <v>19</v>
      </c>
      <c r="O332">
        <v>4433</v>
      </c>
      <c r="P332" t="s">
        <v>1486</v>
      </c>
      <c r="Q332" t="s">
        <v>19</v>
      </c>
      <c r="R332">
        <v>4434</v>
      </c>
      <c r="S332" t="s">
        <v>1487</v>
      </c>
      <c r="T332" t="s">
        <v>19</v>
      </c>
      <c r="U332">
        <v>4437</v>
      </c>
      <c r="V332" t="s">
        <v>1488</v>
      </c>
      <c r="W332" t="s">
        <v>19</v>
      </c>
      <c r="X332">
        <v>4508</v>
      </c>
      <c r="Y332" t="s">
        <v>1493</v>
      </c>
      <c r="Z332" t="s">
        <v>19</v>
      </c>
      <c r="AA332">
        <v>4641</v>
      </c>
      <c r="AB332" t="s">
        <v>19</v>
      </c>
      <c r="AC332" t="s">
        <v>19</v>
      </c>
      <c r="AD332">
        <v>4642</v>
      </c>
      <c r="AE332" t="s">
        <v>1488</v>
      </c>
      <c r="AF332" t="s">
        <v>19</v>
      </c>
      <c r="AG332">
        <v>4645</v>
      </c>
      <c r="AH332" t="s">
        <v>19</v>
      </c>
      <c r="AI332" t="s">
        <v>19</v>
      </c>
      <c r="AJ332">
        <v>4665</v>
      </c>
      <c r="AK332" t="s">
        <v>1490</v>
      </c>
      <c r="AL332" t="s">
        <v>19</v>
      </c>
      <c r="AM332">
        <v>4669</v>
      </c>
      <c r="AN332" t="s">
        <v>1491</v>
      </c>
      <c r="AO332" t="s">
        <v>19</v>
      </c>
    </row>
    <row r="333" spans="1:41" x14ac:dyDescent="0.45">
      <c r="A333" t="s">
        <v>1265</v>
      </c>
      <c r="B333">
        <v>8</v>
      </c>
      <c r="C333" t="str">
        <f>HYPERLINK("http://www.ncbi.nlm.nih.gov/protein/XP_037397583.1","XP_037397583.1")</f>
        <v>XP_037397583.1</v>
      </c>
      <c r="D333">
        <v>50772</v>
      </c>
      <c r="E333" t="str">
        <f>HYPERLINK("http://www.ncbi.nlm.nih.gov/Taxonomy/Browser/wwwtax.cgi?mode=Info&amp;id=42514&amp;lvl=3&amp;lin=f&amp;keep=1&amp;srchmode=1&amp;unlock","42514")</f>
        <v>42514</v>
      </c>
      <c r="F333" t="s">
        <v>17</v>
      </c>
      <c r="G333" t="str">
        <f>HYPERLINK("http://www.ncbi.nlm.nih.gov/Taxonomy/Browser/wwwtax.cgi?mode=Info&amp;id=42514&amp;lvl=3&amp;lin=f&amp;keep=1&amp;srchmode=1&amp;unlock","Pygocentrus nattereri")</f>
        <v>Pygocentrus nattereri</v>
      </c>
      <c r="H333" t="s">
        <v>39</v>
      </c>
      <c r="I333" t="str">
        <f>HYPERLINK("http://www.ncbi.nlm.nih.gov/protein/XP_037397583.1","ryanodine receptor 3-like isoform X1")</f>
        <v>ryanodine receptor 3-like isoform X1</v>
      </c>
      <c r="J333" t="s">
        <v>1496</v>
      </c>
      <c r="K333" t="s">
        <v>19</v>
      </c>
      <c r="L333">
        <v>4435</v>
      </c>
      <c r="M333" t="s">
        <v>19</v>
      </c>
      <c r="N333" t="s">
        <v>19</v>
      </c>
      <c r="O333">
        <v>4438</v>
      </c>
      <c r="P333" t="s">
        <v>1486</v>
      </c>
      <c r="Q333" t="s">
        <v>19</v>
      </c>
      <c r="R333">
        <v>4439</v>
      </c>
      <c r="S333" t="s">
        <v>1487</v>
      </c>
      <c r="T333" t="s">
        <v>19</v>
      </c>
      <c r="U333">
        <v>4442</v>
      </c>
      <c r="V333" t="s">
        <v>1488</v>
      </c>
      <c r="W333" t="s">
        <v>19</v>
      </c>
      <c r="X333">
        <v>4508</v>
      </c>
      <c r="Y333" t="s">
        <v>1493</v>
      </c>
      <c r="Z333" t="s">
        <v>19</v>
      </c>
      <c r="AA333">
        <v>4641</v>
      </c>
      <c r="AB333" t="s">
        <v>19</v>
      </c>
      <c r="AC333" t="s">
        <v>19</v>
      </c>
      <c r="AD333">
        <v>4642</v>
      </c>
      <c r="AE333" t="s">
        <v>1488</v>
      </c>
      <c r="AF333" t="s">
        <v>19</v>
      </c>
      <c r="AG333">
        <v>4645</v>
      </c>
      <c r="AH333" t="s">
        <v>19</v>
      </c>
      <c r="AI333" t="s">
        <v>19</v>
      </c>
      <c r="AJ333">
        <v>4665</v>
      </c>
      <c r="AK333" t="s">
        <v>1490</v>
      </c>
      <c r="AL333" t="s">
        <v>19</v>
      </c>
      <c r="AM333">
        <v>4669</v>
      </c>
      <c r="AN333" t="s">
        <v>1491</v>
      </c>
      <c r="AO333" t="s">
        <v>19</v>
      </c>
    </row>
    <row r="334" spans="1:41" x14ac:dyDescent="0.45">
      <c r="A334" t="s">
        <v>1265</v>
      </c>
      <c r="B334">
        <v>8</v>
      </c>
      <c r="C334" t="str">
        <f>HYPERLINK("http://www.ncbi.nlm.nih.gov/protein/XP_053093316.1","XP_053093316.1")</f>
        <v>XP_053093316.1</v>
      </c>
      <c r="D334">
        <v>68828</v>
      </c>
      <c r="E334" t="str">
        <f>HYPERLINK("http://www.ncbi.nlm.nih.gov/Taxonomy/Browser/wwwtax.cgi?mode=Info&amp;id=310915&amp;lvl=3&amp;lin=f&amp;keep=1&amp;srchmode=1&amp;unlock","310915")</f>
        <v>310915</v>
      </c>
      <c r="F334" t="s">
        <v>17</v>
      </c>
      <c r="G334" t="str">
        <f>HYPERLINK("http://www.ncbi.nlm.nih.gov/Taxonomy/Browser/wwwtax.cgi?mode=Info&amp;id=310915&amp;lvl=3&amp;lin=f&amp;keep=1&amp;srchmode=1&amp;unlock","Pangasianodon hypophthalmus")</f>
        <v>Pangasianodon hypophthalmus</v>
      </c>
      <c r="H334" t="s">
        <v>344</v>
      </c>
      <c r="I334" t="str">
        <f>HYPERLINK("http://www.ncbi.nlm.nih.gov/protein/XP_053093316.1","ryanodine receptor 3 isoform X9")</f>
        <v>ryanodine receptor 3 isoform X9</v>
      </c>
      <c r="J334" t="s">
        <v>1496</v>
      </c>
      <c r="K334" t="s">
        <v>19</v>
      </c>
      <c r="L334">
        <v>4428</v>
      </c>
      <c r="M334" t="s">
        <v>19</v>
      </c>
      <c r="N334" t="s">
        <v>19</v>
      </c>
      <c r="O334">
        <v>4431</v>
      </c>
      <c r="P334" t="s">
        <v>1486</v>
      </c>
      <c r="Q334" t="s">
        <v>19</v>
      </c>
      <c r="R334">
        <v>4432</v>
      </c>
      <c r="S334" t="s">
        <v>1487</v>
      </c>
      <c r="T334" t="s">
        <v>19</v>
      </c>
      <c r="U334">
        <v>4435</v>
      </c>
      <c r="V334" t="s">
        <v>1488</v>
      </c>
      <c r="W334" t="s">
        <v>19</v>
      </c>
      <c r="X334">
        <v>4503</v>
      </c>
      <c r="Y334" t="s">
        <v>1493</v>
      </c>
      <c r="Z334" t="s">
        <v>19</v>
      </c>
      <c r="AA334">
        <v>4636</v>
      </c>
      <c r="AB334" t="s">
        <v>19</v>
      </c>
      <c r="AC334" t="s">
        <v>19</v>
      </c>
      <c r="AD334">
        <v>4637</v>
      </c>
      <c r="AE334" t="s">
        <v>1488</v>
      </c>
      <c r="AF334" t="s">
        <v>19</v>
      </c>
      <c r="AG334">
        <v>4640</v>
      </c>
      <c r="AH334" t="s">
        <v>19</v>
      </c>
      <c r="AI334" t="s">
        <v>19</v>
      </c>
      <c r="AJ334">
        <v>4660</v>
      </c>
      <c r="AK334" t="s">
        <v>1490</v>
      </c>
      <c r="AL334" t="s">
        <v>19</v>
      </c>
      <c r="AM334">
        <v>4664</v>
      </c>
      <c r="AN334" t="s">
        <v>1491</v>
      </c>
      <c r="AO334" t="s">
        <v>19</v>
      </c>
    </row>
    <row r="335" spans="1:41" x14ac:dyDescent="0.45">
      <c r="A335" t="s">
        <v>1265</v>
      </c>
      <c r="B335">
        <v>8</v>
      </c>
      <c r="C335" t="str">
        <f>HYPERLINK("http://www.ncbi.nlm.nih.gov/protein/XP_060788785.1","XP_060788785.1")</f>
        <v>XP_060788785.1</v>
      </c>
      <c r="D335">
        <v>46654</v>
      </c>
      <c r="E335" t="str">
        <f>HYPERLINK("http://www.ncbi.nlm.nih.gov/Taxonomy/Browser/wwwtax.cgi?mode=Info&amp;id=443677&amp;lvl=3&amp;lin=f&amp;keep=1&amp;srchmode=1&amp;unlock","443677")</f>
        <v>443677</v>
      </c>
      <c r="F335" t="s">
        <v>17</v>
      </c>
      <c r="G335" t="str">
        <f>HYPERLINK("http://www.ncbi.nlm.nih.gov/Taxonomy/Browser/wwwtax.cgi?mode=Info&amp;id=443677&amp;lvl=3&amp;lin=f&amp;keep=1&amp;srchmode=1&amp;unlock","Neoarius graeffei")</f>
        <v>Neoarius graeffei</v>
      </c>
      <c r="H335" t="s">
        <v>41</v>
      </c>
      <c r="I335" t="str">
        <f>HYPERLINK("http://www.ncbi.nlm.nih.gov/protein/XP_060788785.1","ryanodine receptor 3")</f>
        <v>ryanodine receptor 3</v>
      </c>
      <c r="J335" t="s">
        <v>1496</v>
      </c>
      <c r="K335" t="s">
        <v>19</v>
      </c>
      <c r="L335">
        <v>4627</v>
      </c>
      <c r="M335" t="s">
        <v>19</v>
      </c>
      <c r="N335" t="s">
        <v>19</v>
      </c>
      <c r="O335">
        <v>4630</v>
      </c>
      <c r="P335" t="s">
        <v>1486</v>
      </c>
      <c r="Q335" t="s">
        <v>19</v>
      </c>
      <c r="R335">
        <v>4631</v>
      </c>
      <c r="S335" t="s">
        <v>1487</v>
      </c>
      <c r="T335" t="s">
        <v>19</v>
      </c>
      <c r="U335">
        <v>4634</v>
      </c>
      <c r="V335" t="s">
        <v>1488</v>
      </c>
      <c r="W335" t="s">
        <v>19</v>
      </c>
      <c r="X335">
        <v>4702</v>
      </c>
      <c r="Y335" t="s">
        <v>1493</v>
      </c>
      <c r="Z335" t="s">
        <v>19</v>
      </c>
      <c r="AA335">
        <v>4835</v>
      </c>
      <c r="AB335" t="s">
        <v>19</v>
      </c>
      <c r="AC335" t="s">
        <v>19</v>
      </c>
      <c r="AD335">
        <v>4836</v>
      </c>
      <c r="AE335" t="s">
        <v>1488</v>
      </c>
      <c r="AF335" t="s">
        <v>19</v>
      </c>
      <c r="AG335">
        <v>4839</v>
      </c>
      <c r="AH335" t="s">
        <v>19</v>
      </c>
      <c r="AI335" t="s">
        <v>19</v>
      </c>
      <c r="AJ335">
        <v>4859</v>
      </c>
      <c r="AK335" t="s">
        <v>1490</v>
      </c>
      <c r="AL335" t="s">
        <v>19</v>
      </c>
      <c r="AM335">
        <v>4863</v>
      </c>
      <c r="AN335" t="s">
        <v>1491</v>
      </c>
      <c r="AO335" t="s">
        <v>19</v>
      </c>
    </row>
    <row r="336" spans="1:41" x14ac:dyDescent="0.45">
      <c r="A336" t="s">
        <v>1265</v>
      </c>
      <c r="B336">
        <v>8</v>
      </c>
      <c r="C336" t="str">
        <f>HYPERLINK("http://www.ncbi.nlm.nih.gov/protein/XP_058255379.1","XP_058255379.1")</f>
        <v>XP_058255379.1</v>
      </c>
      <c r="D336">
        <v>69182</v>
      </c>
      <c r="E336" t="str">
        <f>HYPERLINK("http://www.ncbi.nlm.nih.gov/Taxonomy/Browser/wwwtax.cgi?mode=Info&amp;id=337641&amp;lvl=3&amp;lin=f&amp;keep=1&amp;srchmode=1&amp;unlock","337641")</f>
        <v>337641</v>
      </c>
      <c r="F336" t="s">
        <v>17</v>
      </c>
      <c r="G336" t="str">
        <f>HYPERLINK("http://www.ncbi.nlm.nih.gov/Taxonomy/Browser/wwwtax.cgi?mode=Info&amp;id=337641&amp;lvl=3&amp;lin=f&amp;keep=1&amp;srchmode=1&amp;unlock","Hemibagrus wyckioides")</f>
        <v>Hemibagrus wyckioides</v>
      </c>
      <c r="H336" t="s">
        <v>45</v>
      </c>
      <c r="I336" t="str">
        <f>HYPERLINK("http://www.ncbi.nlm.nih.gov/protein/XP_058255379.1","ryanodine receptor 3 isoform X4")</f>
        <v>ryanodine receptor 3 isoform X4</v>
      </c>
      <c r="J336" t="s">
        <v>1496</v>
      </c>
      <c r="K336" t="s">
        <v>19</v>
      </c>
      <c r="L336">
        <v>4435</v>
      </c>
      <c r="M336" t="s">
        <v>19</v>
      </c>
      <c r="N336" t="s">
        <v>19</v>
      </c>
      <c r="O336">
        <v>4438</v>
      </c>
      <c r="P336" t="s">
        <v>1486</v>
      </c>
      <c r="Q336" t="s">
        <v>19</v>
      </c>
      <c r="R336">
        <v>4439</v>
      </c>
      <c r="S336" t="s">
        <v>1487</v>
      </c>
      <c r="T336" t="s">
        <v>19</v>
      </c>
      <c r="U336">
        <v>4442</v>
      </c>
      <c r="V336" t="s">
        <v>1488</v>
      </c>
      <c r="W336" t="s">
        <v>19</v>
      </c>
      <c r="X336">
        <v>4510</v>
      </c>
      <c r="Y336" t="s">
        <v>1493</v>
      </c>
      <c r="Z336" t="s">
        <v>19</v>
      </c>
      <c r="AA336">
        <v>4643</v>
      </c>
      <c r="AB336" t="s">
        <v>19</v>
      </c>
      <c r="AC336" t="s">
        <v>19</v>
      </c>
      <c r="AD336">
        <v>4644</v>
      </c>
      <c r="AE336" t="s">
        <v>1488</v>
      </c>
      <c r="AF336" t="s">
        <v>19</v>
      </c>
      <c r="AG336">
        <v>4647</v>
      </c>
      <c r="AH336" t="s">
        <v>19</v>
      </c>
      <c r="AI336" t="s">
        <v>19</v>
      </c>
      <c r="AJ336">
        <v>4667</v>
      </c>
      <c r="AK336" t="s">
        <v>1490</v>
      </c>
      <c r="AL336" t="s">
        <v>19</v>
      </c>
      <c r="AM336">
        <v>4671</v>
      </c>
      <c r="AN336" t="s">
        <v>1491</v>
      </c>
      <c r="AO336" t="s">
        <v>19</v>
      </c>
    </row>
    <row r="337" spans="1:41" x14ac:dyDescent="0.45">
      <c r="A337" t="s">
        <v>1265</v>
      </c>
      <c r="B337">
        <v>8</v>
      </c>
      <c r="C337" t="str">
        <f>HYPERLINK("http://www.ncbi.nlm.nih.gov/protein/XP_030634419.1","XP_030634419.1")</f>
        <v>XP_030634419.1</v>
      </c>
      <c r="D337">
        <v>30218</v>
      </c>
      <c r="E337" t="str">
        <f>HYPERLINK("http://www.ncbi.nlm.nih.gov/Taxonomy/Browser/wwwtax.cgi?mode=Info&amp;id=29144&amp;lvl=3&amp;lin=f&amp;keep=1&amp;srchmode=1&amp;unlock","29144")</f>
        <v>29144</v>
      </c>
      <c r="F337" t="s">
        <v>17</v>
      </c>
      <c r="G337" t="str">
        <f>HYPERLINK("http://www.ncbi.nlm.nih.gov/Taxonomy/Browser/wwwtax.cgi?mode=Info&amp;id=29144&amp;lvl=3&amp;lin=f&amp;keep=1&amp;srchmode=1&amp;unlock","Chanos chanos")</f>
        <v>Chanos chanos</v>
      </c>
      <c r="H337" t="s">
        <v>231</v>
      </c>
      <c r="I337" t="str">
        <f>HYPERLINK("http://www.ncbi.nlm.nih.gov/protein/XP_030634419.1","ryanodine receptor 3-like")</f>
        <v>ryanodine receptor 3-like</v>
      </c>
      <c r="J337" t="s">
        <v>1496</v>
      </c>
      <c r="K337" t="s">
        <v>19</v>
      </c>
      <c r="L337">
        <v>4349</v>
      </c>
      <c r="M337" t="s">
        <v>19</v>
      </c>
      <c r="N337" t="s">
        <v>19</v>
      </c>
      <c r="O337">
        <v>4352</v>
      </c>
      <c r="P337" t="s">
        <v>1486</v>
      </c>
      <c r="Q337" t="s">
        <v>19</v>
      </c>
      <c r="R337">
        <v>4353</v>
      </c>
      <c r="S337" t="s">
        <v>1487</v>
      </c>
      <c r="T337" t="s">
        <v>19</v>
      </c>
      <c r="U337">
        <v>4356</v>
      </c>
      <c r="V337" t="s">
        <v>1488</v>
      </c>
      <c r="W337" t="s">
        <v>19</v>
      </c>
      <c r="X337">
        <v>4426</v>
      </c>
      <c r="Y337" t="s">
        <v>1493</v>
      </c>
      <c r="Z337" t="s">
        <v>19</v>
      </c>
      <c r="AA337">
        <v>4559</v>
      </c>
      <c r="AB337" t="s">
        <v>19</v>
      </c>
      <c r="AC337" t="s">
        <v>19</v>
      </c>
      <c r="AD337">
        <v>4560</v>
      </c>
      <c r="AE337" t="s">
        <v>1488</v>
      </c>
      <c r="AF337" t="s">
        <v>19</v>
      </c>
      <c r="AG337">
        <v>4563</v>
      </c>
      <c r="AH337" t="s">
        <v>19</v>
      </c>
      <c r="AI337" t="s">
        <v>19</v>
      </c>
      <c r="AJ337">
        <v>4583</v>
      </c>
      <c r="AK337" t="s">
        <v>1490</v>
      </c>
      <c r="AL337" t="s">
        <v>19</v>
      </c>
      <c r="AM337">
        <v>4587</v>
      </c>
      <c r="AN337" t="s">
        <v>1491</v>
      </c>
      <c r="AO337" t="s">
        <v>19</v>
      </c>
    </row>
    <row r="338" spans="1:41" x14ac:dyDescent="0.45">
      <c r="A338" t="s">
        <v>1265</v>
      </c>
      <c r="B338">
        <v>8</v>
      </c>
      <c r="C338" t="str">
        <f>HYPERLINK("http://www.ncbi.nlm.nih.gov/protein/XP_053489427.1","XP_053489427.1")</f>
        <v>XP_053489427.1</v>
      </c>
      <c r="D338">
        <v>45079</v>
      </c>
      <c r="E338" t="str">
        <f>HYPERLINK("http://www.ncbi.nlm.nih.gov/Taxonomy/Browser/wwwtax.cgi?mode=Info&amp;id=66913&amp;lvl=3&amp;lin=f&amp;keep=1&amp;srchmode=1&amp;unlock","66913")</f>
        <v>66913</v>
      </c>
      <c r="F338" t="s">
        <v>17</v>
      </c>
      <c r="G338" t="str">
        <f>HYPERLINK("http://www.ncbi.nlm.nih.gov/Taxonomy/Browser/wwwtax.cgi?mode=Info&amp;id=66913&amp;lvl=3&amp;lin=f&amp;keep=1&amp;srchmode=1&amp;unlock","Ictalurus furcatus")</f>
        <v>Ictalurus furcatus</v>
      </c>
      <c r="H338" t="s">
        <v>42</v>
      </c>
      <c r="I338" t="str">
        <f>HYPERLINK("http://www.ncbi.nlm.nih.gov/protein/XP_053489427.1","ryanodine receptor 3")</f>
        <v>ryanodine receptor 3</v>
      </c>
      <c r="J338" t="s">
        <v>1496</v>
      </c>
      <c r="K338" t="s">
        <v>19</v>
      </c>
      <c r="L338">
        <v>4414</v>
      </c>
      <c r="M338" t="s">
        <v>19</v>
      </c>
      <c r="N338" t="s">
        <v>19</v>
      </c>
      <c r="O338">
        <v>4417</v>
      </c>
      <c r="P338" t="s">
        <v>1486</v>
      </c>
      <c r="Q338" t="s">
        <v>19</v>
      </c>
      <c r="R338">
        <v>4418</v>
      </c>
      <c r="S338" t="s">
        <v>1487</v>
      </c>
      <c r="T338" t="s">
        <v>19</v>
      </c>
      <c r="U338">
        <v>4421</v>
      </c>
      <c r="V338" t="s">
        <v>1488</v>
      </c>
      <c r="W338" t="s">
        <v>19</v>
      </c>
      <c r="X338">
        <v>4489</v>
      </c>
      <c r="Y338" t="s">
        <v>1493</v>
      </c>
      <c r="Z338" t="s">
        <v>19</v>
      </c>
      <c r="AA338">
        <v>4622</v>
      </c>
      <c r="AB338" t="s">
        <v>19</v>
      </c>
      <c r="AC338" t="s">
        <v>19</v>
      </c>
      <c r="AD338">
        <v>4623</v>
      </c>
      <c r="AE338" t="s">
        <v>1488</v>
      </c>
      <c r="AF338" t="s">
        <v>19</v>
      </c>
      <c r="AG338">
        <v>4626</v>
      </c>
      <c r="AH338" t="s">
        <v>19</v>
      </c>
      <c r="AI338" t="s">
        <v>19</v>
      </c>
      <c r="AJ338">
        <v>4646</v>
      </c>
      <c r="AK338" t="s">
        <v>1490</v>
      </c>
      <c r="AL338" t="s">
        <v>19</v>
      </c>
      <c r="AM338">
        <v>4650</v>
      </c>
      <c r="AN338" t="s">
        <v>1491</v>
      </c>
      <c r="AO338" t="s">
        <v>19</v>
      </c>
    </row>
    <row r="339" spans="1:41" x14ac:dyDescent="0.45">
      <c r="A339" t="s">
        <v>1265</v>
      </c>
      <c r="B339">
        <v>8</v>
      </c>
      <c r="C339" t="str">
        <f>HYPERLINK("http://www.ncbi.nlm.nih.gov/protein/XP_053538586.1","XP_053538586.1")</f>
        <v>XP_053538586.1</v>
      </c>
      <c r="D339">
        <v>54807</v>
      </c>
      <c r="E339" t="str">
        <f>HYPERLINK("http://www.ncbi.nlm.nih.gov/Taxonomy/Browser/wwwtax.cgi?mode=Info&amp;id=7998&amp;lvl=3&amp;lin=f&amp;keep=1&amp;srchmode=1&amp;unlock","7998")</f>
        <v>7998</v>
      </c>
      <c r="F339" t="s">
        <v>17</v>
      </c>
      <c r="G339" t="str">
        <f>HYPERLINK("http://www.ncbi.nlm.nih.gov/Taxonomy/Browser/wwwtax.cgi?mode=Info&amp;id=7998&amp;lvl=3&amp;lin=f&amp;keep=1&amp;srchmode=1&amp;unlock","Ictalurus punctatus")</f>
        <v>Ictalurus punctatus</v>
      </c>
      <c r="H339" t="s">
        <v>40</v>
      </c>
      <c r="I339" t="str">
        <f>HYPERLINK("http://www.ncbi.nlm.nih.gov/protein/XP_053538586.1","ryanodine receptor 3")</f>
        <v>ryanodine receptor 3</v>
      </c>
      <c r="J339" t="s">
        <v>1496</v>
      </c>
      <c r="K339" t="s">
        <v>19</v>
      </c>
      <c r="L339">
        <v>4422</v>
      </c>
      <c r="M339" t="s">
        <v>19</v>
      </c>
      <c r="N339" t="s">
        <v>19</v>
      </c>
      <c r="O339">
        <v>4425</v>
      </c>
      <c r="P339" t="s">
        <v>1486</v>
      </c>
      <c r="Q339" t="s">
        <v>19</v>
      </c>
      <c r="R339">
        <v>4426</v>
      </c>
      <c r="S339" t="s">
        <v>1487</v>
      </c>
      <c r="T339" t="s">
        <v>19</v>
      </c>
      <c r="U339">
        <v>4429</v>
      </c>
      <c r="V339" t="s">
        <v>1488</v>
      </c>
      <c r="W339" t="s">
        <v>19</v>
      </c>
      <c r="X339">
        <v>4497</v>
      </c>
      <c r="Y339" t="s">
        <v>1493</v>
      </c>
      <c r="Z339" t="s">
        <v>19</v>
      </c>
      <c r="AA339">
        <v>4630</v>
      </c>
      <c r="AB339" t="s">
        <v>19</v>
      </c>
      <c r="AC339" t="s">
        <v>19</v>
      </c>
      <c r="AD339">
        <v>4631</v>
      </c>
      <c r="AE339" t="s">
        <v>1488</v>
      </c>
      <c r="AF339" t="s">
        <v>19</v>
      </c>
      <c r="AG339">
        <v>4634</v>
      </c>
      <c r="AH339" t="s">
        <v>19</v>
      </c>
      <c r="AI339" t="s">
        <v>19</v>
      </c>
      <c r="AJ339">
        <v>4654</v>
      </c>
      <c r="AK339" t="s">
        <v>1490</v>
      </c>
      <c r="AL339" t="s">
        <v>19</v>
      </c>
      <c r="AM339">
        <v>4658</v>
      </c>
      <c r="AN339" t="s">
        <v>1491</v>
      </c>
      <c r="AO339" t="s">
        <v>19</v>
      </c>
    </row>
    <row r="340" spans="1:41" x14ac:dyDescent="0.45">
      <c r="A340" t="s">
        <v>1265</v>
      </c>
      <c r="B340">
        <v>8</v>
      </c>
      <c r="C340" t="str">
        <f>HYPERLINK("http://www.ncbi.nlm.nih.gov/protein/XP_053365801.1","XP_053365801.1")</f>
        <v>XP_053365801.1</v>
      </c>
      <c r="D340">
        <v>41392</v>
      </c>
      <c r="E340" t="str">
        <f>HYPERLINK("http://www.ncbi.nlm.nih.gov/Taxonomy/Browser/wwwtax.cgi?mode=Info&amp;id=13013&amp;lvl=3&amp;lin=f&amp;keep=1&amp;srchmode=1&amp;unlock","13013")</f>
        <v>13013</v>
      </c>
      <c r="F340" t="s">
        <v>17</v>
      </c>
      <c r="G340" t="str">
        <f>HYPERLINK("http://www.ncbi.nlm.nih.gov/Taxonomy/Browser/wwwtax.cgi?mode=Info&amp;id=13013&amp;lvl=3&amp;lin=f&amp;keep=1&amp;srchmode=1&amp;unlock","Clarias gariepinus")</f>
        <v>Clarias gariepinus</v>
      </c>
      <c r="H340" t="s">
        <v>43</v>
      </c>
      <c r="I340" t="str">
        <f>HYPERLINK("http://www.ncbi.nlm.nih.gov/protein/XP_053365801.1","LOW QUALITY PROTEIN: ryanodine receptor 3")</f>
        <v>LOW QUALITY PROTEIN: ryanodine receptor 3</v>
      </c>
      <c r="J340" t="s">
        <v>1496</v>
      </c>
      <c r="K340" t="s">
        <v>19</v>
      </c>
      <c r="L340">
        <v>4530</v>
      </c>
      <c r="M340" t="s">
        <v>19</v>
      </c>
      <c r="N340" t="s">
        <v>19</v>
      </c>
      <c r="O340">
        <v>4533</v>
      </c>
      <c r="P340" t="s">
        <v>1486</v>
      </c>
      <c r="Q340" t="s">
        <v>19</v>
      </c>
      <c r="R340">
        <v>4534</v>
      </c>
      <c r="S340" t="s">
        <v>1487</v>
      </c>
      <c r="T340" t="s">
        <v>19</v>
      </c>
      <c r="U340">
        <v>4537</v>
      </c>
      <c r="V340" t="s">
        <v>1488</v>
      </c>
      <c r="W340" t="s">
        <v>19</v>
      </c>
      <c r="X340">
        <v>4605</v>
      </c>
      <c r="Y340" t="s">
        <v>1493</v>
      </c>
      <c r="Z340" t="s">
        <v>19</v>
      </c>
      <c r="AA340">
        <v>4738</v>
      </c>
      <c r="AB340" t="s">
        <v>19</v>
      </c>
      <c r="AC340" t="s">
        <v>19</v>
      </c>
      <c r="AD340">
        <v>4739</v>
      </c>
      <c r="AE340" t="s">
        <v>1488</v>
      </c>
      <c r="AF340" t="s">
        <v>19</v>
      </c>
      <c r="AG340">
        <v>4742</v>
      </c>
      <c r="AH340" t="s">
        <v>19</v>
      </c>
      <c r="AI340" t="s">
        <v>19</v>
      </c>
      <c r="AJ340">
        <v>4762</v>
      </c>
      <c r="AK340" t="s">
        <v>1490</v>
      </c>
      <c r="AL340" t="s">
        <v>19</v>
      </c>
      <c r="AM340">
        <v>4766</v>
      </c>
      <c r="AN340" t="s">
        <v>1491</v>
      </c>
      <c r="AO340" t="s">
        <v>19</v>
      </c>
    </row>
    <row r="341" spans="1:41" x14ac:dyDescent="0.45">
      <c r="A341" t="s">
        <v>1265</v>
      </c>
      <c r="B341">
        <v>8</v>
      </c>
      <c r="C341" t="str">
        <f>HYPERLINK("http://www.ncbi.nlm.nih.gov/protein/XP_028834435.1","XP_028834435.1")</f>
        <v>XP_028834435.1</v>
      </c>
      <c r="D341">
        <v>50098</v>
      </c>
      <c r="E341" t="str">
        <f>HYPERLINK("http://www.ncbi.nlm.nih.gov/Taxonomy/Browser/wwwtax.cgi?mode=Info&amp;id=299321&amp;lvl=3&amp;lin=f&amp;keep=1&amp;srchmode=1&amp;unlock","299321")</f>
        <v>299321</v>
      </c>
      <c r="F341" t="s">
        <v>17</v>
      </c>
      <c r="G341" t="str">
        <f>HYPERLINK("http://www.ncbi.nlm.nih.gov/Taxonomy/Browser/wwwtax.cgi?mode=Info&amp;id=299321&amp;lvl=3&amp;lin=f&amp;keep=1&amp;srchmode=1&amp;unlock","Denticeps clupeoides")</f>
        <v>Denticeps clupeoides</v>
      </c>
      <c r="H341" t="s">
        <v>48</v>
      </c>
      <c r="I341" t="str">
        <f>HYPERLINK("http://www.ncbi.nlm.nih.gov/protein/XP_028834435.1","ryanodine receptor 3-like isoform X18")</f>
        <v>ryanodine receptor 3-like isoform X18</v>
      </c>
      <c r="J341" t="s">
        <v>1496</v>
      </c>
      <c r="K341" t="s">
        <v>19</v>
      </c>
      <c r="L341">
        <v>4432</v>
      </c>
      <c r="M341" t="s">
        <v>19</v>
      </c>
      <c r="N341" t="s">
        <v>19</v>
      </c>
      <c r="O341">
        <v>4435</v>
      </c>
      <c r="P341" t="s">
        <v>1486</v>
      </c>
      <c r="Q341" t="s">
        <v>19</v>
      </c>
      <c r="R341">
        <v>4436</v>
      </c>
      <c r="S341" t="s">
        <v>1487</v>
      </c>
      <c r="T341" t="s">
        <v>19</v>
      </c>
      <c r="U341">
        <v>4439</v>
      </c>
      <c r="V341" t="s">
        <v>1488</v>
      </c>
      <c r="W341" t="s">
        <v>19</v>
      </c>
      <c r="X341">
        <v>4507</v>
      </c>
      <c r="Y341" t="s">
        <v>1493</v>
      </c>
      <c r="Z341" t="s">
        <v>19</v>
      </c>
      <c r="AA341">
        <v>4640</v>
      </c>
      <c r="AB341" t="s">
        <v>19</v>
      </c>
      <c r="AC341" t="s">
        <v>19</v>
      </c>
      <c r="AD341">
        <v>4641</v>
      </c>
      <c r="AE341" t="s">
        <v>1488</v>
      </c>
      <c r="AF341" t="s">
        <v>19</v>
      </c>
      <c r="AG341">
        <v>4644</v>
      </c>
      <c r="AH341" t="s">
        <v>19</v>
      </c>
      <c r="AI341" t="s">
        <v>19</v>
      </c>
      <c r="AJ341">
        <v>4664</v>
      </c>
      <c r="AK341" t="s">
        <v>1490</v>
      </c>
      <c r="AL341" t="s">
        <v>19</v>
      </c>
      <c r="AM341">
        <v>4668</v>
      </c>
      <c r="AN341" t="s">
        <v>1491</v>
      </c>
      <c r="AO341" t="s">
        <v>19</v>
      </c>
    </row>
    <row r="342" spans="1:41" x14ac:dyDescent="0.45">
      <c r="A342" t="s">
        <v>1265</v>
      </c>
      <c r="B342">
        <v>8</v>
      </c>
      <c r="C342" t="str">
        <f>HYPERLINK("http://www.ncbi.nlm.nih.gov/protein/XP_047677279.1","XP_047677279.1")</f>
        <v>XP_047677279.1</v>
      </c>
      <c r="D342">
        <v>56318</v>
      </c>
      <c r="E342" t="str">
        <f>HYPERLINK("http://www.ncbi.nlm.nih.gov/Taxonomy/Browser/wwwtax.cgi?mode=Info&amp;id=1234273&amp;lvl=3&amp;lin=f&amp;keep=1&amp;srchmode=1&amp;unlock","1234273")</f>
        <v>1234273</v>
      </c>
      <c r="F342" t="s">
        <v>17</v>
      </c>
      <c r="G342" t="str">
        <f>HYPERLINK("http://www.ncbi.nlm.nih.gov/Taxonomy/Browser/wwwtax.cgi?mode=Info&amp;id=1234273&amp;lvl=3&amp;lin=f&amp;keep=1&amp;srchmode=1&amp;unlock","Tachysurus fulvidraco")</f>
        <v>Tachysurus fulvidraco</v>
      </c>
      <c r="H342" t="s">
        <v>47</v>
      </c>
      <c r="I342" t="str">
        <f>HYPERLINK("http://www.ncbi.nlm.nih.gov/protein/XP_047677279.1","ryanodine receptor 3 isoform X1")</f>
        <v>ryanodine receptor 3 isoform X1</v>
      </c>
      <c r="J342" t="s">
        <v>1496</v>
      </c>
      <c r="K342" t="s">
        <v>19</v>
      </c>
      <c r="L342">
        <v>4441</v>
      </c>
      <c r="M342" t="s">
        <v>19</v>
      </c>
      <c r="N342" t="s">
        <v>19</v>
      </c>
      <c r="O342">
        <v>4444</v>
      </c>
      <c r="P342" t="s">
        <v>1486</v>
      </c>
      <c r="Q342" t="s">
        <v>19</v>
      </c>
      <c r="R342">
        <v>4445</v>
      </c>
      <c r="S342" t="s">
        <v>1487</v>
      </c>
      <c r="T342" t="s">
        <v>19</v>
      </c>
      <c r="U342">
        <v>4448</v>
      </c>
      <c r="V342" t="s">
        <v>1488</v>
      </c>
      <c r="W342" t="s">
        <v>19</v>
      </c>
      <c r="X342">
        <v>4516</v>
      </c>
      <c r="Y342" t="s">
        <v>1493</v>
      </c>
      <c r="Z342" t="s">
        <v>19</v>
      </c>
      <c r="AA342">
        <v>4649</v>
      </c>
      <c r="AB342" t="s">
        <v>19</v>
      </c>
      <c r="AC342" t="s">
        <v>19</v>
      </c>
      <c r="AD342">
        <v>4650</v>
      </c>
      <c r="AE342" t="s">
        <v>1488</v>
      </c>
      <c r="AF342" t="s">
        <v>19</v>
      </c>
      <c r="AG342">
        <v>4653</v>
      </c>
      <c r="AH342" t="s">
        <v>19</v>
      </c>
      <c r="AI342" t="s">
        <v>19</v>
      </c>
      <c r="AJ342">
        <v>4673</v>
      </c>
      <c r="AK342" t="s">
        <v>1490</v>
      </c>
      <c r="AL342" t="s">
        <v>19</v>
      </c>
      <c r="AM342">
        <v>4677</v>
      </c>
      <c r="AN342" t="s">
        <v>1491</v>
      </c>
      <c r="AO342" t="s">
        <v>19</v>
      </c>
    </row>
    <row r="343" spans="1:41" x14ac:dyDescent="0.45">
      <c r="A343" t="s">
        <v>1265</v>
      </c>
      <c r="B343">
        <v>8</v>
      </c>
      <c r="C343" t="str">
        <f>HYPERLINK("http://www.ncbi.nlm.nih.gov/protein/XP_060736247.1","XP_060736247.1")</f>
        <v>XP_060736247.1</v>
      </c>
      <c r="D343">
        <v>64250</v>
      </c>
      <c r="E343" t="str">
        <f>HYPERLINK("http://www.ncbi.nlm.nih.gov/Taxonomy/Browser/wwwtax.cgi?mode=Info&amp;id=175792&amp;lvl=3&amp;lin=f&amp;keep=1&amp;srchmode=1&amp;unlock","175792")</f>
        <v>175792</v>
      </c>
      <c r="F343" t="s">
        <v>17</v>
      </c>
      <c r="G343" t="str">
        <f>HYPERLINK("http://www.ncbi.nlm.nih.gov/Taxonomy/Browser/wwwtax.cgi?mode=Info&amp;id=175792&amp;lvl=3&amp;lin=f&amp;keep=1&amp;srchmode=1&amp;unlock","Tachysurus vachellii")</f>
        <v>Tachysurus vachellii</v>
      </c>
      <c r="H343" t="s">
        <v>45</v>
      </c>
      <c r="I343" t="str">
        <f>HYPERLINK("http://www.ncbi.nlm.nih.gov/protein/XP_060736247.1","ryanodine receptor 3")</f>
        <v>ryanodine receptor 3</v>
      </c>
      <c r="J343" t="s">
        <v>1496</v>
      </c>
      <c r="K343" t="s">
        <v>19</v>
      </c>
      <c r="L343">
        <v>4415</v>
      </c>
      <c r="M343" t="s">
        <v>19</v>
      </c>
      <c r="N343" t="s">
        <v>19</v>
      </c>
      <c r="O343">
        <v>4418</v>
      </c>
      <c r="P343" t="s">
        <v>1486</v>
      </c>
      <c r="Q343" t="s">
        <v>19</v>
      </c>
      <c r="R343">
        <v>4419</v>
      </c>
      <c r="S343" t="s">
        <v>1487</v>
      </c>
      <c r="T343" t="s">
        <v>19</v>
      </c>
      <c r="U343">
        <v>4422</v>
      </c>
      <c r="V343" t="s">
        <v>1488</v>
      </c>
      <c r="W343" t="s">
        <v>19</v>
      </c>
      <c r="X343">
        <v>4490</v>
      </c>
      <c r="Y343" t="s">
        <v>1493</v>
      </c>
      <c r="Z343" t="s">
        <v>19</v>
      </c>
      <c r="AA343">
        <v>4623</v>
      </c>
      <c r="AB343" t="s">
        <v>19</v>
      </c>
      <c r="AC343" t="s">
        <v>19</v>
      </c>
      <c r="AD343">
        <v>4624</v>
      </c>
      <c r="AE343" t="s">
        <v>1488</v>
      </c>
      <c r="AF343" t="s">
        <v>19</v>
      </c>
      <c r="AG343">
        <v>4627</v>
      </c>
      <c r="AH343" t="s">
        <v>19</v>
      </c>
      <c r="AI343" t="s">
        <v>19</v>
      </c>
      <c r="AJ343">
        <v>4647</v>
      </c>
      <c r="AK343" t="s">
        <v>1490</v>
      </c>
      <c r="AL343" t="s">
        <v>19</v>
      </c>
      <c r="AM343">
        <v>4651</v>
      </c>
      <c r="AN343" t="s">
        <v>1491</v>
      </c>
      <c r="AO343" t="s">
        <v>19</v>
      </c>
    </row>
    <row r="344" spans="1:41" x14ac:dyDescent="0.45">
      <c r="A344" t="s">
        <v>1265</v>
      </c>
      <c r="B344">
        <v>8</v>
      </c>
      <c r="C344" t="str">
        <f>HYPERLINK("http://www.ncbi.nlm.nih.gov/protein/XP_057200726.1","XP_057200726.1")</f>
        <v>XP_057200726.1</v>
      </c>
      <c r="D344">
        <v>70292</v>
      </c>
      <c r="E344" t="str">
        <f>HYPERLINK("http://www.ncbi.nlm.nih.gov/Taxonomy/Browser/wwwtax.cgi?mode=Info&amp;id=992332&amp;lvl=3&amp;lin=f&amp;keep=1&amp;srchmode=1&amp;unlock","992332")</f>
        <v>992332</v>
      </c>
      <c r="F344" t="s">
        <v>17</v>
      </c>
      <c r="G344" t="str">
        <f>HYPERLINK("http://www.ncbi.nlm.nih.gov/Taxonomy/Browser/wwwtax.cgi?mode=Info&amp;id=992332&amp;lvl=3&amp;lin=f&amp;keep=1&amp;srchmode=1&amp;unlock","Triplophysa rosa")</f>
        <v>Triplophysa rosa</v>
      </c>
      <c r="H344" t="s">
        <v>33</v>
      </c>
      <c r="I344" t="str">
        <f>HYPERLINK("http://www.ncbi.nlm.nih.gov/protein/XP_057200726.1","ryanodine receptor 3")</f>
        <v>ryanodine receptor 3</v>
      </c>
      <c r="J344" t="s">
        <v>1496</v>
      </c>
      <c r="K344" t="s">
        <v>19</v>
      </c>
      <c r="L344">
        <v>4436</v>
      </c>
      <c r="M344" t="s">
        <v>19</v>
      </c>
      <c r="N344" t="s">
        <v>19</v>
      </c>
      <c r="O344">
        <v>4439</v>
      </c>
      <c r="P344" t="s">
        <v>1486</v>
      </c>
      <c r="Q344" t="s">
        <v>19</v>
      </c>
      <c r="R344">
        <v>4440</v>
      </c>
      <c r="S344" t="s">
        <v>1487</v>
      </c>
      <c r="T344" t="s">
        <v>19</v>
      </c>
      <c r="U344">
        <v>4443</v>
      </c>
      <c r="V344" t="s">
        <v>1488</v>
      </c>
      <c r="W344" t="s">
        <v>19</v>
      </c>
      <c r="X344">
        <v>4514</v>
      </c>
      <c r="Y344" t="s">
        <v>1493</v>
      </c>
      <c r="Z344" t="s">
        <v>19</v>
      </c>
      <c r="AA344">
        <v>4647</v>
      </c>
      <c r="AB344" t="s">
        <v>19</v>
      </c>
      <c r="AC344" t="s">
        <v>19</v>
      </c>
      <c r="AD344">
        <v>4648</v>
      </c>
      <c r="AE344" t="s">
        <v>1488</v>
      </c>
      <c r="AF344" t="s">
        <v>19</v>
      </c>
      <c r="AG344">
        <v>4651</v>
      </c>
      <c r="AH344" t="s">
        <v>19</v>
      </c>
      <c r="AI344" t="s">
        <v>19</v>
      </c>
      <c r="AJ344">
        <v>4671</v>
      </c>
      <c r="AK344" t="s">
        <v>1490</v>
      </c>
      <c r="AL344" t="s">
        <v>19</v>
      </c>
      <c r="AM344">
        <v>4675</v>
      </c>
      <c r="AN344" t="s">
        <v>1491</v>
      </c>
      <c r="AO344" t="s">
        <v>19</v>
      </c>
    </row>
    <row r="345" spans="1:41" x14ac:dyDescent="0.45">
      <c r="A345" t="s">
        <v>1265</v>
      </c>
      <c r="B345">
        <v>8</v>
      </c>
      <c r="C345" t="str">
        <f>HYPERLINK("http://www.ncbi.nlm.nih.gov/protein/XP_029937802.1","XP_029937802.1")</f>
        <v>XP_029937802.1</v>
      </c>
      <c r="D345">
        <v>38178</v>
      </c>
      <c r="E345" t="str">
        <f>HYPERLINK("http://www.ncbi.nlm.nih.gov/Taxonomy/Browser/wwwtax.cgi?mode=Info&amp;id=586833&amp;lvl=3&amp;lin=f&amp;keep=1&amp;srchmode=1&amp;unlock","586833")</f>
        <v>586833</v>
      </c>
      <c r="F345" t="s">
        <v>17</v>
      </c>
      <c r="G345" t="str">
        <f>HYPERLINK("http://www.ncbi.nlm.nih.gov/Taxonomy/Browser/wwwtax.cgi?mode=Info&amp;id=586833&amp;lvl=3&amp;lin=f&amp;keep=1&amp;srchmode=1&amp;unlock","Myripristis murdjan")</f>
        <v>Myripristis murdjan</v>
      </c>
      <c r="H345" t="s">
        <v>53</v>
      </c>
      <c r="I345" t="str">
        <f>HYPERLINK("http://www.ncbi.nlm.nih.gov/protein/XP_029937802.1","ryanodine receptor 3-like")</f>
        <v>ryanodine receptor 3-like</v>
      </c>
      <c r="J345" t="s">
        <v>1496</v>
      </c>
      <c r="K345" t="s">
        <v>19</v>
      </c>
      <c r="L345">
        <v>4416</v>
      </c>
      <c r="M345" t="s">
        <v>19</v>
      </c>
      <c r="N345" t="s">
        <v>19</v>
      </c>
      <c r="O345">
        <v>4419</v>
      </c>
      <c r="P345" t="s">
        <v>1486</v>
      </c>
      <c r="Q345" t="s">
        <v>19</v>
      </c>
      <c r="R345">
        <v>4420</v>
      </c>
      <c r="S345" t="s">
        <v>1487</v>
      </c>
      <c r="T345" t="s">
        <v>19</v>
      </c>
      <c r="U345">
        <v>4423</v>
      </c>
      <c r="V345" t="s">
        <v>1488</v>
      </c>
      <c r="W345" t="s">
        <v>19</v>
      </c>
      <c r="X345">
        <v>4494</v>
      </c>
      <c r="Y345" t="s">
        <v>1493</v>
      </c>
      <c r="Z345" t="s">
        <v>19</v>
      </c>
      <c r="AA345">
        <v>4627</v>
      </c>
      <c r="AB345" t="s">
        <v>19</v>
      </c>
      <c r="AC345" t="s">
        <v>19</v>
      </c>
      <c r="AD345">
        <v>4628</v>
      </c>
      <c r="AE345" t="s">
        <v>1488</v>
      </c>
      <c r="AF345" t="s">
        <v>19</v>
      </c>
      <c r="AG345">
        <v>4631</v>
      </c>
      <c r="AH345" t="s">
        <v>19</v>
      </c>
      <c r="AI345" t="s">
        <v>19</v>
      </c>
      <c r="AJ345">
        <v>4651</v>
      </c>
      <c r="AK345" t="s">
        <v>1490</v>
      </c>
      <c r="AL345" t="s">
        <v>19</v>
      </c>
      <c r="AM345">
        <v>4655</v>
      </c>
      <c r="AN345" t="s">
        <v>1491</v>
      </c>
      <c r="AO345" t="s">
        <v>19</v>
      </c>
    </row>
    <row r="346" spans="1:41" x14ac:dyDescent="0.45">
      <c r="A346" t="s">
        <v>1265</v>
      </c>
      <c r="B346">
        <v>8</v>
      </c>
      <c r="C346" t="str">
        <f>HYPERLINK("http://www.ncbi.nlm.nih.gov/protein/XP_056151338.1","XP_056151338.1")</f>
        <v>XP_056151338.1</v>
      </c>
      <c r="D346">
        <v>29577</v>
      </c>
      <c r="E346" t="str">
        <f>HYPERLINK("http://www.ncbi.nlm.nih.gov/Taxonomy/Browser/wwwtax.cgi?mode=Info&amp;id=2546036&amp;lvl=3&amp;lin=f&amp;keep=1&amp;srchmode=1&amp;unlock","2546036")</f>
        <v>2546036</v>
      </c>
      <c r="F346" t="s">
        <v>17</v>
      </c>
      <c r="G346" t="str">
        <f>HYPERLINK("http://www.ncbi.nlm.nih.gov/Taxonomy/Browser/wwwtax.cgi?mode=Info&amp;id=2546036&amp;lvl=3&amp;lin=f&amp;keep=1&amp;srchmode=1&amp;unlock","Lampris incognitus")</f>
        <v>Lampris incognitus</v>
      </c>
      <c r="H346" t="s">
        <v>422</v>
      </c>
      <c r="I346" t="str">
        <f>HYPERLINK("http://www.ncbi.nlm.nih.gov/protein/XP_056151338.1","ryanodine receptor 3-like")</f>
        <v>ryanodine receptor 3-like</v>
      </c>
      <c r="J346" t="s">
        <v>1496</v>
      </c>
      <c r="K346" t="s">
        <v>19</v>
      </c>
      <c r="L346">
        <v>4434</v>
      </c>
      <c r="M346" t="s">
        <v>19</v>
      </c>
      <c r="N346" t="s">
        <v>19</v>
      </c>
      <c r="O346">
        <v>4437</v>
      </c>
      <c r="P346" t="s">
        <v>1486</v>
      </c>
      <c r="Q346" t="s">
        <v>19</v>
      </c>
      <c r="R346">
        <v>4438</v>
      </c>
      <c r="S346" t="s">
        <v>1487</v>
      </c>
      <c r="T346" t="s">
        <v>19</v>
      </c>
      <c r="U346">
        <v>4441</v>
      </c>
      <c r="V346" t="s">
        <v>1488</v>
      </c>
      <c r="W346" t="s">
        <v>19</v>
      </c>
      <c r="X346">
        <v>4511</v>
      </c>
      <c r="Y346" t="s">
        <v>1493</v>
      </c>
      <c r="Z346" t="s">
        <v>19</v>
      </c>
      <c r="AA346">
        <v>4644</v>
      </c>
      <c r="AB346" t="s">
        <v>19</v>
      </c>
      <c r="AC346" t="s">
        <v>19</v>
      </c>
      <c r="AD346">
        <v>4645</v>
      </c>
      <c r="AE346" t="s">
        <v>1488</v>
      </c>
      <c r="AF346" t="s">
        <v>19</v>
      </c>
      <c r="AG346">
        <v>4648</v>
      </c>
      <c r="AH346" t="s">
        <v>19</v>
      </c>
      <c r="AI346" t="s">
        <v>19</v>
      </c>
      <c r="AJ346">
        <v>4668</v>
      </c>
      <c r="AK346" t="s">
        <v>1490</v>
      </c>
      <c r="AL346" t="s">
        <v>19</v>
      </c>
      <c r="AM346">
        <v>4672</v>
      </c>
      <c r="AN346" t="s">
        <v>1491</v>
      </c>
      <c r="AO346" t="s">
        <v>19</v>
      </c>
    </row>
    <row r="347" spans="1:41" x14ac:dyDescent="0.45">
      <c r="A347" t="s">
        <v>1265</v>
      </c>
      <c r="B347">
        <v>8</v>
      </c>
      <c r="C347" t="str">
        <f>HYPERLINK("http://www.ncbi.nlm.nih.gov/protein/XP_048084263.1","XP_048084263.1")</f>
        <v>XP_048084263.1</v>
      </c>
      <c r="D347">
        <v>70070</v>
      </c>
      <c r="E347" t="str">
        <f>HYPERLINK("http://www.ncbi.nlm.nih.gov/Taxonomy/Browser/wwwtax.cgi?mode=Info&amp;id=278164&amp;lvl=3&amp;lin=f&amp;keep=1&amp;srchmode=1&amp;unlock","278164")</f>
        <v>278164</v>
      </c>
      <c r="F347" t="s">
        <v>17</v>
      </c>
      <c r="G347" t="str">
        <f>HYPERLINK("http://www.ncbi.nlm.nih.gov/Taxonomy/Browser/wwwtax.cgi?mode=Info&amp;id=278164&amp;lvl=3&amp;lin=f&amp;keep=1&amp;srchmode=1&amp;unlock","Alosa alosa")</f>
        <v>Alosa alosa</v>
      </c>
      <c r="H347" t="s">
        <v>201</v>
      </c>
      <c r="I347" t="str">
        <f>HYPERLINK("http://www.ncbi.nlm.nih.gov/protein/XP_048084263.1","ryanodine receptor 3-like isoform X7")</f>
        <v>ryanodine receptor 3-like isoform X7</v>
      </c>
      <c r="J347" t="s">
        <v>1496</v>
      </c>
      <c r="K347" t="s">
        <v>19</v>
      </c>
      <c r="L347">
        <v>4450</v>
      </c>
      <c r="M347" t="s">
        <v>19</v>
      </c>
      <c r="N347" t="s">
        <v>19</v>
      </c>
      <c r="O347">
        <v>4453</v>
      </c>
      <c r="P347" t="s">
        <v>1486</v>
      </c>
      <c r="Q347" t="s">
        <v>19</v>
      </c>
      <c r="R347">
        <v>4454</v>
      </c>
      <c r="S347" t="s">
        <v>1487</v>
      </c>
      <c r="T347" t="s">
        <v>19</v>
      </c>
      <c r="U347">
        <v>4457</v>
      </c>
      <c r="V347" t="s">
        <v>1488</v>
      </c>
      <c r="W347" t="s">
        <v>19</v>
      </c>
      <c r="X347">
        <v>4525</v>
      </c>
      <c r="Y347" t="s">
        <v>1493</v>
      </c>
      <c r="Z347" t="s">
        <v>19</v>
      </c>
      <c r="AA347">
        <v>4658</v>
      </c>
      <c r="AB347" t="s">
        <v>19</v>
      </c>
      <c r="AC347" t="s">
        <v>19</v>
      </c>
      <c r="AD347">
        <v>4659</v>
      </c>
      <c r="AE347" t="s">
        <v>1488</v>
      </c>
      <c r="AF347" t="s">
        <v>19</v>
      </c>
      <c r="AG347">
        <v>4662</v>
      </c>
      <c r="AH347" t="s">
        <v>19</v>
      </c>
      <c r="AI347" t="s">
        <v>19</v>
      </c>
      <c r="AJ347">
        <v>4682</v>
      </c>
      <c r="AK347" t="s">
        <v>1490</v>
      </c>
      <c r="AL347" t="s">
        <v>19</v>
      </c>
      <c r="AM347">
        <v>4686</v>
      </c>
      <c r="AN347" t="s">
        <v>1491</v>
      </c>
      <c r="AO347" t="s">
        <v>19</v>
      </c>
    </row>
    <row r="348" spans="1:41" x14ac:dyDescent="0.45">
      <c r="A348" t="s">
        <v>1265</v>
      </c>
      <c r="B348">
        <v>8</v>
      </c>
      <c r="C348" t="str">
        <f>HYPERLINK("http://www.ncbi.nlm.nih.gov/protein/XP_038585371.1","XP_038585371.1")</f>
        <v>XP_038585371.1</v>
      </c>
      <c r="D348">
        <v>48388</v>
      </c>
      <c r="E348" t="str">
        <f>HYPERLINK("http://www.ncbi.nlm.nih.gov/Taxonomy/Browser/wwwtax.cgi?mode=Info&amp;id=27706&amp;lvl=3&amp;lin=f&amp;keep=1&amp;srchmode=1&amp;unlock","27706")</f>
        <v>27706</v>
      </c>
      <c r="F348" t="s">
        <v>17</v>
      </c>
      <c r="G348" t="str">
        <f>HYPERLINK("http://www.ncbi.nlm.nih.gov/Taxonomy/Browser/wwwtax.cgi?mode=Info&amp;id=27706&amp;lvl=3&amp;lin=f&amp;keep=1&amp;srchmode=1&amp;unlock","Micropterus salmoides")</f>
        <v>Micropterus salmoides</v>
      </c>
      <c r="H348" t="s">
        <v>71</v>
      </c>
      <c r="I348" t="str">
        <f>HYPERLINK("http://www.ncbi.nlm.nih.gov/protein/XP_038585371.1","LOW QUALITY PROTEIN: ryanodine receptor 3-like")</f>
        <v>LOW QUALITY PROTEIN: ryanodine receptor 3-like</v>
      </c>
      <c r="J348" t="s">
        <v>1496</v>
      </c>
      <c r="K348" t="s">
        <v>19</v>
      </c>
      <c r="L348">
        <v>4430</v>
      </c>
      <c r="M348" t="s">
        <v>19</v>
      </c>
      <c r="N348" t="s">
        <v>19</v>
      </c>
      <c r="O348">
        <v>4433</v>
      </c>
      <c r="P348" t="s">
        <v>1486</v>
      </c>
      <c r="Q348" t="s">
        <v>19</v>
      </c>
      <c r="R348">
        <v>4434</v>
      </c>
      <c r="S348" t="s">
        <v>1487</v>
      </c>
      <c r="T348" t="s">
        <v>19</v>
      </c>
      <c r="U348">
        <v>4437</v>
      </c>
      <c r="V348" t="s">
        <v>1488</v>
      </c>
      <c r="W348" t="s">
        <v>19</v>
      </c>
      <c r="X348">
        <v>4508</v>
      </c>
      <c r="Y348" t="s">
        <v>1493</v>
      </c>
      <c r="Z348" t="s">
        <v>19</v>
      </c>
      <c r="AA348">
        <v>4641</v>
      </c>
      <c r="AB348" t="s">
        <v>19</v>
      </c>
      <c r="AC348" t="s">
        <v>19</v>
      </c>
      <c r="AD348">
        <v>4642</v>
      </c>
      <c r="AE348" t="s">
        <v>1488</v>
      </c>
      <c r="AF348" t="s">
        <v>19</v>
      </c>
      <c r="AG348">
        <v>4645</v>
      </c>
      <c r="AH348" t="s">
        <v>19</v>
      </c>
      <c r="AI348" t="s">
        <v>19</v>
      </c>
      <c r="AJ348">
        <v>4665</v>
      </c>
      <c r="AK348" t="s">
        <v>1490</v>
      </c>
      <c r="AL348" t="s">
        <v>19</v>
      </c>
      <c r="AM348">
        <v>4669</v>
      </c>
      <c r="AN348" t="s">
        <v>1491</v>
      </c>
      <c r="AO348" t="s">
        <v>19</v>
      </c>
    </row>
    <row r="349" spans="1:41" x14ac:dyDescent="0.45">
      <c r="A349" t="s">
        <v>1265</v>
      </c>
      <c r="B349">
        <v>8</v>
      </c>
      <c r="C349" t="str">
        <f>HYPERLINK("http://www.ncbi.nlm.nih.gov/protein/XP_050933914.1","XP_050933914.1")</f>
        <v>XP_050933914.1</v>
      </c>
      <c r="D349">
        <v>45877</v>
      </c>
      <c r="E349" t="str">
        <f>HYPERLINK("http://www.ncbi.nlm.nih.gov/Taxonomy/Browser/wwwtax.cgi?mode=Info&amp;id=8187&amp;lvl=3&amp;lin=f&amp;keep=1&amp;srchmode=1&amp;unlock","8187")</f>
        <v>8187</v>
      </c>
      <c r="F349" t="s">
        <v>17</v>
      </c>
      <c r="G349" t="str">
        <f>HYPERLINK("http://www.ncbi.nlm.nih.gov/Taxonomy/Browser/wwwtax.cgi?mode=Info&amp;id=8187&amp;lvl=3&amp;lin=f&amp;keep=1&amp;srchmode=1&amp;unlock","Lates calcarifer")</f>
        <v>Lates calcarifer</v>
      </c>
      <c r="H349" t="s">
        <v>388</v>
      </c>
      <c r="I349" t="str">
        <f>HYPERLINK("http://www.ncbi.nlm.nih.gov/protein/XP_050933914.1","ryanodine receptor 3 isoform X2")</f>
        <v>ryanodine receptor 3 isoform X2</v>
      </c>
      <c r="J349" t="s">
        <v>1496</v>
      </c>
      <c r="K349" t="s">
        <v>19</v>
      </c>
      <c r="L349">
        <v>4424</v>
      </c>
      <c r="M349" t="s">
        <v>19</v>
      </c>
      <c r="N349" t="s">
        <v>19</v>
      </c>
      <c r="O349">
        <v>4427</v>
      </c>
      <c r="P349" t="s">
        <v>1486</v>
      </c>
      <c r="Q349" t="s">
        <v>19</v>
      </c>
      <c r="R349">
        <v>4428</v>
      </c>
      <c r="S349" t="s">
        <v>1487</v>
      </c>
      <c r="T349" t="s">
        <v>19</v>
      </c>
      <c r="U349">
        <v>4431</v>
      </c>
      <c r="V349" t="s">
        <v>1488</v>
      </c>
      <c r="W349" t="s">
        <v>19</v>
      </c>
      <c r="X349">
        <v>4502</v>
      </c>
      <c r="Y349" t="s">
        <v>1493</v>
      </c>
      <c r="Z349" t="s">
        <v>19</v>
      </c>
      <c r="AA349">
        <v>4635</v>
      </c>
      <c r="AB349" t="s">
        <v>19</v>
      </c>
      <c r="AC349" t="s">
        <v>19</v>
      </c>
      <c r="AD349">
        <v>4636</v>
      </c>
      <c r="AE349" t="s">
        <v>1488</v>
      </c>
      <c r="AF349" t="s">
        <v>19</v>
      </c>
      <c r="AG349">
        <v>4639</v>
      </c>
      <c r="AH349" t="s">
        <v>19</v>
      </c>
      <c r="AI349" t="s">
        <v>19</v>
      </c>
      <c r="AJ349">
        <v>4659</v>
      </c>
      <c r="AK349" t="s">
        <v>1490</v>
      </c>
      <c r="AL349" t="s">
        <v>19</v>
      </c>
      <c r="AM349">
        <v>4663</v>
      </c>
      <c r="AN349" t="s">
        <v>1491</v>
      </c>
      <c r="AO349" t="s">
        <v>19</v>
      </c>
    </row>
    <row r="350" spans="1:41" x14ac:dyDescent="0.45">
      <c r="A350" t="s">
        <v>1265</v>
      </c>
      <c r="B350">
        <v>8</v>
      </c>
      <c r="C350" t="str">
        <f>HYPERLINK("http://www.ncbi.nlm.nih.gov/protein/XP_049451408.1","XP_049451408.1")</f>
        <v>XP_049451408.1</v>
      </c>
      <c r="D350">
        <v>45353</v>
      </c>
      <c r="E350" t="str">
        <f>HYPERLINK("http://www.ncbi.nlm.nih.gov/Taxonomy/Browser/wwwtax.cgi?mode=Info&amp;id=293821&amp;lvl=3&amp;lin=f&amp;keep=1&amp;srchmode=1&amp;unlock","293821")</f>
        <v>293821</v>
      </c>
      <c r="F350" t="s">
        <v>17</v>
      </c>
      <c r="G350" t="str">
        <f>HYPERLINK("http://www.ncbi.nlm.nih.gov/Taxonomy/Browser/wwwtax.cgi?mode=Info&amp;id=293821&amp;lvl=3&amp;lin=f&amp;keep=1&amp;srchmode=1&amp;unlock","Epinephelus fuscoguttatus")</f>
        <v>Epinephelus fuscoguttatus</v>
      </c>
      <c r="H350" t="s">
        <v>366</v>
      </c>
      <c r="I350" t="str">
        <f>HYPERLINK("http://www.ncbi.nlm.nih.gov/protein/XP_049451408.1","ryanodine receptor 3-like isoform X7")</f>
        <v>ryanodine receptor 3-like isoform X7</v>
      </c>
      <c r="J350" t="s">
        <v>1496</v>
      </c>
      <c r="K350" t="s">
        <v>19</v>
      </c>
      <c r="L350">
        <v>4427</v>
      </c>
      <c r="M350" t="s">
        <v>19</v>
      </c>
      <c r="N350" t="s">
        <v>19</v>
      </c>
      <c r="O350">
        <v>4430</v>
      </c>
      <c r="P350" t="s">
        <v>1486</v>
      </c>
      <c r="Q350" t="s">
        <v>19</v>
      </c>
      <c r="R350">
        <v>4431</v>
      </c>
      <c r="S350" t="s">
        <v>1487</v>
      </c>
      <c r="T350" t="s">
        <v>19</v>
      </c>
      <c r="U350">
        <v>4434</v>
      </c>
      <c r="V350" t="s">
        <v>1488</v>
      </c>
      <c r="W350" t="s">
        <v>19</v>
      </c>
      <c r="X350">
        <v>4506</v>
      </c>
      <c r="Y350" t="s">
        <v>1493</v>
      </c>
      <c r="Z350" t="s">
        <v>19</v>
      </c>
      <c r="AA350">
        <v>4639</v>
      </c>
      <c r="AB350" t="s">
        <v>19</v>
      </c>
      <c r="AC350" t="s">
        <v>19</v>
      </c>
      <c r="AD350">
        <v>4640</v>
      </c>
      <c r="AE350" t="s">
        <v>1488</v>
      </c>
      <c r="AF350" t="s">
        <v>19</v>
      </c>
      <c r="AG350">
        <v>4643</v>
      </c>
      <c r="AH350" t="s">
        <v>19</v>
      </c>
      <c r="AI350" t="s">
        <v>19</v>
      </c>
      <c r="AJ350">
        <v>4663</v>
      </c>
      <c r="AK350" t="s">
        <v>1490</v>
      </c>
      <c r="AL350" t="s">
        <v>19</v>
      </c>
      <c r="AM350">
        <v>4667</v>
      </c>
      <c r="AN350" t="s">
        <v>1491</v>
      </c>
      <c r="AO350" t="s">
        <v>19</v>
      </c>
    </row>
    <row r="351" spans="1:41" x14ac:dyDescent="0.45">
      <c r="A351" t="s">
        <v>1265</v>
      </c>
      <c r="B351">
        <v>8</v>
      </c>
      <c r="C351" t="str">
        <f>HYPERLINK("http://www.ncbi.nlm.nih.gov/protein/XP_041929228.1","XP_041929228.1")</f>
        <v>XP_041929228.1</v>
      </c>
      <c r="D351">
        <v>56130</v>
      </c>
      <c r="E351" t="str">
        <f>HYPERLINK("http://www.ncbi.nlm.nih.gov/Taxonomy/Browser/wwwtax.cgi?mode=Info&amp;id=34773&amp;lvl=3&amp;lin=f&amp;keep=1&amp;srchmode=1&amp;unlock","34773")</f>
        <v>34773</v>
      </c>
      <c r="F351" t="s">
        <v>17</v>
      </c>
      <c r="G351" t="str">
        <f>HYPERLINK("http://www.ncbi.nlm.nih.gov/Taxonomy/Browser/wwwtax.cgi?mode=Info&amp;id=34773&amp;lvl=3&amp;lin=f&amp;keep=1&amp;srchmode=1&amp;unlock","Alosa sapidissima")</f>
        <v>Alosa sapidissima</v>
      </c>
      <c r="H351" t="s">
        <v>46</v>
      </c>
      <c r="I351" t="str">
        <f>HYPERLINK("http://www.ncbi.nlm.nih.gov/protein/XP_041929228.1","ryanodine receptor 3-like isoform X7")</f>
        <v>ryanodine receptor 3-like isoform X7</v>
      </c>
      <c r="J351" t="s">
        <v>1496</v>
      </c>
      <c r="K351" t="s">
        <v>19</v>
      </c>
      <c r="L351">
        <v>4450</v>
      </c>
      <c r="M351" t="s">
        <v>19</v>
      </c>
      <c r="N351" t="s">
        <v>19</v>
      </c>
      <c r="O351">
        <v>4453</v>
      </c>
      <c r="P351" t="s">
        <v>1486</v>
      </c>
      <c r="Q351" t="s">
        <v>19</v>
      </c>
      <c r="R351">
        <v>4454</v>
      </c>
      <c r="S351" t="s">
        <v>1487</v>
      </c>
      <c r="T351" t="s">
        <v>19</v>
      </c>
      <c r="U351">
        <v>4457</v>
      </c>
      <c r="V351" t="s">
        <v>1488</v>
      </c>
      <c r="W351" t="s">
        <v>19</v>
      </c>
      <c r="X351">
        <v>4525</v>
      </c>
      <c r="Y351" t="s">
        <v>1493</v>
      </c>
      <c r="Z351" t="s">
        <v>19</v>
      </c>
      <c r="AA351">
        <v>4658</v>
      </c>
      <c r="AB351" t="s">
        <v>19</v>
      </c>
      <c r="AC351" t="s">
        <v>19</v>
      </c>
      <c r="AD351">
        <v>4659</v>
      </c>
      <c r="AE351" t="s">
        <v>1488</v>
      </c>
      <c r="AF351" t="s">
        <v>19</v>
      </c>
      <c r="AG351">
        <v>4662</v>
      </c>
      <c r="AH351" t="s">
        <v>19</v>
      </c>
      <c r="AI351" t="s">
        <v>19</v>
      </c>
      <c r="AJ351">
        <v>4682</v>
      </c>
      <c r="AK351" t="s">
        <v>1490</v>
      </c>
      <c r="AL351" t="s">
        <v>19</v>
      </c>
      <c r="AM351">
        <v>4686</v>
      </c>
      <c r="AN351" t="s">
        <v>1491</v>
      </c>
      <c r="AO351" t="s">
        <v>19</v>
      </c>
    </row>
    <row r="352" spans="1:41" x14ac:dyDescent="0.45">
      <c r="A352" t="s">
        <v>1265</v>
      </c>
      <c r="B352">
        <v>8</v>
      </c>
      <c r="C352" t="str">
        <f>HYPERLINK("http://www.ncbi.nlm.nih.gov/protein/XP_023273014.1","XP_023273014.1")</f>
        <v>XP_023273014.1</v>
      </c>
      <c r="D352">
        <v>38591</v>
      </c>
      <c r="E352" t="str">
        <f>HYPERLINK("http://www.ncbi.nlm.nih.gov/Taxonomy/Browser/wwwtax.cgi?mode=Info&amp;id=1841481&amp;lvl=3&amp;lin=f&amp;keep=1&amp;srchmode=1&amp;unlock","1841481")</f>
        <v>1841481</v>
      </c>
      <c r="F352" t="s">
        <v>17</v>
      </c>
      <c r="G352" t="str">
        <f>HYPERLINK("http://www.ncbi.nlm.nih.gov/Taxonomy/Browser/wwwtax.cgi?mode=Info&amp;id=1841481&amp;lvl=3&amp;lin=f&amp;keep=1&amp;srchmode=1&amp;unlock","Seriola lalandi dorsalis")</f>
        <v>Seriola lalandi dorsalis</v>
      </c>
      <c r="H352" t="s">
        <v>61</v>
      </c>
      <c r="I352" t="str">
        <f>HYPERLINK("http://www.ncbi.nlm.nih.gov/protein/XP_023273014.1","ryanodine receptor 3-like")</f>
        <v>ryanodine receptor 3-like</v>
      </c>
      <c r="J352" t="s">
        <v>1496</v>
      </c>
      <c r="K352" t="s">
        <v>19</v>
      </c>
      <c r="L352">
        <v>4429</v>
      </c>
      <c r="M352" t="s">
        <v>19</v>
      </c>
      <c r="N352" t="s">
        <v>19</v>
      </c>
      <c r="O352">
        <v>4432</v>
      </c>
      <c r="P352" t="s">
        <v>1486</v>
      </c>
      <c r="Q352" t="s">
        <v>19</v>
      </c>
      <c r="R352">
        <v>4433</v>
      </c>
      <c r="S352" t="s">
        <v>1487</v>
      </c>
      <c r="T352" t="s">
        <v>19</v>
      </c>
      <c r="U352">
        <v>4436</v>
      </c>
      <c r="V352" t="s">
        <v>1488</v>
      </c>
      <c r="W352" t="s">
        <v>19</v>
      </c>
      <c r="X352">
        <v>4507</v>
      </c>
      <c r="Y352" t="s">
        <v>1493</v>
      </c>
      <c r="Z352" t="s">
        <v>19</v>
      </c>
      <c r="AA352">
        <v>4640</v>
      </c>
      <c r="AB352" t="s">
        <v>19</v>
      </c>
      <c r="AC352" t="s">
        <v>19</v>
      </c>
      <c r="AD352">
        <v>4641</v>
      </c>
      <c r="AE352" t="s">
        <v>1488</v>
      </c>
      <c r="AF352" t="s">
        <v>19</v>
      </c>
      <c r="AG352">
        <v>4644</v>
      </c>
      <c r="AH352" t="s">
        <v>19</v>
      </c>
      <c r="AI352" t="s">
        <v>19</v>
      </c>
      <c r="AJ352">
        <v>4664</v>
      </c>
      <c r="AK352" t="s">
        <v>1490</v>
      </c>
      <c r="AL352" t="s">
        <v>19</v>
      </c>
      <c r="AM352">
        <v>4668</v>
      </c>
      <c r="AN352" t="s">
        <v>1491</v>
      </c>
      <c r="AO352" t="s">
        <v>19</v>
      </c>
    </row>
    <row r="353" spans="1:41" x14ac:dyDescent="0.45">
      <c r="A353" t="s">
        <v>1265</v>
      </c>
      <c r="B353">
        <v>8</v>
      </c>
      <c r="C353" t="str">
        <f>HYPERLINK("http://www.ncbi.nlm.nih.gov/protein/XP_035388370.1","XP_035388370.1")</f>
        <v>XP_035388370.1</v>
      </c>
      <c r="D353">
        <v>45401</v>
      </c>
      <c r="E353" t="str">
        <f>HYPERLINK("http://www.ncbi.nlm.nih.gov/Taxonomy/Browser/wwwtax.cgi?mode=Info&amp;id=8005&amp;lvl=3&amp;lin=f&amp;keep=1&amp;srchmode=1&amp;unlock","8005")</f>
        <v>8005</v>
      </c>
      <c r="F353" t="s">
        <v>17</v>
      </c>
      <c r="G353" t="str">
        <f>HYPERLINK("http://www.ncbi.nlm.nih.gov/Taxonomy/Browser/wwwtax.cgi?mode=Info&amp;id=8005&amp;lvl=3&amp;lin=f&amp;keep=1&amp;srchmode=1&amp;unlock","Electrophorus electricus")</f>
        <v>Electrophorus electricus</v>
      </c>
      <c r="H353" t="s">
        <v>51</v>
      </c>
      <c r="I353" t="str">
        <f>HYPERLINK("http://www.ncbi.nlm.nih.gov/protein/XP_035388370.1","LOW QUALITY PROTEIN: ryanodine receptor 3")</f>
        <v>LOW QUALITY PROTEIN: ryanodine receptor 3</v>
      </c>
      <c r="J353" t="s">
        <v>1496</v>
      </c>
      <c r="K353" t="s">
        <v>19</v>
      </c>
      <c r="L353">
        <v>4432</v>
      </c>
      <c r="M353" t="s">
        <v>19</v>
      </c>
      <c r="N353" t="s">
        <v>19</v>
      </c>
      <c r="O353">
        <v>4435</v>
      </c>
      <c r="P353" t="s">
        <v>1486</v>
      </c>
      <c r="Q353" t="s">
        <v>19</v>
      </c>
      <c r="R353">
        <v>4436</v>
      </c>
      <c r="S353" t="s">
        <v>1487</v>
      </c>
      <c r="T353" t="s">
        <v>19</v>
      </c>
      <c r="U353">
        <v>4439</v>
      </c>
      <c r="V353" t="s">
        <v>1488</v>
      </c>
      <c r="W353" t="s">
        <v>19</v>
      </c>
      <c r="X353">
        <v>4507</v>
      </c>
      <c r="Y353" t="s">
        <v>1493</v>
      </c>
      <c r="Z353" t="s">
        <v>19</v>
      </c>
      <c r="AA353">
        <v>4640</v>
      </c>
      <c r="AB353" t="s">
        <v>19</v>
      </c>
      <c r="AC353" t="s">
        <v>19</v>
      </c>
      <c r="AD353">
        <v>4641</v>
      </c>
      <c r="AE353" t="s">
        <v>1488</v>
      </c>
      <c r="AF353" t="s">
        <v>19</v>
      </c>
      <c r="AG353">
        <v>4644</v>
      </c>
      <c r="AH353" t="s">
        <v>19</v>
      </c>
      <c r="AI353" t="s">
        <v>19</v>
      </c>
      <c r="AJ353">
        <v>4664</v>
      </c>
      <c r="AK353" t="s">
        <v>1490</v>
      </c>
      <c r="AL353" t="s">
        <v>19</v>
      </c>
      <c r="AM353">
        <v>4668</v>
      </c>
      <c r="AN353" t="s">
        <v>1491</v>
      </c>
      <c r="AO353" t="s">
        <v>19</v>
      </c>
    </row>
    <row r="354" spans="1:41" x14ac:dyDescent="0.45">
      <c r="A354" t="s">
        <v>1265</v>
      </c>
      <c r="B354">
        <v>8</v>
      </c>
      <c r="C354" t="str">
        <f>HYPERLINK("http://www.ncbi.nlm.nih.gov/protein/XP_026008345.1","XP_026008345.1")</f>
        <v>XP_026008345.1</v>
      </c>
      <c r="D354">
        <v>52755</v>
      </c>
      <c r="E354" t="str">
        <f>HYPERLINK("http://www.ncbi.nlm.nih.gov/Taxonomy/Browser/wwwtax.cgi?mode=Info&amp;id=8154&amp;lvl=3&amp;lin=f&amp;keep=1&amp;srchmode=1&amp;unlock","8154")</f>
        <v>8154</v>
      </c>
      <c r="F354" t="s">
        <v>17</v>
      </c>
      <c r="G354" t="str">
        <f>HYPERLINK("http://www.ncbi.nlm.nih.gov/Taxonomy/Browser/wwwtax.cgi?mode=Info&amp;id=8154&amp;lvl=3&amp;lin=f&amp;keep=1&amp;srchmode=1&amp;unlock","Astatotilapia calliptera")</f>
        <v>Astatotilapia calliptera</v>
      </c>
      <c r="H354" t="s">
        <v>74</v>
      </c>
      <c r="I354" t="str">
        <f>HYPERLINK("http://www.ncbi.nlm.nih.gov/protein/XP_026008345.1","ryanodine receptor 3-like isoform X14")</f>
        <v>ryanodine receptor 3-like isoform X14</v>
      </c>
      <c r="J354" t="s">
        <v>1496</v>
      </c>
      <c r="K354" t="s">
        <v>19</v>
      </c>
      <c r="L354">
        <v>4424</v>
      </c>
      <c r="M354" t="s">
        <v>19</v>
      </c>
      <c r="N354" t="s">
        <v>19</v>
      </c>
      <c r="O354">
        <v>4427</v>
      </c>
      <c r="P354" t="s">
        <v>1486</v>
      </c>
      <c r="Q354" t="s">
        <v>19</v>
      </c>
      <c r="R354">
        <v>4428</v>
      </c>
      <c r="S354" t="s">
        <v>1487</v>
      </c>
      <c r="T354" t="s">
        <v>19</v>
      </c>
      <c r="U354">
        <v>4431</v>
      </c>
      <c r="V354" t="s">
        <v>1488</v>
      </c>
      <c r="W354" t="s">
        <v>19</v>
      </c>
      <c r="X354">
        <v>4502</v>
      </c>
      <c r="Y354" t="s">
        <v>1493</v>
      </c>
      <c r="Z354" t="s">
        <v>19</v>
      </c>
      <c r="AA354">
        <v>4635</v>
      </c>
      <c r="AB354" t="s">
        <v>19</v>
      </c>
      <c r="AC354" t="s">
        <v>19</v>
      </c>
      <c r="AD354">
        <v>4636</v>
      </c>
      <c r="AE354" t="s">
        <v>1488</v>
      </c>
      <c r="AF354" t="s">
        <v>19</v>
      </c>
      <c r="AG354">
        <v>4639</v>
      </c>
      <c r="AH354" t="s">
        <v>19</v>
      </c>
      <c r="AI354" t="s">
        <v>19</v>
      </c>
      <c r="AJ354">
        <v>4659</v>
      </c>
      <c r="AK354" t="s">
        <v>1490</v>
      </c>
      <c r="AL354" t="s">
        <v>19</v>
      </c>
      <c r="AM354">
        <v>4663</v>
      </c>
      <c r="AN354" t="s">
        <v>1491</v>
      </c>
      <c r="AO354" t="s">
        <v>19</v>
      </c>
    </row>
    <row r="355" spans="1:41" x14ac:dyDescent="0.45">
      <c r="A355" t="s">
        <v>1265</v>
      </c>
      <c r="B355">
        <v>8</v>
      </c>
      <c r="C355" t="str">
        <f>HYPERLINK("http://www.ncbi.nlm.nih.gov/protein/XP_054861876.1","XP_054861876.1")</f>
        <v>XP_054861876.1</v>
      </c>
      <c r="D355">
        <v>47453</v>
      </c>
      <c r="E355" t="str">
        <f>HYPERLINK("http://www.ncbi.nlm.nih.gov/Taxonomy/Browser/wwwtax.cgi?mode=Info&amp;id=80972&amp;lvl=3&amp;lin=f&amp;keep=1&amp;srchmode=1&amp;unlock","80972")</f>
        <v>80972</v>
      </c>
      <c r="F355" t="s">
        <v>17</v>
      </c>
      <c r="G355" t="str">
        <f>HYPERLINK("http://www.ncbi.nlm.nih.gov/Taxonomy/Browser/wwwtax.cgi?mode=Info&amp;id=80972&amp;lvl=3&amp;lin=f&amp;keep=1&amp;srchmode=1&amp;unlock","Amphiprion ocellaris")</f>
        <v>Amphiprion ocellaris</v>
      </c>
      <c r="H355" t="s">
        <v>56</v>
      </c>
      <c r="I355" t="str">
        <f>HYPERLINK("http://www.ncbi.nlm.nih.gov/protein/XP_054861876.1","ryanodine receptor 3-like isoform X5")</f>
        <v>ryanodine receptor 3-like isoform X5</v>
      </c>
      <c r="J355" t="s">
        <v>1496</v>
      </c>
      <c r="K355" t="s">
        <v>19</v>
      </c>
      <c r="L355">
        <v>4428</v>
      </c>
      <c r="M355" t="s">
        <v>19</v>
      </c>
      <c r="N355" t="s">
        <v>19</v>
      </c>
      <c r="O355">
        <v>4431</v>
      </c>
      <c r="P355" t="s">
        <v>1486</v>
      </c>
      <c r="Q355" t="s">
        <v>19</v>
      </c>
      <c r="R355">
        <v>4432</v>
      </c>
      <c r="S355" t="s">
        <v>1487</v>
      </c>
      <c r="T355" t="s">
        <v>19</v>
      </c>
      <c r="U355">
        <v>4435</v>
      </c>
      <c r="V355" t="s">
        <v>1488</v>
      </c>
      <c r="W355" t="s">
        <v>19</v>
      </c>
      <c r="X355">
        <v>4506</v>
      </c>
      <c r="Y355" t="s">
        <v>1493</v>
      </c>
      <c r="Z355" t="s">
        <v>19</v>
      </c>
      <c r="AA355">
        <v>4639</v>
      </c>
      <c r="AB355" t="s">
        <v>19</v>
      </c>
      <c r="AC355" t="s">
        <v>19</v>
      </c>
      <c r="AD355">
        <v>4640</v>
      </c>
      <c r="AE355" t="s">
        <v>1488</v>
      </c>
      <c r="AF355" t="s">
        <v>19</v>
      </c>
      <c r="AG355">
        <v>4643</v>
      </c>
      <c r="AH355" t="s">
        <v>19</v>
      </c>
      <c r="AI355" t="s">
        <v>19</v>
      </c>
      <c r="AJ355">
        <v>4663</v>
      </c>
      <c r="AK355" t="s">
        <v>1490</v>
      </c>
      <c r="AL355" t="s">
        <v>19</v>
      </c>
      <c r="AM355">
        <v>4667</v>
      </c>
      <c r="AN355" t="s">
        <v>1491</v>
      </c>
      <c r="AO355" t="s">
        <v>19</v>
      </c>
    </row>
    <row r="356" spans="1:41" x14ac:dyDescent="0.45">
      <c r="A356" t="s">
        <v>1265</v>
      </c>
      <c r="B356">
        <v>8</v>
      </c>
      <c r="C356" t="str">
        <f>HYPERLINK("http://www.ncbi.nlm.nih.gov/protein/XP_056249309.1","XP_056249309.1")</f>
        <v>XP_056249309.1</v>
      </c>
      <c r="D356">
        <v>42717</v>
      </c>
      <c r="E356" t="str">
        <f>HYPERLINK("http://www.ncbi.nlm.nih.gov/Taxonomy/Browser/wwwtax.cgi?mode=Info&amp;id=2871759&amp;lvl=3&amp;lin=f&amp;keep=1&amp;srchmode=1&amp;unlock","2871759")</f>
        <v>2871759</v>
      </c>
      <c r="F356" t="s">
        <v>17</v>
      </c>
      <c r="G356" t="str">
        <f>HYPERLINK("http://www.ncbi.nlm.nih.gov/Taxonomy/Browser/wwwtax.cgi?mode=Info&amp;id=2871759&amp;lvl=3&amp;lin=f&amp;keep=1&amp;srchmode=1&amp;unlock","Seriola aureovittata")</f>
        <v>Seriola aureovittata</v>
      </c>
      <c r="H356" t="s">
        <v>54</v>
      </c>
      <c r="I356" t="str">
        <f>HYPERLINK("http://www.ncbi.nlm.nih.gov/protein/XP_056249309.1","ryanodine receptor 3-like isoform X2")</f>
        <v>ryanodine receptor 3-like isoform X2</v>
      </c>
      <c r="J356" t="s">
        <v>1496</v>
      </c>
      <c r="K356" t="s">
        <v>19</v>
      </c>
      <c r="L356">
        <v>4429</v>
      </c>
      <c r="M356" t="s">
        <v>19</v>
      </c>
      <c r="N356" t="s">
        <v>19</v>
      </c>
      <c r="O356">
        <v>4432</v>
      </c>
      <c r="P356" t="s">
        <v>1486</v>
      </c>
      <c r="Q356" t="s">
        <v>19</v>
      </c>
      <c r="R356">
        <v>4433</v>
      </c>
      <c r="S356" t="s">
        <v>1487</v>
      </c>
      <c r="T356" t="s">
        <v>19</v>
      </c>
      <c r="U356">
        <v>4436</v>
      </c>
      <c r="V356" t="s">
        <v>1488</v>
      </c>
      <c r="W356" t="s">
        <v>19</v>
      </c>
      <c r="X356">
        <v>4507</v>
      </c>
      <c r="Y356" t="s">
        <v>1493</v>
      </c>
      <c r="Z356" t="s">
        <v>19</v>
      </c>
      <c r="AA356">
        <v>4640</v>
      </c>
      <c r="AB356" t="s">
        <v>19</v>
      </c>
      <c r="AC356" t="s">
        <v>19</v>
      </c>
      <c r="AD356">
        <v>4641</v>
      </c>
      <c r="AE356" t="s">
        <v>1488</v>
      </c>
      <c r="AF356" t="s">
        <v>19</v>
      </c>
      <c r="AG356">
        <v>4644</v>
      </c>
      <c r="AH356" t="s">
        <v>19</v>
      </c>
      <c r="AI356" t="s">
        <v>19</v>
      </c>
      <c r="AJ356">
        <v>4664</v>
      </c>
      <c r="AK356" t="s">
        <v>1490</v>
      </c>
      <c r="AL356" t="s">
        <v>19</v>
      </c>
      <c r="AM356">
        <v>4668</v>
      </c>
      <c r="AN356" t="s">
        <v>1491</v>
      </c>
      <c r="AO356" t="s">
        <v>19</v>
      </c>
    </row>
    <row r="357" spans="1:41" x14ac:dyDescent="0.45">
      <c r="A357" t="s">
        <v>1265</v>
      </c>
      <c r="B357">
        <v>8</v>
      </c>
      <c r="C357" t="str">
        <f>HYPERLINK("http://www.ncbi.nlm.nih.gov/protein/XP_051242155.1","XP_051242155.1")</f>
        <v>XP_051242155.1</v>
      </c>
      <c r="D357">
        <v>57329</v>
      </c>
      <c r="E357" t="str">
        <f>HYPERLINK("http://www.ncbi.nlm.nih.gov/Taxonomy/Browser/wwwtax.cgi?mode=Info&amp;id=13489&amp;lvl=3&amp;lin=f&amp;keep=1&amp;srchmode=1&amp;unlock","13489")</f>
        <v>13489</v>
      </c>
      <c r="F357" t="s">
        <v>17</v>
      </c>
      <c r="G357" t="str">
        <f>HYPERLINK("http://www.ncbi.nlm.nih.gov/Taxonomy/Browser/wwwtax.cgi?mode=Info&amp;id=13489&amp;lvl=3&amp;lin=f&amp;keep=1&amp;srchmode=1&amp;unlock","Dicentrarchus labrax")</f>
        <v>Dicentrarchus labrax</v>
      </c>
      <c r="H357" t="s">
        <v>77</v>
      </c>
      <c r="I357" t="str">
        <f>HYPERLINK("http://www.ncbi.nlm.nih.gov/protein/XP_051242155.1","ryanodine receptor 3-like isoform X10")</f>
        <v>ryanodine receptor 3-like isoform X10</v>
      </c>
      <c r="J357" t="s">
        <v>1496</v>
      </c>
      <c r="K357" t="s">
        <v>19</v>
      </c>
      <c r="L357">
        <v>4423</v>
      </c>
      <c r="M357" t="s">
        <v>19</v>
      </c>
      <c r="N357" t="s">
        <v>19</v>
      </c>
      <c r="O357">
        <v>4426</v>
      </c>
      <c r="P357" t="s">
        <v>1486</v>
      </c>
      <c r="Q357" t="s">
        <v>19</v>
      </c>
      <c r="R357">
        <v>4427</v>
      </c>
      <c r="S357" t="s">
        <v>1487</v>
      </c>
      <c r="T357" t="s">
        <v>19</v>
      </c>
      <c r="U357">
        <v>4430</v>
      </c>
      <c r="V357" t="s">
        <v>1488</v>
      </c>
      <c r="W357" t="s">
        <v>19</v>
      </c>
      <c r="X357">
        <v>4501</v>
      </c>
      <c r="Y357" t="s">
        <v>1493</v>
      </c>
      <c r="Z357" t="s">
        <v>19</v>
      </c>
      <c r="AA357">
        <v>4634</v>
      </c>
      <c r="AB357" t="s">
        <v>19</v>
      </c>
      <c r="AC357" t="s">
        <v>19</v>
      </c>
      <c r="AD357">
        <v>4635</v>
      </c>
      <c r="AE357" t="s">
        <v>1488</v>
      </c>
      <c r="AF357" t="s">
        <v>19</v>
      </c>
      <c r="AG357">
        <v>4638</v>
      </c>
      <c r="AH357" t="s">
        <v>19</v>
      </c>
      <c r="AI357" t="s">
        <v>19</v>
      </c>
      <c r="AJ357">
        <v>4658</v>
      </c>
      <c r="AK357" t="s">
        <v>1490</v>
      </c>
      <c r="AL357" t="s">
        <v>19</v>
      </c>
      <c r="AM357">
        <v>4662</v>
      </c>
      <c r="AN357" t="s">
        <v>1491</v>
      </c>
      <c r="AO357" t="s">
        <v>19</v>
      </c>
    </row>
    <row r="358" spans="1:41" x14ac:dyDescent="0.45">
      <c r="A358" t="s">
        <v>1265</v>
      </c>
      <c r="B358">
        <v>8</v>
      </c>
      <c r="C358" t="str">
        <f>HYPERLINK("http://www.ncbi.nlm.nih.gov/protein/XP_045917923.1","XP_045917923.1")</f>
        <v>XP_045917923.1</v>
      </c>
      <c r="D358">
        <v>48490</v>
      </c>
      <c r="E358" t="str">
        <f>HYPERLINK("http://www.ncbi.nlm.nih.gov/Taxonomy/Browser/wwwtax.cgi?mode=Info&amp;id=147949&amp;lvl=3&amp;lin=f&amp;keep=1&amp;srchmode=1&amp;unlock","147949")</f>
        <v>147949</v>
      </c>
      <c r="F358" t="s">
        <v>17</v>
      </c>
      <c r="G358" t="str">
        <f>HYPERLINK("http://www.ncbi.nlm.nih.gov/Taxonomy/Browser/wwwtax.cgi?mode=Info&amp;id=147949&amp;lvl=3&amp;lin=f&amp;keep=1&amp;srchmode=1&amp;unlock","Micropterus dolomieu")</f>
        <v>Micropterus dolomieu</v>
      </c>
      <c r="H358" t="s">
        <v>82</v>
      </c>
      <c r="I358" t="str">
        <f>HYPERLINK("http://www.ncbi.nlm.nih.gov/protein/XP_045917923.1","ryanodine receptor 3-like")</f>
        <v>ryanodine receptor 3-like</v>
      </c>
      <c r="J358" t="s">
        <v>1496</v>
      </c>
      <c r="K358" t="s">
        <v>19</v>
      </c>
      <c r="L358">
        <v>4431</v>
      </c>
      <c r="M358" t="s">
        <v>19</v>
      </c>
      <c r="N358" t="s">
        <v>19</v>
      </c>
      <c r="O358">
        <v>4434</v>
      </c>
      <c r="P358" t="s">
        <v>1486</v>
      </c>
      <c r="Q358" t="s">
        <v>19</v>
      </c>
      <c r="R358">
        <v>4435</v>
      </c>
      <c r="S358" t="s">
        <v>1487</v>
      </c>
      <c r="T358" t="s">
        <v>19</v>
      </c>
      <c r="U358">
        <v>4438</v>
      </c>
      <c r="V358" t="s">
        <v>1488</v>
      </c>
      <c r="W358" t="s">
        <v>19</v>
      </c>
      <c r="X358">
        <v>4509</v>
      </c>
      <c r="Y358" t="s">
        <v>1493</v>
      </c>
      <c r="Z358" t="s">
        <v>19</v>
      </c>
      <c r="AA358">
        <v>4642</v>
      </c>
      <c r="AB358" t="s">
        <v>19</v>
      </c>
      <c r="AC358" t="s">
        <v>19</v>
      </c>
      <c r="AD358">
        <v>4643</v>
      </c>
      <c r="AE358" t="s">
        <v>1488</v>
      </c>
      <c r="AF358" t="s">
        <v>19</v>
      </c>
      <c r="AG358">
        <v>4646</v>
      </c>
      <c r="AH358" t="s">
        <v>19</v>
      </c>
      <c r="AI358" t="s">
        <v>19</v>
      </c>
      <c r="AJ358">
        <v>4666</v>
      </c>
      <c r="AK358" t="s">
        <v>1490</v>
      </c>
      <c r="AL358" t="s">
        <v>19</v>
      </c>
      <c r="AM358">
        <v>4670</v>
      </c>
      <c r="AN358" t="s">
        <v>1491</v>
      </c>
      <c r="AO358" t="s">
        <v>19</v>
      </c>
    </row>
    <row r="359" spans="1:41" x14ac:dyDescent="0.45">
      <c r="A359" t="s">
        <v>1265</v>
      </c>
      <c r="B359">
        <v>8</v>
      </c>
      <c r="C359" t="str">
        <f>HYPERLINK("http://www.ncbi.nlm.nih.gov/protein/XP_029973170.1","XP_029973170.1")</f>
        <v>XP_029973170.1</v>
      </c>
      <c r="D359">
        <v>39290</v>
      </c>
      <c r="E359" t="str">
        <f>HYPERLINK("http://www.ncbi.nlm.nih.gov/Taxonomy/Browser/wwwtax.cgi?mode=Info&amp;id=181472&amp;lvl=3&amp;lin=f&amp;keep=1&amp;srchmode=1&amp;unlock","181472")</f>
        <v>181472</v>
      </c>
      <c r="F359" t="s">
        <v>17</v>
      </c>
      <c r="G359" t="str">
        <f>HYPERLINK("http://www.ncbi.nlm.nih.gov/Taxonomy/Browser/wwwtax.cgi?mode=Info&amp;id=181472&amp;lvl=3&amp;lin=f&amp;keep=1&amp;srchmode=1&amp;unlock","Salarias fasciatus")</f>
        <v>Salarias fasciatus</v>
      </c>
      <c r="H359" t="s">
        <v>531</v>
      </c>
      <c r="I359" t="str">
        <f>HYPERLINK("http://www.ncbi.nlm.nih.gov/protein/XP_029973170.1","ryanodine receptor 3-like")</f>
        <v>ryanodine receptor 3-like</v>
      </c>
      <c r="J359" t="s">
        <v>1496</v>
      </c>
      <c r="K359" t="s">
        <v>19</v>
      </c>
      <c r="L359">
        <v>4431</v>
      </c>
      <c r="M359" t="s">
        <v>19</v>
      </c>
      <c r="N359" t="s">
        <v>19</v>
      </c>
      <c r="O359">
        <v>4434</v>
      </c>
      <c r="P359" t="s">
        <v>1486</v>
      </c>
      <c r="Q359" t="s">
        <v>19</v>
      </c>
      <c r="R359">
        <v>4435</v>
      </c>
      <c r="S359" t="s">
        <v>1487</v>
      </c>
      <c r="T359" t="s">
        <v>19</v>
      </c>
      <c r="U359">
        <v>4438</v>
      </c>
      <c r="V359" t="s">
        <v>1488</v>
      </c>
      <c r="W359" t="s">
        <v>19</v>
      </c>
      <c r="X359">
        <v>4509</v>
      </c>
      <c r="Y359" t="s">
        <v>1493</v>
      </c>
      <c r="Z359" t="s">
        <v>19</v>
      </c>
      <c r="AA359">
        <v>4642</v>
      </c>
      <c r="AB359" t="s">
        <v>19</v>
      </c>
      <c r="AC359" t="s">
        <v>19</v>
      </c>
      <c r="AD359">
        <v>4643</v>
      </c>
      <c r="AE359" t="s">
        <v>1488</v>
      </c>
      <c r="AF359" t="s">
        <v>19</v>
      </c>
      <c r="AG359">
        <v>4646</v>
      </c>
      <c r="AH359" t="s">
        <v>19</v>
      </c>
      <c r="AI359" t="s">
        <v>19</v>
      </c>
      <c r="AJ359">
        <v>4666</v>
      </c>
      <c r="AK359" t="s">
        <v>1490</v>
      </c>
      <c r="AL359" t="s">
        <v>19</v>
      </c>
      <c r="AM359">
        <v>4670</v>
      </c>
      <c r="AN359" t="s">
        <v>1491</v>
      </c>
      <c r="AO359" t="s">
        <v>19</v>
      </c>
    </row>
    <row r="360" spans="1:41" x14ac:dyDescent="0.45">
      <c r="A360" t="s">
        <v>1265</v>
      </c>
      <c r="B360">
        <v>8</v>
      </c>
      <c r="C360" t="str">
        <f>HYPERLINK("http://www.ncbi.nlm.nih.gov/protein/XP_049917845.1","XP_049917845.1")</f>
        <v>XP_049917845.1</v>
      </c>
      <c r="D360">
        <v>42914</v>
      </c>
      <c r="E360" t="str">
        <f>HYPERLINK("http://www.ncbi.nlm.nih.gov/Taxonomy/Browser/wwwtax.cgi?mode=Info&amp;id=300413&amp;lvl=3&amp;lin=f&amp;keep=1&amp;srchmode=1&amp;unlock","300413")</f>
        <v>300413</v>
      </c>
      <c r="F360" t="s">
        <v>17</v>
      </c>
      <c r="G360" t="str">
        <f>HYPERLINK("http://www.ncbi.nlm.nih.gov/Taxonomy/Browser/wwwtax.cgi?mode=Info&amp;id=300413&amp;lvl=3&amp;lin=f&amp;keep=1&amp;srchmode=1&amp;unlock","Epinephelus moara")</f>
        <v>Epinephelus moara</v>
      </c>
      <c r="H360" t="s">
        <v>392</v>
      </c>
      <c r="I360" t="str">
        <f>HYPERLINK("http://www.ncbi.nlm.nih.gov/protein/XP_049917845.1","ryanodine receptor 3-like")</f>
        <v>ryanodine receptor 3-like</v>
      </c>
      <c r="J360" t="s">
        <v>1496</v>
      </c>
      <c r="K360" t="s">
        <v>19</v>
      </c>
      <c r="L360">
        <v>4440</v>
      </c>
      <c r="M360" t="s">
        <v>19</v>
      </c>
      <c r="N360" t="s">
        <v>19</v>
      </c>
      <c r="O360">
        <v>4443</v>
      </c>
      <c r="P360" t="s">
        <v>1486</v>
      </c>
      <c r="Q360" t="s">
        <v>19</v>
      </c>
      <c r="R360">
        <v>4444</v>
      </c>
      <c r="S360" t="s">
        <v>1487</v>
      </c>
      <c r="T360" t="s">
        <v>19</v>
      </c>
      <c r="U360">
        <v>4447</v>
      </c>
      <c r="V360" t="s">
        <v>1488</v>
      </c>
      <c r="W360" t="s">
        <v>19</v>
      </c>
      <c r="X360">
        <v>4519</v>
      </c>
      <c r="Y360" t="s">
        <v>1493</v>
      </c>
      <c r="Z360" t="s">
        <v>19</v>
      </c>
      <c r="AA360">
        <v>4652</v>
      </c>
      <c r="AB360" t="s">
        <v>19</v>
      </c>
      <c r="AC360" t="s">
        <v>19</v>
      </c>
      <c r="AD360">
        <v>4653</v>
      </c>
      <c r="AE360" t="s">
        <v>1488</v>
      </c>
      <c r="AF360" t="s">
        <v>19</v>
      </c>
      <c r="AG360">
        <v>4656</v>
      </c>
      <c r="AH360" t="s">
        <v>19</v>
      </c>
      <c r="AI360" t="s">
        <v>19</v>
      </c>
      <c r="AJ360">
        <v>4676</v>
      </c>
      <c r="AK360" t="s">
        <v>1490</v>
      </c>
      <c r="AL360" t="s">
        <v>19</v>
      </c>
      <c r="AM360">
        <v>4680</v>
      </c>
      <c r="AN360" t="s">
        <v>1491</v>
      </c>
      <c r="AO360" t="s">
        <v>19</v>
      </c>
    </row>
    <row r="361" spans="1:41" x14ac:dyDescent="0.45">
      <c r="A361" t="s">
        <v>1265</v>
      </c>
      <c r="B361">
        <v>8</v>
      </c>
      <c r="C361" t="str">
        <f>HYPERLINK("http://www.ncbi.nlm.nih.gov/protein/XP_039897729.1","XP_039897729.1")</f>
        <v>XP_039897729.1</v>
      </c>
      <c r="D361">
        <v>53697</v>
      </c>
      <c r="E361" t="str">
        <f>HYPERLINK("http://www.ncbi.nlm.nih.gov/Taxonomy/Browser/wwwtax.cgi?mode=Info&amp;id=43689&amp;lvl=3&amp;lin=f&amp;keep=1&amp;srchmode=1&amp;unlock","43689")</f>
        <v>43689</v>
      </c>
      <c r="F361" t="s">
        <v>17</v>
      </c>
      <c r="G361" t="str">
        <f>HYPERLINK("http://www.ncbi.nlm.nih.gov/Taxonomy/Browser/wwwtax.cgi?mode=Info&amp;id=43689&amp;lvl=3&amp;lin=f&amp;keep=1&amp;srchmode=1&amp;unlock","Simochromis diagramma")</f>
        <v>Simochromis diagramma</v>
      </c>
      <c r="H361" t="s">
        <v>73</v>
      </c>
      <c r="I361" t="str">
        <f>HYPERLINK("http://www.ncbi.nlm.nih.gov/protein/XP_039897729.1","ryanodine receptor 3-like isoform X7")</f>
        <v>ryanodine receptor 3-like isoform X7</v>
      </c>
      <c r="J361" t="s">
        <v>1496</v>
      </c>
      <c r="K361" t="s">
        <v>19</v>
      </c>
      <c r="L361">
        <v>4427</v>
      </c>
      <c r="M361" t="s">
        <v>19</v>
      </c>
      <c r="N361" t="s">
        <v>19</v>
      </c>
      <c r="O361">
        <v>4430</v>
      </c>
      <c r="P361" t="s">
        <v>1486</v>
      </c>
      <c r="Q361" t="s">
        <v>19</v>
      </c>
      <c r="R361">
        <v>4431</v>
      </c>
      <c r="S361" t="s">
        <v>1487</v>
      </c>
      <c r="T361" t="s">
        <v>19</v>
      </c>
      <c r="U361">
        <v>4434</v>
      </c>
      <c r="V361" t="s">
        <v>1488</v>
      </c>
      <c r="W361" t="s">
        <v>19</v>
      </c>
      <c r="X361">
        <v>4505</v>
      </c>
      <c r="Y361" t="s">
        <v>1493</v>
      </c>
      <c r="Z361" t="s">
        <v>19</v>
      </c>
      <c r="AA361">
        <v>4638</v>
      </c>
      <c r="AB361" t="s">
        <v>19</v>
      </c>
      <c r="AC361" t="s">
        <v>19</v>
      </c>
      <c r="AD361">
        <v>4639</v>
      </c>
      <c r="AE361" t="s">
        <v>1488</v>
      </c>
      <c r="AF361" t="s">
        <v>19</v>
      </c>
      <c r="AG361">
        <v>4642</v>
      </c>
      <c r="AH361" t="s">
        <v>19</v>
      </c>
      <c r="AI361" t="s">
        <v>19</v>
      </c>
      <c r="AJ361">
        <v>4662</v>
      </c>
      <c r="AK361" t="s">
        <v>1490</v>
      </c>
      <c r="AL361" t="s">
        <v>19</v>
      </c>
      <c r="AM361">
        <v>4666</v>
      </c>
      <c r="AN361" t="s">
        <v>1491</v>
      </c>
      <c r="AO361" t="s">
        <v>19</v>
      </c>
    </row>
    <row r="362" spans="1:41" x14ac:dyDescent="0.45">
      <c r="A362" t="s">
        <v>1265</v>
      </c>
      <c r="B362">
        <v>8</v>
      </c>
      <c r="C362" t="str">
        <f>HYPERLINK("http://www.ncbi.nlm.nih.gov/protein/XP_024662014.1","XP_024662014.1")</f>
        <v>XP_024662014.1</v>
      </c>
      <c r="D362">
        <v>46437</v>
      </c>
      <c r="E362" t="str">
        <f>HYPERLINK("http://www.ncbi.nlm.nih.gov/Taxonomy/Browser/wwwtax.cgi?mode=Info&amp;id=106582&amp;lvl=3&amp;lin=f&amp;keep=1&amp;srchmode=1&amp;unlock","106582")</f>
        <v>106582</v>
      </c>
      <c r="F362" t="s">
        <v>17</v>
      </c>
      <c r="G362" t="str">
        <f>HYPERLINK("http://www.ncbi.nlm.nih.gov/Taxonomy/Browser/wwwtax.cgi?mode=Info&amp;id=106582&amp;lvl=3&amp;lin=f&amp;keep=1&amp;srchmode=1&amp;unlock","Maylandia zebra")</f>
        <v>Maylandia zebra</v>
      </c>
      <c r="H362" t="s">
        <v>80</v>
      </c>
      <c r="I362" t="str">
        <f>HYPERLINK("http://www.ncbi.nlm.nih.gov/protein/XP_024662014.1","ryanodine receptor 3 isoform X2")</f>
        <v>ryanodine receptor 3 isoform X2</v>
      </c>
      <c r="J362" t="s">
        <v>1496</v>
      </c>
      <c r="K362" t="s">
        <v>19</v>
      </c>
      <c r="L362">
        <v>4430</v>
      </c>
      <c r="M362" t="s">
        <v>19</v>
      </c>
      <c r="N362" t="s">
        <v>19</v>
      </c>
      <c r="O362">
        <v>4433</v>
      </c>
      <c r="P362" t="s">
        <v>1486</v>
      </c>
      <c r="Q362" t="s">
        <v>19</v>
      </c>
      <c r="R362">
        <v>4434</v>
      </c>
      <c r="S362" t="s">
        <v>1487</v>
      </c>
      <c r="T362" t="s">
        <v>19</v>
      </c>
      <c r="U362">
        <v>4437</v>
      </c>
      <c r="V362" t="s">
        <v>1488</v>
      </c>
      <c r="W362" t="s">
        <v>19</v>
      </c>
      <c r="X362">
        <v>4508</v>
      </c>
      <c r="Y362" t="s">
        <v>1493</v>
      </c>
      <c r="Z362" t="s">
        <v>19</v>
      </c>
      <c r="AA362">
        <v>4641</v>
      </c>
      <c r="AB362" t="s">
        <v>19</v>
      </c>
      <c r="AC362" t="s">
        <v>19</v>
      </c>
      <c r="AD362">
        <v>4642</v>
      </c>
      <c r="AE362" t="s">
        <v>1488</v>
      </c>
      <c r="AF362" t="s">
        <v>19</v>
      </c>
      <c r="AG362">
        <v>4645</v>
      </c>
      <c r="AH362" t="s">
        <v>19</v>
      </c>
      <c r="AI362" t="s">
        <v>19</v>
      </c>
      <c r="AJ362">
        <v>4665</v>
      </c>
      <c r="AK362" t="s">
        <v>1490</v>
      </c>
      <c r="AL362" t="s">
        <v>19</v>
      </c>
      <c r="AM362">
        <v>4669</v>
      </c>
      <c r="AN362" t="s">
        <v>1491</v>
      </c>
      <c r="AO362" t="s">
        <v>19</v>
      </c>
    </row>
    <row r="363" spans="1:41" x14ac:dyDescent="0.45">
      <c r="A363" t="s">
        <v>1265</v>
      </c>
      <c r="B363">
        <v>8</v>
      </c>
      <c r="C363" t="str">
        <f>HYPERLINK("http://www.ncbi.nlm.nih.gov/protein/XP_044021705.1","XP_044021705.1")</f>
        <v>XP_044021705.1</v>
      </c>
      <c r="D363">
        <v>59434</v>
      </c>
      <c r="E363" t="str">
        <f>HYPERLINK("http://www.ncbi.nlm.nih.gov/Taxonomy/Browser/wwwtax.cgi?mode=Info&amp;id=119488&amp;lvl=3&amp;lin=f&amp;keep=1&amp;srchmode=1&amp;unlock","119488")</f>
        <v>119488</v>
      </c>
      <c r="F363" t="s">
        <v>17</v>
      </c>
      <c r="G363" t="str">
        <f>HYPERLINK("http://www.ncbi.nlm.nih.gov/Taxonomy/Browser/wwwtax.cgi?mode=Info&amp;id=119488&amp;lvl=3&amp;lin=f&amp;keep=1&amp;srchmode=1&amp;unlock","Siniperca chuatsi")</f>
        <v>Siniperca chuatsi</v>
      </c>
      <c r="H363" t="s">
        <v>62</v>
      </c>
      <c r="I363" t="str">
        <f>HYPERLINK("http://www.ncbi.nlm.nih.gov/protein/XP_044021705.1","ryanodine receptor 3-like isoform X12")</f>
        <v>ryanodine receptor 3-like isoform X12</v>
      </c>
      <c r="J363" t="s">
        <v>1496</v>
      </c>
      <c r="K363" t="s">
        <v>19</v>
      </c>
      <c r="L363">
        <v>4442</v>
      </c>
      <c r="M363" t="s">
        <v>19</v>
      </c>
      <c r="N363" t="s">
        <v>19</v>
      </c>
      <c r="O363">
        <v>4445</v>
      </c>
      <c r="P363" t="s">
        <v>1486</v>
      </c>
      <c r="Q363" t="s">
        <v>19</v>
      </c>
      <c r="R363">
        <v>4446</v>
      </c>
      <c r="S363" t="s">
        <v>1487</v>
      </c>
      <c r="T363" t="s">
        <v>19</v>
      </c>
      <c r="U363">
        <v>4449</v>
      </c>
      <c r="V363" t="s">
        <v>1488</v>
      </c>
      <c r="W363" t="s">
        <v>19</v>
      </c>
      <c r="X363">
        <v>4520</v>
      </c>
      <c r="Y363" t="s">
        <v>1493</v>
      </c>
      <c r="Z363" t="s">
        <v>19</v>
      </c>
      <c r="AA363">
        <v>4653</v>
      </c>
      <c r="AB363" t="s">
        <v>19</v>
      </c>
      <c r="AC363" t="s">
        <v>19</v>
      </c>
      <c r="AD363">
        <v>4654</v>
      </c>
      <c r="AE363" t="s">
        <v>1488</v>
      </c>
      <c r="AF363" t="s">
        <v>19</v>
      </c>
      <c r="AG363">
        <v>4657</v>
      </c>
      <c r="AH363" t="s">
        <v>19</v>
      </c>
      <c r="AI363" t="s">
        <v>19</v>
      </c>
      <c r="AJ363">
        <v>4677</v>
      </c>
      <c r="AK363" t="s">
        <v>1490</v>
      </c>
      <c r="AL363" t="s">
        <v>19</v>
      </c>
      <c r="AM363">
        <v>4681</v>
      </c>
      <c r="AN363" t="s">
        <v>1491</v>
      </c>
      <c r="AO363" t="s">
        <v>19</v>
      </c>
    </row>
    <row r="364" spans="1:41" x14ac:dyDescent="0.45">
      <c r="A364" t="s">
        <v>1265</v>
      </c>
      <c r="B364">
        <v>8</v>
      </c>
      <c r="C364" t="str">
        <f>HYPERLINK("http://www.ncbi.nlm.nih.gov/protein/XP_031436769.1","XP_031436769.1")</f>
        <v>XP_031436769.1</v>
      </c>
      <c r="D364">
        <v>47169</v>
      </c>
      <c r="E364" t="str">
        <f>HYPERLINK("http://www.ncbi.nlm.nih.gov/Taxonomy/Browser/wwwtax.cgi?mode=Info&amp;id=7950&amp;lvl=3&amp;lin=f&amp;keep=1&amp;srchmode=1&amp;unlock","7950")</f>
        <v>7950</v>
      </c>
      <c r="F364" t="s">
        <v>17</v>
      </c>
      <c r="G364" t="str">
        <f>HYPERLINK("http://www.ncbi.nlm.nih.gov/Taxonomy/Browser/wwwtax.cgi?mode=Info&amp;id=7950&amp;lvl=3&amp;lin=f&amp;keep=1&amp;srchmode=1&amp;unlock","Clupea harengus")</f>
        <v>Clupea harengus</v>
      </c>
      <c r="H364" t="s">
        <v>375</v>
      </c>
      <c r="I364" t="str">
        <f>HYPERLINK("http://www.ncbi.nlm.nih.gov/protein/XP_031436769.1","LOW QUALITY PROTEIN: ryanodine receptor 3-like")</f>
        <v>LOW QUALITY PROTEIN: ryanodine receptor 3-like</v>
      </c>
      <c r="J364" t="s">
        <v>1496</v>
      </c>
      <c r="K364" t="s">
        <v>19</v>
      </c>
      <c r="L364">
        <v>4461</v>
      </c>
      <c r="M364" t="s">
        <v>19</v>
      </c>
      <c r="N364" t="s">
        <v>19</v>
      </c>
      <c r="O364">
        <v>4464</v>
      </c>
      <c r="P364" t="s">
        <v>1486</v>
      </c>
      <c r="Q364" t="s">
        <v>19</v>
      </c>
      <c r="R364">
        <v>4465</v>
      </c>
      <c r="S364" t="s">
        <v>1487</v>
      </c>
      <c r="T364" t="s">
        <v>19</v>
      </c>
      <c r="U364">
        <v>4468</v>
      </c>
      <c r="V364" t="s">
        <v>1488</v>
      </c>
      <c r="W364" t="s">
        <v>19</v>
      </c>
      <c r="X364">
        <v>4535</v>
      </c>
      <c r="Y364" t="s">
        <v>1493</v>
      </c>
      <c r="Z364" t="s">
        <v>19</v>
      </c>
      <c r="AA364">
        <v>4674</v>
      </c>
      <c r="AB364" t="s">
        <v>19</v>
      </c>
      <c r="AC364" t="s">
        <v>19</v>
      </c>
      <c r="AD364">
        <v>4675</v>
      </c>
      <c r="AE364" t="s">
        <v>1488</v>
      </c>
      <c r="AF364" t="s">
        <v>19</v>
      </c>
      <c r="AG364">
        <v>4678</v>
      </c>
      <c r="AH364" t="s">
        <v>19</v>
      </c>
      <c r="AI364" t="s">
        <v>19</v>
      </c>
      <c r="AJ364">
        <v>4698</v>
      </c>
      <c r="AK364" t="s">
        <v>1490</v>
      </c>
      <c r="AL364" t="s">
        <v>19</v>
      </c>
      <c r="AM364">
        <v>4702</v>
      </c>
      <c r="AN364" t="s">
        <v>1491</v>
      </c>
      <c r="AO364" t="s">
        <v>19</v>
      </c>
    </row>
    <row r="365" spans="1:41" x14ac:dyDescent="0.45">
      <c r="A365" t="s">
        <v>1265</v>
      </c>
      <c r="B365">
        <v>8</v>
      </c>
      <c r="C365" t="str">
        <f>HYPERLINK("http://www.ncbi.nlm.nih.gov/protein/XP_006786089.1","XP_006786089.1")</f>
        <v>XP_006786089.1</v>
      </c>
      <c r="D365">
        <v>36437</v>
      </c>
      <c r="E365" t="str">
        <f>HYPERLINK("http://www.ncbi.nlm.nih.gov/Taxonomy/Browser/wwwtax.cgi?mode=Info&amp;id=32507&amp;lvl=3&amp;lin=f&amp;keep=1&amp;srchmode=1&amp;unlock","32507")</f>
        <v>32507</v>
      </c>
      <c r="F365" t="s">
        <v>17</v>
      </c>
      <c r="G365" t="str">
        <f>HYPERLINK("http://www.ncbi.nlm.nih.gov/Taxonomy/Browser/wwwtax.cgi?mode=Info&amp;id=32507&amp;lvl=3&amp;lin=f&amp;keep=1&amp;srchmode=1&amp;unlock","Neolamprologus brichardi")</f>
        <v>Neolamprologus brichardi</v>
      </c>
      <c r="H365" t="s">
        <v>72</v>
      </c>
      <c r="I365" t="str">
        <f>HYPERLINK("http://www.ncbi.nlm.nih.gov/protein/XP_006786089.1","ryanodine receptor 3-like isoform X3")</f>
        <v>ryanodine receptor 3-like isoform X3</v>
      </c>
      <c r="J365" t="s">
        <v>1496</v>
      </c>
      <c r="K365" t="s">
        <v>19</v>
      </c>
      <c r="L365">
        <v>4419</v>
      </c>
      <c r="M365" t="s">
        <v>19</v>
      </c>
      <c r="N365" t="s">
        <v>19</v>
      </c>
      <c r="O365">
        <v>4422</v>
      </c>
      <c r="P365" t="s">
        <v>1486</v>
      </c>
      <c r="Q365" t="s">
        <v>19</v>
      </c>
      <c r="R365">
        <v>4423</v>
      </c>
      <c r="S365" t="s">
        <v>1487</v>
      </c>
      <c r="T365" t="s">
        <v>19</v>
      </c>
      <c r="U365">
        <v>4426</v>
      </c>
      <c r="V365" t="s">
        <v>1488</v>
      </c>
      <c r="W365" t="s">
        <v>19</v>
      </c>
      <c r="X365">
        <v>4497</v>
      </c>
      <c r="Y365" t="s">
        <v>1493</v>
      </c>
      <c r="Z365" t="s">
        <v>19</v>
      </c>
      <c r="AA365">
        <v>4630</v>
      </c>
      <c r="AB365" t="s">
        <v>19</v>
      </c>
      <c r="AC365" t="s">
        <v>19</v>
      </c>
      <c r="AD365">
        <v>4631</v>
      </c>
      <c r="AE365" t="s">
        <v>1488</v>
      </c>
      <c r="AF365" t="s">
        <v>19</v>
      </c>
      <c r="AG365">
        <v>4634</v>
      </c>
      <c r="AH365" t="s">
        <v>19</v>
      </c>
      <c r="AI365" t="s">
        <v>19</v>
      </c>
      <c r="AJ365">
        <v>4654</v>
      </c>
      <c r="AK365" t="s">
        <v>1490</v>
      </c>
      <c r="AL365" t="s">
        <v>19</v>
      </c>
      <c r="AM365">
        <v>4658</v>
      </c>
      <c r="AN365" t="s">
        <v>1491</v>
      </c>
      <c r="AO365" t="s">
        <v>19</v>
      </c>
    </row>
    <row r="366" spans="1:41" x14ac:dyDescent="0.45">
      <c r="A366" t="s">
        <v>1265</v>
      </c>
      <c r="B366">
        <v>8</v>
      </c>
      <c r="C366" t="str">
        <f>HYPERLINK("http://www.ncbi.nlm.nih.gov/protein/XP_033498888.1","XP_033498888.1")</f>
        <v>XP_033498888.1</v>
      </c>
      <c r="D366">
        <v>43085</v>
      </c>
      <c r="E366" t="str">
        <f>HYPERLINK("http://www.ncbi.nlm.nih.gov/Taxonomy/Browser/wwwtax.cgi?mode=Info&amp;id=310571&amp;lvl=3&amp;lin=f&amp;keep=1&amp;srchmode=1&amp;unlock","310571")</f>
        <v>310571</v>
      </c>
      <c r="F366" t="s">
        <v>17</v>
      </c>
      <c r="G366" t="str">
        <f>HYPERLINK("http://www.ncbi.nlm.nih.gov/Taxonomy/Browser/wwwtax.cgi?mode=Info&amp;id=310571&amp;lvl=3&amp;lin=f&amp;keep=1&amp;srchmode=1&amp;unlock","Epinephelus lanceolatus")</f>
        <v>Epinephelus lanceolatus</v>
      </c>
      <c r="H366" t="s">
        <v>335</v>
      </c>
      <c r="I366" t="str">
        <f>HYPERLINK("http://www.ncbi.nlm.nih.gov/protein/XP_033498888.1","LOW QUALITY PROTEIN: ryanodine receptor 3-like")</f>
        <v>LOW QUALITY PROTEIN: ryanodine receptor 3-like</v>
      </c>
      <c r="J366" t="s">
        <v>1496</v>
      </c>
      <c r="K366" t="s">
        <v>19</v>
      </c>
      <c r="L366">
        <v>4440</v>
      </c>
      <c r="M366" t="s">
        <v>19</v>
      </c>
      <c r="N366" t="s">
        <v>19</v>
      </c>
      <c r="O366">
        <v>4443</v>
      </c>
      <c r="P366" t="s">
        <v>1486</v>
      </c>
      <c r="Q366" t="s">
        <v>19</v>
      </c>
      <c r="R366">
        <v>4444</v>
      </c>
      <c r="S366" t="s">
        <v>1487</v>
      </c>
      <c r="T366" t="s">
        <v>19</v>
      </c>
      <c r="U366">
        <v>4447</v>
      </c>
      <c r="V366" t="s">
        <v>1488</v>
      </c>
      <c r="W366" t="s">
        <v>19</v>
      </c>
      <c r="X366">
        <v>4519</v>
      </c>
      <c r="Y366" t="s">
        <v>1493</v>
      </c>
      <c r="Z366" t="s">
        <v>19</v>
      </c>
      <c r="AA366">
        <v>4652</v>
      </c>
      <c r="AB366" t="s">
        <v>19</v>
      </c>
      <c r="AC366" t="s">
        <v>19</v>
      </c>
      <c r="AD366">
        <v>4653</v>
      </c>
      <c r="AE366" t="s">
        <v>1488</v>
      </c>
      <c r="AF366" t="s">
        <v>19</v>
      </c>
      <c r="AG366">
        <v>4656</v>
      </c>
      <c r="AH366" t="s">
        <v>19</v>
      </c>
      <c r="AI366" t="s">
        <v>19</v>
      </c>
      <c r="AJ366">
        <v>4676</v>
      </c>
      <c r="AK366" t="s">
        <v>1490</v>
      </c>
      <c r="AL366" t="s">
        <v>19</v>
      </c>
      <c r="AM366">
        <v>4680</v>
      </c>
      <c r="AN366" t="s">
        <v>1491</v>
      </c>
      <c r="AO366" t="s">
        <v>19</v>
      </c>
    </row>
    <row r="367" spans="1:41" x14ac:dyDescent="0.45">
      <c r="A367" t="s">
        <v>1265</v>
      </c>
      <c r="B367">
        <v>8</v>
      </c>
      <c r="C367" t="str">
        <f>HYPERLINK("http://www.ncbi.nlm.nih.gov/protein/XP_019204642.1","XP_019204642.1")</f>
        <v>XP_019204642.1</v>
      </c>
      <c r="D367">
        <v>63723</v>
      </c>
      <c r="E367" t="str">
        <f>HYPERLINK("http://www.ncbi.nlm.nih.gov/Taxonomy/Browser/wwwtax.cgi?mode=Info&amp;id=8128&amp;lvl=3&amp;lin=f&amp;keep=1&amp;srchmode=1&amp;unlock","8128")</f>
        <v>8128</v>
      </c>
      <c r="F367" t="s">
        <v>17</v>
      </c>
      <c r="G367" t="str">
        <f>HYPERLINK("http://www.ncbi.nlm.nih.gov/Taxonomy/Browser/wwwtax.cgi?mode=Info&amp;id=8128&amp;lvl=3&amp;lin=f&amp;keep=1&amp;srchmode=1&amp;unlock","Oreochromis niloticus")</f>
        <v>Oreochromis niloticus</v>
      </c>
      <c r="H367" t="s">
        <v>86</v>
      </c>
      <c r="I367" t="str">
        <f>HYPERLINK("http://www.ncbi.nlm.nih.gov/protein/XP_019204642.1","ryanodine receptor 3 isoform X4")</f>
        <v>ryanodine receptor 3 isoform X4</v>
      </c>
      <c r="J367" t="s">
        <v>1496</v>
      </c>
      <c r="K367" t="s">
        <v>19</v>
      </c>
      <c r="L367">
        <v>4420</v>
      </c>
      <c r="M367" t="s">
        <v>19</v>
      </c>
      <c r="N367" t="s">
        <v>19</v>
      </c>
      <c r="O367">
        <v>4423</v>
      </c>
      <c r="P367" t="s">
        <v>1486</v>
      </c>
      <c r="Q367" t="s">
        <v>19</v>
      </c>
      <c r="R367">
        <v>4424</v>
      </c>
      <c r="S367" t="s">
        <v>1487</v>
      </c>
      <c r="T367" t="s">
        <v>19</v>
      </c>
      <c r="U367">
        <v>4427</v>
      </c>
      <c r="V367" t="s">
        <v>1488</v>
      </c>
      <c r="W367" t="s">
        <v>19</v>
      </c>
      <c r="X367">
        <v>4498</v>
      </c>
      <c r="Y367" t="s">
        <v>1493</v>
      </c>
      <c r="Z367" t="s">
        <v>19</v>
      </c>
      <c r="AA367">
        <v>4631</v>
      </c>
      <c r="AB367" t="s">
        <v>19</v>
      </c>
      <c r="AC367" t="s">
        <v>19</v>
      </c>
      <c r="AD367">
        <v>4632</v>
      </c>
      <c r="AE367" t="s">
        <v>1488</v>
      </c>
      <c r="AF367" t="s">
        <v>19</v>
      </c>
      <c r="AG367">
        <v>4635</v>
      </c>
      <c r="AH367" t="s">
        <v>19</v>
      </c>
      <c r="AI367" t="s">
        <v>19</v>
      </c>
      <c r="AJ367">
        <v>4655</v>
      </c>
      <c r="AK367" t="s">
        <v>1490</v>
      </c>
      <c r="AL367" t="s">
        <v>19</v>
      </c>
      <c r="AM367">
        <v>4659</v>
      </c>
      <c r="AN367" t="s">
        <v>1491</v>
      </c>
      <c r="AO367" t="s">
        <v>19</v>
      </c>
    </row>
    <row r="368" spans="1:41" x14ac:dyDescent="0.45">
      <c r="A368" t="s">
        <v>1265</v>
      </c>
      <c r="B368">
        <v>8</v>
      </c>
      <c r="C368" t="str">
        <f>HYPERLINK("http://www.ncbi.nlm.nih.gov/protein/XP_029982083.1","XP_029982083.1")</f>
        <v>XP_029982083.1</v>
      </c>
      <c r="D368">
        <v>42356</v>
      </c>
      <c r="E368" t="str">
        <f>HYPERLINK("http://www.ncbi.nlm.nih.gov/Taxonomy/Browser/wwwtax.cgi?mode=Info&amp;id=375764&amp;lvl=3&amp;lin=f&amp;keep=1&amp;srchmode=1&amp;unlock","375764")</f>
        <v>375764</v>
      </c>
      <c r="F368" t="s">
        <v>17</v>
      </c>
      <c r="G368" t="str">
        <f>HYPERLINK("http://www.ncbi.nlm.nih.gov/Taxonomy/Browser/wwwtax.cgi?mode=Info&amp;id=375764&amp;lvl=3&amp;lin=f&amp;keep=1&amp;srchmode=1&amp;unlock","Sphaeramia orbicularis")</f>
        <v>Sphaeramia orbicularis</v>
      </c>
      <c r="H368" t="s">
        <v>153</v>
      </c>
      <c r="I368" t="str">
        <f>HYPERLINK("http://www.ncbi.nlm.nih.gov/protein/XP_029982083.1","ryanodine receptor 3-like")</f>
        <v>ryanodine receptor 3-like</v>
      </c>
      <c r="J368" t="s">
        <v>1496</v>
      </c>
      <c r="K368" t="s">
        <v>19</v>
      </c>
      <c r="L368">
        <v>4443</v>
      </c>
      <c r="M368" t="s">
        <v>19</v>
      </c>
      <c r="N368" t="s">
        <v>19</v>
      </c>
      <c r="O368">
        <v>4446</v>
      </c>
      <c r="P368" t="s">
        <v>1486</v>
      </c>
      <c r="Q368" t="s">
        <v>19</v>
      </c>
      <c r="R368">
        <v>4447</v>
      </c>
      <c r="S368" t="s">
        <v>1487</v>
      </c>
      <c r="T368" t="s">
        <v>19</v>
      </c>
      <c r="U368">
        <v>4450</v>
      </c>
      <c r="V368" t="s">
        <v>1488</v>
      </c>
      <c r="W368" t="s">
        <v>19</v>
      </c>
      <c r="X368">
        <v>4521</v>
      </c>
      <c r="Y368" t="s">
        <v>1493</v>
      </c>
      <c r="Z368" t="s">
        <v>19</v>
      </c>
      <c r="AA368">
        <v>4654</v>
      </c>
      <c r="AB368" t="s">
        <v>19</v>
      </c>
      <c r="AC368" t="s">
        <v>19</v>
      </c>
      <c r="AD368">
        <v>4655</v>
      </c>
      <c r="AE368" t="s">
        <v>1488</v>
      </c>
      <c r="AF368" t="s">
        <v>19</v>
      </c>
      <c r="AG368">
        <v>4658</v>
      </c>
      <c r="AH368" t="s">
        <v>19</v>
      </c>
      <c r="AI368" t="s">
        <v>19</v>
      </c>
      <c r="AJ368">
        <v>4678</v>
      </c>
      <c r="AK368" t="s">
        <v>1490</v>
      </c>
      <c r="AL368" t="s">
        <v>19</v>
      </c>
      <c r="AM368">
        <v>4682</v>
      </c>
      <c r="AN368" t="s">
        <v>1491</v>
      </c>
      <c r="AO368" t="s">
        <v>19</v>
      </c>
    </row>
    <row r="369" spans="1:41" x14ac:dyDescent="0.45">
      <c r="A369" t="s">
        <v>1265</v>
      </c>
      <c r="B369">
        <v>8</v>
      </c>
      <c r="C369" t="str">
        <f>HYPERLINK("http://www.ncbi.nlm.nih.gov/protein/XP_036928489.1","XP_036928489.1")</f>
        <v>XP_036928489.1</v>
      </c>
      <c r="D369">
        <v>54713</v>
      </c>
      <c r="E369" t="str">
        <f>HYPERLINK("http://www.ncbi.nlm.nih.gov/Taxonomy/Browser/wwwtax.cgi?mode=Info&amp;id=8177&amp;lvl=3&amp;lin=f&amp;keep=1&amp;srchmode=1&amp;unlock","8177")</f>
        <v>8177</v>
      </c>
      <c r="F369" t="s">
        <v>17</v>
      </c>
      <c r="G369" t="str">
        <f>HYPERLINK("http://www.ncbi.nlm.nih.gov/Taxonomy/Browser/wwwtax.cgi?mode=Info&amp;id=8177&amp;lvl=3&amp;lin=f&amp;keep=1&amp;srchmode=1&amp;unlock","Acanthopagrus latus")</f>
        <v>Acanthopagrus latus</v>
      </c>
      <c r="H369" t="s">
        <v>100</v>
      </c>
      <c r="I369" t="str">
        <f>HYPERLINK("http://www.ncbi.nlm.nih.gov/protein/XP_036928489.1","ryanodine receptor 3-like isoform X3")</f>
        <v>ryanodine receptor 3-like isoform X3</v>
      </c>
      <c r="J369" t="s">
        <v>1496</v>
      </c>
      <c r="K369" t="s">
        <v>19</v>
      </c>
      <c r="L369">
        <v>4423</v>
      </c>
      <c r="M369" t="s">
        <v>19</v>
      </c>
      <c r="N369" t="s">
        <v>19</v>
      </c>
      <c r="O369">
        <v>4426</v>
      </c>
      <c r="P369" t="s">
        <v>1486</v>
      </c>
      <c r="Q369" t="s">
        <v>19</v>
      </c>
      <c r="R369">
        <v>4427</v>
      </c>
      <c r="S369" t="s">
        <v>1487</v>
      </c>
      <c r="T369" t="s">
        <v>19</v>
      </c>
      <c r="U369">
        <v>4430</v>
      </c>
      <c r="V369" t="s">
        <v>1488</v>
      </c>
      <c r="W369" t="s">
        <v>19</v>
      </c>
      <c r="X369">
        <v>4501</v>
      </c>
      <c r="Y369" t="s">
        <v>1493</v>
      </c>
      <c r="Z369" t="s">
        <v>19</v>
      </c>
      <c r="AA369">
        <v>4634</v>
      </c>
      <c r="AB369" t="s">
        <v>19</v>
      </c>
      <c r="AC369" t="s">
        <v>19</v>
      </c>
      <c r="AD369">
        <v>4635</v>
      </c>
      <c r="AE369" t="s">
        <v>1488</v>
      </c>
      <c r="AF369" t="s">
        <v>19</v>
      </c>
      <c r="AG369">
        <v>4638</v>
      </c>
      <c r="AH369" t="s">
        <v>19</v>
      </c>
      <c r="AI369" t="s">
        <v>19</v>
      </c>
      <c r="AJ369">
        <v>4658</v>
      </c>
      <c r="AK369" t="s">
        <v>1490</v>
      </c>
      <c r="AL369" t="s">
        <v>19</v>
      </c>
      <c r="AM369">
        <v>4662</v>
      </c>
      <c r="AN369" t="s">
        <v>1491</v>
      </c>
      <c r="AO369" t="s">
        <v>19</v>
      </c>
    </row>
    <row r="370" spans="1:41" x14ac:dyDescent="0.45">
      <c r="A370" t="s">
        <v>1265</v>
      </c>
      <c r="B370">
        <v>8</v>
      </c>
      <c r="C370" t="str">
        <f>HYPERLINK("http://www.ncbi.nlm.nih.gov/protein/XP_042074192.1","XP_042074192.1")</f>
        <v>XP_042074192.1</v>
      </c>
      <c r="D370">
        <v>49303</v>
      </c>
      <c r="E370" t="str">
        <f>HYPERLINK("http://www.ncbi.nlm.nih.gov/Taxonomy/Browser/wwwtax.cgi?mode=Info&amp;id=8153&amp;lvl=3&amp;lin=f&amp;keep=1&amp;srchmode=1&amp;unlock","8153")</f>
        <v>8153</v>
      </c>
      <c r="F370" t="s">
        <v>17</v>
      </c>
      <c r="G370" t="str">
        <f>HYPERLINK("http://www.ncbi.nlm.nih.gov/Taxonomy/Browser/wwwtax.cgi?mode=Info&amp;id=8153&amp;lvl=3&amp;lin=f&amp;keep=1&amp;srchmode=1&amp;unlock","Haplochromis burtoni")</f>
        <v>Haplochromis burtoni</v>
      </c>
      <c r="H370" t="s">
        <v>75</v>
      </c>
      <c r="I370" t="str">
        <f>HYPERLINK("http://www.ncbi.nlm.nih.gov/protein/XP_042074192.1","ryanodine receptor 3 isoform X6")</f>
        <v>ryanodine receptor 3 isoform X6</v>
      </c>
      <c r="J370" t="s">
        <v>1496</v>
      </c>
      <c r="K370" t="s">
        <v>19</v>
      </c>
      <c r="L370">
        <v>4426</v>
      </c>
      <c r="M370" t="s">
        <v>19</v>
      </c>
      <c r="N370" t="s">
        <v>19</v>
      </c>
      <c r="O370">
        <v>4429</v>
      </c>
      <c r="P370" t="s">
        <v>1486</v>
      </c>
      <c r="Q370" t="s">
        <v>19</v>
      </c>
      <c r="R370">
        <v>4430</v>
      </c>
      <c r="S370" t="s">
        <v>1487</v>
      </c>
      <c r="T370" t="s">
        <v>19</v>
      </c>
      <c r="U370">
        <v>4433</v>
      </c>
      <c r="V370" t="s">
        <v>1488</v>
      </c>
      <c r="W370" t="s">
        <v>19</v>
      </c>
      <c r="X370">
        <v>4504</v>
      </c>
      <c r="Y370" t="s">
        <v>1493</v>
      </c>
      <c r="Z370" t="s">
        <v>19</v>
      </c>
      <c r="AA370">
        <v>4637</v>
      </c>
      <c r="AB370" t="s">
        <v>19</v>
      </c>
      <c r="AC370" t="s">
        <v>19</v>
      </c>
      <c r="AD370">
        <v>4638</v>
      </c>
      <c r="AE370" t="s">
        <v>1488</v>
      </c>
      <c r="AF370" t="s">
        <v>19</v>
      </c>
      <c r="AG370">
        <v>4641</v>
      </c>
      <c r="AH370" t="s">
        <v>19</v>
      </c>
      <c r="AI370" t="s">
        <v>19</v>
      </c>
      <c r="AJ370">
        <v>4661</v>
      </c>
      <c r="AK370" t="s">
        <v>1490</v>
      </c>
      <c r="AL370" t="s">
        <v>19</v>
      </c>
      <c r="AM370">
        <v>4665</v>
      </c>
      <c r="AN370" t="s">
        <v>1491</v>
      </c>
      <c r="AO370" t="s">
        <v>19</v>
      </c>
    </row>
    <row r="371" spans="1:41" x14ac:dyDescent="0.45">
      <c r="A371" t="s">
        <v>1265</v>
      </c>
      <c r="B371">
        <v>8</v>
      </c>
      <c r="C371" t="str">
        <f>HYPERLINK("http://www.ncbi.nlm.nih.gov/protein/XP_026211310.1","XP_026211310.1")</f>
        <v>XP_026211310.1</v>
      </c>
      <c r="D371">
        <v>40663</v>
      </c>
      <c r="E371" t="str">
        <f>HYPERLINK("http://www.ncbi.nlm.nih.gov/Taxonomy/Browser/wwwtax.cgi?mode=Info&amp;id=64144&amp;lvl=3&amp;lin=f&amp;keep=1&amp;srchmode=1&amp;unlock","64144")</f>
        <v>64144</v>
      </c>
      <c r="F371" t="s">
        <v>17</v>
      </c>
      <c r="G371" t="str">
        <f>HYPERLINK("http://www.ncbi.nlm.nih.gov/Taxonomy/Browser/wwwtax.cgi?mode=Info&amp;id=64144&amp;lvl=3&amp;lin=f&amp;keep=1&amp;srchmode=1&amp;unlock","Anabas testudineus")</f>
        <v>Anabas testudineus</v>
      </c>
      <c r="H371" t="s">
        <v>140</v>
      </c>
      <c r="I371" t="str">
        <f>HYPERLINK("http://www.ncbi.nlm.nih.gov/protein/XP_026211310.1","ryanodine receptor 3-like")</f>
        <v>ryanodine receptor 3-like</v>
      </c>
      <c r="J371" t="s">
        <v>1496</v>
      </c>
      <c r="K371" t="s">
        <v>19</v>
      </c>
      <c r="L371">
        <v>4425</v>
      </c>
      <c r="M371" t="s">
        <v>19</v>
      </c>
      <c r="N371" t="s">
        <v>19</v>
      </c>
      <c r="O371">
        <v>4428</v>
      </c>
      <c r="P371" t="s">
        <v>1486</v>
      </c>
      <c r="Q371" t="s">
        <v>19</v>
      </c>
      <c r="R371">
        <v>4429</v>
      </c>
      <c r="S371" t="s">
        <v>1487</v>
      </c>
      <c r="T371" t="s">
        <v>19</v>
      </c>
      <c r="U371">
        <v>4432</v>
      </c>
      <c r="V371" t="s">
        <v>1488</v>
      </c>
      <c r="W371" t="s">
        <v>19</v>
      </c>
      <c r="X371">
        <v>4503</v>
      </c>
      <c r="Y371" t="s">
        <v>1493</v>
      </c>
      <c r="Z371" t="s">
        <v>19</v>
      </c>
      <c r="AA371">
        <v>4636</v>
      </c>
      <c r="AB371" t="s">
        <v>19</v>
      </c>
      <c r="AC371" t="s">
        <v>19</v>
      </c>
      <c r="AD371">
        <v>4637</v>
      </c>
      <c r="AE371" t="s">
        <v>1488</v>
      </c>
      <c r="AF371" t="s">
        <v>19</v>
      </c>
      <c r="AG371">
        <v>4640</v>
      </c>
      <c r="AH371" t="s">
        <v>19</v>
      </c>
      <c r="AI371" t="s">
        <v>19</v>
      </c>
      <c r="AJ371">
        <v>4660</v>
      </c>
      <c r="AK371" t="s">
        <v>1490</v>
      </c>
      <c r="AL371" t="s">
        <v>19</v>
      </c>
      <c r="AM371">
        <v>4664</v>
      </c>
      <c r="AN371" t="s">
        <v>1491</v>
      </c>
      <c r="AO371" t="s">
        <v>19</v>
      </c>
    </row>
    <row r="372" spans="1:41" x14ac:dyDescent="0.45">
      <c r="A372" t="s">
        <v>1265</v>
      </c>
      <c r="B372">
        <v>8</v>
      </c>
      <c r="C372" t="str">
        <f>HYPERLINK("http://www.ncbi.nlm.nih.gov/protein/XP_055361918.1","XP_055361918.1")</f>
        <v>XP_055361918.1</v>
      </c>
      <c r="D372">
        <v>52191</v>
      </c>
      <c r="E372" t="str">
        <f>HYPERLINK("http://www.ncbi.nlm.nih.gov/Taxonomy/Browser/wwwtax.cgi?mode=Info&amp;id=158456&amp;lvl=3&amp;lin=f&amp;keep=1&amp;srchmode=1&amp;unlock","158456")</f>
        <v>158456</v>
      </c>
      <c r="F372" t="s">
        <v>17</v>
      </c>
      <c r="G372" t="str">
        <f>HYPERLINK("http://www.ncbi.nlm.nih.gov/Taxonomy/Browser/wwwtax.cgi?mode=Info&amp;id=158456&amp;lvl=3&amp;lin=f&amp;keep=1&amp;srchmode=1&amp;unlock","Betta splendens")</f>
        <v>Betta splendens</v>
      </c>
      <c r="H372" t="s">
        <v>102</v>
      </c>
      <c r="I372" t="str">
        <f>HYPERLINK("http://www.ncbi.nlm.nih.gov/protein/XP_055361918.1","ryanodine receptor 3-like isoform X3")</f>
        <v>ryanodine receptor 3-like isoform X3</v>
      </c>
      <c r="J372" t="s">
        <v>1496</v>
      </c>
      <c r="K372" t="s">
        <v>19</v>
      </c>
      <c r="L372">
        <v>4434</v>
      </c>
      <c r="M372" t="s">
        <v>19</v>
      </c>
      <c r="N372" t="s">
        <v>19</v>
      </c>
      <c r="O372">
        <v>4437</v>
      </c>
      <c r="P372" t="s">
        <v>1486</v>
      </c>
      <c r="Q372" t="s">
        <v>19</v>
      </c>
      <c r="R372">
        <v>4438</v>
      </c>
      <c r="S372" t="s">
        <v>1487</v>
      </c>
      <c r="T372" t="s">
        <v>19</v>
      </c>
      <c r="U372">
        <v>4441</v>
      </c>
      <c r="V372" t="s">
        <v>1488</v>
      </c>
      <c r="W372" t="s">
        <v>19</v>
      </c>
      <c r="X372">
        <v>4512</v>
      </c>
      <c r="Y372" t="s">
        <v>1493</v>
      </c>
      <c r="Z372" t="s">
        <v>19</v>
      </c>
      <c r="AA372">
        <v>4645</v>
      </c>
      <c r="AB372" t="s">
        <v>19</v>
      </c>
      <c r="AC372" t="s">
        <v>19</v>
      </c>
      <c r="AD372">
        <v>4646</v>
      </c>
      <c r="AE372" t="s">
        <v>1488</v>
      </c>
      <c r="AF372" t="s">
        <v>19</v>
      </c>
      <c r="AG372">
        <v>4649</v>
      </c>
      <c r="AH372" t="s">
        <v>19</v>
      </c>
      <c r="AI372" t="s">
        <v>19</v>
      </c>
      <c r="AJ372">
        <v>4669</v>
      </c>
      <c r="AK372" t="s">
        <v>1490</v>
      </c>
      <c r="AL372" t="s">
        <v>19</v>
      </c>
      <c r="AM372">
        <v>4673</v>
      </c>
      <c r="AN372" t="s">
        <v>1491</v>
      </c>
      <c r="AO372" t="s">
        <v>19</v>
      </c>
    </row>
    <row r="373" spans="1:41" x14ac:dyDescent="0.45">
      <c r="A373" t="s">
        <v>1265</v>
      </c>
      <c r="B373">
        <v>8</v>
      </c>
      <c r="C373" t="str">
        <f>HYPERLINK("http://www.ncbi.nlm.nih.gov/protein/XP_047466818.1","XP_047466818.1")</f>
        <v>XP_047466818.1</v>
      </c>
      <c r="D373">
        <v>45447</v>
      </c>
      <c r="E373" t="str">
        <f>HYPERLINK("http://www.ncbi.nlm.nih.gov/Taxonomy/Browser/wwwtax.cgi?mode=Info&amp;id=48193&amp;lvl=3&amp;lin=f&amp;keep=1&amp;srchmode=1&amp;unlock","48193")</f>
        <v>48193</v>
      </c>
      <c r="F373" t="s">
        <v>17</v>
      </c>
      <c r="G373" t="str">
        <f>HYPERLINK("http://www.ncbi.nlm.nih.gov/Taxonomy/Browser/wwwtax.cgi?mode=Info&amp;id=48193&amp;lvl=3&amp;lin=f&amp;keep=1&amp;srchmode=1&amp;unlock","Mugil cephalus")</f>
        <v>Mugil cephalus</v>
      </c>
      <c r="H373" t="s">
        <v>68</v>
      </c>
      <c r="I373" t="str">
        <f>HYPERLINK("http://www.ncbi.nlm.nih.gov/protein/XP_047466818.1","ryanodine receptor 3-like isoform X7")</f>
        <v>ryanodine receptor 3-like isoform X7</v>
      </c>
      <c r="J373" t="s">
        <v>1496</v>
      </c>
      <c r="K373" t="s">
        <v>19</v>
      </c>
      <c r="L373">
        <v>4429</v>
      </c>
      <c r="M373" t="s">
        <v>19</v>
      </c>
      <c r="N373" t="s">
        <v>19</v>
      </c>
      <c r="O373">
        <v>4432</v>
      </c>
      <c r="P373" t="s">
        <v>1486</v>
      </c>
      <c r="Q373" t="s">
        <v>19</v>
      </c>
      <c r="R373">
        <v>4433</v>
      </c>
      <c r="S373" t="s">
        <v>1487</v>
      </c>
      <c r="T373" t="s">
        <v>19</v>
      </c>
      <c r="U373">
        <v>4436</v>
      </c>
      <c r="V373" t="s">
        <v>1488</v>
      </c>
      <c r="W373" t="s">
        <v>19</v>
      </c>
      <c r="X373">
        <v>4507</v>
      </c>
      <c r="Y373" t="s">
        <v>1493</v>
      </c>
      <c r="Z373" t="s">
        <v>19</v>
      </c>
      <c r="AA373">
        <v>4640</v>
      </c>
      <c r="AB373" t="s">
        <v>19</v>
      </c>
      <c r="AC373" t="s">
        <v>19</v>
      </c>
      <c r="AD373">
        <v>4641</v>
      </c>
      <c r="AE373" t="s">
        <v>1488</v>
      </c>
      <c r="AF373" t="s">
        <v>19</v>
      </c>
      <c r="AG373">
        <v>4644</v>
      </c>
      <c r="AH373" t="s">
        <v>19</v>
      </c>
      <c r="AI373" t="s">
        <v>19</v>
      </c>
      <c r="AJ373">
        <v>4664</v>
      </c>
      <c r="AK373" t="s">
        <v>1490</v>
      </c>
      <c r="AL373" t="s">
        <v>19</v>
      </c>
      <c r="AM373">
        <v>4668</v>
      </c>
      <c r="AN373" t="s">
        <v>1491</v>
      </c>
      <c r="AO373" t="s">
        <v>19</v>
      </c>
    </row>
    <row r="374" spans="1:41" x14ac:dyDescent="0.45">
      <c r="A374" t="s">
        <v>1265</v>
      </c>
      <c r="B374">
        <v>8</v>
      </c>
      <c r="C374" t="str">
        <f>HYPERLINK("http://www.ncbi.nlm.nih.gov/protein/XP_030299708.1","XP_030299708.1")</f>
        <v>XP_030299708.1</v>
      </c>
      <c r="D374">
        <v>54212</v>
      </c>
      <c r="E374" t="str">
        <f>HYPERLINK("http://www.ncbi.nlm.nih.gov/Taxonomy/Browser/wwwtax.cgi?mode=Info&amp;id=8175&amp;lvl=3&amp;lin=f&amp;keep=1&amp;srchmode=1&amp;unlock","8175")</f>
        <v>8175</v>
      </c>
      <c r="F374" t="s">
        <v>17</v>
      </c>
      <c r="G374" t="str">
        <f>HYPERLINK("http://www.ncbi.nlm.nih.gov/Taxonomy/Browser/wwwtax.cgi?mode=Info&amp;id=8175&amp;lvl=3&amp;lin=f&amp;keep=1&amp;srchmode=1&amp;unlock","Sparus aurata")</f>
        <v>Sparus aurata</v>
      </c>
      <c r="H374" t="s">
        <v>84</v>
      </c>
      <c r="I374" t="str">
        <f>HYPERLINK("http://www.ncbi.nlm.nih.gov/protein/XP_030299708.1","ryanodine receptor 3-like isoform X8")</f>
        <v>ryanodine receptor 3-like isoform X8</v>
      </c>
      <c r="J374" t="s">
        <v>1496</v>
      </c>
      <c r="K374" t="s">
        <v>19</v>
      </c>
      <c r="L374">
        <v>4423</v>
      </c>
      <c r="M374" t="s">
        <v>19</v>
      </c>
      <c r="N374" t="s">
        <v>19</v>
      </c>
      <c r="O374">
        <v>4426</v>
      </c>
      <c r="P374" t="s">
        <v>1486</v>
      </c>
      <c r="Q374" t="s">
        <v>19</v>
      </c>
      <c r="R374">
        <v>4427</v>
      </c>
      <c r="S374" t="s">
        <v>1487</v>
      </c>
      <c r="T374" t="s">
        <v>19</v>
      </c>
      <c r="U374">
        <v>4430</v>
      </c>
      <c r="V374" t="s">
        <v>1488</v>
      </c>
      <c r="W374" t="s">
        <v>19</v>
      </c>
      <c r="X374">
        <v>4501</v>
      </c>
      <c r="Y374" t="s">
        <v>1493</v>
      </c>
      <c r="Z374" t="s">
        <v>19</v>
      </c>
      <c r="AA374">
        <v>4634</v>
      </c>
      <c r="AB374" t="s">
        <v>19</v>
      </c>
      <c r="AC374" t="s">
        <v>19</v>
      </c>
      <c r="AD374">
        <v>4635</v>
      </c>
      <c r="AE374" t="s">
        <v>1488</v>
      </c>
      <c r="AF374" t="s">
        <v>19</v>
      </c>
      <c r="AG374">
        <v>4638</v>
      </c>
      <c r="AH374" t="s">
        <v>19</v>
      </c>
      <c r="AI374" t="s">
        <v>19</v>
      </c>
      <c r="AJ374">
        <v>4658</v>
      </c>
      <c r="AK374" t="s">
        <v>1490</v>
      </c>
      <c r="AL374" t="s">
        <v>19</v>
      </c>
      <c r="AM374">
        <v>4662</v>
      </c>
      <c r="AN374" t="s">
        <v>1491</v>
      </c>
      <c r="AO374" t="s">
        <v>19</v>
      </c>
    </row>
    <row r="375" spans="1:41" x14ac:dyDescent="0.45">
      <c r="A375" t="s">
        <v>1265</v>
      </c>
      <c r="B375">
        <v>8</v>
      </c>
      <c r="C375" t="str">
        <f>HYPERLINK("http://www.ncbi.nlm.nih.gov/protein/XP_039993328.1","XP_039993328.1")</f>
        <v>XP_039993328.1</v>
      </c>
      <c r="D375">
        <v>44874</v>
      </c>
      <c r="E375" t="str">
        <f>HYPERLINK("http://www.ncbi.nlm.nih.gov/Taxonomy/Browser/wwwtax.cgi?mode=Info&amp;id=8245&amp;lvl=3&amp;lin=f&amp;keep=1&amp;srchmode=1&amp;unlock","8245")</f>
        <v>8245</v>
      </c>
      <c r="F375" t="s">
        <v>17</v>
      </c>
      <c r="G375" t="str">
        <f>HYPERLINK("http://www.ncbi.nlm.nih.gov/Taxonomy/Browser/wwwtax.cgi?mode=Info&amp;id=8245&amp;lvl=3&amp;lin=f&amp;keep=1&amp;srchmode=1&amp;unlock","Xiphias gladius")</f>
        <v>Xiphias gladius</v>
      </c>
      <c r="H375" t="s">
        <v>113</v>
      </c>
      <c r="I375" t="str">
        <f>HYPERLINK("http://www.ncbi.nlm.nih.gov/protein/XP_039993328.1","ryanodine receptor 3-like")</f>
        <v>ryanodine receptor 3-like</v>
      </c>
      <c r="J375" t="s">
        <v>1496</v>
      </c>
      <c r="K375" t="s">
        <v>19</v>
      </c>
      <c r="L375">
        <v>4418</v>
      </c>
      <c r="M375" t="s">
        <v>19</v>
      </c>
      <c r="N375" t="s">
        <v>19</v>
      </c>
      <c r="O375">
        <v>4421</v>
      </c>
      <c r="P375" t="s">
        <v>1486</v>
      </c>
      <c r="Q375" t="s">
        <v>19</v>
      </c>
      <c r="R375">
        <v>4422</v>
      </c>
      <c r="S375" t="s">
        <v>1487</v>
      </c>
      <c r="T375" t="s">
        <v>19</v>
      </c>
      <c r="U375">
        <v>4425</v>
      </c>
      <c r="V375" t="s">
        <v>1488</v>
      </c>
      <c r="W375" t="s">
        <v>19</v>
      </c>
      <c r="X375">
        <v>4496</v>
      </c>
      <c r="Y375" t="s">
        <v>1493</v>
      </c>
      <c r="Z375" t="s">
        <v>19</v>
      </c>
      <c r="AA375">
        <v>4629</v>
      </c>
      <c r="AB375" t="s">
        <v>19</v>
      </c>
      <c r="AC375" t="s">
        <v>19</v>
      </c>
      <c r="AD375">
        <v>4630</v>
      </c>
      <c r="AE375" t="s">
        <v>1488</v>
      </c>
      <c r="AF375" t="s">
        <v>19</v>
      </c>
      <c r="AG375">
        <v>4633</v>
      </c>
      <c r="AH375" t="s">
        <v>19</v>
      </c>
      <c r="AI375" t="s">
        <v>19</v>
      </c>
      <c r="AJ375">
        <v>4653</v>
      </c>
      <c r="AK375" t="s">
        <v>1490</v>
      </c>
      <c r="AL375" t="s">
        <v>19</v>
      </c>
      <c r="AM375">
        <v>4657</v>
      </c>
      <c r="AN375" t="s">
        <v>1491</v>
      </c>
      <c r="AO375" t="s">
        <v>19</v>
      </c>
    </row>
    <row r="376" spans="1:41" x14ac:dyDescent="0.45">
      <c r="A376" t="s">
        <v>1265</v>
      </c>
      <c r="B376">
        <v>8</v>
      </c>
      <c r="C376" t="str">
        <f>HYPERLINK("http://www.ncbi.nlm.nih.gov/protein/XP_039641456.1","XP_039641456.1")</f>
        <v>XP_039641456.1</v>
      </c>
      <c r="D376">
        <v>74384</v>
      </c>
      <c r="E376" t="str">
        <f>HYPERLINK("http://www.ncbi.nlm.nih.gov/Taxonomy/Browser/wwwtax.cgi?mode=Info&amp;id=8168&amp;lvl=3&amp;lin=f&amp;keep=1&amp;srchmode=1&amp;unlock","8168")</f>
        <v>8168</v>
      </c>
      <c r="F376" t="s">
        <v>17</v>
      </c>
      <c r="G376" t="str">
        <f>HYPERLINK("http://www.ncbi.nlm.nih.gov/Taxonomy/Browser/wwwtax.cgi?mode=Info&amp;id=8168&amp;lvl=3&amp;lin=f&amp;keep=1&amp;srchmode=1&amp;unlock","Perca fluviatilis")</f>
        <v>Perca fluviatilis</v>
      </c>
      <c r="H376" t="s">
        <v>118</v>
      </c>
      <c r="I376" t="str">
        <f>HYPERLINK("http://www.ncbi.nlm.nih.gov/protein/XP_039641456.1","ryanodine receptor 3-like isoform X12")</f>
        <v>ryanodine receptor 3-like isoform X12</v>
      </c>
      <c r="J376" t="s">
        <v>1496</v>
      </c>
      <c r="K376" t="s">
        <v>19</v>
      </c>
      <c r="L376">
        <v>4424</v>
      </c>
      <c r="M376" t="s">
        <v>19</v>
      </c>
      <c r="N376" t="s">
        <v>19</v>
      </c>
      <c r="O376">
        <v>4427</v>
      </c>
      <c r="P376" t="s">
        <v>1486</v>
      </c>
      <c r="Q376" t="s">
        <v>19</v>
      </c>
      <c r="R376">
        <v>4428</v>
      </c>
      <c r="S376" t="s">
        <v>1487</v>
      </c>
      <c r="T376" t="s">
        <v>19</v>
      </c>
      <c r="U376">
        <v>4431</v>
      </c>
      <c r="V376" t="s">
        <v>1488</v>
      </c>
      <c r="W376" t="s">
        <v>19</v>
      </c>
      <c r="X376">
        <v>4504</v>
      </c>
      <c r="Y376" t="s">
        <v>1493</v>
      </c>
      <c r="Z376" t="s">
        <v>19</v>
      </c>
      <c r="AA376">
        <v>4637</v>
      </c>
      <c r="AB376" t="s">
        <v>19</v>
      </c>
      <c r="AC376" t="s">
        <v>19</v>
      </c>
      <c r="AD376">
        <v>4638</v>
      </c>
      <c r="AE376" t="s">
        <v>1488</v>
      </c>
      <c r="AF376" t="s">
        <v>19</v>
      </c>
      <c r="AG376">
        <v>4641</v>
      </c>
      <c r="AH376" t="s">
        <v>19</v>
      </c>
      <c r="AI376" t="s">
        <v>19</v>
      </c>
      <c r="AJ376">
        <v>4661</v>
      </c>
      <c r="AK376" t="s">
        <v>1490</v>
      </c>
      <c r="AL376" t="s">
        <v>19</v>
      </c>
      <c r="AM376">
        <v>4665</v>
      </c>
      <c r="AN376" t="s">
        <v>1491</v>
      </c>
      <c r="AO376" t="s">
        <v>19</v>
      </c>
    </row>
    <row r="377" spans="1:41" x14ac:dyDescent="0.45">
      <c r="A377" t="s">
        <v>1265</v>
      </c>
      <c r="B377">
        <v>8</v>
      </c>
      <c r="C377" t="str">
        <f>HYPERLINK("http://www.ncbi.nlm.nih.gov/protein/XP_042244104.1","XP_042244104.1")</f>
        <v>XP_042244104.1</v>
      </c>
      <c r="D377">
        <v>49622</v>
      </c>
      <c r="E377" t="str">
        <f>HYPERLINK("http://www.ncbi.nlm.nih.gov/Taxonomy/Browser/wwwtax.cgi?mode=Info&amp;id=8240&amp;lvl=3&amp;lin=f&amp;keep=1&amp;srchmode=1&amp;unlock","8240")</f>
        <v>8240</v>
      </c>
      <c r="F377" t="s">
        <v>17</v>
      </c>
      <c r="G377" t="str">
        <f>HYPERLINK("http://www.ncbi.nlm.nih.gov/Taxonomy/Browser/wwwtax.cgi?mode=Info&amp;id=8240&amp;lvl=3&amp;lin=f&amp;keep=1&amp;srchmode=1&amp;unlock","Thunnus maccoyii")</f>
        <v>Thunnus maccoyii</v>
      </c>
      <c r="H377" t="s">
        <v>420</v>
      </c>
      <c r="I377" t="str">
        <f>HYPERLINK("http://www.ncbi.nlm.nih.gov/protein/XP_042244104.1","ryanodine receptor 3-like")</f>
        <v>ryanodine receptor 3-like</v>
      </c>
      <c r="J377" t="s">
        <v>1496</v>
      </c>
      <c r="K377" t="s">
        <v>19</v>
      </c>
      <c r="L377">
        <v>4418</v>
      </c>
      <c r="M377" t="s">
        <v>19</v>
      </c>
      <c r="N377" t="s">
        <v>19</v>
      </c>
      <c r="O377">
        <v>4421</v>
      </c>
      <c r="P377" t="s">
        <v>1486</v>
      </c>
      <c r="Q377" t="s">
        <v>19</v>
      </c>
      <c r="R377">
        <v>4422</v>
      </c>
      <c r="S377" t="s">
        <v>1487</v>
      </c>
      <c r="T377" t="s">
        <v>19</v>
      </c>
      <c r="U377">
        <v>4425</v>
      </c>
      <c r="V377" t="s">
        <v>1488</v>
      </c>
      <c r="W377" t="s">
        <v>19</v>
      </c>
      <c r="X377">
        <v>4496</v>
      </c>
      <c r="Y377" t="s">
        <v>1493</v>
      </c>
      <c r="Z377" t="s">
        <v>19</v>
      </c>
      <c r="AA377">
        <v>4629</v>
      </c>
      <c r="AB377" t="s">
        <v>19</v>
      </c>
      <c r="AC377" t="s">
        <v>19</v>
      </c>
      <c r="AD377">
        <v>4630</v>
      </c>
      <c r="AE377" t="s">
        <v>1488</v>
      </c>
      <c r="AF377" t="s">
        <v>19</v>
      </c>
      <c r="AG377">
        <v>4633</v>
      </c>
      <c r="AH377" t="s">
        <v>19</v>
      </c>
      <c r="AI377" t="s">
        <v>19</v>
      </c>
      <c r="AJ377">
        <v>4653</v>
      </c>
      <c r="AK377" t="s">
        <v>1490</v>
      </c>
      <c r="AL377" t="s">
        <v>19</v>
      </c>
      <c r="AM377">
        <v>4657</v>
      </c>
      <c r="AN377" t="s">
        <v>1491</v>
      </c>
      <c r="AO377" t="s">
        <v>19</v>
      </c>
    </row>
    <row r="378" spans="1:41" x14ac:dyDescent="0.45">
      <c r="A378" t="s">
        <v>1265</v>
      </c>
      <c r="B378">
        <v>8</v>
      </c>
      <c r="C378" t="str">
        <f>HYPERLINK("http://www.ncbi.nlm.nih.gov/protein/XP_035850394.1","XP_035850394.1")</f>
        <v>XP_035850394.1</v>
      </c>
      <c r="D378">
        <v>56708</v>
      </c>
      <c r="E378" t="str">
        <f>HYPERLINK("http://www.ncbi.nlm.nih.gov/Taxonomy/Browser/wwwtax.cgi?mode=Info&amp;id=283035&amp;lvl=3&amp;lin=f&amp;keep=1&amp;srchmode=1&amp;unlock","283035")</f>
        <v>283035</v>
      </c>
      <c r="F378" t="s">
        <v>17</v>
      </c>
      <c r="G378" t="str">
        <f>HYPERLINK("http://www.ncbi.nlm.nih.gov/Taxonomy/Browser/wwwtax.cgi?mode=Info&amp;id=283035&amp;lvl=3&amp;lin=f&amp;keep=1&amp;srchmode=1&amp;unlock","Sander lucioperca")</f>
        <v>Sander lucioperca</v>
      </c>
      <c r="H378" t="s">
        <v>99</v>
      </c>
      <c r="I378" t="str">
        <f>HYPERLINK("http://www.ncbi.nlm.nih.gov/protein/XP_035850394.1","ryanodine receptor 3-like isoform X4")</f>
        <v>ryanodine receptor 3-like isoform X4</v>
      </c>
      <c r="J378" t="s">
        <v>1496</v>
      </c>
      <c r="K378" t="s">
        <v>19</v>
      </c>
      <c r="L378">
        <v>4436</v>
      </c>
      <c r="M378" t="s">
        <v>19</v>
      </c>
      <c r="N378" t="s">
        <v>19</v>
      </c>
      <c r="O378">
        <v>4439</v>
      </c>
      <c r="P378" t="s">
        <v>1486</v>
      </c>
      <c r="Q378" t="s">
        <v>19</v>
      </c>
      <c r="R378">
        <v>4440</v>
      </c>
      <c r="S378" t="s">
        <v>1487</v>
      </c>
      <c r="T378" t="s">
        <v>19</v>
      </c>
      <c r="U378">
        <v>4443</v>
      </c>
      <c r="V378" t="s">
        <v>1488</v>
      </c>
      <c r="W378" t="s">
        <v>19</v>
      </c>
      <c r="X378">
        <v>4515</v>
      </c>
      <c r="Y378" t="s">
        <v>1493</v>
      </c>
      <c r="Z378" t="s">
        <v>19</v>
      </c>
      <c r="AA378">
        <v>4648</v>
      </c>
      <c r="AB378" t="s">
        <v>19</v>
      </c>
      <c r="AC378" t="s">
        <v>19</v>
      </c>
      <c r="AD378">
        <v>4649</v>
      </c>
      <c r="AE378" t="s">
        <v>1488</v>
      </c>
      <c r="AF378" t="s">
        <v>19</v>
      </c>
      <c r="AG378">
        <v>4652</v>
      </c>
      <c r="AH378" t="s">
        <v>19</v>
      </c>
      <c r="AI378" t="s">
        <v>19</v>
      </c>
      <c r="AJ378">
        <v>4672</v>
      </c>
      <c r="AK378" t="s">
        <v>1490</v>
      </c>
      <c r="AL378" t="s">
        <v>19</v>
      </c>
      <c r="AM378">
        <v>4676</v>
      </c>
      <c r="AN378" t="s">
        <v>1491</v>
      </c>
      <c r="AO378" t="s">
        <v>19</v>
      </c>
    </row>
    <row r="379" spans="1:41" x14ac:dyDescent="0.45">
      <c r="A379" t="s">
        <v>1265</v>
      </c>
      <c r="B379">
        <v>8</v>
      </c>
      <c r="C379" t="str">
        <f>HYPERLINK("http://www.ncbi.nlm.nih.gov/protein/XP_032355552.1","XP_032355552.1")</f>
        <v>XP_032355552.1</v>
      </c>
      <c r="D379">
        <v>64511</v>
      </c>
      <c r="E379" t="str">
        <f>HYPERLINK("http://www.ncbi.nlm.nih.gov/Taxonomy/Browser/wwwtax.cgi?mode=Info&amp;id=54343&amp;lvl=3&amp;lin=f&amp;keep=1&amp;srchmode=1&amp;unlock","54343")</f>
        <v>54343</v>
      </c>
      <c r="F379" t="s">
        <v>17</v>
      </c>
      <c r="G379" t="str">
        <f>HYPERLINK("http://www.ncbi.nlm.nih.gov/Taxonomy/Browser/wwwtax.cgi?mode=Info&amp;id=54343&amp;lvl=3&amp;lin=f&amp;keep=1&amp;srchmode=1&amp;unlock","Etheostoma spectabile")</f>
        <v>Etheostoma spectabile</v>
      </c>
      <c r="H379" t="s">
        <v>89</v>
      </c>
      <c r="I379" t="str">
        <f>HYPERLINK("http://www.ncbi.nlm.nih.gov/protein/XP_032355552.1","ryanodine receptor 3-like isoform X5")</f>
        <v>ryanodine receptor 3-like isoform X5</v>
      </c>
      <c r="J379" t="s">
        <v>1496</v>
      </c>
      <c r="K379" t="s">
        <v>19</v>
      </c>
      <c r="L379">
        <v>4436</v>
      </c>
      <c r="M379" t="s">
        <v>19</v>
      </c>
      <c r="N379" t="s">
        <v>19</v>
      </c>
      <c r="O379">
        <v>4439</v>
      </c>
      <c r="P379" t="s">
        <v>1486</v>
      </c>
      <c r="Q379" t="s">
        <v>19</v>
      </c>
      <c r="R379">
        <v>4440</v>
      </c>
      <c r="S379" t="s">
        <v>1487</v>
      </c>
      <c r="T379" t="s">
        <v>19</v>
      </c>
      <c r="U379">
        <v>4443</v>
      </c>
      <c r="V379" t="s">
        <v>1488</v>
      </c>
      <c r="W379" t="s">
        <v>19</v>
      </c>
      <c r="X379">
        <v>4516</v>
      </c>
      <c r="Y379" t="s">
        <v>1493</v>
      </c>
      <c r="Z379" t="s">
        <v>19</v>
      </c>
      <c r="AA379">
        <v>4649</v>
      </c>
      <c r="AB379" t="s">
        <v>19</v>
      </c>
      <c r="AC379" t="s">
        <v>19</v>
      </c>
      <c r="AD379">
        <v>4650</v>
      </c>
      <c r="AE379" t="s">
        <v>1488</v>
      </c>
      <c r="AF379" t="s">
        <v>19</v>
      </c>
      <c r="AG379">
        <v>4653</v>
      </c>
      <c r="AH379" t="s">
        <v>19</v>
      </c>
      <c r="AI379" t="s">
        <v>19</v>
      </c>
      <c r="AJ379">
        <v>4673</v>
      </c>
      <c r="AK379" t="s">
        <v>1490</v>
      </c>
      <c r="AL379" t="s">
        <v>19</v>
      </c>
      <c r="AM379">
        <v>4677</v>
      </c>
      <c r="AN379" t="s">
        <v>1491</v>
      </c>
      <c r="AO379" t="s">
        <v>19</v>
      </c>
    </row>
    <row r="380" spans="1:41" x14ac:dyDescent="0.45">
      <c r="A380" t="s">
        <v>1265</v>
      </c>
      <c r="B380">
        <v>8</v>
      </c>
      <c r="C380" t="str">
        <f>HYPERLINK("http://www.ncbi.nlm.nih.gov/protein/XP_027130695.1","XP_027130695.1")</f>
        <v>XP_027130695.1</v>
      </c>
      <c r="D380">
        <v>94610</v>
      </c>
      <c r="E380" t="str">
        <f>HYPERLINK("http://www.ncbi.nlm.nih.gov/Taxonomy/Browser/wwwtax.cgi?mode=Info&amp;id=215358&amp;lvl=3&amp;lin=f&amp;keep=1&amp;srchmode=1&amp;unlock","215358")</f>
        <v>215358</v>
      </c>
      <c r="F380" t="s">
        <v>17</v>
      </c>
      <c r="G380" t="str">
        <f>HYPERLINK("http://www.ncbi.nlm.nih.gov/Taxonomy/Browser/wwwtax.cgi?mode=Info&amp;id=215358&amp;lvl=3&amp;lin=f&amp;keep=1&amp;srchmode=1&amp;unlock","Larimichthys crocea")</f>
        <v>Larimichthys crocea</v>
      </c>
      <c r="H380" t="s">
        <v>55</v>
      </c>
      <c r="I380" t="str">
        <f>HYPERLINK("http://www.ncbi.nlm.nih.gov/protein/XP_027130695.1","ryanodine receptor 3")</f>
        <v>ryanodine receptor 3</v>
      </c>
      <c r="J380" t="s">
        <v>1496</v>
      </c>
      <c r="K380" t="s">
        <v>19</v>
      </c>
      <c r="L380">
        <v>4444</v>
      </c>
      <c r="M380" t="s">
        <v>19</v>
      </c>
      <c r="N380" t="s">
        <v>19</v>
      </c>
      <c r="O380">
        <v>4447</v>
      </c>
      <c r="P380" t="s">
        <v>1486</v>
      </c>
      <c r="Q380" t="s">
        <v>19</v>
      </c>
      <c r="R380">
        <v>4448</v>
      </c>
      <c r="S380" t="s">
        <v>1487</v>
      </c>
      <c r="T380" t="s">
        <v>19</v>
      </c>
      <c r="U380">
        <v>4451</v>
      </c>
      <c r="V380" t="s">
        <v>1488</v>
      </c>
      <c r="W380" t="s">
        <v>19</v>
      </c>
      <c r="X380">
        <v>4526</v>
      </c>
      <c r="Y380" t="s">
        <v>1493</v>
      </c>
      <c r="Z380" t="s">
        <v>19</v>
      </c>
      <c r="AA380">
        <v>4659</v>
      </c>
      <c r="AB380" t="s">
        <v>19</v>
      </c>
      <c r="AC380" t="s">
        <v>19</v>
      </c>
      <c r="AD380">
        <v>4660</v>
      </c>
      <c r="AE380" t="s">
        <v>1488</v>
      </c>
      <c r="AF380" t="s">
        <v>19</v>
      </c>
      <c r="AG380">
        <v>4663</v>
      </c>
      <c r="AH380" t="s">
        <v>19</v>
      </c>
      <c r="AI380" t="s">
        <v>19</v>
      </c>
      <c r="AJ380">
        <v>4683</v>
      </c>
      <c r="AK380" t="s">
        <v>1490</v>
      </c>
      <c r="AL380" t="s">
        <v>19</v>
      </c>
      <c r="AM380">
        <v>4687</v>
      </c>
      <c r="AN380" t="s">
        <v>1491</v>
      </c>
      <c r="AO380" t="s">
        <v>19</v>
      </c>
    </row>
    <row r="381" spans="1:41" x14ac:dyDescent="0.45">
      <c r="A381" t="s">
        <v>1265</v>
      </c>
      <c r="B381">
        <v>8</v>
      </c>
      <c r="C381" t="str">
        <f>HYPERLINK("http://www.ncbi.nlm.nih.gov/protein/XP_044231144.1","XP_044231144.1")</f>
        <v>XP_044231144.1</v>
      </c>
      <c r="D381">
        <v>48680</v>
      </c>
      <c r="E381" t="str">
        <f>HYPERLINK("http://www.ncbi.nlm.nih.gov/Taxonomy/Browser/wwwtax.cgi?mode=Info&amp;id=8236&amp;lvl=3&amp;lin=f&amp;keep=1&amp;srchmode=1&amp;unlock","8236")</f>
        <v>8236</v>
      </c>
      <c r="F381" t="s">
        <v>17</v>
      </c>
      <c r="G381" t="str">
        <f>HYPERLINK("http://www.ncbi.nlm.nih.gov/Taxonomy/Browser/wwwtax.cgi?mode=Info&amp;id=8236&amp;lvl=3&amp;lin=f&amp;keep=1&amp;srchmode=1&amp;unlock","Thunnus albacares")</f>
        <v>Thunnus albacares</v>
      </c>
      <c r="H381" t="s">
        <v>424</v>
      </c>
      <c r="I381" t="str">
        <f>HYPERLINK("http://www.ncbi.nlm.nih.gov/protein/XP_044231144.1","ryanodine receptor 3-like isoform X4")</f>
        <v>ryanodine receptor 3-like isoform X4</v>
      </c>
      <c r="J381" t="s">
        <v>1496</v>
      </c>
      <c r="K381" t="s">
        <v>19</v>
      </c>
      <c r="L381">
        <v>4424</v>
      </c>
      <c r="M381" t="s">
        <v>19</v>
      </c>
      <c r="N381" t="s">
        <v>19</v>
      </c>
      <c r="O381">
        <v>4427</v>
      </c>
      <c r="P381" t="s">
        <v>1486</v>
      </c>
      <c r="Q381" t="s">
        <v>19</v>
      </c>
      <c r="R381">
        <v>4428</v>
      </c>
      <c r="S381" t="s">
        <v>1487</v>
      </c>
      <c r="T381" t="s">
        <v>19</v>
      </c>
      <c r="U381">
        <v>4431</v>
      </c>
      <c r="V381" t="s">
        <v>1488</v>
      </c>
      <c r="W381" t="s">
        <v>19</v>
      </c>
      <c r="X381">
        <v>4502</v>
      </c>
      <c r="Y381" t="s">
        <v>1493</v>
      </c>
      <c r="Z381" t="s">
        <v>19</v>
      </c>
      <c r="AA381">
        <v>4635</v>
      </c>
      <c r="AB381" t="s">
        <v>19</v>
      </c>
      <c r="AC381" t="s">
        <v>19</v>
      </c>
      <c r="AD381">
        <v>4636</v>
      </c>
      <c r="AE381" t="s">
        <v>1488</v>
      </c>
      <c r="AF381" t="s">
        <v>19</v>
      </c>
      <c r="AG381">
        <v>4639</v>
      </c>
      <c r="AH381" t="s">
        <v>19</v>
      </c>
      <c r="AI381" t="s">
        <v>19</v>
      </c>
      <c r="AJ381">
        <v>4659</v>
      </c>
      <c r="AK381" t="s">
        <v>1490</v>
      </c>
      <c r="AL381" t="s">
        <v>19</v>
      </c>
      <c r="AM381">
        <v>4663</v>
      </c>
      <c r="AN381" t="s">
        <v>1491</v>
      </c>
      <c r="AO381" t="s">
        <v>19</v>
      </c>
    </row>
    <row r="382" spans="1:41" x14ac:dyDescent="0.45">
      <c r="A382" t="s">
        <v>1265</v>
      </c>
      <c r="B382">
        <v>8</v>
      </c>
      <c r="C382" t="str">
        <f>HYPERLINK("http://www.ncbi.nlm.nih.gov/protein/XP_037602140.1","XP_037602140.1")</f>
        <v>XP_037602140.1</v>
      </c>
      <c r="D382">
        <v>50721</v>
      </c>
      <c r="E382" t="str">
        <f>HYPERLINK("http://www.ncbi.nlm.nih.gov/Taxonomy/Browser/wwwtax.cgi?mode=Info&amp;id=72105&amp;lvl=3&amp;lin=f&amp;keep=1&amp;srchmode=1&amp;unlock","72105")</f>
        <v>72105</v>
      </c>
      <c r="F382" t="s">
        <v>17</v>
      </c>
      <c r="G382" t="str">
        <f>HYPERLINK("http://www.ncbi.nlm.nih.gov/Taxonomy/Browser/wwwtax.cgi?mode=Info&amp;id=72105&amp;lvl=3&amp;lin=f&amp;keep=1&amp;srchmode=1&amp;unlock","Sebastes umbrosus")</f>
        <v>Sebastes umbrosus</v>
      </c>
      <c r="H382" t="s">
        <v>455</v>
      </c>
      <c r="I382" t="str">
        <f>HYPERLINK("http://www.ncbi.nlm.nih.gov/protein/XP_037602140.1","ryanodine receptor 3-like isoform X8")</f>
        <v>ryanodine receptor 3-like isoform X8</v>
      </c>
      <c r="J382" t="s">
        <v>1496</v>
      </c>
      <c r="K382" t="s">
        <v>19</v>
      </c>
      <c r="L382">
        <v>4434</v>
      </c>
      <c r="M382" t="s">
        <v>19</v>
      </c>
      <c r="N382" t="s">
        <v>19</v>
      </c>
      <c r="O382">
        <v>4437</v>
      </c>
      <c r="P382" t="s">
        <v>1486</v>
      </c>
      <c r="Q382" t="s">
        <v>19</v>
      </c>
      <c r="R382">
        <v>4438</v>
      </c>
      <c r="S382" t="s">
        <v>1487</v>
      </c>
      <c r="T382" t="s">
        <v>19</v>
      </c>
      <c r="U382">
        <v>4441</v>
      </c>
      <c r="V382" t="s">
        <v>1488</v>
      </c>
      <c r="W382" t="s">
        <v>19</v>
      </c>
      <c r="X382">
        <v>4513</v>
      </c>
      <c r="Y382" t="s">
        <v>1493</v>
      </c>
      <c r="Z382" t="s">
        <v>19</v>
      </c>
      <c r="AA382">
        <v>4646</v>
      </c>
      <c r="AB382" t="s">
        <v>19</v>
      </c>
      <c r="AC382" t="s">
        <v>19</v>
      </c>
      <c r="AD382">
        <v>4647</v>
      </c>
      <c r="AE382" t="s">
        <v>1488</v>
      </c>
      <c r="AF382" t="s">
        <v>19</v>
      </c>
      <c r="AG382">
        <v>4650</v>
      </c>
      <c r="AH382" t="s">
        <v>19</v>
      </c>
      <c r="AI382" t="s">
        <v>19</v>
      </c>
      <c r="AJ382">
        <v>4670</v>
      </c>
      <c r="AK382" t="s">
        <v>1490</v>
      </c>
      <c r="AL382" t="s">
        <v>19</v>
      </c>
      <c r="AM382">
        <v>4674</v>
      </c>
      <c r="AN382" t="s">
        <v>1491</v>
      </c>
      <c r="AO382" t="s">
        <v>19</v>
      </c>
    </row>
    <row r="383" spans="1:41" x14ac:dyDescent="0.45">
      <c r="A383" t="s">
        <v>1265</v>
      </c>
      <c r="B383">
        <v>8</v>
      </c>
      <c r="C383" t="str">
        <f>HYPERLINK("http://www.ncbi.nlm.nih.gov/protein/XP_036066007.1","XP_036066007.1")</f>
        <v>XP_036066007.1</v>
      </c>
      <c r="D383">
        <v>69270</v>
      </c>
      <c r="E383" t="str">
        <f>HYPERLINK("http://www.ncbi.nlm.nih.gov/Taxonomy/Browser/wwwtax.cgi?mode=Info&amp;id=30732&amp;lvl=3&amp;lin=f&amp;keep=1&amp;srchmode=1&amp;unlock","30732")</f>
        <v>30732</v>
      </c>
      <c r="F383" t="s">
        <v>17</v>
      </c>
      <c r="G383" t="str">
        <f>HYPERLINK("http://www.ncbi.nlm.nih.gov/Taxonomy/Browser/wwwtax.cgi?mode=Info&amp;id=30732&amp;lvl=3&amp;lin=f&amp;keep=1&amp;srchmode=1&amp;unlock","Oryzias melastigma")</f>
        <v>Oryzias melastigma</v>
      </c>
      <c r="H383" t="s">
        <v>69</v>
      </c>
      <c r="I383" t="str">
        <f>HYPERLINK("http://www.ncbi.nlm.nih.gov/protein/XP_036066007.1","ryanodine receptor 3 isoform X7")</f>
        <v>ryanodine receptor 3 isoform X7</v>
      </c>
      <c r="J383" t="s">
        <v>1496</v>
      </c>
      <c r="K383" t="s">
        <v>19</v>
      </c>
      <c r="L383">
        <v>4423</v>
      </c>
      <c r="M383" t="s">
        <v>19</v>
      </c>
      <c r="N383" t="s">
        <v>19</v>
      </c>
      <c r="O383">
        <v>4426</v>
      </c>
      <c r="P383" t="s">
        <v>1486</v>
      </c>
      <c r="Q383" t="s">
        <v>19</v>
      </c>
      <c r="R383">
        <v>4427</v>
      </c>
      <c r="S383" t="s">
        <v>1487</v>
      </c>
      <c r="T383" t="s">
        <v>19</v>
      </c>
      <c r="U383">
        <v>4430</v>
      </c>
      <c r="V383" t="s">
        <v>1488</v>
      </c>
      <c r="W383" t="s">
        <v>19</v>
      </c>
      <c r="X383">
        <v>4499</v>
      </c>
      <c r="Y383" t="s">
        <v>1493</v>
      </c>
      <c r="Z383" t="s">
        <v>19</v>
      </c>
      <c r="AA383">
        <v>4632</v>
      </c>
      <c r="AB383" t="s">
        <v>19</v>
      </c>
      <c r="AC383" t="s">
        <v>19</v>
      </c>
      <c r="AD383">
        <v>4633</v>
      </c>
      <c r="AE383" t="s">
        <v>1488</v>
      </c>
      <c r="AF383" t="s">
        <v>19</v>
      </c>
      <c r="AG383">
        <v>4636</v>
      </c>
      <c r="AH383" t="s">
        <v>19</v>
      </c>
      <c r="AI383" t="s">
        <v>19</v>
      </c>
      <c r="AJ383">
        <v>4656</v>
      </c>
      <c r="AK383" t="s">
        <v>1490</v>
      </c>
      <c r="AL383" t="s">
        <v>19</v>
      </c>
      <c r="AM383">
        <v>4660</v>
      </c>
      <c r="AN383" t="s">
        <v>1491</v>
      </c>
      <c r="AO383" t="s">
        <v>19</v>
      </c>
    </row>
    <row r="384" spans="1:41" x14ac:dyDescent="0.45">
      <c r="A384" t="s">
        <v>1265</v>
      </c>
      <c r="B384">
        <v>8</v>
      </c>
      <c r="C384" t="str">
        <f>HYPERLINK("http://www.ncbi.nlm.nih.gov/protein/XP_031644071.1","XP_031644071.1")</f>
        <v>XP_031644071.1</v>
      </c>
      <c r="D384">
        <v>89618</v>
      </c>
      <c r="E384" t="str">
        <f>HYPERLINK("http://www.ncbi.nlm.nih.gov/Taxonomy/Browser/wwwtax.cgi?mode=Info&amp;id=8019&amp;lvl=3&amp;lin=f&amp;keep=1&amp;srchmode=1&amp;unlock","8019")</f>
        <v>8019</v>
      </c>
      <c r="F384" t="s">
        <v>17</v>
      </c>
      <c r="G384" t="str">
        <f>HYPERLINK("http://www.ncbi.nlm.nih.gov/Taxonomy/Browser/wwwtax.cgi?mode=Info&amp;id=8019&amp;lvl=3&amp;lin=f&amp;keep=1&amp;srchmode=1&amp;unlock","Oncorhynchus kisutch")</f>
        <v>Oncorhynchus kisutch</v>
      </c>
      <c r="H384" t="s">
        <v>164</v>
      </c>
      <c r="I384" t="str">
        <f>HYPERLINK("http://www.ncbi.nlm.nih.gov/protein/XP_031644071.1","ryanodine receptor 3-like isoform X4")</f>
        <v>ryanodine receptor 3-like isoform X4</v>
      </c>
      <c r="J384" t="s">
        <v>1496</v>
      </c>
      <c r="K384" t="s">
        <v>19</v>
      </c>
      <c r="L384">
        <v>4423</v>
      </c>
      <c r="M384" t="s">
        <v>19</v>
      </c>
      <c r="N384" t="s">
        <v>19</v>
      </c>
      <c r="O384">
        <v>4426</v>
      </c>
      <c r="P384" t="s">
        <v>1486</v>
      </c>
      <c r="Q384" t="s">
        <v>19</v>
      </c>
      <c r="R384">
        <v>4427</v>
      </c>
      <c r="S384" t="s">
        <v>1487</v>
      </c>
      <c r="T384" t="s">
        <v>19</v>
      </c>
      <c r="U384">
        <v>4430</v>
      </c>
      <c r="V384" t="s">
        <v>1488</v>
      </c>
      <c r="W384" t="s">
        <v>19</v>
      </c>
      <c r="X384">
        <v>4503</v>
      </c>
      <c r="Y384" t="s">
        <v>1493</v>
      </c>
      <c r="Z384" t="s">
        <v>19</v>
      </c>
      <c r="AA384">
        <v>4636</v>
      </c>
      <c r="AB384" t="s">
        <v>19</v>
      </c>
      <c r="AC384" t="s">
        <v>19</v>
      </c>
      <c r="AD384">
        <v>4637</v>
      </c>
      <c r="AE384" t="s">
        <v>1488</v>
      </c>
      <c r="AF384" t="s">
        <v>19</v>
      </c>
      <c r="AG384">
        <v>4640</v>
      </c>
      <c r="AH384" t="s">
        <v>19</v>
      </c>
      <c r="AI384" t="s">
        <v>19</v>
      </c>
      <c r="AJ384">
        <v>4660</v>
      </c>
      <c r="AK384" t="s">
        <v>1490</v>
      </c>
      <c r="AL384" t="s">
        <v>19</v>
      </c>
      <c r="AM384">
        <v>4664</v>
      </c>
      <c r="AN384" t="s">
        <v>1491</v>
      </c>
      <c r="AO384" t="s">
        <v>19</v>
      </c>
    </row>
    <row r="385" spans="1:41" x14ac:dyDescent="0.45">
      <c r="A385" t="s">
        <v>1265</v>
      </c>
      <c r="B385">
        <v>8</v>
      </c>
      <c r="C385" t="str">
        <f>HYPERLINK("http://www.ncbi.nlm.nih.gov/protein/XP_034714451.1","XP_034714451.1")</f>
        <v>XP_034714451.1</v>
      </c>
      <c r="D385">
        <v>45233</v>
      </c>
      <c r="E385" t="str">
        <f>HYPERLINK("http://www.ncbi.nlm.nih.gov/Taxonomy/Browser/wwwtax.cgi?mode=Info&amp;id=417921&amp;lvl=3&amp;lin=f&amp;keep=1&amp;srchmode=1&amp;unlock","417921")</f>
        <v>417921</v>
      </c>
      <c r="F385" t="s">
        <v>17</v>
      </c>
      <c r="G385" t="str">
        <f>HYPERLINK("http://www.ncbi.nlm.nih.gov/Taxonomy/Browser/wwwtax.cgi?mode=Info&amp;id=417921&amp;lvl=3&amp;lin=f&amp;keep=1&amp;srchmode=1&amp;unlock","Etheostoma cragini")</f>
        <v>Etheostoma cragini</v>
      </c>
      <c r="H385" t="s">
        <v>76</v>
      </c>
      <c r="I385" t="str">
        <f>HYPERLINK("http://www.ncbi.nlm.nih.gov/protein/XP_034714451.1","ryanodine receptor 3-like isoform X5")</f>
        <v>ryanodine receptor 3-like isoform X5</v>
      </c>
      <c r="J385" t="s">
        <v>1496</v>
      </c>
      <c r="K385" t="s">
        <v>19</v>
      </c>
      <c r="L385">
        <v>4436</v>
      </c>
      <c r="M385" t="s">
        <v>19</v>
      </c>
      <c r="N385" t="s">
        <v>19</v>
      </c>
      <c r="O385">
        <v>4439</v>
      </c>
      <c r="P385" t="s">
        <v>1486</v>
      </c>
      <c r="Q385" t="s">
        <v>19</v>
      </c>
      <c r="R385">
        <v>4440</v>
      </c>
      <c r="S385" t="s">
        <v>1487</v>
      </c>
      <c r="T385" t="s">
        <v>19</v>
      </c>
      <c r="U385">
        <v>4443</v>
      </c>
      <c r="V385" t="s">
        <v>1488</v>
      </c>
      <c r="W385" t="s">
        <v>19</v>
      </c>
      <c r="X385">
        <v>4515</v>
      </c>
      <c r="Y385" t="s">
        <v>1493</v>
      </c>
      <c r="Z385" t="s">
        <v>19</v>
      </c>
      <c r="AA385">
        <v>4648</v>
      </c>
      <c r="AB385" t="s">
        <v>19</v>
      </c>
      <c r="AC385" t="s">
        <v>19</v>
      </c>
      <c r="AD385">
        <v>4649</v>
      </c>
      <c r="AE385" t="s">
        <v>1488</v>
      </c>
      <c r="AF385" t="s">
        <v>19</v>
      </c>
      <c r="AG385">
        <v>4652</v>
      </c>
      <c r="AH385" t="s">
        <v>19</v>
      </c>
      <c r="AI385" t="s">
        <v>19</v>
      </c>
      <c r="AJ385">
        <v>4672</v>
      </c>
      <c r="AK385" t="s">
        <v>1490</v>
      </c>
      <c r="AL385" t="s">
        <v>19</v>
      </c>
      <c r="AM385">
        <v>4676</v>
      </c>
      <c r="AN385" t="s">
        <v>1491</v>
      </c>
      <c r="AO385" t="s">
        <v>19</v>
      </c>
    </row>
    <row r="386" spans="1:41" x14ac:dyDescent="0.45">
      <c r="A386" t="s">
        <v>1265</v>
      </c>
      <c r="B386">
        <v>8</v>
      </c>
      <c r="C386" t="str">
        <f>HYPERLINK("http://www.ncbi.nlm.nih.gov/protein/XP_028422374.1","XP_028422374.1")</f>
        <v>XP_028422374.1</v>
      </c>
      <c r="D386">
        <v>65002</v>
      </c>
      <c r="E386" t="str">
        <f>HYPERLINK("http://www.ncbi.nlm.nih.gov/Taxonomy/Browser/wwwtax.cgi?mode=Info&amp;id=8167&amp;lvl=3&amp;lin=f&amp;keep=1&amp;srchmode=1&amp;unlock","8167")</f>
        <v>8167</v>
      </c>
      <c r="F386" t="s">
        <v>17</v>
      </c>
      <c r="G386" t="str">
        <f>HYPERLINK("http://www.ncbi.nlm.nih.gov/Taxonomy/Browser/wwwtax.cgi?mode=Info&amp;id=8167&amp;lvl=3&amp;lin=f&amp;keep=1&amp;srchmode=1&amp;unlock","Perca flavescens")</f>
        <v>Perca flavescens</v>
      </c>
      <c r="H386" t="s">
        <v>67</v>
      </c>
      <c r="I386" t="str">
        <f>HYPERLINK("http://www.ncbi.nlm.nih.gov/protein/XP_028422374.1","ryanodine receptor 3-like")</f>
        <v>ryanodine receptor 3-like</v>
      </c>
      <c r="J386" t="s">
        <v>1496</v>
      </c>
      <c r="K386" t="s">
        <v>19</v>
      </c>
      <c r="L386">
        <v>4419</v>
      </c>
      <c r="M386" t="s">
        <v>19</v>
      </c>
      <c r="N386" t="s">
        <v>19</v>
      </c>
      <c r="O386">
        <v>4422</v>
      </c>
      <c r="P386" t="s">
        <v>1486</v>
      </c>
      <c r="Q386" t="s">
        <v>19</v>
      </c>
      <c r="R386">
        <v>4423</v>
      </c>
      <c r="S386" t="s">
        <v>1487</v>
      </c>
      <c r="T386" t="s">
        <v>19</v>
      </c>
      <c r="U386">
        <v>4426</v>
      </c>
      <c r="V386" t="s">
        <v>1488</v>
      </c>
      <c r="W386" t="s">
        <v>19</v>
      </c>
      <c r="X386">
        <v>4499</v>
      </c>
      <c r="Y386" t="s">
        <v>1493</v>
      </c>
      <c r="Z386" t="s">
        <v>19</v>
      </c>
      <c r="AA386">
        <v>4632</v>
      </c>
      <c r="AB386" t="s">
        <v>19</v>
      </c>
      <c r="AC386" t="s">
        <v>19</v>
      </c>
      <c r="AD386">
        <v>4633</v>
      </c>
      <c r="AE386" t="s">
        <v>1488</v>
      </c>
      <c r="AF386" t="s">
        <v>19</v>
      </c>
      <c r="AG386">
        <v>4636</v>
      </c>
      <c r="AH386" t="s">
        <v>19</v>
      </c>
      <c r="AI386" t="s">
        <v>19</v>
      </c>
      <c r="AJ386">
        <v>4656</v>
      </c>
      <c r="AK386" t="s">
        <v>1490</v>
      </c>
      <c r="AL386" t="s">
        <v>19</v>
      </c>
      <c r="AM386">
        <v>4660</v>
      </c>
      <c r="AN386" t="s">
        <v>1491</v>
      </c>
      <c r="AO386" t="s">
        <v>19</v>
      </c>
    </row>
    <row r="387" spans="1:41" x14ac:dyDescent="0.45">
      <c r="A387" t="s">
        <v>1265</v>
      </c>
      <c r="B387">
        <v>8</v>
      </c>
      <c r="C387" t="str">
        <f>HYPERLINK("http://www.ncbi.nlm.nih.gov/protein/XP_041809993.1","XP_041809993.1")</f>
        <v>XP_041809993.1</v>
      </c>
      <c r="D387">
        <v>33964</v>
      </c>
      <c r="E387" t="str">
        <f>HYPERLINK("http://www.ncbi.nlm.nih.gov/Taxonomy/Browser/wwwtax.cgi?mode=Info&amp;id=109905&amp;lvl=3&amp;lin=f&amp;keep=1&amp;srchmode=1&amp;unlock","109905")</f>
        <v>109905</v>
      </c>
      <c r="F387" t="s">
        <v>17</v>
      </c>
      <c r="G387" t="str">
        <f>HYPERLINK("http://www.ncbi.nlm.nih.gov/Taxonomy/Browser/wwwtax.cgi?mode=Info&amp;id=109905&amp;lvl=3&amp;lin=f&amp;keep=1&amp;srchmode=1&amp;unlock","Chelmon rostratus")</f>
        <v>Chelmon rostratus</v>
      </c>
      <c r="H387" t="s">
        <v>64</v>
      </c>
      <c r="I387" t="str">
        <f>HYPERLINK("http://www.ncbi.nlm.nih.gov/protein/XP_041809993.1","ryanodine receptor 3-like")</f>
        <v>ryanodine receptor 3-like</v>
      </c>
      <c r="J387" t="s">
        <v>1496</v>
      </c>
      <c r="K387" t="s">
        <v>19</v>
      </c>
      <c r="L387">
        <v>4442</v>
      </c>
      <c r="M387" t="s">
        <v>19</v>
      </c>
      <c r="N387" t="s">
        <v>19</v>
      </c>
      <c r="O387">
        <v>4445</v>
      </c>
      <c r="P387" t="s">
        <v>1486</v>
      </c>
      <c r="Q387" t="s">
        <v>19</v>
      </c>
      <c r="R387">
        <v>4446</v>
      </c>
      <c r="S387" t="s">
        <v>1487</v>
      </c>
      <c r="T387" t="s">
        <v>19</v>
      </c>
      <c r="U387">
        <v>4449</v>
      </c>
      <c r="V387" t="s">
        <v>1488</v>
      </c>
      <c r="W387" t="s">
        <v>19</v>
      </c>
      <c r="X387">
        <v>4524</v>
      </c>
      <c r="Y387" t="s">
        <v>1493</v>
      </c>
      <c r="Z387" t="s">
        <v>19</v>
      </c>
      <c r="AA387">
        <v>4657</v>
      </c>
      <c r="AB387" t="s">
        <v>19</v>
      </c>
      <c r="AC387" t="s">
        <v>19</v>
      </c>
      <c r="AD387">
        <v>4658</v>
      </c>
      <c r="AE387" t="s">
        <v>1488</v>
      </c>
      <c r="AF387" t="s">
        <v>19</v>
      </c>
      <c r="AG387">
        <v>4661</v>
      </c>
      <c r="AH387" t="s">
        <v>19</v>
      </c>
      <c r="AI387" t="s">
        <v>19</v>
      </c>
      <c r="AJ387">
        <v>4681</v>
      </c>
      <c r="AK387" t="s">
        <v>1490</v>
      </c>
      <c r="AL387" t="s">
        <v>19</v>
      </c>
      <c r="AM387">
        <v>4685</v>
      </c>
      <c r="AN387" t="s">
        <v>1491</v>
      </c>
      <c r="AO387" t="s">
        <v>19</v>
      </c>
    </row>
    <row r="388" spans="1:41" x14ac:dyDescent="0.45">
      <c r="A388" t="s">
        <v>1265</v>
      </c>
      <c r="B388">
        <v>8</v>
      </c>
      <c r="C388" t="str">
        <f>HYPERLINK("http://www.ncbi.nlm.nih.gov/protein/XP_028251793.1","XP_028251793.1")</f>
        <v>XP_028251793.1</v>
      </c>
      <c r="D388">
        <v>41039</v>
      </c>
      <c r="E388" t="str">
        <f>HYPERLINK("http://www.ncbi.nlm.nih.gov/Taxonomy/Browser/wwwtax.cgi?mode=Info&amp;id=210632&amp;lvl=3&amp;lin=f&amp;keep=1&amp;srchmode=1&amp;unlock","210632")</f>
        <v>210632</v>
      </c>
      <c r="F388" t="s">
        <v>17</v>
      </c>
      <c r="G388" t="str">
        <f>HYPERLINK("http://www.ncbi.nlm.nih.gov/Taxonomy/Browser/wwwtax.cgi?mode=Info&amp;id=210632&amp;lvl=3&amp;lin=f&amp;keep=1&amp;srchmode=1&amp;unlock","Parambassis ranga")</f>
        <v>Parambassis ranga</v>
      </c>
      <c r="H388" t="s">
        <v>50</v>
      </c>
      <c r="I388" t="str">
        <f>HYPERLINK("http://www.ncbi.nlm.nih.gov/protein/XP_028251793.1","ryanodine receptor 3-like")</f>
        <v>ryanodine receptor 3-like</v>
      </c>
      <c r="J388" t="s">
        <v>1496</v>
      </c>
      <c r="K388" t="s">
        <v>19</v>
      </c>
      <c r="L388">
        <v>4440</v>
      </c>
      <c r="M388" t="s">
        <v>19</v>
      </c>
      <c r="N388" t="s">
        <v>19</v>
      </c>
      <c r="O388">
        <v>4443</v>
      </c>
      <c r="P388" t="s">
        <v>1486</v>
      </c>
      <c r="Q388" t="s">
        <v>19</v>
      </c>
      <c r="R388">
        <v>4444</v>
      </c>
      <c r="S388" t="s">
        <v>1487</v>
      </c>
      <c r="T388" t="s">
        <v>19</v>
      </c>
      <c r="U388">
        <v>4447</v>
      </c>
      <c r="V388" t="s">
        <v>1488</v>
      </c>
      <c r="W388" t="s">
        <v>19</v>
      </c>
      <c r="X388">
        <v>4518</v>
      </c>
      <c r="Y388" t="s">
        <v>1493</v>
      </c>
      <c r="Z388" t="s">
        <v>19</v>
      </c>
      <c r="AA388">
        <v>4651</v>
      </c>
      <c r="AB388" t="s">
        <v>19</v>
      </c>
      <c r="AC388" t="s">
        <v>19</v>
      </c>
      <c r="AD388">
        <v>4652</v>
      </c>
      <c r="AE388" t="s">
        <v>1488</v>
      </c>
      <c r="AF388" t="s">
        <v>19</v>
      </c>
      <c r="AG388">
        <v>4655</v>
      </c>
      <c r="AH388" t="s">
        <v>19</v>
      </c>
      <c r="AI388" t="s">
        <v>19</v>
      </c>
      <c r="AJ388">
        <v>4675</v>
      </c>
      <c r="AK388" t="s">
        <v>1490</v>
      </c>
      <c r="AL388" t="s">
        <v>19</v>
      </c>
      <c r="AM388">
        <v>4679</v>
      </c>
      <c r="AN388" t="s">
        <v>1491</v>
      </c>
      <c r="AO388" t="s">
        <v>19</v>
      </c>
    </row>
    <row r="389" spans="1:41" x14ac:dyDescent="0.45">
      <c r="A389" t="s">
        <v>1265</v>
      </c>
      <c r="B389">
        <v>8</v>
      </c>
      <c r="C389" t="str">
        <f>HYPERLINK("http://www.ncbi.nlm.nih.gov/protein/XP_024285830.1","XP_024285830.1")</f>
        <v>XP_024285830.1</v>
      </c>
      <c r="D389">
        <v>83228</v>
      </c>
      <c r="E389" t="str">
        <f>HYPERLINK("http://www.ncbi.nlm.nih.gov/Taxonomy/Browser/wwwtax.cgi?mode=Info&amp;id=74940&amp;lvl=3&amp;lin=f&amp;keep=1&amp;srchmode=1&amp;unlock","74940")</f>
        <v>74940</v>
      </c>
      <c r="F389" t="s">
        <v>17</v>
      </c>
      <c r="G389" t="str">
        <f>HYPERLINK("http://www.ncbi.nlm.nih.gov/Taxonomy/Browser/wwwtax.cgi?mode=Info&amp;id=74940&amp;lvl=3&amp;lin=f&amp;keep=1&amp;srchmode=1&amp;unlock","Oncorhynchus tshawytscha")</f>
        <v>Oncorhynchus tshawytscha</v>
      </c>
      <c r="H389" t="s">
        <v>185</v>
      </c>
      <c r="I389" t="str">
        <f>HYPERLINK("http://www.ncbi.nlm.nih.gov/protein/XP_024285830.1","ryanodine receptor 3")</f>
        <v>ryanodine receptor 3</v>
      </c>
      <c r="J389" t="s">
        <v>1496</v>
      </c>
      <c r="K389" t="s">
        <v>19</v>
      </c>
      <c r="L389">
        <v>4429</v>
      </c>
      <c r="M389" t="s">
        <v>19</v>
      </c>
      <c r="N389" t="s">
        <v>19</v>
      </c>
      <c r="O389">
        <v>4432</v>
      </c>
      <c r="P389" t="s">
        <v>1486</v>
      </c>
      <c r="Q389" t="s">
        <v>19</v>
      </c>
      <c r="R389">
        <v>4433</v>
      </c>
      <c r="S389" t="s">
        <v>1487</v>
      </c>
      <c r="T389" t="s">
        <v>19</v>
      </c>
      <c r="U389">
        <v>4436</v>
      </c>
      <c r="V389" t="s">
        <v>1488</v>
      </c>
      <c r="W389" t="s">
        <v>19</v>
      </c>
      <c r="X389">
        <v>4509</v>
      </c>
      <c r="Y389" t="s">
        <v>1493</v>
      </c>
      <c r="Z389" t="s">
        <v>19</v>
      </c>
      <c r="AA389">
        <v>4642</v>
      </c>
      <c r="AB389" t="s">
        <v>19</v>
      </c>
      <c r="AC389" t="s">
        <v>19</v>
      </c>
      <c r="AD389">
        <v>4643</v>
      </c>
      <c r="AE389" t="s">
        <v>1488</v>
      </c>
      <c r="AF389" t="s">
        <v>19</v>
      </c>
      <c r="AG389">
        <v>4646</v>
      </c>
      <c r="AH389" t="s">
        <v>19</v>
      </c>
      <c r="AI389" t="s">
        <v>19</v>
      </c>
      <c r="AJ389">
        <v>4666</v>
      </c>
      <c r="AK389" t="s">
        <v>1490</v>
      </c>
      <c r="AL389" t="s">
        <v>19</v>
      </c>
      <c r="AM389">
        <v>4670</v>
      </c>
      <c r="AN389" t="s">
        <v>1491</v>
      </c>
      <c r="AO389" t="s">
        <v>19</v>
      </c>
    </row>
    <row r="390" spans="1:41" x14ac:dyDescent="0.45">
      <c r="A390" t="s">
        <v>1265</v>
      </c>
      <c r="B390">
        <v>8</v>
      </c>
      <c r="C390" t="str">
        <f>HYPERLINK("http://www.ncbi.nlm.nih.gov/protein/XP_029350174.1","XP_029350174.1")</f>
        <v>XP_029350174.1</v>
      </c>
      <c r="D390">
        <v>38281</v>
      </c>
      <c r="E390" t="str">
        <f>HYPERLINK("http://www.ncbi.nlm.nih.gov/Taxonomy/Browser/wwwtax.cgi?mode=Info&amp;id=173247&amp;lvl=3&amp;lin=f&amp;keep=1&amp;srchmode=1&amp;unlock","173247")</f>
        <v>173247</v>
      </c>
      <c r="F390" t="s">
        <v>17</v>
      </c>
      <c r="G390" t="str">
        <f>HYPERLINK("http://www.ncbi.nlm.nih.gov/Taxonomy/Browser/wwwtax.cgi?mode=Info&amp;id=173247&amp;lvl=3&amp;lin=f&amp;keep=1&amp;srchmode=1&amp;unlock","Echeneis naucrates")</f>
        <v>Echeneis naucrates</v>
      </c>
      <c r="H390" t="s">
        <v>66</v>
      </c>
      <c r="I390" t="str">
        <f>HYPERLINK("http://www.ncbi.nlm.nih.gov/protein/XP_029350174.1","ryanodine receptor 3-like")</f>
        <v>ryanodine receptor 3-like</v>
      </c>
      <c r="J390" t="s">
        <v>1496</v>
      </c>
      <c r="K390" t="s">
        <v>19</v>
      </c>
      <c r="L390">
        <v>4408</v>
      </c>
      <c r="M390" t="s">
        <v>19</v>
      </c>
      <c r="N390" t="s">
        <v>19</v>
      </c>
      <c r="O390">
        <v>4411</v>
      </c>
      <c r="P390" t="s">
        <v>1486</v>
      </c>
      <c r="Q390" t="s">
        <v>19</v>
      </c>
      <c r="R390">
        <v>4412</v>
      </c>
      <c r="S390" t="s">
        <v>1487</v>
      </c>
      <c r="T390" t="s">
        <v>19</v>
      </c>
      <c r="U390">
        <v>4415</v>
      </c>
      <c r="V390" t="s">
        <v>1488</v>
      </c>
      <c r="W390" t="s">
        <v>19</v>
      </c>
      <c r="X390">
        <v>4486</v>
      </c>
      <c r="Y390" t="s">
        <v>1493</v>
      </c>
      <c r="Z390" t="s">
        <v>19</v>
      </c>
      <c r="AA390">
        <v>4619</v>
      </c>
      <c r="AB390" t="s">
        <v>19</v>
      </c>
      <c r="AC390" t="s">
        <v>19</v>
      </c>
      <c r="AD390">
        <v>4620</v>
      </c>
      <c r="AE390" t="s">
        <v>1488</v>
      </c>
      <c r="AF390" t="s">
        <v>19</v>
      </c>
      <c r="AG390">
        <v>4623</v>
      </c>
      <c r="AH390" t="s">
        <v>19</v>
      </c>
      <c r="AI390" t="s">
        <v>19</v>
      </c>
      <c r="AJ390">
        <v>4643</v>
      </c>
      <c r="AK390" t="s">
        <v>1490</v>
      </c>
      <c r="AL390" t="s">
        <v>19</v>
      </c>
      <c r="AM390">
        <v>4647</v>
      </c>
      <c r="AN390" t="s">
        <v>1491</v>
      </c>
      <c r="AO390" t="s">
        <v>19</v>
      </c>
    </row>
    <row r="391" spans="1:41" x14ac:dyDescent="0.45">
      <c r="A391" t="s">
        <v>1265</v>
      </c>
      <c r="B391">
        <v>8</v>
      </c>
      <c r="C391" t="str">
        <f>HYPERLINK("http://www.ncbi.nlm.nih.gov/protein/XP_013768729.1","XP_013768729.1")</f>
        <v>XP_013768729.1</v>
      </c>
      <c r="D391">
        <v>38743</v>
      </c>
      <c r="E391" t="str">
        <f>HYPERLINK("http://www.ncbi.nlm.nih.gov/Taxonomy/Browser/wwwtax.cgi?mode=Info&amp;id=303518&amp;lvl=3&amp;lin=f&amp;keep=1&amp;srchmode=1&amp;unlock","303518")</f>
        <v>303518</v>
      </c>
      <c r="F391" t="s">
        <v>17</v>
      </c>
      <c r="G391" t="str">
        <f>HYPERLINK("http://www.ncbi.nlm.nih.gov/Taxonomy/Browser/wwwtax.cgi?mode=Info&amp;id=303518&amp;lvl=3&amp;lin=f&amp;keep=1&amp;srchmode=1&amp;unlock","Pundamilia nyererei")</f>
        <v>Pundamilia nyererei</v>
      </c>
      <c r="H391" t="s">
        <v>73</v>
      </c>
      <c r="I391" t="str">
        <f>HYPERLINK("http://www.ncbi.nlm.nih.gov/protein/XP_013768729.1","PREDICTED: LOW QUALITY PROTEIN: ryanodine receptor 3-like")</f>
        <v>PREDICTED: LOW QUALITY PROTEIN: ryanodine receptor 3-like</v>
      </c>
      <c r="J391" t="s">
        <v>1496</v>
      </c>
      <c r="K391" t="s">
        <v>19</v>
      </c>
      <c r="L391">
        <v>4432</v>
      </c>
      <c r="M391" t="s">
        <v>19</v>
      </c>
      <c r="N391" t="s">
        <v>19</v>
      </c>
      <c r="O391">
        <v>4435</v>
      </c>
      <c r="P391" t="s">
        <v>1486</v>
      </c>
      <c r="Q391" t="s">
        <v>19</v>
      </c>
      <c r="R391">
        <v>4436</v>
      </c>
      <c r="S391" t="s">
        <v>1487</v>
      </c>
      <c r="T391" t="s">
        <v>19</v>
      </c>
      <c r="U391">
        <v>4439</v>
      </c>
      <c r="V391" t="s">
        <v>1488</v>
      </c>
      <c r="W391" t="s">
        <v>19</v>
      </c>
      <c r="X391">
        <v>4510</v>
      </c>
      <c r="Y391" t="s">
        <v>1493</v>
      </c>
      <c r="Z391" t="s">
        <v>19</v>
      </c>
      <c r="AA391">
        <v>4643</v>
      </c>
      <c r="AB391" t="s">
        <v>19</v>
      </c>
      <c r="AC391" t="s">
        <v>19</v>
      </c>
      <c r="AD391">
        <v>4644</v>
      </c>
      <c r="AE391" t="s">
        <v>1488</v>
      </c>
      <c r="AF391" t="s">
        <v>19</v>
      </c>
      <c r="AG391">
        <v>4647</v>
      </c>
      <c r="AH391" t="s">
        <v>19</v>
      </c>
      <c r="AI391" t="s">
        <v>19</v>
      </c>
      <c r="AJ391">
        <v>4667</v>
      </c>
      <c r="AK391" t="s">
        <v>1490</v>
      </c>
      <c r="AL391" t="s">
        <v>19</v>
      </c>
      <c r="AM391">
        <v>4671</v>
      </c>
      <c r="AN391" t="s">
        <v>1491</v>
      </c>
      <c r="AO391" t="s">
        <v>19</v>
      </c>
    </row>
    <row r="392" spans="1:41" x14ac:dyDescent="0.45">
      <c r="A392" t="s">
        <v>1265</v>
      </c>
      <c r="B392">
        <v>8</v>
      </c>
      <c r="C392" t="str">
        <f>HYPERLINK("http://www.ncbi.nlm.nih.gov/protein/XP_060918710.1","XP_060918710.1")</f>
        <v>XP_060918710.1</v>
      </c>
      <c r="D392">
        <v>39850</v>
      </c>
      <c r="E392" t="str">
        <f>HYPERLINK("http://www.ncbi.nlm.nih.gov/Taxonomy/Browser/wwwtax.cgi?mode=Info&amp;id=508554&amp;lvl=3&amp;lin=f&amp;keep=1&amp;srchmode=1&amp;unlock","508554")</f>
        <v>508554</v>
      </c>
      <c r="F392" t="s">
        <v>17</v>
      </c>
      <c r="G392" t="str">
        <f>HYPERLINK("http://www.ncbi.nlm.nih.gov/Taxonomy/Browser/wwwtax.cgi?mode=Info&amp;id=508554&amp;lvl=3&amp;lin=f&amp;keep=1&amp;srchmode=1&amp;unlock","Labrus mixtus")</f>
        <v>Labrus mixtus</v>
      </c>
      <c r="H392" t="s">
        <v>92</v>
      </c>
      <c r="I392" t="str">
        <f>HYPERLINK("http://www.ncbi.nlm.nih.gov/protein/XP_060918710.1","ryanodine receptor 3-like")</f>
        <v>ryanodine receptor 3-like</v>
      </c>
      <c r="J392" t="s">
        <v>1496</v>
      </c>
      <c r="K392" t="s">
        <v>19</v>
      </c>
      <c r="L392">
        <v>4434</v>
      </c>
      <c r="M392" t="s">
        <v>19</v>
      </c>
      <c r="N392" t="s">
        <v>19</v>
      </c>
      <c r="O392">
        <v>4437</v>
      </c>
      <c r="P392" t="s">
        <v>1486</v>
      </c>
      <c r="Q392" t="s">
        <v>19</v>
      </c>
      <c r="R392">
        <v>4438</v>
      </c>
      <c r="S392" t="s">
        <v>1487</v>
      </c>
      <c r="T392" t="s">
        <v>19</v>
      </c>
      <c r="U392">
        <v>4441</v>
      </c>
      <c r="V392" t="s">
        <v>1488</v>
      </c>
      <c r="W392" t="s">
        <v>19</v>
      </c>
      <c r="X392">
        <v>4512</v>
      </c>
      <c r="Y392" t="s">
        <v>1493</v>
      </c>
      <c r="Z392" t="s">
        <v>19</v>
      </c>
      <c r="AA392">
        <v>4645</v>
      </c>
      <c r="AB392" t="s">
        <v>19</v>
      </c>
      <c r="AC392" t="s">
        <v>19</v>
      </c>
      <c r="AD392">
        <v>4646</v>
      </c>
      <c r="AE392" t="s">
        <v>1488</v>
      </c>
      <c r="AF392" t="s">
        <v>19</v>
      </c>
      <c r="AG392">
        <v>4649</v>
      </c>
      <c r="AH392" t="s">
        <v>19</v>
      </c>
      <c r="AI392" t="s">
        <v>19</v>
      </c>
      <c r="AJ392">
        <v>4669</v>
      </c>
      <c r="AK392" t="s">
        <v>1490</v>
      </c>
      <c r="AL392" t="s">
        <v>19</v>
      </c>
      <c r="AM392">
        <v>4673</v>
      </c>
      <c r="AN392" t="s">
        <v>1491</v>
      </c>
      <c r="AO392" t="s">
        <v>19</v>
      </c>
    </row>
    <row r="393" spans="1:41" x14ac:dyDescent="0.45">
      <c r="A393" t="s">
        <v>1265</v>
      </c>
      <c r="B393">
        <v>8</v>
      </c>
      <c r="C393" t="str">
        <f>HYPERLINK("http://www.ncbi.nlm.nih.gov/protein/XP_031703592.1","XP_031703592.1")</f>
        <v>XP_031703592.1</v>
      </c>
      <c r="D393">
        <v>41917</v>
      </c>
      <c r="E393" t="str">
        <f>HYPERLINK("http://www.ncbi.nlm.nih.gov/Taxonomy/Browser/wwwtax.cgi?mode=Info&amp;id=433405&amp;lvl=3&amp;lin=f&amp;keep=1&amp;srchmode=1&amp;unlock","433405")</f>
        <v>433405</v>
      </c>
      <c r="F393" t="s">
        <v>17</v>
      </c>
      <c r="G393" t="str">
        <f>HYPERLINK("http://www.ncbi.nlm.nih.gov/Taxonomy/Browser/wwwtax.cgi?mode=Info&amp;id=433405&amp;lvl=3&amp;lin=f&amp;keep=1&amp;srchmode=1&amp;unlock","Anarrhichthys ocellatus")</f>
        <v>Anarrhichthys ocellatus</v>
      </c>
      <c r="H393" t="s">
        <v>98</v>
      </c>
      <c r="I393" t="str">
        <f>HYPERLINK("http://www.ncbi.nlm.nih.gov/protein/XP_031703592.1","ryanodine receptor 3-like isoform X14")</f>
        <v>ryanodine receptor 3-like isoform X14</v>
      </c>
      <c r="J393" t="s">
        <v>1496</v>
      </c>
      <c r="K393" t="s">
        <v>19</v>
      </c>
      <c r="L393">
        <v>4421</v>
      </c>
      <c r="M393" t="s">
        <v>19</v>
      </c>
      <c r="N393" t="s">
        <v>19</v>
      </c>
      <c r="O393">
        <v>4424</v>
      </c>
      <c r="P393" t="s">
        <v>1486</v>
      </c>
      <c r="Q393" t="s">
        <v>19</v>
      </c>
      <c r="R393">
        <v>4425</v>
      </c>
      <c r="S393" t="s">
        <v>1487</v>
      </c>
      <c r="T393" t="s">
        <v>19</v>
      </c>
      <c r="U393">
        <v>4428</v>
      </c>
      <c r="V393" t="s">
        <v>1488</v>
      </c>
      <c r="W393" t="s">
        <v>19</v>
      </c>
      <c r="X393">
        <v>4500</v>
      </c>
      <c r="Y393" t="s">
        <v>1493</v>
      </c>
      <c r="Z393" t="s">
        <v>19</v>
      </c>
      <c r="AA393">
        <v>4633</v>
      </c>
      <c r="AB393" t="s">
        <v>19</v>
      </c>
      <c r="AC393" t="s">
        <v>19</v>
      </c>
      <c r="AD393">
        <v>4634</v>
      </c>
      <c r="AE393" t="s">
        <v>1488</v>
      </c>
      <c r="AF393" t="s">
        <v>19</v>
      </c>
      <c r="AG393">
        <v>4637</v>
      </c>
      <c r="AH393" t="s">
        <v>19</v>
      </c>
      <c r="AI393" t="s">
        <v>19</v>
      </c>
      <c r="AJ393">
        <v>4657</v>
      </c>
      <c r="AK393" t="s">
        <v>1490</v>
      </c>
      <c r="AL393" t="s">
        <v>19</v>
      </c>
      <c r="AM393">
        <v>4661</v>
      </c>
      <c r="AN393" t="s">
        <v>1491</v>
      </c>
      <c r="AO393" t="s">
        <v>19</v>
      </c>
    </row>
    <row r="394" spans="1:41" x14ac:dyDescent="0.45">
      <c r="A394" t="s">
        <v>1265</v>
      </c>
      <c r="B394">
        <v>8</v>
      </c>
      <c r="C394" t="str">
        <f>HYPERLINK("http://www.ncbi.nlm.nih.gov/protein/XP_053702099.1","XP_053702099.1")</f>
        <v>XP_053702099.1</v>
      </c>
      <c r="D394">
        <v>44916</v>
      </c>
      <c r="E394" t="str">
        <f>HYPERLINK("http://www.ncbi.nlm.nih.gov/Taxonomy/Browser/wwwtax.cgi?mode=Info&amp;id=270530&amp;lvl=3&amp;lin=f&amp;keep=1&amp;srchmode=1&amp;unlock","270530")</f>
        <v>270530</v>
      </c>
      <c r="F394" t="s">
        <v>17</v>
      </c>
      <c r="G394" t="str">
        <f>HYPERLINK("http://www.ncbi.nlm.nih.gov/Taxonomy/Browser/wwwtax.cgi?mode=Info&amp;id=270530&amp;lvl=3&amp;lin=f&amp;keep=1&amp;srchmode=1&amp;unlock","Synchiropus splendidus")</f>
        <v>Synchiropus splendidus</v>
      </c>
      <c r="H394" t="s">
        <v>134</v>
      </c>
      <c r="I394" t="str">
        <f>HYPERLINK("http://www.ncbi.nlm.nih.gov/protein/XP_053702099.1","ryanodine receptor 3-like isoform X2")</f>
        <v>ryanodine receptor 3-like isoform X2</v>
      </c>
      <c r="J394" t="s">
        <v>1496</v>
      </c>
      <c r="K394" t="s">
        <v>19</v>
      </c>
      <c r="L394">
        <v>4441</v>
      </c>
      <c r="M394" t="s">
        <v>19</v>
      </c>
      <c r="N394" t="s">
        <v>19</v>
      </c>
      <c r="O394">
        <v>4444</v>
      </c>
      <c r="P394" t="s">
        <v>1486</v>
      </c>
      <c r="Q394" t="s">
        <v>19</v>
      </c>
      <c r="R394">
        <v>4445</v>
      </c>
      <c r="S394" t="s">
        <v>1487</v>
      </c>
      <c r="T394" t="s">
        <v>19</v>
      </c>
      <c r="U394">
        <v>4448</v>
      </c>
      <c r="V394" t="s">
        <v>1488</v>
      </c>
      <c r="W394" t="s">
        <v>19</v>
      </c>
      <c r="X394">
        <v>4520</v>
      </c>
      <c r="Y394" t="s">
        <v>1493</v>
      </c>
      <c r="Z394" t="s">
        <v>19</v>
      </c>
      <c r="AA394">
        <v>4653</v>
      </c>
      <c r="AB394" t="s">
        <v>19</v>
      </c>
      <c r="AC394" t="s">
        <v>19</v>
      </c>
      <c r="AD394">
        <v>4654</v>
      </c>
      <c r="AE394" t="s">
        <v>1488</v>
      </c>
      <c r="AF394" t="s">
        <v>19</v>
      </c>
      <c r="AG394">
        <v>4657</v>
      </c>
      <c r="AH394" t="s">
        <v>19</v>
      </c>
      <c r="AI394" t="s">
        <v>19</v>
      </c>
      <c r="AJ394">
        <v>4677</v>
      </c>
      <c r="AK394" t="s">
        <v>1490</v>
      </c>
      <c r="AL394" t="s">
        <v>19</v>
      </c>
      <c r="AM394">
        <v>4681</v>
      </c>
      <c r="AN394" t="s">
        <v>1491</v>
      </c>
      <c r="AO394" t="s">
        <v>19</v>
      </c>
    </row>
    <row r="395" spans="1:41" x14ac:dyDescent="0.45">
      <c r="A395" t="s">
        <v>1265</v>
      </c>
      <c r="B395">
        <v>8</v>
      </c>
      <c r="C395" t="str">
        <f>HYPERLINK("http://www.ncbi.nlm.nih.gov/protein/XP_020441896.1","XP_020441896.1")</f>
        <v>XP_020441896.1</v>
      </c>
      <c r="D395">
        <v>41130</v>
      </c>
      <c r="E395" t="str">
        <f>HYPERLINK("http://www.ncbi.nlm.nih.gov/Taxonomy/Browser/wwwtax.cgi?mode=Info&amp;id=43700&amp;lvl=3&amp;lin=f&amp;keep=1&amp;srchmode=1&amp;unlock","43700")</f>
        <v>43700</v>
      </c>
      <c r="F395" t="s">
        <v>17</v>
      </c>
      <c r="G395" t="str">
        <f>HYPERLINK("http://www.ncbi.nlm.nih.gov/Taxonomy/Browser/wwwtax.cgi?mode=Info&amp;id=43700&amp;lvl=3&amp;lin=f&amp;keep=1&amp;srchmode=1&amp;unlock","Monopterus albus")</f>
        <v>Monopterus albus</v>
      </c>
      <c r="H395" t="s">
        <v>157</v>
      </c>
      <c r="I395" t="str">
        <f>HYPERLINK("http://www.ncbi.nlm.nih.gov/protein/XP_020441896.1","ryanodine receptor 3-like")</f>
        <v>ryanodine receptor 3-like</v>
      </c>
      <c r="J395" t="s">
        <v>1496</v>
      </c>
      <c r="K395" t="s">
        <v>19</v>
      </c>
      <c r="L395">
        <v>4424</v>
      </c>
      <c r="M395" t="s">
        <v>19</v>
      </c>
      <c r="N395" t="s">
        <v>19</v>
      </c>
      <c r="O395">
        <v>4427</v>
      </c>
      <c r="P395" t="s">
        <v>1486</v>
      </c>
      <c r="Q395" t="s">
        <v>19</v>
      </c>
      <c r="R395">
        <v>4428</v>
      </c>
      <c r="S395" t="s">
        <v>1487</v>
      </c>
      <c r="T395" t="s">
        <v>19</v>
      </c>
      <c r="U395">
        <v>4431</v>
      </c>
      <c r="V395" t="s">
        <v>1488</v>
      </c>
      <c r="W395" t="s">
        <v>19</v>
      </c>
      <c r="X395">
        <v>4502</v>
      </c>
      <c r="Y395" t="s">
        <v>1493</v>
      </c>
      <c r="Z395" t="s">
        <v>19</v>
      </c>
      <c r="AA395">
        <v>4635</v>
      </c>
      <c r="AB395" t="s">
        <v>19</v>
      </c>
      <c r="AC395" t="s">
        <v>19</v>
      </c>
      <c r="AD395">
        <v>4636</v>
      </c>
      <c r="AE395" t="s">
        <v>1488</v>
      </c>
      <c r="AF395" t="s">
        <v>19</v>
      </c>
      <c r="AG395">
        <v>4639</v>
      </c>
      <c r="AH395" t="s">
        <v>19</v>
      </c>
      <c r="AI395" t="s">
        <v>19</v>
      </c>
      <c r="AJ395">
        <v>4659</v>
      </c>
      <c r="AK395" t="s">
        <v>1490</v>
      </c>
      <c r="AL395" t="s">
        <v>19</v>
      </c>
      <c r="AM395">
        <v>4663</v>
      </c>
      <c r="AN395" t="s">
        <v>1491</v>
      </c>
      <c r="AO395" t="s">
        <v>19</v>
      </c>
    </row>
    <row r="396" spans="1:41" x14ac:dyDescent="0.45">
      <c r="A396" t="s">
        <v>1265</v>
      </c>
      <c r="B396">
        <v>8</v>
      </c>
      <c r="C396" t="str">
        <f>HYPERLINK("http://www.ncbi.nlm.nih.gov/protein/XP_046269039.1","XP_046269039.1")</f>
        <v>XP_046269039.1</v>
      </c>
      <c r="D396">
        <v>48619</v>
      </c>
      <c r="E396" t="str">
        <f>HYPERLINK("http://www.ncbi.nlm.nih.gov/Taxonomy/Browser/wwwtax.cgi?mode=Info&amp;id=75038&amp;lvl=3&amp;lin=f&amp;keep=1&amp;srchmode=1&amp;unlock","75038")</f>
        <v>75038</v>
      </c>
      <c r="F396" t="s">
        <v>17</v>
      </c>
      <c r="G396" t="str">
        <f>HYPERLINK("http://www.ncbi.nlm.nih.gov/Taxonomy/Browser/wwwtax.cgi?mode=Info&amp;id=75038&amp;lvl=3&amp;lin=f&amp;keep=1&amp;srchmode=1&amp;unlock","Scatophagus argus")</f>
        <v>Scatophagus argus</v>
      </c>
      <c r="H396" t="s">
        <v>407</v>
      </c>
      <c r="I396" t="str">
        <f>HYPERLINK("http://www.ncbi.nlm.nih.gov/protein/XP_046269039.1","ryanodine receptor 3-like")</f>
        <v>ryanodine receptor 3-like</v>
      </c>
      <c r="J396" t="s">
        <v>1496</v>
      </c>
      <c r="K396" t="s">
        <v>19</v>
      </c>
      <c r="L396">
        <v>4432</v>
      </c>
      <c r="M396" t="s">
        <v>19</v>
      </c>
      <c r="N396" t="s">
        <v>19</v>
      </c>
      <c r="O396">
        <v>4435</v>
      </c>
      <c r="P396" t="s">
        <v>1486</v>
      </c>
      <c r="Q396" t="s">
        <v>19</v>
      </c>
      <c r="R396">
        <v>4436</v>
      </c>
      <c r="S396" t="s">
        <v>1487</v>
      </c>
      <c r="T396" t="s">
        <v>19</v>
      </c>
      <c r="U396">
        <v>4439</v>
      </c>
      <c r="V396" t="s">
        <v>1488</v>
      </c>
      <c r="W396" t="s">
        <v>19</v>
      </c>
      <c r="X396">
        <v>4510</v>
      </c>
      <c r="Y396" t="s">
        <v>1493</v>
      </c>
      <c r="Z396" t="s">
        <v>19</v>
      </c>
      <c r="AA396">
        <v>4643</v>
      </c>
      <c r="AB396" t="s">
        <v>19</v>
      </c>
      <c r="AC396" t="s">
        <v>19</v>
      </c>
      <c r="AD396">
        <v>4644</v>
      </c>
      <c r="AE396" t="s">
        <v>1488</v>
      </c>
      <c r="AF396" t="s">
        <v>19</v>
      </c>
      <c r="AG396">
        <v>4647</v>
      </c>
      <c r="AH396" t="s">
        <v>19</v>
      </c>
      <c r="AI396" t="s">
        <v>19</v>
      </c>
      <c r="AJ396">
        <v>4667</v>
      </c>
      <c r="AK396" t="s">
        <v>1490</v>
      </c>
      <c r="AL396" t="s">
        <v>19</v>
      </c>
      <c r="AM396">
        <v>4671</v>
      </c>
      <c r="AN396" t="s">
        <v>1491</v>
      </c>
      <c r="AO396" t="s">
        <v>19</v>
      </c>
    </row>
    <row r="397" spans="1:41" x14ac:dyDescent="0.45">
      <c r="A397" t="s">
        <v>1265</v>
      </c>
      <c r="B397">
        <v>8</v>
      </c>
      <c r="C397" t="str">
        <f>HYPERLINK("http://www.ncbi.nlm.nih.gov/protein/XP_022606767.1","XP_022606767.1")</f>
        <v>XP_022606767.1</v>
      </c>
      <c r="D397">
        <v>32913</v>
      </c>
      <c r="E397" t="str">
        <f>HYPERLINK("http://www.ncbi.nlm.nih.gov/Taxonomy/Browser/wwwtax.cgi?mode=Info&amp;id=41447&amp;lvl=3&amp;lin=f&amp;keep=1&amp;srchmode=1&amp;unlock","41447")</f>
        <v>41447</v>
      </c>
      <c r="F397" t="s">
        <v>17</v>
      </c>
      <c r="G397" t="str">
        <f>HYPERLINK("http://www.ncbi.nlm.nih.gov/Taxonomy/Browser/wwwtax.cgi?mode=Info&amp;id=41447&amp;lvl=3&amp;lin=f&amp;keep=1&amp;srchmode=1&amp;unlock","Seriola dumerili")</f>
        <v>Seriola dumerili</v>
      </c>
      <c r="H397" t="s">
        <v>57</v>
      </c>
      <c r="I397" t="str">
        <f>HYPERLINK("http://www.ncbi.nlm.nih.gov/protein/XP_022606767.1","ryanodine receptor 3-like")</f>
        <v>ryanodine receptor 3-like</v>
      </c>
      <c r="J397" t="s">
        <v>1496</v>
      </c>
      <c r="K397" t="s">
        <v>19</v>
      </c>
      <c r="L397">
        <v>4399</v>
      </c>
      <c r="M397" t="s">
        <v>19</v>
      </c>
      <c r="N397" t="s">
        <v>19</v>
      </c>
      <c r="O397">
        <v>4402</v>
      </c>
      <c r="P397" t="s">
        <v>1486</v>
      </c>
      <c r="Q397" t="s">
        <v>19</v>
      </c>
      <c r="R397">
        <v>4403</v>
      </c>
      <c r="S397" t="s">
        <v>1487</v>
      </c>
      <c r="T397" t="s">
        <v>19</v>
      </c>
      <c r="U397">
        <v>4406</v>
      </c>
      <c r="V397" t="s">
        <v>1488</v>
      </c>
      <c r="W397" t="s">
        <v>19</v>
      </c>
      <c r="X397">
        <v>4477</v>
      </c>
      <c r="Y397" t="s">
        <v>1493</v>
      </c>
      <c r="Z397" t="s">
        <v>19</v>
      </c>
      <c r="AA397">
        <v>4610</v>
      </c>
      <c r="AB397" t="s">
        <v>19</v>
      </c>
      <c r="AC397" t="s">
        <v>19</v>
      </c>
      <c r="AD397">
        <v>4611</v>
      </c>
      <c r="AE397" t="s">
        <v>1488</v>
      </c>
      <c r="AF397" t="s">
        <v>19</v>
      </c>
      <c r="AG397">
        <v>4614</v>
      </c>
      <c r="AH397" t="s">
        <v>19</v>
      </c>
      <c r="AI397" t="s">
        <v>19</v>
      </c>
      <c r="AJ397">
        <v>4634</v>
      </c>
      <c r="AK397" t="s">
        <v>1490</v>
      </c>
      <c r="AL397" t="s">
        <v>19</v>
      </c>
      <c r="AM397">
        <v>4638</v>
      </c>
      <c r="AN397" t="s">
        <v>1491</v>
      </c>
      <c r="AO397" t="s">
        <v>19</v>
      </c>
    </row>
    <row r="398" spans="1:41" x14ac:dyDescent="0.45">
      <c r="A398" t="s">
        <v>1265</v>
      </c>
      <c r="B398">
        <v>8</v>
      </c>
      <c r="C398" t="str">
        <f>HYPERLINK("http://www.ncbi.nlm.nih.gov/protein/XP_053191148.1","XP_053191148.1")</f>
        <v>XP_053191148.1</v>
      </c>
      <c r="D398">
        <v>30754</v>
      </c>
      <c r="E398" t="str">
        <f>HYPERLINK("http://www.ncbi.nlm.nih.gov/Taxonomy/Browser/wwwtax.cgi?mode=Info&amp;id=13676&amp;lvl=3&amp;lin=f&amp;keep=1&amp;srchmode=1&amp;unlock","13676")</f>
        <v>13676</v>
      </c>
      <c r="F398" t="s">
        <v>17</v>
      </c>
      <c r="G398" t="str">
        <f>HYPERLINK("http://www.ncbi.nlm.nih.gov/Taxonomy/Browser/wwwtax.cgi?mode=Info&amp;id=13676&amp;lvl=3&amp;lin=f&amp;keep=1&amp;srchmode=1&amp;unlock","Scomber japonicus")</f>
        <v>Scomber japonicus</v>
      </c>
      <c r="H398" t="s">
        <v>87</v>
      </c>
      <c r="I398" t="str">
        <f>HYPERLINK("http://www.ncbi.nlm.nih.gov/protein/XP_053191148.1","ryanodine receptor 3-like")</f>
        <v>ryanodine receptor 3-like</v>
      </c>
      <c r="J398" t="s">
        <v>1496</v>
      </c>
      <c r="K398" t="s">
        <v>19</v>
      </c>
      <c r="L398">
        <v>4442</v>
      </c>
      <c r="M398" t="s">
        <v>19</v>
      </c>
      <c r="N398" t="s">
        <v>19</v>
      </c>
      <c r="O398">
        <v>4445</v>
      </c>
      <c r="P398" t="s">
        <v>1486</v>
      </c>
      <c r="Q398" t="s">
        <v>19</v>
      </c>
      <c r="R398">
        <v>4446</v>
      </c>
      <c r="S398" t="s">
        <v>1487</v>
      </c>
      <c r="T398" t="s">
        <v>19</v>
      </c>
      <c r="U398">
        <v>4449</v>
      </c>
      <c r="V398" t="s">
        <v>1488</v>
      </c>
      <c r="W398" t="s">
        <v>19</v>
      </c>
      <c r="X398">
        <v>4520</v>
      </c>
      <c r="Y398" t="s">
        <v>1493</v>
      </c>
      <c r="Z398" t="s">
        <v>19</v>
      </c>
      <c r="AA398">
        <v>4653</v>
      </c>
      <c r="AB398" t="s">
        <v>19</v>
      </c>
      <c r="AC398" t="s">
        <v>19</v>
      </c>
      <c r="AD398">
        <v>4654</v>
      </c>
      <c r="AE398" t="s">
        <v>1488</v>
      </c>
      <c r="AF398" t="s">
        <v>19</v>
      </c>
      <c r="AG398">
        <v>4657</v>
      </c>
      <c r="AH398" t="s">
        <v>19</v>
      </c>
      <c r="AI398" t="s">
        <v>19</v>
      </c>
      <c r="AJ398">
        <v>4677</v>
      </c>
      <c r="AK398" t="s">
        <v>1490</v>
      </c>
      <c r="AL398" t="s">
        <v>19</v>
      </c>
      <c r="AM398">
        <v>4681</v>
      </c>
      <c r="AN398" t="s">
        <v>1491</v>
      </c>
      <c r="AO398" t="s">
        <v>19</v>
      </c>
    </row>
    <row r="399" spans="1:41" x14ac:dyDescent="0.45">
      <c r="A399" t="s">
        <v>1265</v>
      </c>
      <c r="B399">
        <v>8</v>
      </c>
      <c r="C399" t="str">
        <f>HYPERLINK("http://www.ncbi.nlm.nih.gov/protein/XP_028294203.1","XP_028294203.1")</f>
        <v>XP_028294203.1</v>
      </c>
      <c r="D399">
        <v>43575</v>
      </c>
      <c r="E399" t="str">
        <f>HYPERLINK("http://www.ncbi.nlm.nih.gov/Taxonomy/Browser/wwwtax.cgi?mode=Info&amp;id=441366&amp;lvl=3&amp;lin=f&amp;keep=1&amp;srchmode=1&amp;unlock","441366")</f>
        <v>441366</v>
      </c>
      <c r="F399" t="s">
        <v>17</v>
      </c>
      <c r="G399" t="str">
        <f>HYPERLINK("http://www.ncbi.nlm.nih.gov/Taxonomy/Browser/wwwtax.cgi?mode=Info&amp;id=441366&amp;lvl=3&amp;lin=f&amp;keep=1&amp;srchmode=1&amp;unlock","Gouania willdenowi")</f>
        <v>Gouania willdenowi</v>
      </c>
      <c r="H399" t="s">
        <v>116</v>
      </c>
      <c r="I399" t="str">
        <f>HYPERLINK("http://www.ncbi.nlm.nih.gov/protein/XP_028294203.1","ryanodine receptor 3-like isoform X4")</f>
        <v>ryanodine receptor 3-like isoform X4</v>
      </c>
      <c r="J399" t="s">
        <v>1496</v>
      </c>
      <c r="K399" t="s">
        <v>19</v>
      </c>
      <c r="L399">
        <v>4429</v>
      </c>
      <c r="M399" t="s">
        <v>19</v>
      </c>
      <c r="N399" t="s">
        <v>19</v>
      </c>
      <c r="O399">
        <v>4432</v>
      </c>
      <c r="P399" t="s">
        <v>1486</v>
      </c>
      <c r="Q399" t="s">
        <v>19</v>
      </c>
      <c r="R399">
        <v>4433</v>
      </c>
      <c r="S399" t="s">
        <v>1487</v>
      </c>
      <c r="T399" t="s">
        <v>19</v>
      </c>
      <c r="U399">
        <v>4436</v>
      </c>
      <c r="V399" t="s">
        <v>1488</v>
      </c>
      <c r="W399" t="s">
        <v>19</v>
      </c>
      <c r="X399">
        <v>4507</v>
      </c>
      <c r="Y399" t="s">
        <v>1493</v>
      </c>
      <c r="Z399" t="s">
        <v>19</v>
      </c>
      <c r="AA399">
        <v>4640</v>
      </c>
      <c r="AB399" t="s">
        <v>19</v>
      </c>
      <c r="AC399" t="s">
        <v>19</v>
      </c>
      <c r="AD399">
        <v>4641</v>
      </c>
      <c r="AE399" t="s">
        <v>1488</v>
      </c>
      <c r="AF399" t="s">
        <v>19</v>
      </c>
      <c r="AG399">
        <v>4644</v>
      </c>
      <c r="AH399" t="s">
        <v>19</v>
      </c>
      <c r="AI399" t="s">
        <v>19</v>
      </c>
      <c r="AJ399">
        <v>4664</v>
      </c>
      <c r="AK399" t="s">
        <v>1490</v>
      </c>
      <c r="AL399" t="s">
        <v>19</v>
      </c>
      <c r="AM399">
        <v>4668</v>
      </c>
      <c r="AN399" t="s">
        <v>1491</v>
      </c>
      <c r="AO399" t="s">
        <v>19</v>
      </c>
    </row>
    <row r="400" spans="1:41" x14ac:dyDescent="0.45">
      <c r="A400" t="s">
        <v>1265</v>
      </c>
      <c r="B400">
        <v>8</v>
      </c>
      <c r="C400" t="str">
        <f>HYPERLINK("http://www.ncbi.nlm.nih.gov/protein/XP_019909879.2","XP_019909879.2")</f>
        <v>XP_019909879.2</v>
      </c>
      <c r="D400">
        <v>59810</v>
      </c>
      <c r="E400" t="str">
        <f>HYPERLINK("http://www.ncbi.nlm.nih.gov/Taxonomy/Browser/wwwtax.cgi?mode=Info&amp;id=8010&amp;lvl=3&amp;lin=f&amp;keep=1&amp;srchmode=1&amp;unlock","8010")</f>
        <v>8010</v>
      </c>
      <c r="F400" t="s">
        <v>17</v>
      </c>
      <c r="G400" t="str">
        <f>HYPERLINK("http://www.ncbi.nlm.nih.gov/Taxonomy/Browser/wwwtax.cgi?mode=Info&amp;id=8010&amp;lvl=3&amp;lin=f&amp;keep=1&amp;srchmode=1&amp;unlock","Esox lucius")</f>
        <v>Esox lucius</v>
      </c>
      <c r="H400" t="s">
        <v>49</v>
      </c>
      <c r="I400" t="str">
        <f>HYPERLINK("http://www.ncbi.nlm.nih.gov/protein/XP_019909879.2","ryanodine receptor 3")</f>
        <v>ryanodine receptor 3</v>
      </c>
      <c r="J400" t="s">
        <v>1496</v>
      </c>
      <c r="K400" t="s">
        <v>19</v>
      </c>
      <c r="L400">
        <v>4427</v>
      </c>
      <c r="M400" t="s">
        <v>19</v>
      </c>
      <c r="N400" t="s">
        <v>19</v>
      </c>
      <c r="O400">
        <v>4430</v>
      </c>
      <c r="P400" t="s">
        <v>1486</v>
      </c>
      <c r="Q400" t="s">
        <v>19</v>
      </c>
      <c r="R400">
        <v>4431</v>
      </c>
      <c r="S400" t="s">
        <v>1487</v>
      </c>
      <c r="T400" t="s">
        <v>19</v>
      </c>
      <c r="U400">
        <v>4434</v>
      </c>
      <c r="V400" t="s">
        <v>1488</v>
      </c>
      <c r="W400" t="s">
        <v>19</v>
      </c>
      <c r="X400">
        <v>4503</v>
      </c>
      <c r="Y400" t="s">
        <v>1493</v>
      </c>
      <c r="Z400" t="s">
        <v>19</v>
      </c>
      <c r="AA400">
        <v>4636</v>
      </c>
      <c r="AB400" t="s">
        <v>19</v>
      </c>
      <c r="AC400" t="s">
        <v>19</v>
      </c>
      <c r="AD400">
        <v>4637</v>
      </c>
      <c r="AE400" t="s">
        <v>1488</v>
      </c>
      <c r="AF400" t="s">
        <v>19</v>
      </c>
      <c r="AG400">
        <v>4640</v>
      </c>
      <c r="AH400" t="s">
        <v>19</v>
      </c>
      <c r="AI400" t="s">
        <v>19</v>
      </c>
      <c r="AJ400">
        <v>4660</v>
      </c>
      <c r="AK400" t="s">
        <v>1490</v>
      </c>
      <c r="AL400" t="s">
        <v>19</v>
      </c>
      <c r="AM400">
        <v>4664</v>
      </c>
      <c r="AN400" t="s">
        <v>1491</v>
      </c>
      <c r="AO400" t="s">
        <v>19</v>
      </c>
    </row>
    <row r="401" spans="1:41" x14ac:dyDescent="0.45">
      <c r="A401" t="s">
        <v>1265</v>
      </c>
      <c r="B401">
        <v>8</v>
      </c>
      <c r="C401" t="str">
        <f>HYPERLINK("http://www.ncbi.nlm.nih.gov/protein/XP_052352849.1","XP_052352849.1")</f>
        <v>XP_052352849.1</v>
      </c>
      <c r="D401">
        <v>116232</v>
      </c>
      <c r="E401" t="str">
        <f>HYPERLINK("http://www.ncbi.nlm.nih.gov/Taxonomy/Browser/wwwtax.cgi?mode=Info&amp;id=8018&amp;lvl=3&amp;lin=f&amp;keep=1&amp;srchmode=1&amp;unlock","8018")</f>
        <v>8018</v>
      </c>
      <c r="F401" t="s">
        <v>17</v>
      </c>
      <c r="G401" t="str">
        <f>HYPERLINK("http://www.ncbi.nlm.nih.gov/Taxonomy/Browser/wwwtax.cgi?mode=Info&amp;id=8018&amp;lvl=3&amp;lin=f&amp;keep=1&amp;srchmode=1&amp;unlock","Oncorhynchus keta")</f>
        <v>Oncorhynchus keta</v>
      </c>
      <c r="H401" t="s">
        <v>146</v>
      </c>
      <c r="I401" t="str">
        <f>HYPERLINK("http://www.ncbi.nlm.nih.gov/protein/XP_052352849.1","ryanodine receptor 3-like isoform X11")</f>
        <v>ryanodine receptor 3-like isoform X11</v>
      </c>
      <c r="J401" t="s">
        <v>1496</v>
      </c>
      <c r="K401" t="s">
        <v>19</v>
      </c>
      <c r="L401">
        <v>4424</v>
      </c>
      <c r="M401" t="s">
        <v>19</v>
      </c>
      <c r="N401" t="s">
        <v>19</v>
      </c>
      <c r="O401">
        <v>4427</v>
      </c>
      <c r="P401" t="s">
        <v>1486</v>
      </c>
      <c r="Q401" t="s">
        <v>19</v>
      </c>
      <c r="R401">
        <v>4428</v>
      </c>
      <c r="S401" t="s">
        <v>1487</v>
      </c>
      <c r="T401" t="s">
        <v>19</v>
      </c>
      <c r="U401">
        <v>4431</v>
      </c>
      <c r="V401" t="s">
        <v>1488</v>
      </c>
      <c r="W401" t="s">
        <v>19</v>
      </c>
      <c r="X401">
        <v>4504</v>
      </c>
      <c r="Y401" t="s">
        <v>1493</v>
      </c>
      <c r="Z401" t="s">
        <v>19</v>
      </c>
      <c r="AA401">
        <v>4637</v>
      </c>
      <c r="AB401" t="s">
        <v>19</v>
      </c>
      <c r="AC401" t="s">
        <v>19</v>
      </c>
      <c r="AD401">
        <v>4638</v>
      </c>
      <c r="AE401" t="s">
        <v>1488</v>
      </c>
      <c r="AF401" t="s">
        <v>19</v>
      </c>
      <c r="AG401">
        <v>4641</v>
      </c>
      <c r="AH401" t="s">
        <v>19</v>
      </c>
      <c r="AI401" t="s">
        <v>19</v>
      </c>
      <c r="AJ401">
        <v>4661</v>
      </c>
      <c r="AK401" t="s">
        <v>1490</v>
      </c>
      <c r="AL401" t="s">
        <v>19</v>
      </c>
      <c r="AM401">
        <v>4665</v>
      </c>
      <c r="AN401" t="s">
        <v>1491</v>
      </c>
      <c r="AO401" t="s">
        <v>19</v>
      </c>
    </row>
    <row r="402" spans="1:41" x14ac:dyDescent="0.45">
      <c r="A402" t="s">
        <v>1265</v>
      </c>
      <c r="B402">
        <v>8</v>
      </c>
      <c r="C402" t="str">
        <f>HYPERLINK("http://www.ncbi.nlm.nih.gov/protein/CAJ1073769.1","CAJ1073769.1")</f>
        <v>CAJ1073769.1</v>
      </c>
      <c r="D402">
        <v>39630</v>
      </c>
      <c r="E402" t="str">
        <f>HYPERLINK("http://www.ncbi.nlm.nih.gov/Taxonomy/Browser/wwwtax.cgi?mode=Info&amp;id=13765&amp;lvl=3&amp;lin=f&amp;keep=1&amp;srchmode=1&amp;unlock","13765")</f>
        <v>13765</v>
      </c>
      <c r="F402" t="s">
        <v>17</v>
      </c>
      <c r="G402" t="str">
        <f>HYPERLINK("http://www.ncbi.nlm.nih.gov/Taxonomy/Browser/wwwtax.cgi?mode=Info&amp;id=13765&amp;lvl=3&amp;lin=f&amp;keep=1&amp;srchmode=1&amp;unlock","Xyrichtys novacula")</f>
        <v>Xyrichtys novacula</v>
      </c>
      <c r="H402" t="s">
        <v>460</v>
      </c>
      <c r="I402" t="str">
        <f>HYPERLINK("http://www.ncbi.nlm.nih.gov/protein/CAJ1073769.1","ryanodine receptor 3-like isoform X17")</f>
        <v>ryanodine receptor 3-like isoform X17</v>
      </c>
      <c r="J402" t="s">
        <v>1496</v>
      </c>
      <c r="K402" t="s">
        <v>19</v>
      </c>
      <c r="L402">
        <v>4422</v>
      </c>
      <c r="M402" t="s">
        <v>19</v>
      </c>
      <c r="N402" t="s">
        <v>19</v>
      </c>
      <c r="O402">
        <v>4425</v>
      </c>
      <c r="P402" t="s">
        <v>1486</v>
      </c>
      <c r="Q402" t="s">
        <v>19</v>
      </c>
      <c r="R402">
        <v>4426</v>
      </c>
      <c r="S402" t="s">
        <v>1487</v>
      </c>
      <c r="T402" t="s">
        <v>19</v>
      </c>
      <c r="U402">
        <v>4429</v>
      </c>
      <c r="V402" t="s">
        <v>1488</v>
      </c>
      <c r="W402" t="s">
        <v>19</v>
      </c>
      <c r="X402">
        <v>4500</v>
      </c>
      <c r="Y402" t="s">
        <v>1493</v>
      </c>
      <c r="Z402" t="s">
        <v>19</v>
      </c>
      <c r="AA402">
        <v>4633</v>
      </c>
      <c r="AB402" t="s">
        <v>19</v>
      </c>
      <c r="AC402" t="s">
        <v>19</v>
      </c>
      <c r="AD402">
        <v>4634</v>
      </c>
      <c r="AE402" t="s">
        <v>1488</v>
      </c>
      <c r="AF402" t="s">
        <v>19</v>
      </c>
      <c r="AG402">
        <v>4637</v>
      </c>
      <c r="AH402" t="s">
        <v>19</v>
      </c>
      <c r="AI402" t="s">
        <v>19</v>
      </c>
      <c r="AJ402">
        <v>4657</v>
      </c>
      <c r="AK402" t="s">
        <v>1490</v>
      </c>
      <c r="AL402" t="s">
        <v>19</v>
      </c>
      <c r="AM402">
        <v>4661</v>
      </c>
      <c r="AN402" t="s">
        <v>1491</v>
      </c>
      <c r="AO402" t="s">
        <v>19</v>
      </c>
    </row>
    <row r="403" spans="1:41" x14ac:dyDescent="0.45">
      <c r="A403" t="s">
        <v>1265</v>
      </c>
      <c r="B403">
        <v>8</v>
      </c>
      <c r="C403" t="str">
        <f>HYPERLINK("http://www.ncbi.nlm.nih.gov/protein/XP_019940275.1","XP_019940275.1")</f>
        <v>XP_019940275.1</v>
      </c>
      <c r="D403">
        <v>37917</v>
      </c>
      <c r="E403" t="str">
        <f>HYPERLINK("http://www.ncbi.nlm.nih.gov/Taxonomy/Browser/wwwtax.cgi?mode=Info&amp;id=8255&amp;lvl=3&amp;lin=f&amp;keep=1&amp;srchmode=1&amp;unlock","8255")</f>
        <v>8255</v>
      </c>
      <c r="F403" t="s">
        <v>17</v>
      </c>
      <c r="G403" t="str">
        <f>HYPERLINK("http://www.ncbi.nlm.nih.gov/Taxonomy/Browser/wwwtax.cgi?mode=Info&amp;id=8255&amp;lvl=3&amp;lin=f&amp;keep=1&amp;srchmode=1&amp;unlock","Paralichthys olivaceus")</f>
        <v>Paralichthys olivaceus</v>
      </c>
      <c r="H403" t="s">
        <v>83</v>
      </c>
      <c r="I403" t="str">
        <f>HYPERLINK("http://www.ncbi.nlm.nih.gov/protein/XP_019940275.1","PREDICTED: ryanodine receptor 3-like")</f>
        <v>PREDICTED: ryanodine receptor 3-like</v>
      </c>
      <c r="J403" t="s">
        <v>1496</v>
      </c>
      <c r="K403" t="s">
        <v>19</v>
      </c>
      <c r="L403">
        <v>4411</v>
      </c>
      <c r="M403" t="s">
        <v>19</v>
      </c>
      <c r="N403" t="s">
        <v>19</v>
      </c>
      <c r="O403">
        <v>4414</v>
      </c>
      <c r="P403" t="s">
        <v>1486</v>
      </c>
      <c r="Q403" t="s">
        <v>19</v>
      </c>
      <c r="R403">
        <v>4415</v>
      </c>
      <c r="S403" t="s">
        <v>1487</v>
      </c>
      <c r="T403" t="s">
        <v>19</v>
      </c>
      <c r="U403">
        <v>4418</v>
      </c>
      <c r="V403" t="s">
        <v>1488</v>
      </c>
      <c r="W403" t="s">
        <v>19</v>
      </c>
      <c r="X403">
        <v>4489</v>
      </c>
      <c r="Y403" t="s">
        <v>1493</v>
      </c>
      <c r="Z403" t="s">
        <v>19</v>
      </c>
      <c r="AA403">
        <v>4622</v>
      </c>
      <c r="AB403" t="s">
        <v>19</v>
      </c>
      <c r="AC403" t="s">
        <v>19</v>
      </c>
      <c r="AD403">
        <v>4623</v>
      </c>
      <c r="AE403" t="s">
        <v>1488</v>
      </c>
      <c r="AF403" t="s">
        <v>19</v>
      </c>
      <c r="AG403">
        <v>4626</v>
      </c>
      <c r="AH403" t="s">
        <v>19</v>
      </c>
      <c r="AI403" t="s">
        <v>19</v>
      </c>
      <c r="AJ403">
        <v>4646</v>
      </c>
      <c r="AK403" t="s">
        <v>1490</v>
      </c>
      <c r="AL403" t="s">
        <v>19</v>
      </c>
      <c r="AM403">
        <v>4650</v>
      </c>
      <c r="AN403" t="s">
        <v>1491</v>
      </c>
      <c r="AO403" t="s">
        <v>19</v>
      </c>
    </row>
    <row r="404" spans="1:41" x14ac:dyDescent="0.45">
      <c r="A404" t="s">
        <v>1265</v>
      </c>
      <c r="B404">
        <v>8</v>
      </c>
      <c r="C404" t="str">
        <f>HYPERLINK("http://www.ncbi.nlm.nih.gov/protein/XP_035465429.1","XP_035465429.1")</f>
        <v>XP_035465429.1</v>
      </c>
      <c r="D404">
        <v>104790</v>
      </c>
      <c r="E404" t="str">
        <f>HYPERLINK("http://www.ncbi.nlm.nih.gov/Taxonomy/Browser/wwwtax.cgi?mode=Info&amp;id=52904&amp;lvl=3&amp;lin=f&amp;keep=1&amp;srchmode=1&amp;unlock","52904")</f>
        <v>52904</v>
      </c>
      <c r="F404" t="s">
        <v>17</v>
      </c>
      <c r="G404" t="str">
        <f>HYPERLINK("http://www.ncbi.nlm.nih.gov/Taxonomy/Browser/wwwtax.cgi?mode=Info&amp;id=52904&amp;lvl=3&amp;lin=f&amp;keep=1&amp;srchmode=1&amp;unlock","Scophthalmus maximus")</f>
        <v>Scophthalmus maximus</v>
      </c>
      <c r="H404" t="s">
        <v>58</v>
      </c>
      <c r="I404" t="str">
        <f>HYPERLINK("http://www.ncbi.nlm.nih.gov/protein/XP_035465429.1","ryanodine receptor 3 isoform X3")</f>
        <v>ryanodine receptor 3 isoform X3</v>
      </c>
      <c r="J404" t="s">
        <v>1496</v>
      </c>
      <c r="K404" t="s">
        <v>19</v>
      </c>
      <c r="L404">
        <v>4424</v>
      </c>
      <c r="M404" t="s">
        <v>19</v>
      </c>
      <c r="N404" t="s">
        <v>19</v>
      </c>
      <c r="O404">
        <v>4427</v>
      </c>
      <c r="P404" t="s">
        <v>1486</v>
      </c>
      <c r="Q404" t="s">
        <v>19</v>
      </c>
      <c r="R404">
        <v>4428</v>
      </c>
      <c r="S404" t="s">
        <v>1487</v>
      </c>
      <c r="T404" t="s">
        <v>19</v>
      </c>
      <c r="U404">
        <v>4431</v>
      </c>
      <c r="V404" t="s">
        <v>1488</v>
      </c>
      <c r="W404" t="s">
        <v>19</v>
      </c>
      <c r="X404">
        <v>4502</v>
      </c>
      <c r="Y404" t="s">
        <v>1493</v>
      </c>
      <c r="Z404" t="s">
        <v>19</v>
      </c>
      <c r="AA404">
        <v>4635</v>
      </c>
      <c r="AB404" t="s">
        <v>19</v>
      </c>
      <c r="AC404" t="s">
        <v>19</v>
      </c>
      <c r="AD404">
        <v>4636</v>
      </c>
      <c r="AE404" t="s">
        <v>1488</v>
      </c>
      <c r="AF404" t="s">
        <v>19</v>
      </c>
      <c r="AG404">
        <v>4639</v>
      </c>
      <c r="AH404" t="s">
        <v>19</v>
      </c>
      <c r="AI404" t="s">
        <v>19</v>
      </c>
      <c r="AJ404">
        <v>4659</v>
      </c>
      <c r="AK404" t="s">
        <v>1490</v>
      </c>
      <c r="AL404" t="s">
        <v>19</v>
      </c>
      <c r="AM404">
        <v>4663</v>
      </c>
      <c r="AN404" t="s">
        <v>1491</v>
      </c>
      <c r="AO404" t="s">
        <v>19</v>
      </c>
    </row>
    <row r="405" spans="1:41" x14ac:dyDescent="0.45">
      <c r="A405" t="s">
        <v>1265</v>
      </c>
      <c r="B405">
        <v>8</v>
      </c>
      <c r="C405" t="str">
        <f>HYPERLINK("http://www.ncbi.nlm.nih.gov/protein/XP_029569460.1","XP_029569460.1")</f>
        <v>XP_029569460.1</v>
      </c>
      <c r="D405">
        <v>88731</v>
      </c>
      <c r="E405" t="str">
        <f>HYPERLINK("http://www.ncbi.nlm.nih.gov/Taxonomy/Browser/wwwtax.cgi?mode=Info&amp;id=8032&amp;lvl=3&amp;lin=f&amp;keep=1&amp;srchmode=1&amp;unlock","8032")</f>
        <v>8032</v>
      </c>
      <c r="F405" t="s">
        <v>17</v>
      </c>
      <c r="G405" t="str">
        <f>HYPERLINK("http://www.ncbi.nlm.nih.gov/Taxonomy/Browser/wwwtax.cgi?mode=Info&amp;id=8032&amp;lvl=3&amp;lin=f&amp;keep=1&amp;srchmode=1&amp;unlock","Salmo trutta")</f>
        <v>Salmo trutta</v>
      </c>
      <c r="H405" t="s">
        <v>150</v>
      </c>
      <c r="I405" t="str">
        <f>HYPERLINK("http://www.ncbi.nlm.nih.gov/protein/XP_029569460.1","ryanodine receptor 3-like")</f>
        <v>ryanodine receptor 3-like</v>
      </c>
      <c r="J405" t="s">
        <v>1496</v>
      </c>
      <c r="K405" t="s">
        <v>19</v>
      </c>
      <c r="L405">
        <v>4447</v>
      </c>
      <c r="M405" t="s">
        <v>19</v>
      </c>
      <c r="N405" t="s">
        <v>19</v>
      </c>
      <c r="O405">
        <v>4450</v>
      </c>
      <c r="P405" t="s">
        <v>1486</v>
      </c>
      <c r="Q405" t="s">
        <v>19</v>
      </c>
      <c r="R405">
        <v>4451</v>
      </c>
      <c r="S405" t="s">
        <v>1487</v>
      </c>
      <c r="T405" t="s">
        <v>19</v>
      </c>
      <c r="U405">
        <v>4454</v>
      </c>
      <c r="V405" t="s">
        <v>1488</v>
      </c>
      <c r="W405" t="s">
        <v>19</v>
      </c>
      <c r="X405">
        <v>4527</v>
      </c>
      <c r="Y405" t="s">
        <v>1493</v>
      </c>
      <c r="Z405" t="s">
        <v>19</v>
      </c>
      <c r="AA405">
        <v>4660</v>
      </c>
      <c r="AB405" t="s">
        <v>19</v>
      </c>
      <c r="AC405" t="s">
        <v>19</v>
      </c>
      <c r="AD405">
        <v>4661</v>
      </c>
      <c r="AE405" t="s">
        <v>1488</v>
      </c>
      <c r="AF405" t="s">
        <v>19</v>
      </c>
      <c r="AG405">
        <v>4664</v>
      </c>
      <c r="AH405" t="s">
        <v>19</v>
      </c>
      <c r="AI405" t="s">
        <v>19</v>
      </c>
      <c r="AJ405">
        <v>4684</v>
      </c>
      <c r="AK405" t="s">
        <v>1490</v>
      </c>
      <c r="AL405" t="s">
        <v>19</v>
      </c>
      <c r="AM405">
        <v>4688</v>
      </c>
      <c r="AN405" t="s">
        <v>1491</v>
      </c>
      <c r="AO405" t="s">
        <v>19</v>
      </c>
    </row>
    <row r="406" spans="1:41" x14ac:dyDescent="0.45">
      <c r="A406" t="s">
        <v>1265</v>
      </c>
      <c r="B406">
        <v>8</v>
      </c>
      <c r="C406" t="str">
        <f>HYPERLINK("http://www.ncbi.nlm.nih.gov/protein/XP_055720749.1","XP_055720749.1")</f>
        <v>XP_055720749.1</v>
      </c>
      <c r="D406">
        <v>83509</v>
      </c>
      <c r="E406" t="str">
        <f>HYPERLINK("http://www.ncbi.nlm.nih.gov/Taxonomy/Browser/wwwtax.cgi?mode=Info&amp;id=8038&amp;lvl=3&amp;lin=f&amp;keep=1&amp;srchmode=1&amp;unlock","8038")</f>
        <v>8038</v>
      </c>
      <c r="F406" t="s">
        <v>17</v>
      </c>
      <c r="G406" t="str">
        <f>HYPERLINK("http://www.ncbi.nlm.nih.gov/Taxonomy/Browser/wwwtax.cgi?mode=Info&amp;id=8038&amp;lvl=3&amp;lin=f&amp;keep=1&amp;srchmode=1&amp;unlock","Salvelinus fontinalis")</f>
        <v>Salvelinus fontinalis</v>
      </c>
      <c r="H406" t="s">
        <v>149</v>
      </c>
      <c r="I406" t="str">
        <f>HYPERLINK("http://www.ncbi.nlm.nih.gov/protein/XP_055720749.1","ryanodine receptor 3-like isoform X9")</f>
        <v>ryanodine receptor 3-like isoform X9</v>
      </c>
      <c r="J406" t="s">
        <v>1496</v>
      </c>
      <c r="K406" t="s">
        <v>19</v>
      </c>
      <c r="L406">
        <v>4426</v>
      </c>
      <c r="M406" t="s">
        <v>19</v>
      </c>
      <c r="N406" t="s">
        <v>19</v>
      </c>
      <c r="O406">
        <v>4429</v>
      </c>
      <c r="P406" t="s">
        <v>1486</v>
      </c>
      <c r="Q406" t="s">
        <v>19</v>
      </c>
      <c r="R406">
        <v>4430</v>
      </c>
      <c r="S406" t="s">
        <v>1487</v>
      </c>
      <c r="T406" t="s">
        <v>19</v>
      </c>
      <c r="U406">
        <v>4433</v>
      </c>
      <c r="V406" t="s">
        <v>1488</v>
      </c>
      <c r="W406" t="s">
        <v>19</v>
      </c>
      <c r="X406">
        <v>4506</v>
      </c>
      <c r="Y406" t="s">
        <v>1493</v>
      </c>
      <c r="Z406" t="s">
        <v>19</v>
      </c>
      <c r="AA406">
        <v>4639</v>
      </c>
      <c r="AB406" t="s">
        <v>19</v>
      </c>
      <c r="AC406" t="s">
        <v>19</v>
      </c>
      <c r="AD406">
        <v>4640</v>
      </c>
      <c r="AE406" t="s">
        <v>1488</v>
      </c>
      <c r="AF406" t="s">
        <v>19</v>
      </c>
      <c r="AG406">
        <v>4643</v>
      </c>
      <c r="AH406" t="s">
        <v>19</v>
      </c>
      <c r="AI406" t="s">
        <v>19</v>
      </c>
      <c r="AJ406">
        <v>4663</v>
      </c>
      <c r="AK406" t="s">
        <v>1490</v>
      </c>
      <c r="AL406" t="s">
        <v>19</v>
      </c>
      <c r="AM406">
        <v>4667</v>
      </c>
      <c r="AN406" t="s">
        <v>1491</v>
      </c>
      <c r="AO406" t="s">
        <v>19</v>
      </c>
    </row>
    <row r="407" spans="1:41" x14ac:dyDescent="0.45">
      <c r="A407" t="s">
        <v>1265</v>
      </c>
      <c r="B407">
        <v>8</v>
      </c>
      <c r="C407" t="str">
        <f>HYPERLINK("http://www.ncbi.nlm.nih.gov/protein/XP_037833839.1","XP_037833839.1")</f>
        <v>XP_037833839.1</v>
      </c>
      <c r="D407">
        <v>43415</v>
      </c>
      <c r="E407" t="str">
        <f>HYPERLINK("http://www.ncbi.nlm.nih.gov/Taxonomy/Browser/wwwtax.cgi?mode=Info&amp;id=37003&amp;lvl=3&amp;lin=f&amp;keep=1&amp;srchmode=1&amp;unlock","37003")</f>
        <v>37003</v>
      </c>
      <c r="F407" t="s">
        <v>17</v>
      </c>
      <c r="G407" t="str">
        <f>HYPERLINK("http://www.ncbi.nlm.nih.gov/Taxonomy/Browser/wwwtax.cgi?mode=Info&amp;id=37003&amp;lvl=3&amp;lin=f&amp;keep=1&amp;srchmode=1&amp;unlock","Kryptolebias marmoratus")</f>
        <v>Kryptolebias marmoratus</v>
      </c>
      <c r="H407" t="s">
        <v>141</v>
      </c>
      <c r="I407" t="str">
        <f>HYPERLINK("http://www.ncbi.nlm.nih.gov/protein/XP_037833839.1","ryanodine receptor 3 isoform X4")</f>
        <v>ryanodine receptor 3 isoform X4</v>
      </c>
      <c r="J407" t="s">
        <v>1496</v>
      </c>
      <c r="K407" t="s">
        <v>19</v>
      </c>
      <c r="L407">
        <v>4421</v>
      </c>
      <c r="M407" t="s">
        <v>19</v>
      </c>
      <c r="N407" t="s">
        <v>19</v>
      </c>
      <c r="O407">
        <v>4424</v>
      </c>
      <c r="P407" t="s">
        <v>1486</v>
      </c>
      <c r="Q407" t="s">
        <v>19</v>
      </c>
      <c r="R407">
        <v>4425</v>
      </c>
      <c r="S407" t="s">
        <v>1487</v>
      </c>
      <c r="T407" t="s">
        <v>19</v>
      </c>
      <c r="U407">
        <v>4428</v>
      </c>
      <c r="V407" t="s">
        <v>1488</v>
      </c>
      <c r="W407" t="s">
        <v>19</v>
      </c>
      <c r="X407">
        <v>4500</v>
      </c>
      <c r="Y407" t="s">
        <v>1493</v>
      </c>
      <c r="Z407" t="s">
        <v>19</v>
      </c>
      <c r="AA407">
        <v>4633</v>
      </c>
      <c r="AB407" t="s">
        <v>19</v>
      </c>
      <c r="AC407" t="s">
        <v>19</v>
      </c>
      <c r="AD407">
        <v>4634</v>
      </c>
      <c r="AE407" t="s">
        <v>1488</v>
      </c>
      <c r="AF407" t="s">
        <v>19</v>
      </c>
      <c r="AG407">
        <v>4637</v>
      </c>
      <c r="AH407" t="s">
        <v>19</v>
      </c>
      <c r="AI407" t="s">
        <v>19</v>
      </c>
      <c r="AJ407">
        <v>4657</v>
      </c>
      <c r="AK407" t="s">
        <v>1490</v>
      </c>
      <c r="AL407" t="s">
        <v>19</v>
      </c>
      <c r="AM407">
        <v>4661</v>
      </c>
      <c r="AN407" t="s">
        <v>1491</v>
      </c>
      <c r="AO407" t="s">
        <v>19</v>
      </c>
    </row>
    <row r="408" spans="1:41" x14ac:dyDescent="0.45">
      <c r="A408" t="s">
        <v>1265</v>
      </c>
      <c r="B408">
        <v>8</v>
      </c>
      <c r="C408" t="str">
        <f>HYPERLINK("http://www.ncbi.nlm.nih.gov/protein/XP_056914899.1","XP_056914899.1")</f>
        <v>XP_056914899.1</v>
      </c>
      <c r="D408">
        <v>77522</v>
      </c>
      <c r="E408" t="str">
        <f>HYPERLINK("http://www.ncbi.nlm.nih.gov/Taxonomy/Browser/wwwtax.cgi?mode=Info&amp;id=433684&amp;lvl=3&amp;lin=f&amp;keep=1&amp;srchmode=1&amp;unlock","433684")</f>
        <v>433684</v>
      </c>
      <c r="F408" t="s">
        <v>17</v>
      </c>
      <c r="G408" t="str">
        <f>HYPERLINK("http://www.ncbi.nlm.nih.gov/Taxonomy/Browser/wwwtax.cgi?mode=Info&amp;id=433684&amp;lvl=3&amp;lin=f&amp;keep=1&amp;srchmode=1&amp;unlock","Takifugu flavidus")</f>
        <v>Takifugu flavidus</v>
      </c>
      <c r="H408" t="s">
        <v>509</v>
      </c>
      <c r="I408" t="str">
        <f>HYPERLINK("http://www.ncbi.nlm.nih.gov/protein/XP_056914899.1","ryanodine receptor 3-like isoform X9")</f>
        <v>ryanodine receptor 3-like isoform X9</v>
      </c>
      <c r="J408" t="s">
        <v>1496</v>
      </c>
      <c r="K408" t="s">
        <v>19</v>
      </c>
      <c r="L408">
        <v>4431</v>
      </c>
      <c r="M408" t="s">
        <v>19</v>
      </c>
      <c r="N408" t="s">
        <v>19</v>
      </c>
      <c r="O408">
        <v>4434</v>
      </c>
      <c r="P408" t="s">
        <v>1486</v>
      </c>
      <c r="Q408" t="s">
        <v>19</v>
      </c>
      <c r="R408">
        <v>4435</v>
      </c>
      <c r="S408" t="s">
        <v>1487</v>
      </c>
      <c r="T408" t="s">
        <v>19</v>
      </c>
      <c r="U408">
        <v>4438</v>
      </c>
      <c r="V408" t="s">
        <v>1488</v>
      </c>
      <c r="W408" t="s">
        <v>19</v>
      </c>
      <c r="X408">
        <v>4509</v>
      </c>
      <c r="Y408" t="s">
        <v>1493</v>
      </c>
      <c r="Z408" t="s">
        <v>19</v>
      </c>
      <c r="AA408">
        <v>4642</v>
      </c>
      <c r="AB408" t="s">
        <v>19</v>
      </c>
      <c r="AC408" t="s">
        <v>19</v>
      </c>
      <c r="AD408">
        <v>4643</v>
      </c>
      <c r="AE408" t="s">
        <v>1488</v>
      </c>
      <c r="AF408" t="s">
        <v>19</v>
      </c>
      <c r="AG408">
        <v>4646</v>
      </c>
      <c r="AH408" t="s">
        <v>19</v>
      </c>
      <c r="AI408" t="s">
        <v>19</v>
      </c>
      <c r="AJ408">
        <v>4666</v>
      </c>
      <c r="AK408" t="s">
        <v>1490</v>
      </c>
      <c r="AL408" t="s">
        <v>19</v>
      </c>
      <c r="AM408">
        <v>4670</v>
      </c>
      <c r="AN408" t="s">
        <v>1491</v>
      </c>
      <c r="AO408" t="s">
        <v>19</v>
      </c>
    </row>
    <row r="409" spans="1:41" x14ac:dyDescent="0.45">
      <c r="A409" t="s">
        <v>1265</v>
      </c>
      <c r="B409">
        <v>8</v>
      </c>
      <c r="C409" t="str">
        <f>HYPERLINK("http://www.ncbi.nlm.nih.gov/protein/XP_023807277.1","XP_023807277.1")</f>
        <v>XP_023807277.1</v>
      </c>
      <c r="D409">
        <v>47355</v>
      </c>
      <c r="E409" t="str">
        <f>HYPERLINK("http://www.ncbi.nlm.nih.gov/Taxonomy/Browser/wwwtax.cgi?mode=Info&amp;id=8090&amp;lvl=3&amp;lin=f&amp;keep=1&amp;srchmode=1&amp;unlock","8090")</f>
        <v>8090</v>
      </c>
      <c r="F409" t="s">
        <v>17</v>
      </c>
      <c r="G409" t="str">
        <f>HYPERLINK("http://www.ncbi.nlm.nih.gov/Taxonomy/Browser/wwwtax.cgi?mode=Info&amp;id=8090&amp;lvl=3&amp;lin=f&amp;keep=1&amp;srchmode=1&amp;unlock","Oryzias latipes")</f>
        <v>Oryzias latipes</v>
      </c>
      <c r="H409" t="s">
        <v>106</v>
      </c>
      <c r="I409" t="str">
        <f>HYPERLINK("http://www.ncbi.nlm.nih.gov/protein/XP_023807277.1","ryanodine receptor 3-like isoform X15")</f>
        <v>ryanodine receptor 3-like isoform X15</v>
      </c>
      <c r="J409" t="s">
        <v>1496</v>
      </c>
      <c r="K409" t="s">
        <v>19</v>
      </c>
      <c r="L409">
        <v>4434</v>
      </c>
      <c r="M409" t="s">
        <v>19</v>
      </c>
      <c r="N409" t="s">
        <v>19</v>
      </c>
      <c r="O409">
        <v>4437</v>
      </c>
      <c r="P409" t="s">
        <v>1486</v>
      </c>
      <c r="Q409" t="s">
        <v>19</v>
      </c>
      <c r="R409">
        <v>4438</v>
      </c>
      <c r="S409" t="s">
        <v>1487</v>
      </c>
      <c r="T409" t="s">
        <v>19</v>
      </c>
      <c r="U409">
        <v>4441</v>
      </c>
      <c r="V409" t="s">
        <v>1488</v>
      </c>
      <c r="W409" t="s">
        <v>19</v>
      </c>
      <c r="X409">
        <v>4510</v>
      </c>
      <c r="Y409" t="s">
        <v>1493</v>
      </c>
      <c r="Z409" t="s">
        <v>19</v>
      </c>
      <c r="AA409">
        <v>4643</v>
      </c>
      <c r="AB409" t="s">
        <v>19</v>
      </c>
      <c r="AC409" t="s">
        <v>19</v>
      </c>
      <c r="AD409">
        <v>4644</v>
      </c>
      <c r="AE409" t="s">
        <v>1488</v>
      </c>
      <c r="AF409" t="s">
        <v>19</v>
      </c>
      <c r="AG409">
        <v>4647</v>
      </c>
      <c r="AH409" t="s">
        <v>19</v>
      </c>
      <c r="AI409" t="s">
        <v>19</v>
      </c>
      <c r="AJ409">
        <v>4667</v>
      </c>
      <c r="AK409" t="s">
        <v>1490</v>
      </c>
      <c r="AL409" t="s">
        <v>19</v>
      </c>
      <c r="AM409">
        <v>4671</v>
      </c>
      <c r="AN409" t="s">
        <v>1491</v>
      </c>
      <c r="AO409" t="s">
        <v>19</v>
      </c>
    </row>
    <row r="410" spans="1:41" x14ac:dyDescent="0.45">
      <c r="A410" t="s">
        <v>1265</v>
      </c>
      <c r="B410">
        <v>8</v>
      </c>
      <c r="C410" t="str">
        <f>HYPERLINK("http://www.ncbi.nlm.nih.gov/protein/XP_029682566.1","XP_029682566.1")</f>
        <v>XP_029682566.1</v>
      </c>
      <c r="D410">
        <v>49116</v>
      </c>
      <c r="E410" t="str">
        <f>HYPERLINK("http://www.ncbi.nlm.nih.gov/Taxonomy/Browser/wwwtax.cgi?mode=Info&amp;id=31033&amp;lvl=3&amp;lin=f&amp;keep=1&amp;srchmode=1&amp;unlock","31033")</f>
        <v>31033</v>
      </c>
      <c r="F410" t="s">
        <v>17</v>
      </c>
      <c r="G410" t="str">
        <f>HYPERLINK("http://www.ncbi.nlm.nih.gov/Taxonomy/Browser/wwwtax.cgi?mode=Info&amp;id=31033&amp;lvl=3&amp;lin=f&amp;keep=1&amp;srchmode=1&amp;unlock","Takifugu rubripes")</f>
        <v>Takifugu rubripes</v>
      </c>
      <c r="H410" t="s">
        <v>109</v>
      </c>
      <c r="I410" t="str">
        <f>HYPERLINK("http://www.ncbi.nlm.nih.gov/protein/XP_029682566.1","ryanodine receptor 3-like isoform X10")</f>
        <v>ryanodine receptor 3-like isoform X10</v>
      </c>
      <c r="J410" t="s">
        <v>1496</v>
      </c>
      <c r="K410" t="s">
        <v>19</v>
      </c>
      <c r="L410">
        <v>4432</v>
      </c>
      <c r="M410" t="s">
        <v>19</v>
      </c>
      <c r="N410" t="s">
        <v>19</v>
      </c>
      <c r="O410">
        <v>4435</v>
      </c>
      <c r="P410" t="s">
        <v>1486</v>
      </c>
      <c r="Q410" t="s">
        <v>19</v>
      </c>
      <c r="R410">
        <v>4436</v>
      </c>
      <c r="S410" t="s">
        <v>1487</v>
      </c>
      <c r="T410" t="s">
        <v>19</v>
      </c>
      <c r="U410">
        <v>4439</v>
      </c>
      <c r="V410" t="s">
        <v>1488</v>
      </c>
      <c r="W410" t="s">
        <v>19</v>
      </c>
      <c r="X410">
        <v>4510</v>
      </c>
      <c r="Y410" t="s">
        <v>1493</v>
      </c>
      <c r="Z410" t="s">
        <v>19</v>
      </c>
      <c r="AA410">
        <v>4643</v>
      </c>
      <c r="AB410" t="s">
        <v>19</v>
      </c>
      <c r="AC410" t="s">
        <v>19</v>
      </c>
      <c r="AD410">
        <v>4644</v>
      </c>
      <c r="AE410" t="s">
        <v>1488</v>
      </c>
      <c r="AF410" t="s">
        <v>19</v>
      </c>
      <c r="AG410">
        <v>4647</v>
      </c>
      <c r="AH410" t="s">
        <v>19</v>
      </c>
      <c r="AI410" t="s">
        <v>19</v>
      </c>
      <c r="AJ410">
        <v>4667</v>
      </c>
      <c r="AK410" t="s">
        <v>1490</v>
      </c>
      <c r="AL410" t="s">
        <v>19</v>
      </c>
      <c r="AM410">
        <v>4671</v>
      </c>
      <c r="AN410" t="s">
        <v>1491</v>
      </c>
      <c r="AO410" t="s">
        <v>19</v>
      </c>
    </row>
    <row r="411" spans="1:41" x14ac:dyDescent="0.45">
      <c r="A411" t="s">
        <v>1265</v>
      </c>
      <c r="B411">
        <v>8</v>
      </c>
      <c r="C411" t="str">
        <f>HYPERLINK("http://www.ncbi.nlm.nih.gov/protein/XP_059208546.1","XP_059208546.1")</f>
        <v>XP_059208546.1</v>
      </c>
      <c r="D411">
        <v>36369</v>
      </c>
      <c r="E411" t="str">
        <f>HYPERLINK("http://www.ncbi.nlm.nih.gov/Taxonomy/Browser/wwwtax.cgi?mode=Info&amp;id=184440&amp;lvl=3&amp;lin=f&amp;keep=1&amp;srchmode=1&amp;unlock","184440")</f>
        <v>184440</v>
      </c>
      <c r="F411" t="s">
        <v>17</v>
      </c>
      <c r="G411" t="str">
        <f>HYPERLINK("http://www.ncbi.nlm.nih.gov/Taxonomy/Browser/wwwtax.cgi?mode=Info&amp;id=184440&amp;lvl=3&amp;lin=f&amp;keep=1&amp;srchmode=1&amp;unlock","Centropristis striata")</f>
        <v>Centropristis striata</v>
      </c>
      <c r="H411" t="s">
        <v>397</v>
      </c>
      <c r="I411" t="str">
        <f>HYPERLINK("http://www.ncbi.nlm.nih.gov/protein/XP_059208546.1","ryanodine receptor 3-like")</f>
        <v>ryanodine receptor 3-like</v>
      </c>
      <c r="J411" t="s">
        <v>1496</v>
      </c>
      <c r="K411" t="s">
        <v>19</v>
      </c>
      <c r="L411">
        <v>4435</v>
      </c>
      <c r="M411" t="s">
        <v>19</v>
      </c>
      <c r="N411" t="s">
        <v>19</v>
      </c>
      <c r="O411">
        <v>4438</v>
      </c>
      <c r="P411" t="s">
        <v>1486</v>
      </c>
      <c r="Q411" t="s">
        <v>19</v>
      </c>
      <c r="R411">
        <v>4439</v>
      </c>
      <c r="S411" t="s">
        <v>1487</v>
      </c>
      <c r="T411" t="s">
        <v>19</v>
      </c>
      <c r="U411">
        <v>4442</v>
      </c>
      <c r="V411" t="s">
        <v>1488</v>
      </c>
      <c r="W411" t="s">
        <v>19</v>
      </c>
      <c r="X411">
        <v>4513</v>
      </c>
      <c r="Y411" t="s">
        <v>1493</v>
      </c>
      <c r="Z411" t="s">
        <v>19</v>
      </c>
      <c r="AA411">
        <v>4646</v>
      </c>
      <c r="AB411" t="s">
        <v>19</v>
      </c>
      <c r="AC411" t="s">
        <v>19</v>
      </c>
      <c r="AD411">
        <v>4647</v>
      </c>
      <c r="AE411" t="s">
        <v>1488</v>
      </c>
      <c r="AF411" t="s">
        <v>19</v>
      </c>
      <c r="AG411">
        <v>4650</v>
      </c>
      <c r="AH411" t="s">
        <v>19</v>
      </c>
      <c r="AI411" t="s">
        <v>19</v>
      </c>
      <c r="AJ411">
        <v>4670</v>
      </c>
      <c r="AK411" t="s">
        <v>1490</v>
      </c>
      <c r="AL411" t="s">
        <v>19</v>
      </c>
      <c r="AM411">
        <v>4674</v>
      </c>
      <c r="AN411" t="s">
        <v>1491</v>
      </c>
      <c r="AO411" t="s">
        <v>19</v>
      </c>
    </row>
    <row r="412" spans="1:41" x14ac:dyDescent="0.45">
      <c r="A412" t="s">
        <v>1265</v>
      </c>
      <c r="B412">
        <v>8</v>
      </c>
      <c r="C412" t="str">
        <f>HYPERLINK("http://www.ncbi.nlm.nih.gov/protein/XP_032403176.1","XP_032403176.1")</f>
        <v>XP_032403176.1</v>
      </c>
      <c r="D412">
        <v>46466</v>
      </c>
      <c r="E412" t="str">
        <f>HYPERLINK("http://www.ncbi.nlm.nih.gov/Taxonomy/Browser/wwwtax.cgi?mode=Info&amp;id=8084&amp;lvl=3&amp;lin=f&amp;keep=1&amp;srchmode=1&amp;unlock","8084")</f>
        <v>8084</v>
      </c>
      <c r="F412" t="s">
        <v>17</v>
      </c>
      <c r="G412" t="str">
        <f>HYPERLINK("http://www.ncbi.nlm.nih.gov/Taxonomy/Browser/wwwtax.cgi?mode=Info&amp;id=8084&amp;lvl=3&amp;lin=f&amp;keep=1&amp;srchmode=1&amp;unlock","Xiphophorus hellerii")</f>
        <v>Xiphophorus hellerii</v>
      </c>
      <c r="H412" t="s">
        <v>129</v>
      </c>
      <c r="I412" t="str">
        <f>HYPERLINK("http://www.ncbi.nlm.nih.gov/protein/XP_032403176.1","ryanodine receptor 3-like isoform X6")</f>
        <v>ryanodine receptor 3-like isoform X6</v>
      </c>
      <c r="J412" t="s">
        <v>1496</v>
      </c>
      <c r="K412" t="s">
        <v>19</v>
      </c>
      <c r="L412">
        <v>4426</v>
      </c>
      <c r="M412" t="s">
        <v>19</v>
      </c>
      <c r="N412" t="s">
        <v>19</v>
      </c>
      <c r="O412">
        <v>4429</v>
      </c>
      <c r="P412" t="s">
        <v>1486</v>
      </c>
      <c r="Q412" t="s">
        <v>19</v>
      </c>
      <c r="R412">
        <v>4430</v>
      </c>
      <c r="S412" t="s">
        <v>1487</v>
      </c>
      <c r="T412" t="s">
        <v>19</v>
      </c>
      <c r="U412">
        <v>4433</v>
      </c>
      <c r="V412" t="s">
        <v>1488</v>
      </c>
      <c r="W412" t="s">
        <v>19</v>
      </c>
      <c r="X412">
        <v>4504</v>
      </c>
      <c r="Y412" t="s">
        <v>1493</v>
      </c>
      <c r="Z412" t="s">
        <v>19</v>
      </c>
      <c r="AA412">
        <v>4637</v>
      </c>
      <c r="AB412" t="s">
        <v>19</v>
      </c>
      <c r="AC412" t="s">
        <v>19</v>
      </c>
      <c r="AD412">
        <v>4638</v>
      </c>
      <c r="AE412" t="s">
        <v>1488</v>
      </c>
      <c r="AF412" t="s">
        <v>19</v>
      </c>
      <c r="AG412">
        <v>4641</v>
      </c>
      <c r="AH412" t="s">
        <v>19</v>
      </c>
      <c r="AI412" t="s">
        <v>19</v>
      </c>
      <c r="AJ412">
        <v>4661</v>
      </c>
      <c r="AK412" t="s">
        <v>1490</v>
      </c>
      <c r="AL412" t="s">
        <v>19</v>
      </c>
      <c r="AM412">
        <v>4665</v>
      </c>
      <c r="AN412" t="s">
        <v>1491</v>
      </c>
      <c r="AO412" t="s">
        <v>19</v>
      </c>
    </row>
    <row r="413" spans="1:41" x14ac:dyDescent="0.45">
      <c r="A413" t="s">
        <v>1265</v>
      </c>
      <c r="B413">
        <v>8</v>
      </c>
      <c r="C413" t="str">
        <f>HYPERLINK("http://www.ncbi.nlm.nih.gov/protein/XP_047197598.1","XP_047197598.1")</f>
        <v>XP_047197598.1</v>
      </c>
      <c r="D413">
        <v>42151</v>
      </c>
      <c r="E413" t="str">
        <f>HYPERLINK("http://www.ncbi.nlm.nih.gov/Taxonomy/Browser/wwwtax.cgi?mode=Info&amp;id=195615&amp;lvl=3&amp;lin=f&amp;keep=1&amp;srchmode=1&amp;unlock","195615")</f>
        <v>195615</v>
      </c>
      <c r="F413" t="s">
        <v>17</v>
      </c>
      <c r="G413" t="str">
        <f>HYPERLINK("http://www.ncbi.nlm.nih.gov/Taxonomy/Browser/wwwtax.cgi?mode=Info&amp;id=195615&amp;lvl=3&amp;lin=f&amp;keep=1&amp;srchmode=1&amp;unlock","Hippoglossus stenolepis")</f>
        <v>Hippoglossus stenolepis</v>
      </c>
      <c r="H413" t="s">
        <v>104</v>
      </c>
      <c r="I413" t="str">
        <f>HYPERLINK("http://www.ncbi.nlm.nih.gov/protein/XP_047197598.1","ryanodine receptor 3 isoform X2")</f>
        <v>ryanodine receptor 3 isoform X2</v>
      </c>
      <c r="J413" t="s">
        <v>1496</v>
      </c>
      <c r="K413" t="s">
        <v>19</v>
      </c>
      <c r="L413">
        <v>4437</v>
      </c>
      <c r="M413" t="s">
        <v>19</v>
      </c>
      <c r="N413" t="s">
        <v>19</v>
      </c>
      <c r="O413">
        <v>4440</v>
      </c>
      <c r="P413" t="s">
        <v>1486</v>
      </c>
      <c r="Q413" t="s">
        <v>19</v>
      </c>
      <c r="R413">
        <v>4441</v>
      </c>
      <c r="S413" t="s">
        <v>1487</v>
      </c>
      <c r="T413" t="s">
        <v>19</v>
      </c>
      <c r="U413">
        <v>4444</v>
      </c>
      <c r="V413" t="s">
        <v>1488</v>
      </c>
      <c r="W413" t="s">
        <v>19</v>
      </c>
      <c r="X413">
        <v>4515</v>
      </c>
      <c r="Y413" t="s">
        <v>1493</v>
      </c>
      <c r="Z413" t="s">
        <v>19</v>
      </c>
      <c r="AA413">
        <v>4648</v>
      </c>
      <c r="AB413" t="s">
        <v>19</v>
      </c>
      <c r="AC413" t="s">
        <v>19</v>
      </c>
      <c r="AD413">
        <v>4649</v>
      </c>
      <c r="AE413" t="s">
        <v>1488</v>
      </c>
      <c r="AF413" t="s">
        <v>19</v>
      </c>
      <c r="AG413">
        <v>4652</v>
      </c>
      <c r="AH413" t="s">
        <v>19</v>
      </c>
      <c r="AI413" t="s">
        <v>19</v>
      </c>
      <c r="AJ413">
        <v>4672</v>
      </c>
      <c r="AK413" t="s">
        <v>1490</v>
      </c>
      <c r="AL413" t="s">
        <v>19</v>
      </c>
      <c r="AM413">
        <v>4676</v>
      </c>
      <c r="AN413" t="s">
        <v>1491</v>
      </c>
      <c r="AO413" t="s">
        <v>19</v>
      </c>
    </row>
    <row r="414" spans="1:41" x14ac:dyDescent="0.45">
      <c r="A414" t="s">
        <v>1265</v>
      </c>
      <c r="B414">
        <v>8</v>
      </c>
      <c r="C414" t="str">
        <f>HYPERLINK("http://www.ncbi.nlm.nih.gov/protein/XP_045065072.1","XP_045065072.1")</f>
        <v>XP_045065072.1</v>
      </c>
      <c r="D414">
        <v>77029</v>
      </c>
      <c r="E414" t="str">
        <f>HYPERLINK("http://www.ncbi.nlm.nih.gov/Taxonomy/Browser/wwwtax.cgi?mode=Info&amp;id=59861&amp;lvl=3&amp;lin=f&amp;keep=1&amp;srchmode=1&amp;unlock","59861")</f>
        <v>59861</v>
      </c>
      <c r="F414" t="s">
        <v>17</v>
      </c>
      <c r="G414" t="str">
        <f>HYPERLINK("http://www.ncbi.nlm.nih.gov/Taxonomy/Browser/wwwtax.cgi?mode=Info&amp;id=59861&amp;lvl=3&amp;lin=f&amp;keep=1&amp;srchmode=1&amp;unlock","Coregonus clupeaformis")</f>
        <v>Coregonus clupeaformis</v>
      </c>
      <c r="H414" t="s">
        <v>130</v>
      </c>
      <c r="I414" t="str">
        <f>HYPERLINK("http://www.ncbi.nlm.nih.gov/protein/XP_045065072.1","ryanodine receptor 3")</f>
        <v>ryanodine receptor 3</v>
      </c>
      <c r="J414" t="s">
        <v>1496</v>
      </c>
      <c r="K414" t="s">
        <v>19</v>
      </c>
      <c r="L414">
        <v>4437</v>
      </c>
      <c r="M414" t="s">
        <v>19</v>
      </c>
      <c r="N414" t="s">
        <v>19</v>
      </c>
      <c r="O414">
        <v>4440</v>
      </c>
      <c r="P414" t="s">
        <v>1486</v>
      </c>
      <c r="Q414" t="s">
        <v>19</v>
      </c>
      <c r="R414">
        <v>4441</v>
      </c>
      <c r="S414" t="s">
        <v>1487</v>
      </c>
      <c r="T414" t="s">
        <v>19</v>
      </c>
      <c r="U414">
        <v>4444</v>
      </c>
      <c r="V414" t="s">
        <v>1488</v>
      </c>
      <c r="W414" t="s">
        <v>19</v>
      </c>
      <c r="X414">
        <v>4517</v>
      </c>
      <c r="Y414" t="s">
        <v>1493</v>
      </c>
      <c r="Z414" t="s">
        <v>19</v>
      </c>
      <c r="AA414">
        <v>4650</v>
      </c>
      <c r="AB414" t="s">
        <v>19</v>
      </c>
      <c r="AC414" t="s">
        <v>19</v>
      </c>
      <c r="AD414">
        <v>4651</v>
      </c>
      <c r="AE414" t="s">
        <v>1488</v>
      </c>
      <c r="AF414" t="s">
        <v>19</v>
      </c>
      <c r="AG414">
        <v>4654</v>
      </c>
      <c r="AH414" t="s">
        <v>19</v>
      </c>
      <c r="AI414" t="s">
        <v>19</v>
      </c>
      <c r="AJ414">
        <v>4674</v>
      </c>
      <c r="AK414" t="s">
        <v>1490</v>
      </c>
      <c r="AL414" t="s">
        <v>19</v>
      </c>
      <c r="AM414">
        <v>4678</v>
      </c>
      <c r="AN414" t="s">
        <v>1491</v>
      </c>
      <c r="AO414" t="s">
        <v>19</v>
      </c>
    </row>
    <row r="415" spans="1:41" x14ac:dyDescent="0.45">
      <c r="A415" t="s">
        <v>1265</v>
      </c>
      <c r="B415">
        <v>8</v>
      </c>
      <c r="C415" t="str">
        <f>HYPERLINK("http://www.ncbi.nlm.nih.gov/protein/XP_034078392.1","XP_034078392.1")</f>
        <v>XP_034078392.1</v>
      </c>
      <c r="D415">
        <v>45873</v>
      </c>
      <c r="E415" t="str">
        <f>HYPERLINK("http://www.ncbi.nlm.nih.gov/Taxonomy/Browser/wwwtax.cgi?mode=Info&amp;id=8218&amp;lvl=3&amp;lin=f&amp;keep=1&amp;srchmode=1&amp;unlock","8218")</f>
        <v>8218</v>
      </c>
      <c r="F415" t="s">
        <v>17</v>
      </c>
      <c r="G415" t="str">
        <f>HYPERLINK("http://www.ncbi.nlm.nih.gov/Taxonomy/Browser/wwwtax.cgi?mode=Info&amp;id=8218&amp;lvl=3&amp;lin=f&amp;keep=1&amp;srchmode=1&amp;unlock","Gymnodraco acuticeps")</f>
        <v>Gymnodraco acuticeps</v>
      </c>
      <c r="H415" t="s">
        <v>161</v>
      </c>
      <c r="I415" t="str">
        <f>HYPERLINK("http://www.ncbi.nlm.nih.gov/protein/XP_034078392.1","ryanodine receptor 3-like isoform X5")</f>
        <v>ryanodine receptor 3-like isoform X5</v>
      </c>
      <c r="J415" t="s">
        <v>1496</v>
      </c>
      <c r="K415" t="s">
        <v>19</v>
      </c>
      <c r="L415">
        <v>4422</v>
      </c>
      <c r="M415" t="s">
        <v>19</v>
      </c>
      <c r="N415" t="s">
        <v>19</v>
      </c>
      <c r="O415">
        <v>4425</v>
      </c>
      <c r="P415" t="s">
        <v>1486</v>
      </c>
      <c r="Q415" t="s">
        <v>19</v>
      </c>
      <c r="R415">
        <v>4426</v>
      </c>
      <c r="S415" t="s">
        <v>1487</v>
      </c>
      <c r="T415" t="s">
        <v>19</v>
      </c>
      <c r="U415">
        <v>4429</v>
      </c>
      <c r="V415" t="s">
        <v>1488</v>
      </c>
      <c r="W415" t="s">
        <v>19</v>
      </c>
      <c r="X415">
        <v>4500</v>
      </c>
      <c r="Y415" t="s">
        <v>1493</v>
      </c>
      <c r="Z415" t="s">
        <v>19</v>
      </c>
      <c r="AA415">
        <v>4633</v>
      </c>
      <c r="AB415" t="s">
        <v>19</v>
      </c>
      <c r="AC415" t="s">
        <v>19</v>
      </c>
      <c r="AD415">
        <v>4634</v>
      </c>
      <c r="AE415" t="s">
        <v>1488</v>
      </c>
      <c r="AF415" t="s">
        <v>19</v>
      </c>
      <c r="AG415">
        <v>4637</v>
      </c>
      <c r="AH415" t="s">
        <v>19</v>
      </c>
      <c r="AI415" t="s">
        <v>19</v>
      </c>
      <c r="AJ415">
        <v>4657</v>
      </c>
      <c r="AK415" t="s">
        <v>1490</v>
      </c>
      <c r="AL415" t="s">
        <v>19</v>
      </c>
      <c r="AM415">
        <v>4661</v>
      </c>
      <c r="AN415" t="s">
        <v>1491</v>
      </c>
      <c r="AO415" t="s">
        <v>19</v>
      </c>
    </row>
    <row r="416" spans="1:41" x14ac:dyDescent="0.45">
      <c r="A416" t="s">
        <v>1265</v>
      </c>
      <c r="B416">
        <v>8</v>
      </c>
      <c r="C416" t="str">
        <f>HYPERLINK("http://www.ncbi.nlm.nih.gov/protein/XP_054894100.1","XP_054894100.1")</f>
        <v>XP_054894100.1</v>
      </c>
      <c r="D416">
        <v>41286</v>
      </c>
      <c r="E416" t="str">
        <f>HYPERLINK("http://www.ncbi.nlm.nih.gov/Taxonomy/Browser/wwwtax.cgi?mode=Info&amp;id=188132&amp;lvl=3&amp;lin=f&amp;keep=1&amp;srchmode=1&amp;unlock","188132")</f>
        <v>188132</v>
      </c>
      <c r="F416" t="s">
        <v>17</v>
      </c>
      <c r="G416" t="str">
        <f>HYPERLINK("http://www.ncbi.nlm.nih.gov/Taxonomy/Browser/wwwtax.cgi?mode=Info&amp;id=188132&amp;lvl=3&amp;lin=f&amp;keep=1&amp;srchmode=1&amp;unlock","Poeciliopsis prolifica")</f>
        <v>Poeciliopsis prolifica</v>
      </c>
      <c r="H416" t="s">
        <v>145</v>
      </c>
      <c r="I416" t="str">
        <f>HYPERLINK("http://www.ncbi.nlm.nih.gov/protein/XP_054894100.1","ryanodine receptor 3-like")</f>
        <v>ryanodine receptor 3-like</v>
      </c>
      <c r="J416" t="s">
        <v>1496</v>
      </c>
      <c r="K416" t="s">
        <v>19</v>
      </c>
      <c r="L416">
        <v>4431</v>
      </c>
      <c r="M416" t="s">
        <v>19</v>
      </c>
      <c r="N416" t="s">
        <v>19</v>
      </c>
      <c r="O416">
        <v>4434</v>
      </c>
      <c r="P416" t="s">
        <v>1486</v>
      </c>
      <c r="Q416" t="s">
        <v>19</v>
      </c>
      <c r="R416">
        <v>4435</v>
      </c>
      <c r="S416" t="s">
        <v>1487</v>
      </c>
      <c r="T416" t="s">
        <v>19</v>
      </c>
      <c r="U416">
        <v>4438</v>
      </c>
      <c r="V416" t="s">
        <v>1488</v>
      </c>
      <c r="W416" t="s">
        <v>19</v>
      </c>
      <c r="X416">
        <v>4509</v>
      </c>
      <c r="Y416" t="s">
        <v>1493</v>
      </c>
      <c r="Z416" t="s">
        <v>19</v>
      </c>
      <c r="AA416">
        <v>4642</v>
      </c>
      <c r="AB416" t="s">
        <v>19</v>
      </c>
      <c r="AC416" t="s">
        <v>19</v>
      </c>
      <c r="AD416">
        <v>4643</v>
      </c>
      <c r="AE416" t="s">
        <v>1488</v>
      </c>
      <c r="AF416" t="s">
        <v>19</v>
      </c>
      <c r="AG416">
        <v>4646</v>
      </c>
      <c r="AH416" t="s">
        <v>19</v>
      </c>
      <c r="AI416" t="s">
        <v>19</v>
      </c>
      <c r="AJ416">
        <v>4666</v>
      </c>
      <c r="AK416" t="s">
        <v>1490</v>
      </c>
      <c r="AL416" t="s">
        <v>19</v>
      </c>
      <c r="AM416">
        <v>4670</v>
      </c>
      <c r="AN416" t="s">
        <v>1491</v>
      </c>
      <c r="AO416" t="s">
        <v>19</v>
      </c>
    </row>
    <row r="417" spans="1:41" x14ac:dyDescent="0.45">
      <c r="A417" t="s">
        <v>1265</v>
      </c>
      <c r="B417">
        <v>8</v>
      </c>
      <c r="C417" t="str">
        <f>HYPERLINK("http://www.ncbi.nlm.nih.gov/protein/XP_008397627.1","XP_008397627.1")</f>
        <v>XP_008397627.1</v>
      </c>
      <c r="D417">
        <v>45432</v>
      </c>
      <c r="E417" t="str">
        <f>HYPERLINK("http://www.ncbi.nlm.nih.gov/Taxonomy/Browser/wwwtax.cgi?mode=Info&amp;id=8081&amp;lvl=3&amp;lin=f&amp;keep=1&amp;srchmode=1&amp;unlock","8081")</f>
        <v>8081</v>
      </c>
      <c r="F417" t="s">
        <v>17</v>
      </c>
      <c r="G417" t="str">
        <f>HYPERLINK("http://www.ncbi.nlm.nih.gov/Taxonomy/Browser/wwwtax.cgi?mode=Info&amp;id=8081&amp;lvl=3&amp;lin=f&amp;keep=1&amp;srchmode=1&amp;unlock","Poecilia reticulata")</f>
        <v>Poecilia reticulata</v>
      </c>
      <c r="H417" t="s">
        <v>504</v>
      </c>
      <c r="I417" t="str">
        <f>HYPERLINK("http://www.ncbi.nlm.nih.gov/protein/XP_008397627.1","PREDICTED: ryanodine receptor 3-like isoform X4")</f>
        <v>PREDICTED: ryanodine receptor 3-like isoform X4</v>
      </c>
      <c r="J417" t="s">
        <v>1496</v>
      </c>
      <c r="K417" t="s">
        <v>19</v>
      </c>
      <c r="L417">
        <v>4434</v>
      </c>
      <c r="M417" t="s">
        <v>19</v>
      </c>
      <c r="N417" t="s">
        <v>19</v>
      </c>
      <c r="O417">
        <v>4437</v>
      </c>
      <c r="P417" t="s">
        <v>1486</v>
      </c>
      <c r="Q417" t="s">
        <v>19</v>
      </c>
      <c r="R417">
        <v>4438</v>
      </c>
      <c r="S417" t="s">
        <v>1487</v>
      </c>
      <c r="T417" t="s">
        <v>19</v>
      </c>
      <c r="U417">
        <v>4441</v>
      </c>
      <c r="V417" t="s">
        <v>1488</v>
      </c>
      <c r="W417" t="s">
        <v>19</v>
      </c>
      <c r="X417">
        <v>4511</v>
      </c>
      <c r="Y417" t="s">
        <v>1493</v>
      </c>
      <c r="Z417" t="s">
        <v>19</v>
      </c>
      <c r="AA417">
        <v>4644</v>
      </c>
      <c r="AB417" t="s">
        <v>19</v>
      </c>
      <c r="AC417" t="s">
        <v>19</v>
      </c>
      <c r="AD417">
        <v>4645</v>
      </c>
      <c r="AE417" t="s">
        <v>1488</v>
      </c>
      <c r="AF417" t="s">
        <v>19</v>
      </c>
      <c r="AG417">
        <v>4648</v>
      </c>
      <c r="AH417" t="s">
        <v>19</v>
      </c>
      <c r="AI417" t="s">
        <v>19</v>
      </c>
      <c r="AJ417">
        <v>4668</v>
      </c>
      <c r="AK417" t="s">
        <v>1490</v>
      </c>
      <c r="AL417" t="s">
        <v>19</v>
      </c>
      <c r="AM417">
        <v>4672</v>
      </c>
      <c r="AN417" t="s">
        <v>1491</v>
      </c>
      <c r="AO417" t="s">
        <v>19</v>
      </c>
    </row>
    <row r="418" spans="1:41" x14ac:dyDescent="0.45">
      <c r="A418" t="s">
        <v>1265</v>
      </c>
      <c r="B418">
        <v>8</v>
      </c>
      <c r="C418" t="str">
        <f>HYPERLINK("http://www.ncbi.nlm.nih.gov/protein/XP_023208269.1","XP_023208269.1")</f>
        <v>XP_023208269.1</v>
      </c>
      <c r="D418">
        <v>43739</v>
      </c>
      <c r="E418" t="str">
        <f>HYPERLINK("http://www.ncbi.nlm.nih.gov/Taxonomy/Browser/wwwtax.cgi?mode=Info&amp;id=8083&amp;lvl=3&amp;lin=f&amp;keep=1&amp;srchmode=1&amp;unlock","8083")</f>
        <v>8083</v>
      </c>
      <c r="F418" t="s">
        <v>17</v>
      </c>
      <c r="G418" t="str">
        <f>HYPERLINK("http://www.ncbi.nlm.nih.gov/Taxonomy/Browser/wwwtax.cgi?mode=Info&amp;id=8083&amp;lvl=3&amp;lin=f&amp;keep=1&amp;srchmode=1&amp;unlock","Xiphophorus maculatus")</f>
        <v>Xiphophorus maculatus</v>
      </c>
      <c r="H418" t="s">
        <v>126</v>
      </c>
      <c r="I418" t="str">
        <f>HYPERLINK("http://www.ncbi.nlm.nih.gov/protein/XP_023208269.1","ryanodine receptor 3-like isoform X4")</f>
        <v>ryanodine receptor 3-like isoform X4</v>
      </c>
      <c r="J418" t="s">
        <v>1496</v>
      </c>
      <c r="K418" t="s">
        <v>19</v>
      </c>
      <c r="L418">
        <v>4433</v>
      </c>
      <c r="M418" t="s">
        <v>19</v>
      </c>
      <c r="N418" t="s">
        <v>19</v>
      </c>
      <c r="O418">
        <v>4436</v>
      </c>
      <c r="P418" t="s">
        <v>1486</v>
      </c>
      <c r="Q418" t="s">
        <v>19</v>
      </c>
      <c r="R418">
        <v>4437</v>
      </c>
      <c r="S418" t="s">
        <v>1487</v>
      </c>
      <c r="T418" t="s">
        <v>19</v>
      </c>
      <c r="U418">
        <v>4440</v>
      </c>
      <c r="V418" t="s">
        <v>1488</v>
      </c>
      <c r="W418" t="s">
        <v>19</v>
      </c>
      <c r="X418">
        <v>4511</v>
      </c>
      <c r="Y418" t="s">
        <v>1493</v>
      </c>
      <c r="Z418" t="s">
        <v>19</v>
      </c>
      <c r="AA418">
        <v>4644</v>
      </c>
      <c r="AB418" t="s">
        <v>19</v>
      </c>
      <c r="AC418" t="s">
        <v>19</v>
      </c>
      <c r="AD418">
        <v>4645</v>
      </c>
      <c r="AE418" t="s">
        <v>1488</v>
      </c>
      <c r="AF418" t="s">
        <v>19</v>
      </c>
      <c r="AG418">
        <v>4648</v>
      </c>
      <c r="AH418" t="s">
        <v>19</v>
      </c>
      <c r="AI418" t="s">
        <v>19</v>
      </c>
      <c r="AJ418">
        <v>4668</v>
      </c>
      <c r="AK418" t="s">
        <v>1490</v>
      </c>
      <c r="AL418" t="s">
        <v>19</v>
      </c>
      <c r="AM418">
        <v>4672</v>
      </c>
      <c r="AN418" t="s">
        <v>1491</v>
      </c>
      <c r="AO418" t="s">
        <v>19</v>
      </c>
    </row>
    <row r="419" spans="1:41" x14ac:dyDescent="0.45">
      <c r="A419" t="s">
        <v>1265</v>
      </c>
      <c r="B419">
        <v>8</v>
      </c>
      <c r="C419" t="str">
        <f>HYPERLINK("http://www.ncbi.nlm.nih.gov/protein/XP_036818165.1","XP_036818165.1")</f>
        <v>XP_036818165.1</v>
      </c>
      <c r="D419">
        <v>150927</v>
      </c>
      <c r="E419" t="str">
        <f>HYPERLINK("http://www.ncbi.nlm.nih.gov/Taxonomy/Browser/wwwtax.cgi?mode=Info&amp;id=8022&amp;lvl=3&amp;lin=f&amp;keep=1&amp;srchmode=1&amp;unlock","8022")</f>
        <v>8022</v>
      </c>
      <c r="F419" t="s">
        <v>17</v>
      </c>
      <c r="G419" t="str">
        <f>HYPERLINK("http://www.ncbi.nlm.nih.gov/Taxonomy/Browser/wwwtax.cgi?mode=Info&amp;id=8022&amp;lvl=3&amp;lin=f&amp;keep=1&amp;srchmode=1&amp;unlock","Oncorhynchus mykiss")</f>
        <v>Oncorhynchus mykiss</v>
      </c>
      <c r="H419" t="s">
        <v>158</v>
      </c>
      <c r="I419" t="str">
        <f>HYPERLINK("http://www.ncbi.nlm.nih.gov/protein/XP_036818165.1","ryanodine receptor 3")</f>
        <v>ryanodine receptor 3</v>
      </c>
      <c r="J419" t="s">
        <v>1496</v>
      </c>
      <c r="K419" t="s">
        <v>19</v>
      </c>
      <c r="L419">
        <v>4436</v>
      </c>
      <c r="M419" t="s">
        <v>19</v>
      </c>
      <c r="N419" t="s">
        <v>19</v>
      </c>
      <c r="O419">
        <v>4439</v>
      </c>
      <c r="P419" t="s">
        <v>1486</v>
      </c>
      <c r="Q419" t="s">
        <v>19</v>
      </c>
      <c r="R419">
        <v>4440</v>
      </c>
      <c r="S419" t="s">
        <v>1487</v>
      </c>
      <c r="T419" t="s">
        <v>19</v>
      </c>
      <c r="U419">
        <v>4443</v>
      </c>
      <c r="V419" t="s">
        <v>1488</v>
      </c>
      <c r="W419" t="s">
        <v>19</v>
      </c>
      <c r="X419">
        <v>4516</v>
      </c>
      <c r="Y419" t="s">
        <v>1493</v>
      </c>
      <c r="Z419" t="s">
        <v>19</v>
      </c>
      <c r="AA419">
        <v>4649</v>
      </c>
      <c r="AB419" t="s">
        <v>19</v>
      </c>
      <c r="AC419" t="s">
        <v>19</v>
      </c>
      <c r="AD419">
        <v>4650</v>
      </c>
      <c r="AE419" t="s">
        <v>1488</v>
      </c>
      <c r="AF419" t="s">
        <v>19</v>
      </c>
      <c r="AG419">
        <v>4653</v>
      </c>
      <c r="AH419" t="s">
        <v>19</v>
      </c>
      <c r="AI419" t="s">
        <v>19</v>
      </c>
      <c r="AJ419">
        <v>4673</v>
      </c>
      <c r="AK419" t="s">
        <v>1490</v>
      </c>
      <c r="AL419" t="s">
        <v>19</v>
      </c>
      <c r="AM419">
        <v>4677</v>
      </c>
      <c r="AN419" t="s">
        <v>1491</v>
      </c>
      <c r="AO419" t="s">
        <v>19</v>
      </c>
    </row>
    <row r="420" spans="1:41" x14ac:dyDescent="0.45">
      <c r="A420" t="s">
        <v>1265</v>
      </c>
      <c r="B420">
        <v>8</v>
      </c>
      <c r="C420" t="str">
        <f>HYPERLINK("http://www.ncbi.nlm.nih.gov/protein/XP_045579421.1","XP_045579421.1")</f>
        <v>XP_045579421.1</v>
      </c>
      <c r="D420">
        <v>111662</v>
      </c>
      <c r="E420" t="str">
        <f>HYPERLINK("http://www.ncbi.nlm.nih.gov/Taxonomy/Browser/wwwtax.cgi?mode=Info&amp;id=8030&amp;lvl=3&amp;lin=f&amp;keep=1&amp;srchmode=1&amp;unlock","8030")</f>
        <v>8030</v>
      </c>
      <c r="F420" t="s">
        <v>17</v>
      </c>
      <c r="G420" t="str">
        <f>HYPERLINK("http://www.ncbi.nlm.nih.gov/Taxonomy/Browser/wwwtax.cgi?mode=Info&amp;id=8030&amp;lvl=3&amp;lin=f&amp;keep=1&amp;srchmode=1&amp;unlock","Salmo salar")</f>
        <v>Salmo salar</v>
      </c>
      <c r="H420" t="s">
        <v>155</v>
      </c>
      <c r="I420" t="str">
        <f>HYPERLINK("http://www.ncbi.nlm.nih.gov/protein/XP_045579421.1","ryanodine receptor 3 isoform X4")</f>
        <v>ryanodine receptor 3 isoform X4</v>
      </c>
      <c r="J420" t="s">
        <v>1496</v>
      </c>
      <c r="K420" t="s">
        <v>19</v>
      </c>
      <c r="L420">
        <v>4440</v>
      </c>
      <c r="M420" t="s">
        <v>19</v>
      </c>
      <c r="N420" t="s">
        <v>19</v>
      </c>
      <c r="O420">
        <v>4443</v>
      </c>
      <c r="P420" t="s">
        <v>1486</v>
      </c>
      <c r="Q420" t="s">
        <v>19</v>
      </c>
      <c r="R420">
        <v>4444</v>
      </c>
      <c r="S420" t="s">
        <v>1487</v>
      </c>
      <c r="T420" t="s">
        <v>19</v>
      </c>
      <c r="U420">
        <v>4447</v>
      </c>
      <c r="V420" t="s">
        <v>1488</v>
      </c>
      <c r="W420" t="s">
        <v>19</v>
      </c>
      <c r="X420">
        <v>4520</v>
      </c>
      <c r="Y420" t="s">
        <v>1493</v>
      </c>
      <c r="Z420" t="s">
        <v>19</v>
      </c>
      <c r="AA420">
        <v>4653</v>
      </c>
      <c r="AB420" t="s">
        <v>19</v>
      </c>
      <c r="AC420" t="s">
        <v>19</v>
      </c>
      <c r="AD420">
        <v>4654</v>
      </c>
      <c r="AE420" t="s">
        <v>1488</v>
      </c>
      <c r="AF420" t="s">
        <v>19</v>
      </c>
      <c r="AG420">
        <v>4657</v>
      </c>
      <c r="AH420" t="s">
        <v>19</v>
      </c>
      <c r="AI420" t="s">
        <v>19</v>
      </c>
      <c r="AJ420">
        <v>4677</v>
      </c>
      <c r="AK420" t="s">
        <v>1490</v>
      </c>
      <c r="AL420" t="s">
        <v>19</v>
      </c>
      <c r="AM420">
        <v>4681</v>
      </c>
      <c r="AN420" t="s">
        <v>1491</v>
      </c>
      <c r="AO420" t="s">
        <v>19</v>
      </c>
    </row>
    <row r="421" spans="1:41" x14ac:dyDescent="0.45">
      <c r="A421" t="s">
        <v>1265</v>
      </c>
      <c r="B421">
        <v>8</v>
      </c>
      <c r="C421" t="str">
        <f>HYPERLINK("http://www.ncbi.nlm.nih.gov/protein/KAG7509713.1","KAG7509713.1")</f>
        <v>KAG7509713.1</v>
      </c>
      <c r="D421">
        <v>91952</v>
      </c>
      <c r="E421" t="str">
        <f>HYPERLINK("http://www.ncbi.nlm.nih.gov/Taxonomy/Browser/wwwtax.cgi?mode=Info&amp;id=28829&amp;lvl=3&amp;lin=f&amp;keep=1&amp;srchmode=1&amp;unlock","28829")</f>
        <v>28829</v>
      </c>
      <c r="F421" t="s">
        <v>17</v>
      </c>
      <c r="G421" t="str">
        <f>HYPERLINK("http://www.ncbi.nlm.nih.gov/Taxonomy/Browser/wwwtax.cgi?mode=Info&amp;id=28829&amp;lvl=3&amp;lin=f&amp;keep=1&amp;srchmode=1&amp;unlock","Solea senegalensis")</f>
        <v>Solea senegalensis</v>
      </c>
      <c r="H421" t="s">
        <v>60</v>
      </c>
      <c r="I421" t="str">
        <f>HYPERLINK("http://www.ncbi.nlm.nih.gov/protein/KAG7509713.1","ryanodine receptor 3-like")</f>
        <v>ryanodine receptor 3-like</v>
      </c>
      <c r="J421" t="s">
        <v>1496</v>
      </c>
      <c r="K421" t="s">
        <v>19</v>
      </c>
      <c r="L421">
        <v>4422</v>
      </c>
      <c r="M421" t="s">
        <v>19</v>
      </c>
      <c r="N421" t="s">
        <v>19</v>
      </c>
      <c r="O421">
        <v>4425</v>
      </c>
      <c r="P421" t="s">
        <v>1486</v>
      </c>
      <c r="Q421" t="s">
        <v>19</v>
      </c>
      <c r="R421">
        <v>4426</v>
      </c>
      <c r="S421" t="s">
        <v>1487</v>
      </c>
      <c r="T421" t="s">
        <v>19</v>
      </c>
      <c r="U421">
        <v>4429</v>
      </c>
      <c r="V421" t="s">
        <v>1488</v>
      </c>
      <c r="W421" t="s">
        <v>19</v>
      </c>
      <c r="X421">
        <v>4500</v>
      </c>
      <c r="Y421" t="s">
        <v>1493</v>
      </c>
      <c r="Z421" t="s">
        <v>19</v>
      </c>
      <c r="AA421">
        <v>4633</v>
      </c>
      <c r="AB421" t="s">
        <v>19</v>
      </c>
      <c r="AC421" t="s">
        <v>19</v>
      </c>
      <c r="AD421">
        <v>4634</v>
      </c>
      <c r="AE421" t="s">
        <v>1488</v>
      </c>
      <c r="AF421" t="s">
        <v>19</v>
      </c>
      <c r="AG421">
        <v>4637</v>
      </c>
      <c r="AH421" t="s">
        <v>19</v>
      </c>
      <c r="AI421" t="s">
        <v>19</v>
      </c>
      <c r="AJ421">
        <v>4657</v>
      </c>
      <c r="AK421" t="s">
        <v>1490</v>
      </c>
      <c r="AL421" t="s">
        <v>19</v>
      </c>
      <c r="AM421">
        <v>4661</v>
      </c>
      <c r="AN421" t="s">
        <v>1491</v>
      </c>
      <c r="AO421" t="s">
        <v>19</v>
      </c>
    </row>
    <row r="422" spans="1:41" x14ac:dyDescent="0.45">
      <c r="A422" t="s">
        <v>1265</v>
      </c>
      <c r="B422">
        <v>8</v>
      </c>
      <c r="C422" t="str">
        <f>HYPERLINK("http://www.ncbi.nlm.nih.gov/protein/XP_027856605.1","XP_027856605.1")</f>
        <v>XP_027856605.1</v>
      </c>
      <c r="D422">
        <v>47115</v>
      </c>
      <c r="E422" t="str">
        <f>HYPERLINK("http://www.ncbi.nlm.nih.gov/Taxonomy/Browser/wwwtax.cgi?mode=Info&amp;id=32473&amp;lvl=3&amp;lin=f&amp;keep=1&amp;srchmode=1&amp;unlock","32473")</f>
        <v>32473</v>
      </c>
      <c r="F422" t="s">
        <v>17</v>
      </c>
      <c r="G422" t="str">
        <f>HYPERLINK("http://www.ncbi.nlm.nih.gov/Taxonomy/Browser/wwwtax.cgi?mode=Info&amp;id=32473&amp;lvl=3&amp;lin=f&amp;keep=1&amp;srchmode=1&amp;unlock","Xiphophorus couchianus")</f>
        <v>Xiphophorus couchianus</v>
      </c>
      <c r="H422" t="s">
        <v>132</v>
      </c>
      <c r="I422" t="str">
        <f>HYPERLINK("http://www.ncbi.nlm.nih.gov/protein/XP_027856605.1","ryanodine receptor 3-like isoform X6")</f>
        <v>ryanodine receptor 3-like isoform X6</v>
      </c>
      <c r="J422" t="s">
        <v>1496</v>
      </c>
      <c r="K422" t="s">
        <v>19</v>
      </c>
      <c r="L422">
        <v>4426</v>
      </c>
      <c r="M422" t="s">
        <v>19</v>
      </c>
      <c r="N422" t="s">
        <v>19</v>
      </c>
      <c r="O422">
        <v>4429</v>
      </c>
      <c r="P422" t="s">
        <v>1486</v>
      </c>
      <c r="Q422" t="s">
        <v>19</v>
      </c>
      <c r="R422">
        <v>4430</v>
      </c>
      <c r="S422" t="s">
        <v>1487</v>
      </c>
      <c r="T422" t="s">
        <v>19</v>
      </c>
      <c r="U422">
        <v>4433</v>
      </c>
      <c r="V422" t="s">
        <v>1488</v>
      </c>
      <c r="W422" t="s">
        <v>19</v>
      </c>
      <c r="X422">
        <v>4504</v>
      </c>
      <c r="Y422" t="s">
        <v>1493</v>
      </c>
      <c r="Z422" t="s">
        <v>19</v>
      </c>
      <c r="AA422">
        <v>4637</v>
      </c>
      <c r="AB422" t="s">
        <v>19</v>
      </c>
      <c r="AC422" t="s">
        <v>19</v>
      </c>
      <c r="AD422">
        <v>4638</v>
      </c>
      <c r="AE422" t="s">
        <v>1488</v>
      </c>
      <c r="AF422" t="s">
        <v>19</v>
      </c>
      <c r="AG422">
        <v>4641</v>
      </c>
      <c r="AH422" t="s">
        <v>19</v>
      </c>
      <c r="AI422" t="s">
        <v>19</v>
      </c>
      <c r="AJ422">
        <v>4661</v>
      </c>
      <c r="AK422" t="s">
        <v>1490</v>
      </c>
      <c r="AL422" t="s">
        <v>19</v>
      </c>
      <c r="AM422">
        <v>4665</v>
      </c>
      <c r="AN422" t="s">
        <v>1491</v>
      </c>
      <c r="AO422" t="s">
        <v>19</v>
      </c>
    </row>
    <row r="423" spans="1:41" x14ac:dyDescent="0.45">
      <c r="A423" t="s">
        <v>1265</v>
      </c>
      <c r="B423">
        <v>8</v>
      </c>
      <c r="C423" t="str">
        <f>HYPERLINK("http://www.ncbi.nlm.nih.gov/protein/XP_054652179.1","XP_054652179.1")</f>
        <v>XP_054652179.1</v>
      </c>
      <c r="D423">
        <v>48595</v>
      </c>
      <c r="E423" t="str">
        <f>HYPERLINK("http://www.ncbi.nlm.nih.gov/Taxonomy/Browser/wwwtax.cgi?mode=Info&amp;id=161453&amp;lvl=3&amp;lin=f&amp;keep=1&amp;srchmode=1&amp;unlock","161453")</f>
        <v>161453</v>
      </c>
      <c r="F423" t="s">
        <v>17</v>
      </c>
      <c r="G423" t="str">
        <f>HYPERLINK("http://www.ncbi.nlm.nih.gov/Taxonomy/Browser/wwwtax.cgi?mode=Info&amp;id=161453&amp;lvl=3&amp;lin=f&amp;keep=1&amp;srchmode=1&amp;unlock","Dunckerocampus dactyliophorus")</f>
        <v>Dunckerocampus dactyliophorus</v>
      </c>
      <c r="H423" t="s">
        <v>107</v>
      </c>
      <c r="I423" t="str">
        <f>HYPERLINK("http://www.ncbi.nlm.nih.gov/protein/XP_054652179.1","ryanodine receptor 3-like isoform X3")</f>
        <v>ryanodine receptor 3-like isoform X3</v>
      </c>
      <c r="J423" t="s">
        <v>1496</v>
      </c>
      <c r="K423" t="s">
        <v>19</v>
      </c>
      <c r="L423">
        <v>4453</v>
      </c>
      <c r="M423" t="s">
        <v>19</v>
      </c>
      <c r="N423" t="s">
        <v>19</v>
      </c>
      <c r="O423">
        <v>4456</v>
      </c>
      <c r="P423" t="s">
        <v>1486</v>
      </c>
      <c r="Q423" t="s">
        <v>19</v>
      </c>
      <c r="R423">
        <v>4457</v>
      </c>
      <c r="S423" t="s">
        <v>1487</v>
      </c>
      <c r="T423" t="s">
        <v>19</v>
      </c>
      <c r="U423">
        <v>4460</v>
      </c>
      <c r="V423" t="s">
        <v>1488</v>
      </c>
      <c r="W423" t="s">
        <v>19</v>
      </c>
      <c r="X423">
        <v>4532</v>
      </c>
      <c r="Y423" t="s">
        <v>1493</v>
      </c>
      <c r="Z423" t="s">
        <v>19</v>
      </c>
      <c r="AA423">
        <v>4665</v>
      </c>
      <c r="AB423" t="s">
        <v>19</v>
      </c>
      <c r="AC423" t="s">
        <v>19</v>
      </c>
      <c r="AD423">
        <v>4666</v>
      </c>
      <c r="AE423" t="s">
        <v>1488</v>
      </c>
      <c r="AF423" t="s">
        <v>19</v>
      </c>
      <c r="AG423">
        <v>4669</v>
      </c>
      <c r="AH423" t="s">
        <v>19</v>
      </c>
      <c r="AI423" t="s">
        <v>19</v>
      </c>
      <c r="AJ423">
        <v>4689</v>
      </c>
      <c r="AK423" t="s">
        <v>1490</v>
      </c>
      <c r="AL423" t="s">
        <v>19</v>
      </c>
      <c r="AM423">
        <v>4693</v>
      </c>
      <c r="AN423" t="s">
        <v>1491</v>
      </c>
      <c r="AO423" t="s">
        <v>19</v>
      </c>
    </row>
    <row r="424" spans="1:41" x14ac:dyDescent="0.45">
      <c r="A424" t="s">
        <v>1265</v>
      </c>
      <c r="B424">
        <v>8</v>
      </c>
      <c r="C424" t="str">
        <f>HYPERLINK("http://www.ncbi.nlm.nih.gov/protein/XP_033979617.1","XP_033979617.1")</f>
        <v>XP_033979617.1</v>
      </c>
      <c r="D424">
        <v>41311</v>
      </c>
      <c r="E424" t="str">
        <f>HYPERLINK("http://www.ncbi.nlm.nih.gov/Taxonomy/Browser/wwwtax.cgi?mode=Info&amp;id=40690&amp;lvl=3&amp;lin=f&amp;keep=1&amp;srchmode=1&amp;unlock","40690")</f>
        <v>40690</v>
      </c>
      <c r="F424" t="s">
        <v>17</v>
      </c>
      <c r="G424" t="str">
        <f>HYPERLINK("http://www.ncbi.nlm.nih.gov/Taxonomy/Browser/wwwtax.cgi?mode=Info&amp;id=40690&amp;lvl=3&amp;lin=f&amp;keep=1&amp;srchmode=1&amp;unlock","Trematomus bernacchii")</f>
        <v>Trematomus bernacchii</v>
      </c>
      <c r="H424" t="s">
        <v>167</v>
      </c>
      <c r="I424" t="str">
        <f>HYPERLINK("http://www.ncbi.nlm.nih.gov/protein/XP_033979617.1","ryanodine receptor 3-like")</f>
        <v>ryanodine receptor 3-like</v>
      </c>
      <c r="J424" t="s">
        <v>1496</v>
      </c>
      <c r="K424" t="s">
        <v>19</v>
      </c>
      <c r="L424">
        <v>4430</v>
      </c>
      <c r="M424" t="s">
        <v>19</v>
      </c>
      <c r="N424" t="s">
        <v>19</v>
      </c>
      <c r="O424">
        <v>4433</v>
      </c>
      <c r="P424" t="s">
        <v>1486</v>
      </c>
      <c r="Q424" t="s">
        <v>19</v>
      </c>
      <c r="R424">
        <v>4434</v>
      </c>
      <c r="S424" t="s">
        <v>1487</v>
      </c>
      <c r="T424" t="s">
        <v>19</v>
      </c>
      <c r="U424">
        <v>4437</v>
      </c>
      <c r="V424" t="s">
        <v>1488</v>
      </c>
      <c r="W424" t="s">
        <v>19</v>
      </c>
      <c r="X424">
        <v>4508</v>
      </c>
      <c r="Y424" t="s">
        <v>1493</v>
      </c>
      <c r="Z424" t="s">
        <v>19</v>
      </c>
      <c r="AA424">
        <v>4641</v>
      </c>
      <c r="AB424" t="s">
        <v>19</v>
      </c>
      <c r="AC424" t="s">
        <v>19</v>
      </c>
      <c r="AD424">
        <v>4642</v>
      </c>
      <c r="AE424" t="s">
        <v>1488</v>
      </c>
      <c r="AF424" t="s">
        <v>19</v>
      </c>
      <c r="AG424">
        <v>4645</v>
      </c>
      <c r="AH424" t="s">
        <v>19</v>
      </c>
      <c r="AI424" t="s">
        <v>19</v>
      </c>
      <c r="AJ424">
        <v>4665</v>
      </c>
      <c r="AK424" t="s">
        <v>1490</v>
      </c>
      <c r="AL424" t="s">
        <v>19</v>
      </c>
      <c r="AM424">
        <v>4669</v>
      </c>
      <c r="AN424" t="s">
        <v>1491</v>
      </c>
      <c r="AO424" t="s">
        <v>19</v>
      </c>
    </row>
    <row r="425" spans="1:41" x14ac:dyDescent="0.45">
      <c r="A425" t="s">
        <v>1265</v>
      </c>
      <c r="B425">
        <v>8</v>
      </c>
      <c r="C425" t="str">
        <f>HYPERLINK("http://www.ncbi.nlm.nih.gov/protein/XP_034051524.1","XP_034051524.1")</f>
        <v>XP_034051524.1</v>
      </c>
      <c r="D425">
        <v>36365</v>
      </c>
      <c r="E425" t="str">
        <f>HYPERLINK("http://www.ncbi.nlm.nih.gov/Taxonomy/Browser/wwwtax.cgi?mode=Info&amp;id=390379&amp;lvl=3&amp;lin=f&amp;keep=1&amp;srchmode=1&amp;unlock","390379")</f>
        <v>390379</v>
      </c>
      <c r="F425" t="s">
        <v>17</v>
      </c>
      <c r="G425" t="str">
        <f>HYPERLINK("http://www.ncbi.nlm.nih.gov/Taxonomy/Browser/wwwtax.cgi?mode=Info&amp;id=390379&amp;lvl=3&amp;lin=f&amp;keep=1&amp;srchmode=1&amp;unlock","Thalassophryne amazonica")</f>
        <v>Thalassophryne amazonica</v>
      </c>
      <c r="H425" t="s">
        <v>147</v>
      </c>
      <c r="I425" t="str">
        <f>HYPERLINK("http://www.ncbi.nlm.nih.gov/protein/XP_034051524.1","LOW QUALITY PROTEIN: ryanodine receptor 3-like")</f>
        <v>LOW QUALITY PROTEIN: ryanodine receptor 3-like</v>
      </c>
      <c r="J425" t="s">
        <v>1496</v>
      </c>
      <c r="K425" t="s">
        <v>19</v>
      </c>
      <c r="L425">
        <v>4405</v>
      </c>
      <c r="M425" t="s">
        <v>19</v>
      </c>
      <c r="N425" t="s">
        <v>19</v>
      </c>
      <c r="O425">
        <v>4408</v>
      </c>
      <c r="P425" t="s">
        <v>1486</v>
      </c>
      <c r="Q425" t="s">
        <v>19</v>
      </c>
      <c r="R425">
        <v>4409</v>
      </c>
      <c r="S425" t="s">
        <v>1487</v>
      </c>
      <c r="T425" t="s">
        <v>19</v>
      </c>
      <c r="U425">
        <v>4412</v>
      </c>
      <c r="V425" t="s">
        <v>1488</v>
      </c>
      <c r="W425" t="s">
        <v>19</v>
      </c>
      <c r="X425">
        <v>4483</v>
      </c>
      <c r="Y425" t="s">
        <v>1493</v>
      </c>
      <c r="Z425" t="s">
        <v>19</v>
      </c>
      <c r="AA425">
        <v>4616</v>
      </c>
      <c r="AB425" t="s">
        <v>19</v>
      </c>
      <c r="AC425" t="s">
        <v>19</v>
      </c>
      <c r="AD425">
        <v>4617</v>
      </c>
      <c r="AE425" t="s">
        <v>1488</v>
      </c>
      <c r="AF425" t="s">
        <v>19</v>
      </c>
      <c r="AG425">
        <v>4620</v>
      </c>
      <c r="AH425" t="s">
        <v>19</v>
      </c>
      <c r="AI425" t="s">
        <v>19</v>
      </c>
      <c r="AJ425">
        <v>4640</v>
      </c>
      <c r="AK425" t="s">
        <v>1490</v>
      </c>
      <c r="AL425" t="s">
        <v>19</v>
      </c>
      <c r="AM425">
        <v>4644</v>
      </c>
      <c r="AN425" t="s">
        <v>1491</v>
      </c>
      <c r="AO425" t="s">
        <v>19</v>
      </c>
    </row>
    <row r="426" spans="1:41" x14ac:dyDescent="0.45">
      <c r="A426" t="s">
        <v>1265</v>
      </c>
      <c r="B426">
        <v>8</v>
      </c>
      <c r="C426" t="str">
        <f>HYPERLINK("http://www.ncbi.nlm.nih.gov/protein/XP_057946113.1","XP_057946113.1")</f>
        <v>XP_057946113.1</v>
      </c>
      <c r="D426">
        <v>45989</v>
      </c>
      <c r="E426" t="str">
        <f>HYPERLINK("http://www.ncbi.nlm.nih.gov/Taxonomy/Browser/wwwtax.cgi?mode=Info&amp;id=161450&amp;lvl=3&amp;lin=f&amp;keep=1&amp;srchmode=1&amp;unlock","161450")</f>
        <v>161450</v>
      </c>
      <c r="F426" t="s">
        <v>17</v>
      </c>
      <c r="G426" t="str">
        <f>HYPERLINK("http://www.ncbi.nlm.nih.gov/Taxonomy/Browser/wwwtax.cgi?mode=Info&amp;id=161450&amp;lvl=3&amp;lin=f&amp;keep=1&amp;srchmode=1&amp;unlock","Doryrhamphus excisus")</f>
        <v>Doryrhamphus excisus</v>
      </c>
      <c r="H426" t="s">
        <v>81</v>
      </c>
      <c r="I426" t="str">
        <f>HYPERLINK("http://www.ncbi.nlm.nih.gov/protein/XP_057946113.1","ryanodine receptor 3-like isoform X1")</f>
        <v>ryanodine receptor 3-like isoform X1</v>
      </c>
      <c r="J426" t="s">
        <v>1496</v>
      </c>
      <c r="K426" t="s">
        <v>19</v>
      </c>
      <c r="L426">
        <v>4452</v>
      </c>
      <c r="M426" t="s">
        <v>19</v>
      </c>
      <c r="N426" t="s">
        <v>19</v>
      </c>
      <c r="O426">
        <v>4455</v>
      </c>
      <c r="P426" t="s">
        <v>1486</v>
      </c>
      <c r="Q426" t="s">
        <v>19</v>
      </c>
      <c r="R426">
        <v>4456</v>
      </c>
      <c r="S426" t="s">
        <v>1487</v>
      </c>
      <c r="T426" t="s">
        <v>19</v>
      </c>
      <c r="U426">
        <v>4459</v>
      </c>
      <c r="V426" t="s">
        <v>1488</v>
      </c>
      <c r="W426" t="s">
        <v>19</v>
      </c>
      <c r="X426">
        <v>4532</v>
      </c>
      <c r="Y426" t="s">
        <v>1493</v>
      </c>
      <c r="Z426" t="s">
        <v>19</v>
      </c>
      <c r="AA426">
        <v>4665</v>
      </c>
      <c r="AB426" t="s">
        <v>19</v>
      </c>
      <c r="AC426" t="s">
        <v>19</v>
      </c>
      <c r="AD426">
        <v>4666</v>
      </c>
      <c r="AE426" t="s">
        <v>1488</v>
      </c>
      <c r="AF426" t="s">
        <v>19</v>
      </c>
      <c r="AG426">
        <v>4669</v>
      </c>
      <c r="AH426" t="s">
        <v>19</v>
      </c>
      <c r="AI426" t="s">
        <v>19</v>
      </c>
      <c r="AJ426">
        <v>4689</v>
      </c>
      <c r="AK426" t="s">
        <v>1490</v>
      </c>
      <c r="AL426" t="s">
        <v>19</v>
      </c>
      <c r="AM426">
        <v>4693</v>
      </c>
      <c r="AN426" t="s">
        <v>1491</v>
      </c>
      <c r="AO426" t="s">
        <v>19</v>
      </c>
    </row>
    <row r="427" spans="1:41" x14ac:dyDescent="0.45">
      <c r="A427" t="s">
        <v>1265</v>
      </c>
      <c r="B427">
        <v>8</v>
      </c>
      <c r="C427" t="str">
        <f>HYPERLINK("http://www.ncbi.nlm.nih.gov/protein/XP_036006631.1","XP_036006631.1")</f>
        <v>XP_036006631.1</v>
      </c>
      <c r="D427">
        <v>50139</v>
      </c>
      <c r="E427" t="str">
        <f>HYPERLINK("http://www.ncbi.nlm.nih.gov/Taxonomy/Browser/wwwtax.cgi?mode=Info&amp;id=8078&amp;lvl=3&amp;lin=f&amp;keep=1&amp;srchmode=1&amp;unlock","8078")</f>
        <v>8078</v>
      </c>
      <c r="F427" t="s">
        <v>17</v>
      </c>
      <c r="G427" t="str">
        <f>HYPERLINK("http://www.ncbi.nlm.nih.gov/Taxonomy/Browser/wwwtax.cgi?mode=Info&amp;id=8078&amp;lvl=3&amp;lin=f&amp;keep=1&amp;srchmode=1&amp;unlock","Fundulus heteroclitus")</f>
        <v>Fundulus heteroclitus</v>
      </c>
      <c r="H427" t="s">
        <v>114</v>
      </c>
      <c r="I427" t="str">
        <f>HYPERLINK("http://www.ncbi.nlm.nih.gov/protein/XP_036006631.1","ryanodine receptor 3 isoform X9")</f>
        <v>ryanodine receptor 3 isoform X9</v>
      </c>
      <c r="J427" t="s">
        <v>1496</v>
      </c>
      <c r="K427" t="s">
        <v>19</v>
      </c>
      <c r="L427">
        <v>4438</v>
      </c>
      <c r="M427" t="s">
        <v>19</v>
      </c>
      <c r="N427" t="s">
        <v>19</v>
      </c>
      <c r="O427">
        <v>4441</v>
      </c>
      <c r="P427" t="s">
        <v>1486</v>
      </c>
      <c r="Q427" t="s">
        <v>19</v>
      </c>
      <c r="R427">
        <v>4442</v>
      </c>
      <c r="S427" t="s">
        <v>1487</v>
      </c>
      <c r="T427" t="s">
        <v>19</v>
      </c>
      <c r="U427">
        <v>4445</v>
      </c>
      <c r="V427" t="s">
        <v>1488</v>
      </c>
      <c r="W427" t="s">
        <v>19</v>
      </c>
      <c r="X427">
        <v>4516</v>
      </c>
      <c r="Y427" t="s">
        <v>1493</v>
      </c>
      <c r="Z427" t="s">
        <v>19</v>
      </c>
      <c r="AA427">
        <v>4649</v>
      </c>
      <c r="AB427" t="s">
        <v>19</v>
      </c>
      <c r="AC427" t="s">
        <v>19</v>
      </c>
      <c r="AD427">
        <v>4650</v>
      </c>
      <c r="AE427" t="s">
        <v>1488</v>
      </c>
      <c r="AF427" t="s">
        <v>19</v>
      </c>
      <c r="AG427">
        <v>4653</v>
      </c>
      <c r="AH427" t="s">
        <v>19</v>
      </c>
      <c r="AI427" t="s">
        <v>19</v>
      </c>
      <c r="AJ427">
        <v>4673</v>
      </c>
      <c r="AK427" t="s">
        <v>1490</v>
      </c>
      <c r="AL427" t="s">
        <v>19</v>
      </c>
      <c r="AM427">
        <v>4677</v>
      </c>
      <c r="AN427" t="s">
        <v>1491</v>
      </c>
      <c r="AO427" t="s">
        <v>19</v>
      </c>
    </row>
    <row r="428" spans="1:41" x14ac:dyDescent="0.45">
      <c r="A428" t="s">
        <v>1265</v>
      </c>
      <c r="B428">
        <v>8</v>
      </c>
      <c r="C428" t="str">
        <f>HYPERLINK("http://www.ncbi.nlm.nih.gov/protein/XP_043998308.1","XP_043998308.1")</f>
        <v>XP_043998308.1</v>
      </c>
      <c r="D428">
        <v>68845</v>
      </c>
      <c r="E428" t="str">
        <f>HYPERLINK("http://www.ncbi.nlm.nih.gov/Taxonomy/Browser/wwwtax.cgi?mode=Info&amp;id=33528&amp;lvl=3&amp;lin=f&amp;keep=1&amp;srchmode=1&amp;unlock","33528")</f>
        <v>33528</v>
      </c>
      <c r="F428" t="s">
        <v>17</v>
      </c>
      <c r="G428" t="str">
        <f>HYPERLINK("http://www.ncbi.nlm.nih.gov/Taxonomy/Browser/wwwtax.cgi?mode=Info&amp;id=33528&amp;lvl=3&amp;lin=f&amp;keep=1&amp;srchmode=1&amp;unlock","Gambusia affinis")</f>
        <v>Gambusia affinis</v>
      </c>
      <c r="H428" t="s">
        <v>148</v>
      </c>
      <c r="I428" t="str">
        <f>HYPERLINK("http://www.ncbi.nlm.nih.gov/protein/XP_043998308.1","ryanodine receptor 3-like")</f>
        <v>ryanodine receptor 3-like</v>
      </c>
      <c r="J428" t="s">
        <v>1496</v>
      </c>
      <c r="K428" t="s">
        <v>19</v>
      </c>
      <c r="L428">
        <v>4438</v>
      </c>
      <c r="M428" t="s">
        <v>19</v>
      </c>
      <c r="N428" t="s">
        <v>19</v>
      </c>
      <c r="O428">
        <v>4441</v>
      </c>
      <c r="P428" t="s">
        <v>1486</v>
      </c>
      <c r="Q428" t="s">
        <v>19</v>
      </c>
      <c r="R428">
        <v>4442</v>
      </c>
      <c r="S428" t="s">
        <v>1487</v>
      </c>
      <c r="T428" t="s">
        <v>19</v>
      </c>
      <c r="U428">
        <v>4445</v>
      </c>
      <c r="V428" t="s">
        <v>1488</v>
      </c>
      <c r="W428" t="s">
        <v>19</v>
      </c>
      <c r="X428">
        <v>4516</v>
      </c>
      <c r="Y428" t="s">
        <v>1493</v>
      </c>
      <c r="Z428" t="s">
        <v>19</v>
      </c>
      <c r="AA428">
        <v>4649</v>
      </c>
      <c r="AB428" t="s">
        <v>19</v>
      </c>
      <c r="AC428" t="s">
        <v>19</v>
      </c>
      <c r="AD428">
        <v>4650</v>
      </c>
      <c r="AE428" t="s">
        <v>1488</v>
      </c>
      <c r="AF428" t="s">
        <v>19</v>
      </c>
      <c r="AG428">
        <v>4653</v>
      </c>
      <c r="AH428" t="s">
        <v>19</v>
      </c>
      <c r="AI428" t="s">
        <v>19</v>
      </c>
      <c r="AJ428">
        <v>4673</v>
      </c>
      <c r="AK428" t="s">
        <v>1490</v>
      </c>
      <c r="AL428" t="s">
        <v>19</v>
      </c>
      <c r="AM428">
        <v>4677</v>
      </c>
      <c r="AN428" t="s">
        <v>1491</v>
      </c>
      <c r="AO428" t="s">
        <v>19</v>
      </c>
    </row>
    <row r="429" spans="1:41" x14ac:dyDescent="0.45">
      <c r="A429" t="s">
        <v>1265</v>
      </c>
      <c r="B429">
        <v>8</v>
      </c>
      <c r="C429" t="str">
        <f>HYPERLINK("http://www.ncbi.nlm.nih.gov/protein/XP_046222743.1","XP_046222743.1")</f>
        <v>XP_046222743.1</v>
      </c>
      <c r="D429">
        <v>81040</v>
      </c>
      <c r="E429" t="str">
        <f>HYPERLINK("http://www.ncbi.nlm.nih.gov/Taxonomy/Browser/wwwtax.cgi?mode=Info&amp;id=8017&amp;lvl=3&amp;lin=f&amp;keep=1&amp;srchmode=1&amp;unlock","8017")</f>
        <v>8017</v>
      </c>
      <c r="F429" t="s">
        <v>17</v>
      </c>
      <c r="G429" t="str">
        <f>HYPERLINK("http://www.ncbi.nlm.nih.gov/Taxonomy/Browser/wwwtax.cgi?mode=Info&amp;id=8017&amp;lvl=3&amp;lin=f&amp;keep=1&amp;srchmode=1&amp;unlock","Oncorhynchus gorbuscha")</f>
        <v>Oncorhynchus gorbuscha</v>
      </c>
      <c r="H429" t="s">
        <v>159</v>
      </c>
      <c r="I429" t="str">
        <f>HYPERLINK("http://www.ncbi.nlm.nih.gov/protein/XP_046222743.1","ryanodine receptor 3-like isoform X3")</f>
        <v>ryanodine receptor 3-like isoform X3</v>
      </c>
      <c r="J429" t="s">
        <v>1496</v>
      </c>
      <c r="K429" t="s">
        <v>19</v>
      </c>
      <c r="L429">
        <v>4439</v>
      </c>
      <c r="M429" t="s">
        <v>19</v>
      </c>
      <c r="N429" t="s">
        <v>19</v>
      </c>
      <c r="O429">
        <v>4442</v>
      </c>
      <c r="P429" t="s">
        <v>1486</v>
      </c>
      <c r="Q429" t="s">
        <v>19</v>
      </c>
      <c r="R429">
        <v>4443</v>
      </c>
      <c r="S429" t="s">
        <v>1487</v>
      </c>
      <c r="T429" t="s">
        <v>19</v>
      </c>
      <c r="U429">
        <v>4446</v>
      </c>
      <c r="V429" t="s">
        <v>1488</v>
      </c>
      <c r="W429" t="s">
        <v>19</v>
      </c>
      <c r="X429">
        <v>4519</v>
      </c>
      <c r="Y429" t="s">
        <v>1493</v>
      </c>
      <c r="Z429" t="s">
        <v>19</v>
      </c>
      <c r="AA429">
        <v>4652</v>
      </c>
      <c r="AB429" t="s">
        <v>19</v>
      </c>
      <c r="AC429" t="s">
        <v>19</v>
      </c>
      <c r="AD429">
        <v>4653</v>
      </c>
      <c r="AE429" t="s">
        <v>1488</v>
      </c>
      <c r="AF429" t="s">
        <v>19</v>
      </c>
      <c r="AG429">
        <v>4656</v>
      </c>
      <c r="AH429" t="s">
        <v>19</v>
      </c>
      <c r="AI429" t="s">
        <v>19</v>
      </c>
      <c r="AJ429">
        <v>4676</v>
      </c>
      <c r="AK429" t="s">
        <v>1490</v>
      </c>
      <c r="AL429" t="s">
        <v>19</v>
      </c>
      <c r="AM429">
        <v>4680</v>
      </c>
      <c r="AN429" t="s">
        <v>1491</v>
      </c>
      <c r="AO429" t="s">
        <v>19</v>
      </c>
    </row>
    <row r="430" spans="1:41" x14ac:dyDescent="0.45">
      <c r="A430" t="s">
        <v>1265</v>
      </c>
      <c r="B430">
        <v>8</v>
      </c>
      <c r="C430" t="str">
        <f>HYPERLINK("http://www.ncbi.nlm.nih.gov/protein/XP_015229214.1","XP_015229214.1")</f>
        <v>XP_015229214.1</v>
      </c>
      <c r="D430">
        <v>36660</v>
      </c>
      <c r="E430" t="str">
        <f>HYPERLINK("http://www.ncbi.nlm.nih.gov/Taxonomy/Browser/wwwtax.cgi?mode=Info&amp;id=28743&amp;lvl=3&amp;lin=f&amp;keep=1&amp;srchmode=1&amp;unlock","28743")</f>
        <v>28743</v>
      </c>
      <c r="F430" t="s">
        <v>17</v>
      </c>
      <c r="G430" t="str">
        <f>HYPERLINK("http://www.ncbi.nlm.nih.gov/Taxonomy/Browser/wwwtax.cgi?mode=Info&amp;id=28743&amp;lvl=3&amp;lin=f&amp;keep=1&amp;srchmode=1&amp;unlock","Cyprinodon variegatus")</f>
        <v>Cyprinodon variegatus</v>
      </c>
      <c r="H430" t="s">
        <v>123</v>
      </c>
      <c r="I430" t="str">
        <f>HYPERLINK("http://www.ncbi.nlm.nih.gov/protein/XP_015229214.1","PREDICTED: ryanodine receptor 3 isoform X13")</f>
        <v>PREDICTED: ryanodine receptor 3 isoform X13</v>
      </c>
      <c r="J430" t="s">
        <v>1496</v>
      </c>
      <c r="K430" t="s">
        <v>19</v>
      </c>
      <c r="L430">
        <v>4414</v>
      </c>
      <c r="M430" t="s">
        <v>19</v>
      </c>
      <c r="N430" t="s">
        <v>19</v>
      </c>
      <c r="O430">
        <v>4417</v>
      </c>
      <c r="P430" t="s">
        <v>1486</v>
      </c>
      <c r="Q430" t="s">
        <v>19</v>
      </c>
      <c r="R430">
        <v>4418</v>
      </c>
      <c r="S430" t="s">
        <v>1487</v>
      </c>
      <c r="T430" t="s">
        <v>19</v>
      </c>
      <c r="U430">
        <v>4421</v>
      </c>
      <c r="V430" t="s">
        <v>1488</v>
      </c>
      <c r="W430" t="s">
        <v>19</v>
      </c>
      <c r="X430">
        <v>4492</v>
      </c>
      <c r="Y430" t="s">
        <v>1493</v>
      </c>
      <c r="Z430" t="s">
        <v>19</v>
      </c>
      <c r="AA430">
        <v>4625</v>
      </c>
      <c r="AB430" t="s">
        <v>19</v>
      </c>
      <c r="AC430" t="s">
        <v>19</v>
      </c>
      <c r="AD430">
        <v>4626</v>
      </c>
      <c r="AE430" t="s">
        <v>1488</v>
      </c>
      <c r="AF430" t="s">
        <v>19</v>
      </c>
      <c r="AG430">
        <v>4629</v>
      </c>
      <c r="AH430" t="s">
        <v>19</v>
      </c>
      <c r="AI430" t="s">
        <v>19</v>
      </c>
      <c r="AJ430">
        <v>4649</v>
      </c>
      <c r="AK430" t="s">
        <v>1490</v>
      </c>
      <c r="AL430" t="s">
        <v>19</v>
      </c>
      <c r="AM430">
        <v>4653</v>
      </c>
      <c r="AN430" t="s">
        <v>1491</v>
      </c>
      <c r="AO430" t="s">
        <v>19</v>
      </c>
    </row>
    <row r="431" spans="1:41" x14ac:dyDescent="0.45">
      <c r="A431" t="s">
        <v>1265</v>
      </c>
      <c r="B431">
        <v>8</v>
      </c>
      <c r="C431" t="str">
        <f>HYPERLINK("http://www.ncbi.nlm.nih.gov/protein/XP_060938976.1","XP_060938976.1")</f>
        <v>XP_060938976.1</v>
      </c>
      <c r="D431">
        <v>30038</v>
      </c>
      <c r="E431" t="str">
        <f>HYPERLINK("http://www.ncbi.nlm.nih.gov/Taxonomy/Browser/wwwtax.cgi?mode=Info&amp;id=27771&amp;lvl=3&amp;lin=f&amp;keep=1&amp;srchmode=1&amp;unlock","27771")</f>
        <v>27771</v>
      </c>
      <c r="F431" t="s">
        <v>17</v>
      </c>
      <c r="G431" t="str">
        <f>HYPERLINK("http://www.ncbi.nlm.nih.gov/Taxonomy/Browser/wwwtax.cgi?mode=Info&amp;id=27771&amp;lvl=3&amp;lin=f&amp;keep=1&amp;srchmode=1&amp;unlock","Limanda limanda")</f>
        <v>Limanda limanda</v>
      </c>
      <c r="H431" t="s">
        <v>131</v>
      </c>
      <c r="I431" t="str">
        <f>HYPERLINK("http://www.ncbi.nlm.nih.gov/protein/XP_060938976.1","ryanodine receptor 3-like")</f>
        <v>ryanodine receptor 3-like</v>
      </c>
      <c r="J431" t="s">
        <v>1496</v>
      </c>
      <c r="K431" t="s">
        <v>19</v>
      </c>
      <c r="L431">
        <v>4439</v>
      </c>
      <c r="M431" t="s">
        <v>19</v>
      </c>
      <c r="N431" t="s">
        <v>19</v>
      </c>
      <c r="O431">
        <v>4442</v>
      </c>
      <c r="P431" t="s">
        <v>1486</v>
      </c>
      <c r="Q431" t="s">
        <v>19</v>
      </c>
      <c r="R431">
        <v>4443</v>
      </c>
      <c r="S431" t="s">
        <v>1487</v>
      </c>
      <c r="T431" t="s">
        <v>19</v>
      </c>
      <c r="U431">
        <v>4446</v>
      </c>
      <c r="V431" t="s">
        <v>1488</v>
      </c>
      <c r="W431" t="s">
        <v>19</v>
      </c>
      <c r="X431">
        <v>4517</v>
      </c>
      <c r="Y431" t="s">
        <v>1493</v>
      </c>
      <c r="Z431" t="s">
        <v>19</v>
      </c>
      <c r="AA431">
        <v>4650</v>
      </c>
      <c r="AB431" t="s">
        <v>19</v>
      </c>
      <c r="AC431" t="s">
        <v>19</v>
      </c>
      <c r="AD431">
        <v>4651</v>
      </c>
      <c r="AE431" t="s">
        <v>1488</v>
      </c>
      <c r="AF431" t="s">
        <v>19</v>
      </c>
      <c r="AG431">
        <v>4654</v>
      </c>
      <c r="AH431" t="s">
        <v>19</v>
      </c>
      <c r="AI431" t="s">
        <v>19</v>
      </c>
      <c r="AJ431">
        <v>4674</v>
      </c>
      <c r="AK431" t="s">
        <v>1490</v>
      </c>
      <c r="AL431" t="s">
        <v>19</v>
      </c>
      <c r="AM431">
        <v>4678</v>
      </c>
      <c r="AN431" t="s">
        <v>1491</v>
      </c>
      <c r="AO431" t="s">
        <v>19</v>
      </c>
    </row>
    <row r="432" spans="1:41" x14ac:dyDescent="0.45">
      <c r="A432" t="s">
        <v>1265</v>
      </c>
      <c r="B432">
        <v>8</v>
      </c>
      <c r="C432" t="str">
        <f>HYPERLINK("http://www.ncbi.nlm.nih.gov/protein/XP_058472319.1","XP_058472319.1")</f>
        <v>XP_058472319.1</v>
      </c>
      <c r="D432">
        <v>43057</v>
      </c>
      <c r="E432" t="str">
        <f>HYPERLINK("http://www.ncbi.nlm.nih.gov/Taxonomy/Browser/wwwtax.cgi?mode=Info&amp;id=90069&amp;lvl=3&amp;lin=f&amp;keep=1&amp;srchmode=1&amp;unlock","90069")</f>
        <v>90069</v>
      </c>
      <c r="F432" t="s">
        <v>17</v>
      </c>
      <c r="G432" t="str">
        <f>HYPERLINK("http://www.ncbi.nlm.nih.gov/Taxonomy/Browser/wwwtax.cgi?mode=Info&amp;id=90069&amp;lvl=3&amp;lin=f&amp;keep=1&amp;srchmode=1&amp;unlock","Solea solea")</f>
        <v>Solea solea</v>
      </c>
      <c r="H432" t="s">
        <v>90</v>
      </c>
      <c r="I432" t="str">
        <f>HYPERLINK("http://www.ncbi.nlm.nih.gov/protein/XP_058472319.1","ryanodine receptor 3-like isoform X16")</f>
        <v>ryanodine receptor 3-like isoform X16</v>
      </c>
      <c r="J432" t="s">
        <v>1496</v>
      </c>
      <c r="K432" t="s">
        <v>19</v>
      </c>
      <c r="L432">
        <v>4429</v>
      </c>
      <c r="M432" t="s">
        <v>19</v>
      </c>
      <c r="N432" t="s">
        <v>19</v>
      </c>
      <c r="O432">
        <v>4432</v>
      </c>
      <c r="P432" t="s">
        <v>1486</v>
      </c>
      <c r="Q432" t="s">
        <v>19</v>
      </c>
      <c r="R432">
        <v>4433</v>
      </c>
      <c r="S432" t="s">
        <v>1487</v>
      </c>
      <c r="T432" t="s">
        <v>19</v>
      </c>
      <c r="U432">
        <v>4436</v>
      </c>
      <c r="V432" t="s">
        <v>1488</v>
      </c>
      <c r="W432" t="s">
        <v>19</v>
      </c>
      <c r="X432">
        <v>4507</v>
      </c>
      <c r="Y432" t="s">
        <v>1493</v>
      </c>
      <c r="Z432" t="s">
        <v>19</v>
      </c>
      <c r="AA432">
        <v>4640</v>
      </c>
      <c r="AB432" t="s">
        <v>19</v>
      </c>
      <c r="AC432" t="s">
        <v>19</v>
      </c>
      <c r="AD432">
        <v>4641</v>
      </c>
      <c r="AE432" t="s">
        <v>1488</v>
      </c>
      <c r="AF432" t="s">
        <v>19</v>
      </c>
      <c r="AG432">
        <v>4644</v>
      </c>
      <c r="AH432" t="s">
        <v>19</v>
      </c>
      <c r="AI432" t="s">
        <v>19</v>
      </c>
      <c r="AJ432">
        <v>4664</v>
      </c>
      <c r="AK432" t="s">
        <v>1490</v>
      </c>
      <c r="AL432" t="s">
        <v>19</v>
      </c>
      <c r="AM432">
        <v>4668</v>
      </c>
      <c r="AN432" t="s">
        <v>1491</v>
      </c>
      <c r="AO432" t="s">
        <v>19</v>
      </c>
    </row>
    <row r="433" spans="1:41" x14ac:dyDescent="0.45">
      <c r="A433" t="s">
        <v>1265</v>
      </c>
      <c r="B433">
        <v>8</v>
      </c>
      <c r="C433" t="str">
        <f>HYPERLINK("http://www.ncbi.nlm.nih.gov/protein/XP_040054767.1","XP_040054767.1")</f>
        <v>XP_040054767.1</v>
      </c>
      <c r="D433">
        <v>45332</v>
      </c>
      <c r="E433" t="str">
        <f>HYPERLINK("http://www.ncbi.nlm.nih.gov/Taxonomy/Browser/wwwtax.cgi?mode=Info&amp;id=481459&amp;lvl=3&amp;lin=f&amp;keep=1&amp;srchmode=1&amp;unlock","481459")</f>
        <v>481459</v>
      </c>
      <c r="F433" t="s">
        <v>17</v>
      </c>
      <c r="G433" t="str">
        <f>HYPERLINK("http://www.ncbi.nlm.nih.gov/Taxonomy/Browser/wwwtax.cgi?mode=Info&amp;id=481459&amp;lvl=3&amp;lin=f&amp;keep=1&amp;srchmode=1&amp;unlock","Gasterosteus aculeatus aculeatus")</f>
        <v>Gasterosteus aculeatus aculeatus</v>
      </c>
      <c r="H433" t="s">
        <v>138</v>
      </c>
      <c r="I433" t="str">
        <f>HYPERLINK("http://www.ncbi.nlm.nih.gov/protein/XP_040054767.1","ryanodine receptor 3-like isoform X19")</f>
        <v>ryanodine receptor 3-like isoform X19</v>
      </c>
      <c r="J433" t="s">
        <v>1496</v>
      </c>
      <c r="K433" t="s">
        <v>19</v>
      </c>
      <c r="L433">
        <v>4426</v>
      </c>
      <c r="M433" t="s">
        <v>19</v>
      </c>
      <c r="N433" t="s">
        <v>19</v>
      </c>
      <c r="O433">
        <v>4429</v>
      </c>
      <c r="P433" t="s">
        <v>1486</v>
      </c>
      <c r="Q433" t="s">
        <v>19</v>
      </c>
      <c r="R433">
        <v>4430</v>
      </c>
      <c r="S433" t="s">
        <v>1487</v>
      </c>
      <c r="T433" t="s">
        <v>19</v>
      </c>
      <c r="U433">
        <v>4433</v>
      </c>
      <c r="V433" t="s">
        <v>1488</v>
      </c>
      <c r="W433" t="s">
        <v>19</v>
      </c>
      <c r="X433">
        <v>4506</v>
      </c>
      <c r="Y433" t="s">
        <v>1493</v>
      </c>
      <c r="Z433" t="s">
        <v>19</v>
      </c>
      <c r="AA433">
        <v>4639</v>
      </c>
      <c r="AB433" t="s">
        <v>19</v>
      </c>
      <c r="AC433" t="s">
        <v>19</v>
      </c>
      <c r="AD433">
        <v>4640</v>
      </c>
      <c r="AE433" t="s">
        <v>1488</v>
      </c>
      <c r="AF433" t="s">
        <v>19</v>
      </c>
      <c r="AG433">
        <v>4643</v>
      </c>
      <c r="AH433" t="s">
        <v>19</v>
      </c>
      <c r="AI433" t="s">
        <v>19</v>
      </c>
      <c r="AJ433">
        <v>4663</v>
      </c>
      <c r="AK433" t="s">
        <v>1490</v>
      </c>
      <c r="AL433" t="s">
        <v>19</v>
      </c>
      <c r="AM433">
        <v>4667</v>
      </c>
      <c r="AN433" t="s">
        <v>1491</v>
      </c>
      <c r="AO433" t="s">
        <v>19</v>
      </c>
    </row>
    <row r="434" spans="1:41" x14ac:dyDescent="0.45">
      <c r="A434" t="s">
        <v>1265</v>
      </c>
      <c r="B434">
        <v>8</v>
      </c>
      <c r="C434" t="str">
        <f>HYPERLINK("http://www.ncbi.nlm.nih.gov/protein/XP_034419205.1","XP_034419205.1")</f>
        <v>XP_034419205.1</v>
      </c>
      <c r="D434">
        <v>38740</v>
      </c>
      <c r="E434" t="str">
        <f>HYPERLINK("http://www.ncbi.nlm.nih.gov/Taxonomy/Browser/wwwtax.cgi?mode=Info&amp;id=8103&amp;lvl=3&amp;lin=f&amp;keep=1&amp;srchmode=1&amp;unlock","8103")</f>
        <v>8103</v>
      </c>
      <c r="F434" t="s">
        <v>17</v>
      </c>
      <c r="G434" t="str">
        <f>HYPERLINK("http://www.ncbi.nlm.nih.gov/Taxonomy/Browser/wwwtax.cgi?mode=Info&amp;id=8103&amp;lvl=3&amp;lin=f&amp;keep=1&amp;srchmode=1&amp;unlock","Cyclopterus lumpus")</f>
        <v>Cyclopterus lumpus</v>
      </c>
      <c r="H434" t="s">
        <v>115</v>
      </c>
      <c r="I434" t="str">
        <f>HYPERLINK("http://www.ncbi.nlm.nih.gov/protein/XP_034419205.1","LOW QUALITY PROTEIN: ryanodine receptor 3-like")</f>
        <v>LOW QUALITY PROTEIN: ryanodine receptor 3-like</v>
      </c>
      <c r="J434" t="s">
        <v>1496</v>
      </c>
      <c r="K434" t="s">
        <v>19</v>
      </c>
      <c r="L434">
        <v>4424</v>
      </c>
      <c r="M434" t="s">
        <v>19</v>
      </c>
      <c r="N434" t="s">
        <v>19</v>
      </c>
      <c r="O434">
        <v>4427</v>
      </c>
      <c r="P434" t="s">
        <v>1486</v>
      </c>
      <c r="Q434" t="s">
        <v>19</v>
      </c>
      <c r="R434">
        <v>4428</v>
      </c>
      <c r="S434" t="s">
        <v>1487</v>
      </c>
      <c r="T434" t="s">
        <v>19</v>
      </c>
      <c r="U434">
        <v>4431</v>
      </c>
      <c r="V434" t="s">
        <v>1488</v>
      </c>
      <c r="W434" t="s">
        <v>19</v>
      </c>
      <c r="X434">
        <v>4502</v>
      </c>
      <c r="Y434" t="s">
        <v>1493</v>
      </c>
      <c r="Z434" t="s">
        <v>19</v>
      </c>
      <c r="AA434">
        <v>4635</v>
      </c>
      <c r="AB434" t="s">
        <v>19</v>
      </c>
      <c r="AC434" t="s">
        <v>19</v>
      </c>
      <c r="AD434">
        <v>4636</v>
      </c>
      <c r="AE434" t="s">
        <v>1488</v>
      </c>
      <c r="AF434" t="s">
        <v>19</v>
      </c>
      <c r="AG434">
        <v>4639</v>
      </c>
      <c r="AH434" t="s">
        <v>19</v>
      </c>
      <c r="AI434" t="s">
        <v>19</v>
      </c>
      <c r="AJ434">
        <v>4659</v>
      </c>
      <c r="AK434" t="s">
        <v>1490</v>
      </c>
      <c r="AL434" t="s">
        <v>19</v>
      </c>
      <c r="AM434">
        <v>4663</v>
      </c>
      <c r="AN434" t="s">
        <v>1491</v>
      </c>
      <c r="AO434" t="s">
        <v>19</v>
      </c>
    </row>
    <row r="435" spans="1:41" x14ac:dyDescent="0.45">
      <c r="A435" t="s">
        <v>1265</v>
      </c>
      <c r="B435">
        <v>8</v>
      </c>
      <c r="C435" t="str">
        <f>HYPERLINK("http://www.ncbi.nlm.nih.gov/protein/XP_051941899.1","XP_051941899.1")</f>
        <v>XP_051941899.1</v>
      </c>
      <c r="D435">
        <v>42976</v>
      </c>
      <c r="E435" t="str">
        <f>HYPERLINK("http://www.ncbi.nlm.nih.gov/Taxonomy/Browser/wwwtax.cgi?mode=Info&amp;id=109293&amp;lvl=3&amp;lin=f&amp;keep=1&amp;srchmode=1&amp;unlock","109293")</f>
        <v>109293</v>
      </c>
      <c r="F435" t="s">
        <v>17</v>
      </c>
      <c r="G435" t="str">
        <f>HYPERLINK("http://www.ncbi.nlm.nih.gov/Taxonomy/Browser/wwwtax.cgi?mode=Info&amp;id=109293&amp;lvl=3&amp;lin=f&amp;keep=1&amp;srchmode=1&amp;unlock","Hippocampus zosterae")</f>
        <v>Hippocampus zosterae</v>
      </c>
      <c r="H435" t="s">
        <v>91</v>
      </c>
      <c r="I435" t="str">
        <f>HYPERLINK("http://www.ncbi.nlm.nih.gov/protein/XP_051941899.1","ryanodine receptor 3 isoform X3")</f>
        <v>ryanodine receptor 3 isoform X3</v>
      </c>
      <c r="J435" t="s">
        <v>1496</v>
      </c>
      <c r="K435" t="s">
        <v>19</v>
      </c>
      <c r="L435">
        <v>4438</v>
      </c>
      <c r="M435" t="s">
        <v>19</v>
      </c>
      <c r="N435" t="s">
        <v>19</v>
      </c>
      <c r="O435">
        <v>4441</v>
      </c>
      <c r="P435" t="s">
        <v>1486</v>
      </c>
      <c r="Q435" t="s">
        <v>19</v>
      </c>
      <c r="R435">
        <v>4442</v>
      </c>
      <c r="S435" t="s">
        <v>1487</v>
      </c>
      <c r="T435" t="s">
        <v>19</v>
      </c>
      <c r="U435">
        <v>4445</v>
      </c>
      <c r="V435" t="s">
        <v>1488</v>
      </c>
      <c r="W435" t="s">
        <v>19</v>
      </c>
      <c r="X435">
        <v>4516</v>
      </c>
      <c r="Y435" t="s">
        <v>1493</v>
      </c>
      <c r="Z435" t="s">
        <v>19</v>
      </c>
      <c r="AA435">
        <v>4649</v>
      </c>
      <c r="AB435" t="s">
        <v>19</v>
      </c>
      <c r="AC435" t="s">
        <v>19</v>
      </c>
      <c r="AD435">
        <v>4650</v>
      </c>
      <c r="AE435" t="s">
        <v>1488</v>
      </c>
      <c r="AF435" t="s">
        <v>19</v>
      </c>
      <c r="AG435">
        <v>4653</v>
      </c>
      <c r="AH435" t="s">
        <v>19</v>
      </c>
      <c r="AI435" t="s">
        <v>19</v>
      </c>
      <c r="AJ435">
        <v>4673</v>
      </c>
      <c r="AK435" t="s">
        <v>1490</v>
      </c>
      <c r="AL435" t="s">
        <v>19</v>
      </c>
      <c r="AM435">
        <v>4677</v>
      </c>
      <c r="AN435" t="s">
        <v>1491</v>
      </c>
      <c r="AO435" t="s">
        <v>19</v>
      </c>
    </row>
    <row r="436" spans="1:41" x14ac:dyDescent="0.45">
      <c r="A436" t="s">
        <v>1265</v>
      </c>
      <c r="B436">
        <v>8</v>
      </c>
      <c r="C436" t="str">
        <f>HYPERLINK("http://www.ncbi.nlm.nih.gov/protein/XP_029317126.1","XP_029317126.1")</f>
        <v>XP_029317126.1</v>
      </c>
      <c r="D436">
        <v>37869</v>
      </c>
      <c r="E436" t="str">
        <f>HYPERLINK("http://www.ncbi.nlm.nih.gov/Taxonomy/Browser/wwwtax.cgi?mode=Info&amp;id=56716&amp;lvl=3&amp;lin=f&amp;keep=1&amp;srchmode=1&amp;unlock","56716")</f>
        <v>56716</v>
      </c>
      <c r="F436" t="s">
        <v>17</v>
      </c>
      <c r="G436" t="str">
        <f>HYPERLINK("http://www.ncbi.nlm.nih.gov/Taxonomy/Browser/wwwtax.cgi?mode=Info&amp;id=56716&amp;lvl=3&amp;lin=f&amp;keep=1&amp;srchmode=1&amp;unlock","Cottoperca gobio")</f>
        <v>Cottoperca gobio</v>
      </c>
      <c r="H436" t="s">
        <v>162</v>
      </c>
      <c r="I436" t="str">
        <f>HYPERLINK("http://www.ncbi.nlm.nih.gov/protein/XP_029317126.1","ryanodine receptor 3-like")</f>
        <v>ryanodine receptor 3-like</v>
      </c>
      <c r="J436" t="s">
        <v>1496</v>
      </c>
      <c r="K436" t="s">
        <v>19</v>
      </c>
      <c r="L436">
        <v>4429</v>
      </c>
      <c r="M436" t="s">
        <v>19</v>
      </c>
      <c r="N436" t="s">
        <v>19</v>
      </c>
      <c r="O436">
        <v>4432</v>
      </c>
      <c r="P436" t="s">
        <v>1486</v>
      </c>
      <c r="Q436" t="s">
        <v>19</v>
      </c>
      <c r="R436">
        <v>4433</v>
      </c>
      <c r="S436" t="s">
        <v>1487</v>
      </c>
      <c r="T436" t="s">
        <v>19</v>
      </c>
      <c r="U436">
        <v>4436</v>
      </c>
      <c r="V436" t="s">
        <v>1488</v>
      </c>
      <c r="W436" t="s">
        <v>19</v>
      </c>
      <c r="X436">
        <v>4508</v>
      </c>
      <c r="Y436" t="s">
        <v>1493</v>
      </c>
      <c r="Z436" t="s">
        <v>19</v>
      </c>
      <c r="AA436">
        <v>4641</v>
      </c>
      <c r="AB436" t="s">
        <v>19</v>
      </c>
      <c r="AC436" t="s">
        <v>19</v>
      </c>
      <c r="AD436">
        <v>4642</v>
      </c>
      <c r="AE436" t="s">
        <v>1488</v>
      </c>
      <c r="AF436" t="s">
        <v>19</v>
      </c>
      <c r="AG436">
        <v>4645</v>
      </c>
      <c r="AH436" t="s">
        <v>19</v>
      </c>
      <c r="AI436" t="s">
        <v>19</v>
      </c>
      <c r="AJ436">
        <v>4665</v>
      </c>
      <c r="AK436" t="s">
        <v>1490</v>
      </c>
      <c r="AL436" t="s">
        <v>19</v>
      </c>
      <c r="AM436">
        <v>4669</v>
      </c>
      <c r="AN436" t="s">
        <v>1491</v>
      </c>
      <c r="AO436" t="s">
        <v>19</v>
      </c>
    </row>
    <row r="437" spans="1:41" x14ac:dyDescent="0.45">
      <c r="A437" t="s">
        <v>1265</v>
      </c>
      <c r="B437">
        <v>8</v>
      </c>
      <c r="C437" t="str">
        <f>HYPERLINK("http://www.ncbi.nlm.nih.gov/protein/XP_037341695.1","XP_037341695.1")</f>
        <v>XP_037341695.1</v>
      </c>
      <c r="D437">
        <v>43860</v>
      </c>
      <c r="E437" t="str">
        <f>HYPERLINK("http://www.ncbi.nlm.nih.gov/Taxonomy/Browser/wwwtax.cgi?mode=Info&amp;id=134920&amp;lvl=3&amp;lin=f&amp;keep=1&amp;srchmode=1&amp;unlock","134920")</f>
        <v>134920</v>
      </c>
      <c r="F437" t="s">
        <v>17</v>
      </c>
      <c r="G437" t="str">
        <f>HYPERLINK("http://www.ncbi.nlm.nih.gov/Taxonomy/Browser/wwwtax.cgi?mode=Info&amp;id=134920&amp;lvl=3&amp;lin=f&amp;keep=1&amp;srchmode=1&amp;unlock","Pungitius pungitius")</f>
        <v>Pungitius pungitius</v>
      </c>
      <c r="H437" t="s">
        <v>128</v>
      </c>
      <c r="I437" t="str">
        <f>HYPERLINK("http://www.ncbi.nlm.nih.gov/protein/XP_037341695.1","ryanodine receptor 3-like")</f>
        <v>ryanodine receptor 3-like</v>
      </c>
      <c r="J437" t="s">
        <v>1496</v>
      </c>
      <c r="K437" t="s">
        <v>19</v>
      </c>
      <c r="L437">
        <v>4478</v>
      </c>
      <c r="M437" t="s">
        <v>19</v>
      </c>
      <c r="N437" t="s">
        <v>19</v>
      </c>
      <c r="O437">
        <v>4481</v>
      </c>
      <c r="P437" t="s">
        <v>1486</v>
      </c>
      <c r="Q437" t="s">
        <v>19</v>
      </c>
      <c r="R437">
        <v>4482</v>
      </c>
      <c r="S437" t="s">
        <v>1487</v>
      </c>
      <c r="T437" t="s">
        <v>19</v>
      </c>
      <c r="U437">
        <v>4485</v>
      </c>
      <c r="V437" t="s">
        <v>1488</v>
      </c>
      <c r="W437" t="s">
        <v>19</v>
      </c>
      <c r="X437">
        <v>4563</v>
      </c>
      <c r="Y437" t="s">
        <v>1493</v>
      </c>
      <c r="Z437" t="s">
        <v>19</v>
      </c>
      <c r="AA437">
        <v>4696</v>
      </c>
      <c r="AB437" t="s">
        <v>19</v>
      </c>
      <c r="AC437" t="s">
        <v>19</v>
      </c>
      <c r="AD437">
        <v>4697</v>
      </c>
      <c r="AE437" t="s">
        <v>1488</v>
      </c>
      <c r="AF437" t="s">
        <v>19</v>
      </c>
      <c r="AG437">
        <v>4700</v>
      </c>
      <c r="AH437" t="s">
        <v>19</v>
      </c>
      <c r="AI437" t="s">
        <v>19</v>
      </c>
      <c r="AJ437">
        <v>4720</v>
      </c>
      <c r="AK437" t="s">
        <v>1490</v>
      </c>
      <c r="AL437" t="s">
        <v>19</v>
      </c>
      <c r="AM437">
        <v>4724</v>
      </c>
      <c r="AN437" t="s">
        <v>1491</v>
      </c>
      <c r="AO437" t="s">
        <v>19</v>
      </c>
    </row>
    <row r="438" spans="1:41" x14ac:dyDescent="0.45">
      <c r="A438" t="s">
        <v>1265</v>
      </c>
      <c r="B438">
        <v>8</v>
      </c>
      <c r="C438" t="str">
        <f>HYPERLINK("http://www.ncbi.nlm.nih.gov/protein/XP_034530399.1","XP_034530399.1")</f>
        <v>XP_034530399.1</v>
      </c>
      <c r="D438">
        <v>39441</v>
      </c>
      <c r="E438" t="str">
        <f>HYPERLINK("http://www.ncbi.nlm.nih.gov/Taxonomy/Browser/wwwtax.cgi?mode=Info&amp;id=1203425&amp;lvl=3&amp;lin=f&amp;keep=1&amp;srchmode=1&amp;unlock","1203425")</f>
        <v>1203425</v>
      </c>
      <c r="F438" t="s">
        <v>17</v>
      </c>
      <c r="G438" t="str">
        <f>HYPERLINK("http://www.ncbi.nlm.nih.gov/Taxonomy/Browser/wwwtax.cgi?mode=Info&amp;id=1203425&amp;lvl=3&amp;lin=f&amp;keep=1&amp;srchmode=1&amp;unlock","Notolabrus celidotus")</f>
        <v>Notolabrus celidotus</v>
      </c>
      <c r="H438" t="s">
        <v>703</v>
      </c>
      <c r="I438" t="str">
        <f>HYPERLINK("http://www.ncbi.nlm.nih.gov/protein/XP_034530399.1","ryanodine receptor 3-like")</f>
        <v>ryanodine receptor 3-like</v>
      </c>
      <c r="J438" t="s">
        <v>1496</v>
      </c>
      <c r="K438" t="s">
        <v>19</v>
      </c>
      <c r="L438">
        <v>4431</v>
      </c>
      <c r="M438" t="s">
        <v>19</v>
      </c>
      <c r="N438" t="s">
        <v>19</v>
      </c>
      <c r="O438">
        <v>4434</v>
      </c>
      <c r="P438" t="s">
        <v>1486</v>
      </c>
      <c r="Q438" t="s">
        <v>19</v>
      </c>
      <c r="R438">
        <v>4435</v>
      </c>
      <c r="S438" t="s">
        <v>1487</v>
      </c>
      <c r="T438" t="s">
        <v>19</v>
      </c>
      <c r="U438">
        <v>4438</v>
      </c>
      <c r="V438" t="s">
        <v>1488</v>
      </c>
      <c r="W438" t="s">
        <v>19</v>
      </c>
      <c r="X438">
        <v>4509</v>
      </c>
      <c r="Y438" t="s">
        <v>1493</v>
      </c>
      <c r="Z438" t="s">
        <v>19</v>
      </c>
      <c r="AA438">
        <v>4642</v>
      </c>
      <c r="AB438" t="s">
        <v>19</v>
      </c>
      <c r="AC438" t="s">
        <v>19</v>
      </c>
      <c r="AD438">
        <v>4643</v>
      </c>
      <c r="AE438" t="s">
        <v>1488</v>
      </c>
      <c r="AF438" t="s">
        <v>19</v>
      </c>
      <c r="AG438">
        <v>4646</v>
      </c>
      <c r="AH438" t="s">
        <v>19</v>
      </c>
      <c r="AI438" t="s">
        <v>19</v>
      </c>
      <c r="AJ438">
        <v>4666</v>
      </c>
      <c r="AK438" t="s">
        <v>1490</v>
      </c>
      <c r="AL438" t="s">
        <v>19</v>
      </c>
      <c r="AM438">
        <v>4670</v>
      </c>
      <c r="AN438" t="s">
        <v>1491</v>
      </c>
      <c r="AO438" t="s">
        <v>19</v>
      </c>
    </row>
    <row r="439" spans="1:41" x14ac:dyDescent="0.45">
      <c r="A439" t="s">
        <v>1265</v>
      </c>
      <c r="B439">
        <v>8</v>
      </c>
      <c r="C439" t="str">
        <f>HYPERLINK("http://www.ncbi.nlm.nih.gov/protein/XP_029531210.1","XP_029531210.1")</f>
        <v>XP_029531210.1</v>
      </c>
      <c r="D439">
        <v>68886</v>
      </c>
      <c r="E439" t="str">
        <f>HYPERLINK("http://www.ncbi.nlm.nih.gov/Taxonomy/Browser/wwwtax.cgi?mode=Info&amp;id=8023&amp;lvl=3&amp;lin=f&amp;keep=1&amp;srchmode=1&amp;unlock","8023")</f>
        <v>8023</v>
      </c>
      <c r="F439" t="s">
        <v>17</v>
      </c>
      <c r="G439" t="str">
        <f>HYPERLINK("http://www.ncbi.nlm.nih.gov/Taxonomy/Browser/wwwtax.cgi?mode=Info&amp;id=8023&amp;lvl=3&amp;lin=f&amp;keep=1&amp;srchmode=1&amp;unlock","Oncorhynchus nerka")</f>
        <v>Oncorhynchus nerka</v>
      </c>
      <c r="H439" t="s">
        <v>163</v>
      </c>
      <c r="I439" t="str">
        <f>HYPERLINK("http://www.ncbi.nlm.nih.gov/protein/XP_029531210.1","LOW QUALITY PROTEIN: ryanodine receptor 3-like")</f>
        <v>LOW QUALITY PROTEIN: ryanodine receptor 3-like</v>
      </c>
      <c r="J439" t="s">
        <v>1496</v>
      </c>
      <c r="K439" t="s">
        <v>19</v>
      </c>
      <c r="L439">
        <v>4442</v>
      </c>
      <c r="M439" t="s">
        <v>19</v>
      </c>
      <c r="N439" t="s">
        <v>19</v>
      </c>
      <c r="O439">
        <v>4445</v>
      </c>
      <c r="P439" t="s">
        <v>1486</v>
      </c>
      <c r="Q439" t="s">
        <v>19</v>
      </c>
      <c r="R439">
        <v>4446</v>
      </c>
      <c r="S439" t="s">
        <v>1487</v>
      </c>
      <c r="T439" t="s">
        <v>19</v>
      </c>
      <c r="U439">
        <v>4449</v>
      </c>
      <c r="V439" t="s">
        <v>1488</v>
      </c>
      <c r="W439" t="s">
        <v>19</v>
      </c>
      <c r="X439">
        <v>4522</v>
      </c>
      <c r="Y439" t="s">
        <v>1493</v>
      </c>
      <c r="Z439" t="s">
        <v>19</v>
      </c>
      <c r="AA439">
        <v>4655</v>
      </c>
      <c r="AB439" t="s">
        <v>19</v>
      </c>
      <c r="AC439" t="s">
        <v>19</v>
      </c>
      <c r="AD439">
        <v>4656</v>
      </c>
      <c r="AE439" t="s">
        <v>1488</v>
      </c>
      <c r="AF439" t="s">
        <v>19</v>
      </c>
      <c r="AG439">
        <v>4659</v>
      </c>
      <c r="AH439" t="s">
        <v>19</v>
      </c>
      <c r="AI439" t="s">
        <v>19</v>
      </c>
      <c r="AJ439">
        <v>4679</v>
      </c>
      <c r="AK439" t="s">
        <v>1490</v>
      </c>
      <c r="AL439" t="s">
        <v>19</v>
      </c>
      <c r="AM439">
        <v>4683</v>
      </c>
      <c r="AN439" t="s">
        <v>1491</v>
      </c>
      <c r="AO439" t="s">
        <v>19</v>
      </c>
    </row>
    <row r="440" spans="1:41" x14ac:dyDescent="0.45">
      <c r="A440" t="s">
        <v>1265</v>
      </c>
      <c r="B440">
        <v>8</v>
      </c>
      <c r="C440" t="str">
        <f>HYPERLINK("http://www.ncbi.nlm.nih.gov/protein/XP_034431256.1","XP_034431256.1")</f>
        <v>XP_034431256.1</v>
      </c>
      <c r="D440">
        <v>47303</v>
      </c>
      <c r="E440" t="str">
        <f>HYPERLINK("http://www.ncbi.nlm.nih.gov/Taxonomy/Browser/wwwtax.cgi?mode=Info&amp;id=8267&amp;lvl=3&amp;lin=f&amp;keep=1&amp;srchmode=1&amp;unlock","8267")</f>
        <v>8267</v>
      </c>
      <c r="F440" t="s">
        <v>17</v>
      </c>
      <c r="G440" t="str">
        <f>HYPERLINK("http://www.ncbi.nlm.nih.gov/Taxonomy/Browser/wwwtax.cgi?mode=Info&amp;id=8267&amp;lvl=3&amp;lin=f&amp;keep=1&amp;srchmode=1&amp;unlock","Hippoglossus hippoglossus")</f>
        <v>Hippoglossus hippoglossus</v>
      </c>
      <c r="H440" t="s">
        <v>108</v>
      </c>
      <c r="I440" t="str">
        <f>HYPERLINK("http://www.ncbi.nlm.nih.gov/protein/XP_034431256.1","LOW QUALITY PROTEIN: ryanodine receptor 3-like")</f>
        <v>LOW QUALITY PROTEIN: ryanodine receptor 3-like</v>
      </c>
      <c r="J440" t="s">
        <v>1496</v>
      </c>
      <c r="K440" t="s">
        <v>19</v>
      </c>
      <c r="L440">
        <v>4437</v>
      </c>
      <c r="M440" t="s">
        <v>19</v>
      </c>
      <c r="N440" t="s">
        <v>19</v>
      </c>
      <c r="O440">
        <v>4440</v>
      </c>
      <c r="P440" t="s">
        <v>1486</v>
      </c>
      <c r="Q440" t="s">
        <v>19</v>
      </c>
      <c r="R440">
        <v>4441</v>
      </c>
      <c r="S440" t="s">
        <v>1487</v>
      </c>
      <c r="T440" t="s">
        <v>19</v>
      </c>
      <c r="U440">
        <v>4444</v>
      </c>
      <c r="V440" t="s">
        <v>1488</v>
      </c>
      <c r="W440" t="s">
        <v>19</v>
      </c>
      <c r="X440">
        <v>4515</v>
      </c>
      <c r="Y440" t="s">
        <v>1493</v>
      </c>
      <c r="Z440" t="s">
        <v>19</v>
      </c>
      <c r="AA440">
        <v>4648</v>
      </c>
      <c r="AB440" t="s">
        <v>19</v>
      </c>
      <c r="AC440" t="s">
        <v>19</v>
      </c>
      <c r="AD440">
        <v>4649</v>
      </c>
      <c r="AE440" t="s">
        <v>1488</v>
      </c>
      <c r="AF440" t="s">
        <v>19</v>
      </c>
      <c r="AG440">
        <v>4652</v>
      </c>
      <c r="AH440" t="s">
        <v>19</v>
      </c>
      <c r="AI440" t="s">
        <v>19</v>
      </c>
      <c r="AJ440">
        <v>4672</v>
      </c>
      <c r="AK440" t="s">
        <v>1490</v>
      </c>
      <c r="AL440" t="s">
        <v>19</v>
      </c>
      <c r="AM440">
        <v>4676</v>
      </c>
      <c r="AN440" t="s">
        <v>1491</v>
      </c>
      <c r="AO440" t="s">
        <v>19</v>
      </c>
    </row>
    <row r="441" spans="1:41" x14ac:dyDescent="0.45">
      <c r="A441" t="s">
        <v>1265</v>
      </c>
      <c r="B441">
        <v>8</v>
      </c>
      <c r="C441" t="str">
        <f>HYPERLINK("http://www.ncbi.nlm.nih.gov/protein/XP_038864977.1","XP_038864977.1")</f>
        <v>XP_038864977.1</v>
      </c>
      <c r="D441">
        <v>58431</v>
      </c>
      <c r="E441" t="str">
        <f>HYPERLINK("http://www.ncbi.nlm.nih.gov/Taxonomy/Browser/wwwtax.cgi?mode=Info&amp;id=8040&amp;lvl=3&amp;lin=f&amp;keep=1&amp;srchmode=1&amp;unlock","8040")</f>
        <v>8040</v>
      </c>
      <c r="F441" t="s">
        <v>17</v>
      </c>
      <c r="G441" t="str">
        <f>HYPERLINK("http://www.ncbi.nlm.nih.gov/Taxonomy/Browser/wwwtax.cgi?mode=Info&amp;id=8040&amp;lvl=3&amp;lin=f&amp;keep=1&amp;srchmode=1&amp;unlock","Salvelinus namaycush")</f>
        <v>Salvelinus namaycush</v>
      </c>
      <c r="H441" t="s">
        <v>133</v>
      </c>
      <c r="I441" t="str">
        <f>HYPERLINK("http://www.ncbi.nlm.nih.gov/protein/XP_038864977.1","ryanodine receptor 3-like")</f>
        <v>ryanodine receptor 3-like</v>
      </c>
      <c r="J441" t="s">
        <v>1496</v>
      </c>
      <c r="K441" t="s">
        <v>19</v>
      </c>
      <c r="L441">
        <v>4443</v>
      </c>
      <c r="M441" t="s">
        <v>19</v>
      </c>
      <c r="N441" t="s">
        <v>19</v>
      </c>
      <c r="O441">
        <v>4446</v>
      </c>
      <c r="P441" t="s">
        <v>1486</v>
      </c>
      <c r="Q441" t="s">
        <v>19</v>
      </c>
      <c r="R441">
        <v>4447</v>
      </c>
      <c r="S441" t="s">
        <v>1487</v>
      </c>
      <c r="T441" t="s">
        <v>19</v>
      </c>
      <c r="U441">
        <v>4450</v>
      </c>
      <c r="V441" t="s">
        <v>1488</v>
      </c>
      <c r="W441" t="s">
        <v>19</v>
      </c>
      <c r="X441">
        <v>4524</v>
      </c>
      <c r="Y441" t="s">
        <v>1493</v>
      </c>
      <c r="Z441" t="s">
        <v>19</v>
      </c>
      <c r="AA441">
        <v>4657</v>
      </c>
      <c r="AB441" t="s">
        <v>19</v>
      </c>
      <c r="AC441" t="s">
        <v>19</v>
      </c>
      <c r="AD441">
        <v>4658</v>
      </c>
      <c r="AE441" t="s">
        <v>1488</v>
      </c>
      <c r="AF441" t="s">
        <v>19</v>
      </c>
      <c r="AG441">
        <v>4661</v>
      </c>
      <c r="AH441" t="s">
        <v>19</v>
      </c>
      <c r="AI441" t="s">
        <v>19</v>
      </c>
      <c r="AJ441">
        <v>4681</v>
      </c>
      <c r="AK441" t="s">
        <v>1490</v>
      </c>
      <c r="AL441" t="s">
        <v>19</v>
      </c>
      <c r="AM441">
        <v>4685</v>
      </c>
      <c r="AN441" t="s">
        <v>1491</v>
      </c>
      <c r="AO441" t="s">
        <v>19</v>
      </c>
    </row>
    <row r="442" spans="1:41" x14ac:dyDescent="0.45">
      <c r="A442" t="s">
        <v>1265</v>
      </c>
      <c r="B442">
        <v>8</v>
      </c>
      <c r="C442" t="str">
        <f>HYPERLINK("http://www.ncbi.nlm.nih.gov/protein/XP_053290862.1","XP_053290862.1")</f>
        <v>XP_053290862.1</v>
      </c>
      <c r="D442">
        <v>85261</v>
      </c>
      <c r="E442" t="str">
        <f>HYPERLINK("http://www.ncbi.nlm.nih.gov/Taxonomy/Browser/wwwtax.cgi?mode=Info&amp;id=8262&amp;lvl=3&amp;lin=f&amp;keep=1&amp;srchmode=1&amp;unlock","8262")</f>
        <v>8262</v>
      </c>
      <c r="F442" t="s">
        <v>17</v>
      </c>
      <c r="G442" t="str">
        <f>HYPERLINK("http://www.ncbi.nlm.nih.gov/Taxonomy/Browser/wwwtax.cgi?mode=Info&amp;id=8262&amp;lvl=3&amp;lin=f&amp;keep=1&amp;srchmode=1&amp;unlock","Pleuronectes platessa")</f>
        <v>Pleuronectes platessa</v>
      </c>
      <c r="H442" t="s">
        <v>121</v>
      </c>
      <c r="I442" t="str">
        <f>HYPERLINK("http://www.ncbi.nlm.nih.gov/protein/XP_053290862.1","ryanodine receptor 3")</f>
        <v>ryanodine receptor 3</v>
      </c>
      <c r="J442" t="s">
        <v>1496</v>
      </c>
      <c r="K442" t="s">
        <v>19</v>
      </c>
      <c r="L442">
        <v>4426</v>
      </c>
      <c r="M442" t="s">
        <v>19</v>
      </c>
      <c r="N442" t="s">
        <v>19</v>
      </c>
      <c r="O442">
        <v>4429</v>
      </c>
      <c r="P442" t="s">
        <v>1486</v>
      </c>
      <c r="Q442" t="s">
        <v>19</v>
      </c>
      <c r="R442">
        <v>4430</v>
      </c>
      <c r="S442" t="s">
        <v>1487</v>
      </c>
      <c r="T442" t="s">
        <v>19</v>
      </c>
      <c r="U442">
        <v>4433</v>
      </c>
      <c r="V442" t="s">
        <v>1488</v>
      </c>
      <c r="W442" t="s">
        <v>19</v>
      </c>
      <c r="X442">
        <v>4504</v>
      </c>
      <c r="Y442" t="s">
        <v>1493</v>
      </c>
      <c r="Z442" t="s">
        <v>19</v>
      </c>
      <c r="AA442">
        <v>4637</v>
      </c>
      <c r="AB442" t="s">
        <v>19</v>
      </c>
      <c r="AC442" t="s">
        <v>19</v>
      </c>
      <c r="AD442">
        <v>4638</v>
      </c>
      <c r="AE442" t="s">
        <v>1488</v>
      </c>
      <c r="AF442" t="s">
        <v>19</v>
      </c>
      <c r="AG442">
        <v>4641</v>
      </c>
      <c r="AH442" t="s">
        <v>19</v>
      </c>
      <c r="AI442" t="s">
        <v>19</v>
      </c>
      <c r="AJ442">
        <v>4661</v>
      </c>
      <c r="AK442" t="s">
        <v>1490</v>
      </c>
      <c r="AL442" t="s">
        <v>19</v>
      </c>
      <c r="AM442">
        <v>4665</v>
      </c>
      <c r="AN442" t="s">
        <v>1491</v>
      </c>
      <c r="AO442" t="s">
        <v>19</v>
      </c>
    </row>
    <row r="443" spans="1:41" x14ac:dyDescent="0.45">
      <c r="A443" t="s">
        <v>1265</v>
      </c>
      <c r="B443">
        <v>8</v>
      </c>
      <c r="C443" t="str">
        <f>HYPERLINK("http://www.ncbi.nlm.nih.gov/protein/XP_051811585.1","XP_051811585.1")</f>
        <v>XP_051811585.1</v>
      </c>
      <c r="D443">
        <v>46396</v>
      </c>
      <c r="E443" t="str">
        <f>HYPERLINK("http://www.ncbi.nlm.nih.gov/Taxonomy/Browser/wwwtax.cgi?mode=Info&amp;id=80966&amp;lvl=3&amp;lin=f&amp;keep=1&amp;srchmode=1&amp;unlock","80966")</f>
        <v>80966</v>
      </c>
      <c r="F443" t="s">
        <v>17</v>
      </c>
      <c r="G443" t="str">
        <f>HYPERLINK("http://www.ncbi.nlm.nih.gov/Taxonomy/Browser/wwwtax.cgi?mode=Info&amp;id=80966&amp;lvl=3&amp;lin=f&amp;keep=1&amp;srchmode=1&amp;unlock","Acanthochromis polyacanthus")</f>
        <v>Acanthochromis polyacanthus</v>
      </c>
      <c r="H443" t="s">
        <v>88</v>
      </c>
      <c r="I443" t="str">
        <f>HYPERLINK("http://www.ncbi.nlm.nih.gov/protein/XP_051811585.1","ryanodine receptor 3 isoform X3")</f>
        <v>ryanodine receptor 3 isoform X3</v>
      </c>
      <c r="J443" t="s">
        <v>1496</v>
      </c>
      <c r="K443" t="s">
        <v>19</v>
      </c>
      <c r="L443">
        <v>4360</v>
      </c>
      <c r="M443" t="s">
        <v>19</v>
      </c>
      <c r="N443" t="s">
        <v>19</v>
      </c>
      <c r="O443">
        <v>4363</v>
      </c>
      <c r="P443" t="s">
        <v>1486</v>
      </c>
      <c r="Q443" t="s">
        <v>19</v>
      </c>
      <c r="R443">
        <v>4364</v>
      </c>
      <c r="S443" t="s">
        <v>1487</v>
      </c>
      <c r="T443" t="s">
        <v>19</v>
      </c>
      <c r="U443">
        <v>4367</v>
      </c>
      <c r="V443" t="s">
        <v>1488</v>
      </c>
      <c r="W443" t="s">
        <v>19</v>
      </c>
      <c r="X443">
        <v>4438</v>
      </c>
      <c r="Y443" t="s">
        <v>1493</v>
      </c>
      <c r="Z443" t="s">
        <v>19</v>
      </c>
      <c r="AA443">
        <v>4571</v>
      </c>
      <c r="AB443" t="s">
        <v>19</v>
      </c>
      <c r="AC443" t="s">
        <v>19</v>
      </c>
      <c r="AD443">
        <v>4572</v>
      </c>
      <c r="AE443" t="s">
        <v>1488</v>
      </c>
      <c r="AF443" t="s">
        <v>19</v>
      </c>
      <c r="AG443">
        <v>4575</v>
      </c>
      <c r="AH443" t="s">
        <v>19</v>
      </c>
      <c r="AI443" t="s">
        <v>19</v>
      </c>
      <c r="AJ443">
        <v>4595</v>
      </c>
      <c r="AK443" t="s">
        <v>1490</v>
      </c>
      <c r="AL443" t="s">
        <v>19</v>
      </c>
      <c r="AM443">
        <v>4599</v>
      </c>
      <c r="AN443" t="s">
        <v>1491</v>
      </c>
      <c r="AO443" t="s">
        <v>19</v>
      </c>
    </row>
    <row r="444" spans="1:41" x14ac:dyDescent="0.45">
      <c r="A444" t="s">
        <v>1265</v>
      </c>
      <c r="B444">
        <v>8</v>
      </c>
      <c r="C444" t="str">
        <f>HYPERLINK("http://www.ncbi.nlm.nih.gov/protein/XP_047201526.1","XP_047201526.1")</f>
        <v>XP_047201526.1</v>
      </c>
      <c r="D444">
        <v>48650</v>
      </c>
      <c r="E444" t="str">
        <f>HYPERLINK("http://www.ncbi.nlm.nih.gov/Taxonomy/Browser/wwwtax.cgi?mode=Info&amp;id=208333&amp;lvl=3&amp;lin=f&amp;keep=1&amp;srchmode=1&amp;unlock","208333")</f>
        <v>208333</v>
      </c>
      <c r="F444" t="s">
        <v>17</v>
      </c>
      <c r="G444" t="str">
        <f>HYPERLINK("http://www.ncbi.nlm.nih.gov/Taxonomy/Browser/wwwtax.cgi?mode=Info&amp;id=208333&amp;lvl=3&amp;lin=f&amp;keep=1&amp;srchmode=1&amp;unlock","Girardinichthys multiradiatus")</f>
        <v>Girardinichthys multiradiatus</v>
      </c>
      <c r="H444" t="s">
        <v>122</v>
      </c>
      <c r="I444" t="str">
        <f>HYPERLINK("http://www.ncbi.nlm.nih.gov/protein/XP_047201526.1","ryanodine receptor 3-like")</f>
        <v>ryanodine receptor 3-like</v>
      </c>
      <c r="J444" t="s">
        <v>1496</v>
      </c>
      <c r="K444" t="s">
        <v>19</v>
      </c>
      <c r="L444">
        <v>4412</v>
      </c>
      <c r="M444" t="s">
        <v>19</v>
      </c>
      <c r="N444" t="s">
        <v>19</v>
      </c>
      <c r="O444">
        <v>4415</v>
      </c>
      <c r="P444" t="s">
        <v>1486</v>
      </c>
      <c r="Q444" t="s">
        <v>19</v>
      </c>
      <c r="R444">
        <v>4416</v>
      </c>
      <c r="S444" t="s">
        <v>1487</v>
      </c>
      <c r="T444" t="s">
        <v>19</v>
      </c>
      <c r="U444">
        <v>4419</v>
      </c>
      <c r="V444" t="s">
        <v>1488</v>
      </c>
      <c r="W444" t="s">
        <v>19</v>
      </c>
      <c r="X444">
        <v>4490</v>
      </c>
      <c r="Y444" t="s">
        <v>1493</v>
      </c>
      <c r="Z444" t="s">
        <v>19</v>
      </c>
      <c r="AA444">
        <v>4623</v>
      </c>
      <c r="AB444" t="s">
        <v>19</v>
      </c>
      <c r="AC444" t="s">
        <v>19</v>
      </c>
      <c r="AD444">
        <v>4624</v>
      </c>
      <c r="AE444" t="s">
        <v>1488</v>
      </c>
      <c r="AF444" t="s">
        <v>19</v>
      </c>
      <c r="AG444">
        <v>4627</v>
      </c>
      <c r="AH444" t="s">
        <v>19</v>
      </c>
      <c r="AI444" t="s">
        <v>19</v>
      </c>
      <c r="AJ444">
        <v>4647</v>
      </c>
      <c r="AK444" t="s">
        <v>1490</v>
      </c>
      <c r="AL444" t="s">
        <v>19</v>
      </c>
      <c r="AM444">
        <v>4651</v>
      </c>
      <c r="AN444" t="s">
        <v>1491</v>
      </c>
      <c r="AO444" t="s">
        <v>19</v>
      </c>
    </row>
    <row r="445" spans="1:41" x14ac:dyDescent="0.45">
      <c r="A445" t="s">
        <v>1265</v>
      </c>
      <c r="B445">
        <v>8</v>
      </c>
      <c r="C445" t="str">
        <f>HYPERLINK("http://www.ncbi.nlm.nih.gov/protein/XP_046711318.1","XP_046711318.1")</f>
        <v>XP_046711318.1</v>
      </c>
      <c r="D445">
        <v>91563</v>
      </c>
      <c r="E445" t="str">
        <f>HYPERLINK("http://www.ncbi.nlm.nih.gov/Taxonomy/Browser/wwwtax.cgi?mode=Info&amp;id=175797&amp;lvl=3&amp;lin=f&amp;keep=1&amp;srchmode=1&amp;unlock","175797")</f>
        <v>175797</v>
      </c>
      <c r="F445" t="s">
        <v>17</v>
      </c>
      <c r="G445" t="str">
        <f>HYPERLINK("http://www.ncbi.nlm.nih.gov/Taxonomy/Browser/wwwtax.cgi?mode=Info&amp;id=175797&amp;lvl=3&amp;lin=f&amp;keep=1&amp;srchmode=1&amp;unlock","Silurus meridionalis")</f>
        <v>Silurus meridionalis</v>
      </c>
      <c r="H445" t="s">
        <v>172</v>
      </c>
      <c r="I445" t="str">
        <f>HYPERLINK("http://www.ncbi.nlm.nih.gov/protein/XP_046711318.1","ryanodine receptor 3-like")</f>
        <v>ryanodine receptor 3-like</v>
      </c>
      <c r="J445" t="s">
        <v>1496</v>
      </c>
      <c r="K445" t="s">
        <v>19</v>
      </c>
      <c r="L445">
        <v>4418</v>
      </c>
      <c r="M445" t="s">
        <v>19</v>
      </c>
      <c r="N445" t="s">
        <v>19</v>
      </c>
      <c r="O445">
        <v>4421</v>
      </c>
      <c r="P445" t="s">
        <v>1486</v>
      </c>
      <c r="Q445" t="s">
        <v>19</v>
      </c>
      <c r="R445">
        <v>4422</v>
      </c>
      <c r="S445" t="s">
        <v>1487</v>
      </c>
      <c r="T445" t="s">
        <v>19</v>
      </c>
      <c r="U445">
        <v>4425</v>
      </c>
      <c r="V445" t="s">
        <v>1488</v>
      </c>
      <c r="W445" t="s">
        <v>19</v>
      </c>
      <c r="X445">
        <v>4490</v>
      </c>
      <c r="Y445" t="s">
        <v>1493</v>
      </c>
      <c r="Z445" t="s">
        <v>19</v>
      </c>
      <c r="AA445">
        <v>4623</v>
      </c>
      <c r="AB445" t="s">
        <v>19</v>
      </c>
      <c r="AC445" t="s">
        <v>19</v>
      </c>
      <c r="AD445">
        <v>4624</v>
      </c>
      <c r="AE445" t="s">
        <v>1488</v>
      </c>
      <c r="AF445" t="s">
        <v>19</v>
      </c>
      <c r="AG445">
        <v>4627</v>
      </c>
      <c r="AH445" t="s">
        <v>19</v>
      </c>
      <c r="AI445" t="s">
        <v>19</v>
      </c>
      <c r="AJ445">
        <v>4647</v>
      </c>
      <c r="AK445" t="s">
        <v>1490</v>
      </c>
      <c r="AL445" t="s">
        <v>19</v>
      </c>
      <c r="AM445">
        <v>4651</v>
      </c>
      <c r="AN445" t="s">
        <v>1491</v>
      </c>
      <c r="AO445" t="s">
        <v>19</v>
      </c>
    </row>
    <row r="446" spans="1:41" x14ac:dyDescent="0.45">
      <c r="A446" t="s">
        <v>1265</v>
      </c>
      <c r="B446">
        <v>8</v>
      </c>
      <c r="C446" t="str">
        <f>HYPERLINK("http://www.ncbi.nlm.nih.gov/protein/XP_054469239.1","XP_054469239.1")</f>
        <v>XP_054469239.1</v>
      </c>
      <c r="D446">
        <v>33066</v>
      </c>
      <c r="E446" t="str">
        <f>HYPERLINK("http://www.ncbi.nlm.nih.gov/Taxonomy/Browser/wwwtax.cgi?mode=Info&amp;id=229290&amp;lvl=3&amp;lin=f&amp;keep=1&amp;srchmode=1&amp;unlock","229290")</f>
        <v>229290</v>
      </c>
      <c r="F446" t="s">
        <v>17</v>
      </c>
      <c r="G446" t="str">
        <f>HYPERLINK("http://www.ncbi.nlm.nih.gov/Taxonomy/Browser/wwwtax.cgi?mode=Info&amp;id=229290&amp;lvl=3&amp;lin=f&amp;keep=1&amp;srchmode=1&amp;unlock","Anoplopoma fimbria")</f>
        <v>Anoplopoma fimbria</v>
      </c>
      <c r="H446" t="s">
        <v>63</v>
      </c>
      <c r="I446" t="str">
        <f>HYPERLINK("http://www.ncbi.nlm.nih.gov/protein/XP_054469239.1","LOW QUALITY PROTEIN: ryanodine receptor 3-like")</f>
        <v>LOW QUALITY PROTEIN: ryanodine receptor 3-like</v>
      </c>
      <c r="J446" t="s">
        <v>1496</v>
      </c>
      <c r="K446" t="s">
        <v>19</v>
      </c>
      <c r="L446">
        <v>4448</v>
      </c>
      <c r="M446" t="s">
        <v>19</v>
      </c>
      <c r="N446" t="s">
        <v>19</v>
      </c>
      <c r="O446">
        <v>4451</v>
      </c>
      <c r="P446" t="s">
        <v>1486</v>
      </c>
      <c r="Q446" t="s">
        <v>19</v>
      </c>
      <c r="R446">
        <v>4452</v>
      </c>
      <c r="S446" t="s">
        <v>1487</v>
      </c>
      <c r="T446" t="s">
        <v>19</v>
      </c>
      <c r="U446">
        <v>4455</v>
      </c>
      <c r="V446" t="s">
        <v>1488</v>
      </c>
      <c r="W446" t="s">
        <v>19</v>
      </c>
      <c r="X446">
        <v>4536</v>
      </c>
      <c r="Y446" t="s">
        <v>1493</v>
      </c>
      <c r="Z446" t="s">
        <v>19</v>
      </c>
      <c r="AA446">
        <v>4669</v>
      </c>
      <c r="AB446" t="s">
        <v>19</v>
      </c>
      <c r="AC446" t="s">
        <v>19</v>
      </c>
      <c r="AD446">
        <v>4670</v>
      </c>
      <c r="AE446" t="s">
        <v>1488</v>
      </c>
      <c r="AF446" t="s">
        <v>19</v>
      </c>
      <c r="AG446">
        <v>4673</v>
      </c>
      <c r="AH446" t="s">
        <v>19</v>
      </c>
      <c r="AI446" t="s">
        <v>19</v>
      </c>
      <c r="AJ446">
        <v>4693</v>
      </c>
      <c r="AK446" t="s">
        <v>1490</v>
      </c>
      <c r="AL446" t="s">
        <v>19</v>
      </c>
      <c r="AM446">
        <v>4697</v>
      </c>
      <c r="AN446" t="s">
        <v>1491</v>
      </c>
      <c r="AO446" t="s">
        <v>19</v>
      </c>
    </row>
    <row r="447" spans="1:41" x14ac:dyDescent="0.45">
      <c r="A447" t="s">
        <v>1265</v>
      </c>
      <c r="B447">
        <v>8</v>
      </c>
      <c r="C447" t="str">
        <f>HYPERLINK("http://www.ncbi.nlm.nih.gov/protein/XP_055087260.1","XP_055087260.1")</f>
        <v>XP_055087260.1</v>
      </c>
      <c r="D447">
        <v>50626</v>
      </c>
      <c r="E447" t="str">
        <f>HYPERLINK("http://www.ncbi.nlm.nih.gov/Taxonomy/Browser/wwwtax.cgi?mode=Info&amp;id=409849&amp;lvl=3&amp;lin=f&amp;keep=1&amp;srchmode=1&amp;unlock","409849")</f>
        <v>409849</v>
      </c>
      <c r="F447" t="s">
        <v>17</v>
      </c>
      <c r="G447" t="str">
        <f>HYPERLINK("http://www.ncbi.nlm.nih.gov/Taxonomy/Browser/wwwtax.cgi?mode=Info&amp;id=409849&amp;lvl=3&amp;lin=f&amp;keep=1&amp;srchmode=1&amp;unlock","Periophthalmus magnuspinnatus")</f>
        <v>Periophthalmus magnuspinnatus</v>
      </c>
      <c r="H447" t="s">
        <v>94</v>
      </c>
      <c r="I447" t="str">
        <f>HYPERLINK("http://www.ncbi.nlm.nih.gov/protein/XP_055087260.1","ryanodine receptor 3-like")</f>
        <v>ryanodine receptor 3-like</v>
      </c>
      <c r="J447" t="s">
        <v>1496</v>
      </c>
      <c r="K447" t="s">
        <v>19</v>
      </c>
      <c r="L447">
        <v>4431</v>
      </c>
      <c r="M447" t="s">
        <v>19</v>
      </c>
      <c r="N447" t="s">
        <v>19</v>
      </c>
      <c r="O447">
        <v>4434</v>
      </c>
      <c r="P447" t="s">
        <v>1486</v>
      </c>
      <c r="Q447" t="s">
        <v>19</v>
      </c>
      <c r="R447">
        <v>4435</v>
      </c>
      <c r="S447" t="s">
        <v>1487</v>
      </c>
      <c r="T447" t="s">
        <v>19</v>
      </c>
      <c r="U447">
        <v>4438</v>
      </c>
      <c r="V447" t="s">
        <v>1488</v>
      </c>
      <c r="W447" t="s">
        <v>19</v>
      </c>
      <c r="X447">
        <v>4509</v>
      </c>
      <c r="Y447" t="s">
        <v>1493</v>
      </c>
      <c r="Z447" t="s">
        <v>19</v>
      </c>
      <c r="AA447">
        <v>4642</v>
      </c>
      <c r="AB447" t="s">
        <v>19</v>
      </c>
      <c r="AC447" t="s">
        <v>19</v>
      </c>
      <c r="AD447">
        <v>4643</v>
      </c>
      <c r="AE447" t="s">
        <v>1488</v>
      </c>
      <c r="AF447" t="s">
        <v>19</v>
      </c>
      <c r="AG447">
        <v>4646</v>
      </c>
      <c r="AH447" t="s">
        <v>19</v>
      </c>
      <c r="AI447" t="s">
        <v>19</v>
      </c>
      <c r="AJ447">
        <v>4666</v>
      </c>
      <c r="AK447" t="s">
        <v>1490</v>
      </c>
      <c r="AL447" t="s">
        <v>19</v>
      </c>
      <c r="AM447">
        <v>4670</v>
      </c>
      <c r="AN447" t="s">
        <v>1491</v>
      </c>
      <c r="AO447" t="s">
        <v>19</v>
      </c>
    </row>
    <row r="448" spans="1:41" x14ac:dyDescent="0.45">
      <c r="A448" t="s">
        <v>1265</v>
      </c>
      <c r="B448">
        <v>8</v>
      </c>
      <c r="C448" t="str">
        <f>HYPERLINK("http://www.ncbi.nlm.nih.gov/protein/XP_013867545.1","XP_013867545.1")</f>
        <v>XP_013867545.1</v>
      </c>
      <c r="D448">
        <v>35359</v>
      </c>
      <c r="E448" t="str">
        <f>HYPERLINK("http://www.ncbi.nlm.nih.gov/Taxonomy/Browser/wwwtax.cgi?mode=Info&amp;id=52670&amp;lvl=3&amp;lin=f&amp;keep=1&amp;srchmode=1&amp;unlock","52670")</f>
        <v>52670</v>
      </c>
      <c r="F448" t="s">
        <v>17</v>
      </c>
      <c r="G448" t="str">
        <f>HYPERLINK("http://www.ncbi.nlm.nih.gov/Taxonomy/Browser/wwwtax.cgi?mode=Info&amp;id=52670&amp;lvl=3&amp;lin=f&amp;keep=1&amp;srchmode=1&amp;unlock","Austrofundulus limnaeus")</f>
        <v>Austrofundulus limnaeus</v>
      </c>
      <c r="H448" t="s">
        <v>166</v>
      </c>
      <c r="I448" t="str">
        <f>HYPERLINK("http://www.ncbi.nlm.nih.gov/protein/XP_013867545.1","PREDICTED: ryanodine receptor 3-like")</f>
        <v>PREDICTED: ryanodine receptor 3-like</v>
      </c>
      <c r="J448" t="s">
        <v>1496</v>
      </c>
      <c r="K448" t="s">
        <v>19</v>
      </c>
      <c r="L448">
        <v>4426</v>
      </c>
      <c r="M448" t="s">
        <v>19</v>
      </c>
      <c r="N448" t="s">
        <v>19</v>
      </c>
      <c r="O448">
        <v>4429</v>
      </c>
      <c r="P448" t="s">
        <v>1486</v>
      </c>
      <c r="Q448" t="s">
        <v>19</v>
      </c>
      <c r="R448">
        <v>4430</v>
      </c>
      <c r="S448" t="s">
        <v>1487</v>
      </c>
      <c r="T448" t="s">
        <v>19</v>
      </c>
      <c r="U448">
        <v>4433</v>
      </c>
      <c r="V448" t="s">
        <v>1488</v>
      </c>
      <c r="W448" t="s">
        <v>19</v>
      </c>
      <c r="X448">
        <v>4504</v>
      </c>
      <c r="Y448" t="s">
        <v>1493</v>
      </c>
      <c r="Z448" t="s">
        <v>19</v>
      </c>
      <c r="AA448">
        <v>4637</v>
      </c>
      <c r="AB448" t="s">
        <v>19</v>
      </c>
      <c r="AC448" t="s">
        <v>19</v>
      </c>
      <c r="AD448">
        <v>4638</v>
      </c>
      <c r="AE448" t="s">
        <v>1488</v>
      </c>
      <c r="AF448" t="s">
        <v>19</v>
      </c>
      <c r="AG448">
        <v>4641</v>
      </c>
      <c r="AH448" t="s">
        <v>19</v>
      </c>
      <c r="AI448" t="s">
        <v>19</v>
      </c>
      <c r="AJ448">
        <v>4661</v>
      </c>
      <c r="AK448" t="s">
        <v>1490</v>
      </c>
      <c r="AL448" t="s">
        <v>19</v>
      </c>
      <c r="AM448">
        <v>4665</v>
      </c>
      <c r="AN448" t="s">
        <v>1491</v>
      </c>
      <c r="AO448" t="s">
        <v>19</v>
      </c>
    </row>
    <row r="449" spans="1:41" x14ac:dyDescent="0.45">
      <c r="A449" t="s">
        <v>1265</v>
      </c>
      <c r="B449">
        <v>8</v>
      </c>
      <c r="C449" t="str">
        <f>HYPERLINK("http://www.ncbi.nlm.nih.gov/protein/XP_049596076.1","XP_049596076.1")</f>
        <v>XP_049596076.1</v>
      </c>
      <c r="D449">
        <v>47901</v>
      </c>
      <c r="E449" t="str">
        <f>HYPERLINK("http://www.ncbi.nlm.nih.gov/Taxonomy/Browser/wwwtax.cgi?mode=Info&amp;id=161590&amp;lvl=3&amp;lin=f&amp;keep=1&amp;srchmode=1&amp;unlock","161590")</f>
        <v>161590</v>
      </c>
      <c r="F449" t="s">
        <v>17</v>
      </c>
      <c r="G449" t="str">
        <f>HYPERLINK("http://www.ncbi.nlm.nih.gov/Taxonomy/Browser/wwwtax.cgi?mode=Info&amp;id=161590&amp;lvl=3&amp;lin=f&amp;keep=1&amp;srchmode=1&amp;unlock","Syngnathus scovelli")</f>
        <v>Syngnathus scovelli</v>
      </c>
      <c r="H449" t="s">
        <v>135</v>
      </c>
      <c r="I449" t="str">
        <f>HYPERLINK("http://www.ncbi.nlm.nih.gov/protein/XP_049596076.1","ryanodine receptor 3 isoform X2")</f>
        <v>ryanodine receptor 3 isoform X2</v>
      </c>
      <c r="J449" t="s">
        <v>1496</v>
      </c>
      <c r="K449" t="s">
        <v>19</v>
      </c>
      <c r="L449">
        <v>4429</v>
      </c>
      <c r="M449" t="s">
        <v>19</v>
      </c>
      <c r="N449" t="s">
        <v>19</v>
      </c>
      <c r="O449">
        <v>4432</v>
      </c>
      <c r="P449" t="s">
        <v>1486</v>
      </c>
      <c r="Q449" t="s">
        <v>19</v>
      </c>
      <c r="R449">
        <v>4433</v>
      </c>
      <c r="S449" t="s">
        <v>1487</v>
      </c>
      <c r="T449" t="s">
        <v>19</v>
      </c>
      <c r="U449">
        <v>4436</v>
      </c>
      <c r="V449" t="s">
        <v>1488</v>
      </c>
      <c r="W449" t="s">
        <v>19</v>
      </c>
      <c r="X449">
        <v>4508</v>
      </c>
      <c r="Y449" t="s">
        <v>1493</v>
      </c>
      <c r="Z449" t="s">
        <v>19</v>
      </c>
      <c r="AA449">
        <v>4641</v>
      </c>
      <c r="AB449" t="s">
        <v>19</v>
      </c>
      <c r="AC449" t="s">
        <v>19</v>
      </c>
      <c r="AD449">
        <v>4642</v>
      </c>
      <c r="AE449" t="s">
        <v>1488</v>
      </c>
      <c r="AF449" t="s">
        <v>19</v>
      </c>
      <c r="AG449">
        <v>4645</v>
      </c>
      <c r="AH449" t="s">
        <v>19</v>
      </c>
      <c r="AI449" t="s">
        <v>19</v>
      </c>
      <c r="AJ449">
        <v>4665</v>
      </c>
      <c r="AK449" t="s">
        <v>1490</v>
      </c>
      <c r="AL449" t="s">
        <v>19</v>
      </c>
      <c r="AM449">
        <v>4669</v>
      </c>
      <c r="AN449" t="s">
        <v>1491</v>
      </c>
      <c r="AO449" t="s">
        <v>19</v>
      </c>
    </row>
    <row r="450" spans="1:41" x14ac:dyDescent="0.45">
      <c r="A450" t="s">
        <v>1265</v>
      </c>
      <c r="B450">
        <v>8</v>
      </c>
      <c r="C450" t="str">
        <f>HYPERLINK("http://www.ncbi.nlm.nih.gov/protein/XP_037096865.1","XP_037096865.1")</f>
        <v>XP_037096865.1</v>
      </c>
      <c r="D450">
        <v>41996</v>
      </c>
      <c r="E450" t="str">
        <f>HYPERLINK("http://www.ncbi.nlm.nih.gov/Taxonomy/Browser/wwwtax.cgi?mode=Info&amp;id=161584&amp;lvl=3&amp;lin=f&amp;keep=1&amp;srchmode=1&amp;unlock","161584")</f>
        <v>161584</v>
      </c>
      <c r="F450" t="s">
        <v>17</v>
      </c>
      <c r="G450" t="str">
        <f>HYPERLINK("http://www.ncbi.nlm.nih.gov/Taxonomy/Browser/wwwtax.cgi?mode=Info&amp;id=161584&amp;lvl=3&amp;lin=f&amp;keep=1&amp;srchmode=1&amp;unlock","Syngnathus acus")</f>
        <v>Syngnathus acus</v>
      </c>
      <c r="H450" t="s">
        <v>139</v>
      </c>
      <c r="I450" t="str">
        <f>HYPERLINK("http://www.ncbi.nlm.nih.gov/protein/XP_037096865.1","ryanodine receptor 3-like isoform X5")</f>
        <v>ryanodine receptor 3-like isoform X5</v>
      </c>
      <c r="J450" t="s">
        <v>1496</v>
      </c>
      <c r="K450" t="s">
        <v>19</v>
      </c>
      <c r="L450">
        <v>4424</v>
      </c>
      <c r="M450" t="s">
        <v>19</v>
      </c>
      <c r="N450" t="s">
        <v>19</v>
      </c>
      <c r="O450">
        <v>4427</v>
      </c>
      <c r="P450" t="s">
        <v>1486</v>
      </c>
      <c r="Q450" t="s">
        <v>19</v>
      </c>
      <c r="R450">
        <v>4428</v>
      </c>
      <c r="S450" t="s">
        <v>1487</v>
      </c>
      <c r="T450" t="s">
        <v>19</v>
      </c>
      <c r="U450">
        <v>4431</v>
      </c>
      <c r="V450" t="s">
        <v>1488</v>
      </c>
      <c r="W450" t="s">
        <v>19</v>
      </c>
      <c r="X450">
        <v>4503</v>
      </c>
      <c r="Y450" t="s">
        <v>1493</v>
      </c>
      <c r="Z450" t="s">
        <v>19</v>
      </c>
      <c r="AA450">
        <v>4636</v>
      </c>
      <c r="AB450" t="s">
        <v>19</v>
      </c>
      <c r="AC450" t="s">
        <v>19</v>
      </c>
      <c r="AD450">
        <v>4637</v>
      </c>
      <c r="AE450" t="s">
        <v>1488</v>
      </c>
      <c r="AF450" t="s">
        <v>19</v>
      </c>
      <c r="AG450">
        <v>4640</v>
      </c>
      <c r="AH450" t="s">
        <v>19</v>
      </c>
      <c r="AI450" t="s">
        <v>19</v>
      </c>
      <c r="AJ450">
        <v>4660</v>
      </c>
      <c r="AK450" t="s">
        <v>1490</v>
      </c>
      <c r="AL450" t="s">
        <v>19</v>
      </c>
      <c r="AM450">
        <v>4664</v>
      </c>
      <c r="AN450" t="s">
        <v>1491</v>
      </c>
      <c r="AO450" t="s">
        <v>19</v>
      </c>
    </row>
    <row r="451" spans="1:41" x14ac:dyDescent="0.45">
      <c r="A451" t="s">
        <v>1265</v>
      </c>
      <c r="B451">
        <v>8</v>
      </c>
      <c r="C451" t="str">
        <f>HYPERLINK("http://www.ncbi.nlm.nih.gov/protein/XP_035529605.1","XP_035529605.1")</f>
        <v>XP_035529605.1</v>
      </c>
      <c r="D451">
        <v>31152</v>
      </c>
      <c r="E451" t="str">
        <f>HYPERLINK("http://www.ncbi.nlm.nih.gov/Taxonomy/Browser/wwwtax.cgi?mode=Info&amp;id=34816&amp;lvl=3&amp;lin=f&amp;keep=1&amp;srchmode=1&amp;unlock","34816")</f>
        <v>34816</v>
      </c>
      <c r="F451" t="s">
        <v>17</v>
      </c>
      <c r="G451" t="str">
        <f>HYPERLINK("http://www.ncbi.nlm.nih.gov/Taxonomy/Browser/wwwtax.cgi?mode=Info&amp;id=34816&amp;lvl=3&amp;lin=f&amp;keep=1&amp;srchmode=1&amp;unlock","Morone saxatilis")</f>
        <v>Morone saxatilis</v>
      </c>
      <c r="H451" t="s">
        <v>52</v>
      </c>
      <c r="I451" t="str">
        <f>HYPERLINK("http://www.ncbi.nlm.nih.gov/protein/XP_035529605.1","ryanodine receptor 3-like")</f>
        <v>ryanodine receptor 3-like</v>
      </c>
      <c r="J451" t="s">
        <v>1496</v>
      </c>
      <c r="K451" t="s">
        <v>19</v>
      </c>
      <c r="L451">
        <v>4422</v>
      </c>
      <c r="M451" t="s">
        <v>19</v>
      </c>
      <c r="N451" t="s">
        <v>19</v>
      </c>
      <c r="O451">
        <v>4425</v>
      </c>
      <c r="P451" t="s">
        <v>1486</v>
      </c>
      <c r="Q451" t="s">
        <v>19</v>
      </c>
      <c r="R451">
        <v>4426</v>
      </c>
      <c r="S451" t="s">
        <v>1487</v>
      </c>
      <c r="T451" t="s">
        <v>19</v>
      </c>
      <c r="U451">
        <v>4429</v>
      </c>
      <c r="V451" t="s">
        <v>1488</v>
      </c>
      <c r="W451" t="s">
        <v>19</v>
      </c>
      <c r="X451">
        <v>4500</v>
      </c>
      <c r="Y451" t="s">
        <v>1493</v>
      </c>
      <c r="Z451" t="s">
        <v>19</v>
      </c>
      <c r="AA451">
        <v>4633</v>
      </c>
      <c r="AB451" t="s">
        <v>19</v>
      </c>
      <c r="AC451" t="s">
        <v>19</v>
      </c>
      <c r="AD451">
        <v>4634</v>
      </c>
      <c r="AE451" t="s">
        <v>1488</v>
      </c>
      <c r="AF451" t="s">
        <v>19</v>
      </c>
      <c r="AG451">
        <v>4637</v>
      </c>
      <c r="AH451" t="s">
        <v>19</v>
      </c>
      <c r="AI451" t="s">
        <v>19</v>
      </c>
      <c r="AJ451">
        <v>4657</v>
      </c>
      <c r="AK451" t="s">
        <v>1490</v>
      </c>
      <c r="AL451" t="s">
        <v>19</v>
      </c>
      <c r="AM451">
        <v>4661</v>
      </c>
      <c r="AN451" t="s">
        <v>1491</v>
      </c>
      <c r="AO451" t="s">
        <v>19</v>
      </c>
    </row>
    <row r="452" spans="1:41" x14ac:dyDescent="0.45">
      <c r="A452" t="s">
        <v>1265</v>
      </c>
      <c r="B452">
        <v>8</v>
      </c>
      <c r="C452" t="str">
        <f>HYPERLINK("http://www.ncbi.nlm.nih.gov/protein/XP_056445697.1","XP_056445697.1")</f>
        <v>XP_056445697.1</v>
      </c>
      <c r="D452">
        <v>37803</v>
      </c>
      <c r="E452" t="str">
        <f>HYPERLINK("http://www.ncbi.nlm.nih.gov/Taxonomy/Browser/wwwtax.cgi?mode=Info&amp;id=1042646&amp;lvl=3&amp;lin=f&amp;keep=1&amp;srchmode=1&amp;unlock","1042646")</f>
        <v>1042646</v>
      </c>
      <c r="F452" t="s">
        <v>17</v>
      </c>
      <c r="G452" t="str">
        <f>HYPERLINK("http://www.ncbi.nlm.nih.gov/Taxonomy/Browser/wwwtax.cgi?mode=Info&amp;id=1042646&amp;lvl=3&amp;lin=f&amp;keep=1&amp;srchmode=1&amp;unlock","Gadus chalcogrammus")</f>
        <v>Gadus chalcogrammus</v>
      </c>
      <c r="H452" t="s">
        <v>501</v>
      </c>
      <c r="I452" t="str">
        <f>HYPERLINK("http://www.ncbi.nlm.nih.gov/protein/XP_056445697.1","ryanodine receptor 3-like")</f>
        <v>ryanodine receptor 3-like</v>
      </c>
      <c r="J452" t="s">
        <v>1496</v>
      </c>
      <c r="K452" t="s">
        <v>19</v>
      </c>
      <c r="L452">
        <v>4456</v>
      </c>
      <c r="M452" t="s">
        <v>19</v>
      </c>
      <c r="N452" t="s">
        <v>19</v>
      </c>
      <c r="O452">
        <v>4459</v>
      </c>
      <c r="P452" t="s">
        <v>1486</v>
      </c>
      <c r="Q452" t="s">
        <v>19</v>
      </c>
      <c r="R452">
        <v>4460</v>
      </c>
      <c r="S452" t="s">
        <v>1487</v>
      </c>
      <c r="T452" t="s">
        <v>19</v>
      </c>
      <c r="U452">
        <v>4463</v>
      </c>
      <c r="V452" t="s">
        <v>1488</v>
      </c>
      <c r="W452" t="s">
        <v>19</v>
      </c>
      <c r="X452">
        <v>4535</v>
      </c>
      <c r="Y452" t="s">
        <v>1493</v>
      </c>
      <c r="Z452" t="s">
        <v>19</v>
      </c>
      <c r="AA452">
        <v>4668</v>
      </c>
      <c r="AB452" t="s">
        <v>19</v>
      </c>
      <c r="AC452" t="s">
        <v>19</v>
      </c>
      <c r="AD452">
        <v>4669</v>
      </c>
      <c r="AE452" t="s">
        <v>1488</v>
      </c>
      <c r="AF452" t="s">
        <v>19</v>
      </c>
      <c r="AG452">
        <v>4672</v>
      </c>
      <c r="AH452" t="s">
        <v>19</v>
      </c>
      <c r="AI452" t="s">
        <v>19</v>
      </c>
      <c r="AJ452">
        <v>4692</v>
      </c>
      <c r="AK452" t="s">
        <v>1490</v>
      </c>
      <c r="AL452" t="s">
        <v>19</v>
      </c>
      <c r="AM452">
        <v>4696</v>
      </c>
      <c r="AN452" t="s">
        <v>1491</v>
      </c>
      <c r="AO452" t="s">
        <v>19</v>
      </c>
    </row>
    <row r="453" spans="1:41" x14ac:dyDescent="0.45">
      <c r="A453" t="s">
        <v>1265</v>
      </c>
      <c r="B453">
        <v>8</v>
      </c>
      <c r="C453" t="str">
        <f>HYPERLINK("http://www.ncbi.nlm.nih.gov/protein/XP_055010988.1","XP_055010988.1")</f>
        <v>XP_055010988.1</v>
      </c>
      <c r="D453">
        <v>52854</v>
      </c>
      <c r="E453" t="str">
        <f>HYPERLINK("http://www.ncbi.nlm.nih.gov/Taxonomy/Browser/wwwtax.cgi?mode=Info&amp;id=150288&amp;lvl=3&amp;lin=f&amp;keep=1&amp;srchmode=1&amp;unlock","150288")</f>
        <v>150288</v>
      </c>
      <c r="F453" t="s">
        <v>17</v>
      </c>
      <c r="G453" t="str">
        <f>HYPERLINK("http://www.ncbi.nlm.nih.gov/Taxonomy/Browser/wwwtax.cgi?mode=Info&amp;id=150288&amp;lvl=3&amp;lin=f&amp;keep=1&amp;srchmode=1&amp;unlock","Boleophthalmus pectinirostris")</f>
        <v>Boleophthalmus pectinirostris</v>
      </c>
      <c r="H453" t="s">
        <v>127</v>
      </c>
      <c r="I453" t="str">
        <f>HYPERLINK("http://www.ncbi.nlm.nih.gov/protein/XP_055010988.1","ryanodine receptor 3-like")</f>
        <v>ryanodine receptor 3-like</v>
      </c>
      <c r="J453" t="s">
        <v>1496</v>
      </c>
      <c r="K453" t="s">
        <v>19</v>
      </c>
      <c r="L453">
        <v>4443</v>
      </c>
      <c r="M453" t="s">
        <v>19</v>
      </c>
      <c r="N453" t="s">
        <v>19</v>
      </c>
      <c r="O453">
        <v>4446</v>
      </c>
      <c r="P453" t="s">
        <v>1486</v>
      </c>
      <c r="Q453" t="s">
        <v>19</v>
      </c>
      <c r="R453">
        <v>4447</v>
      </c>
      <c r="S453" t="s">
        <v>1487</v>
      </c>
      <c r="T453" t="s">
        <v>19</v>
      </c>
      <c r="U453">
        <v>4450</v>
      </c>
      <c r="V453" t="s">
        <v>1488</v>
      </c>
      <c r="W453" t="s">
        <v>19</v>
      </c>
      <c r="X453">
        <v>4521</v>
      </c>
      <c r="Y453" t="s">
        <v>1493</v>
      </c>
      <c r="Z453" t="s">
        <v>19</v>
      </c>
      <c r="AA453">
        <v>4654</v>
      </c>
      <c r="AB453" t="s">
        <v>19</v>
      </c>
      <c r="AC453" t="s">
        <v>19</v>
      </c>
      <c r="AD453">
        <v>4655</v>
      </c>
      <c r="AE453" t="s">
        <v>1488</v>
      </c>
      <c r="AF453" t="s">
        <v>19</v>
      </c>
      <c r="AG453">
        <v>4658</v>
      </c>
      <c r="AH453" t="s">
        <v>19</v>
      </c>
      <c r="AI453" t="s">
        <v>19</v>
      </c>
      <c r="AJ453">
        <v>4678</v>
      </c>
      <c r="AK453" t="s">
        <v>1490</v>
      </c>
      <c r="AL453" t="s">
        <v>19</v>
      </c>
      <c r="AM453">
        <v>4682</v>
      </c>
      <c r="AN453" t="s">
        <v>1491</v>
      </c>
      <c r="AO453" t="s">
        <v>19</v>
      </c>
    </row>
    <row r="454" spans="1:41" x14ac:dyDescent="0.45">
      <c r="A454" t="s">
        <v>1265</v>
      </c>
      <c r="B454">
        <v>8</v>
      </c>
      <c r="C454" t="str">
        <f>HYPERLINK("http://www.ncbi.nlm.nih.gov/protein/XP_042356289.1","XP_042356289.1")</f>
        <v>XP_042356289.1</v>
      </c>
      <c r="D454">
        <v>36414</v>
      </c>
      <c r="E454" t="str">
        <f>HYPERLINK("http://www.ncbi.nlm.nih.gov/Taxonomy/Browser/wwwtax.cgi?mode=Info&amp;id=160734&amp;lvl=3&amp;lin=f&amp;keep=1&amp;srchmode=1&amp;unlock","160734")</f>
        <v>160734</v>
      </c>
      <c r="F454" t="s">
        <v>17</v>
      </c>
      <c r="G454" t="str">
        <f>HYPERLINK("http://www.ncbi.nlm.nih.gov/Taxonomy/Browser/wwwtax.cgi?mode=Info&amp;id=160734&amp;lvl=3&amp;lin=f&amp;keep=1&amp;srchmode=1&amp;unlock","Plectropomus leopardus")</f>
        <v>Plectropomus leopardus</v>
      </c>
      <c r="H454" t="s">
        <v>391</v>
      </c>
      <c r="I454" t="str">
        <f>HYPERLINK("http://www.ncbi.nlm.nih.gov/protein/XP_042356289.1","ryanodine receptor 3-like")</f>
        <v>ryanodine receptor 3-like</v>
      </c>
      <c r="J454" t="s">
        <v>1496</v>
      </c>
      <c r="K454" t="s">
        <v>19</v>
      </c>
      <c r="L454">
        <v>4351</v>
      </c>
      <c r="M454" t="s">
        <v>19</v>
      </c>
      <c r="N454" t="s">
        <v>19</v>
      </c>
      <c r="O454">
        <v>4354</v>
      </c>
      <c r="P454" t="s">
        <v>1486</v>
      </c>
      <c r="Q454" t="s">
        <v>19</v>
      </c>
      <c r="R454">
        <v>4355</v>
      </c>
      <c r="S454" t="s">
        <v>1487</v>
      </c>
      <c r="T454" t="s">
        <v>19</v>
      </c>
      <c r="U454">
        <v>4358</v>
      </c>
      <c r="V454" t="s">
        <v>1488</v>
      </c>
      <c r="W454" t="s">
        <v>19</v>
      </c>
      <c r="X454">
        <v>4430</v>
      </c>
      <c r="Y454" t="s">
        <v>1493</v>
      </c>
      <c r="Z454" t="s">
        <v>19</v>
      </c>
      <c r="AA454">
        <v>4563</v>
      </c>
      <c r="AB454" t="s">
        <v>19</v>
      </c>
      <c r="AC454" t="s">
        <v>19</v>
      </c>
      <c r="AD454">
        <v>4564</v>
      </c>
      <c r="AE454" t="s">
        <v>1488</v>
      </c>
      <c r="AF454" t="s">
        <v>19</v>
      </c>
      <c r="AG454">
        <v>4567</v>
      </c>
      <c r="AH454" t="s">
        <v>19</v>
      </c>
      <c r="AI454" t="s">
        <v>19</v>
      </c>
      <c r="AJ454">
        <v>4587</v>
      </c>
      <c r="AK454" t="s">
        <v>1490</v>
      </c>
      <c r="AL454" t="s">
        <v>19</v>
      </c>
      <c r="AM454">
        <v>4591</v>
      </c>
      <c r="AN454" t="s">
        <v>1491</v>
      </c>
      <c r="AO454" t="s">
        <v>19</v>
      </c>
    </row>
    <row r="455" spans="1:41" x14ac:dyDescent="0.45">
      <c r="A455" t="s">
        <v>1265</v>
      </c>
      <c r="B455">
        <v>8</v>
      </c>
      <c r="C455" t="str">
        <f>HYPERLINK("http://www.ncbi.nlm.nih.gov/protein/XP_056282727.1","XP_056282727.1")</f>
        <v>XP_056282727.1</v>
      </c>
      <c r="D455">
        <v>39439</v>
      </c>
      <c r="E455" t="str">
        <f>HYPERLINK("http://www.ncbi.nlm.nih.gov/Taxonomy/Browser/wwwtax.cgi?mode=Info&amp;id=2059687&amp;lvl=3&amp;lin=f&amp;keep=1&amp;srchmode=1&amp;unlock","2059687")</f>
        <v>2059687</v>
      </c>
      <c r="F455" t="s">
        <v>17</v>
      </c>
      <c r="G455" t="str">
        <f>HYPERLINK("http://www.ncbi.nlm.nih.gov/Taxonomy/Browser/wwwtax.cgi?mode=Info&amp;id=2059687&amp;lvl=3&amp;lin=f&amp;keep=1&amp;srchmode=1&amp;unlock","Pseudoliparis swirei")</f>
        <v>Pseudoliparis swirei</v>
      </c>
      <c r="H455" t="s">
        <v>152</v>
      </c>
      <c r="I455" t="str">
        <f>HYPERLINK("http://www.ncbi.nlm.nih.gov/protein/XP_056282727.1","LOW QUALITY PROTEIN: ryanodine receptor 3-like")</f>
        <v>LOW QUALITY PROTEIN: ryanodine receptor 3-like</v>
      </c>
      <c r="J455" t="s">
        <v>1496</v>
      </c>
      <c r="K455" t="s">
        <v>19</v>
      </c>
      <c r="L455">
        <v>4445</v>
      </c>
      <c r="M455" t="s">
        <v>19</v>
      </c>
      <c r="N455" t="s">
        <v>19</v>
      </c>
      <c r="O455">
        <v>4448</v>
      </c>
      <c r="P455" t="s">
        <v>1486</v>
      </c>
      <c r="Q455" t="s">
        <v>19</v>
      </c>
      <c r="R455">
        <v>4449</v>
      </c>
      <c r="S455" t="s">
        <v>1487</v>
      </c>
      <c r="T455" t="s">
        <v>19</v>
      </c>
      <c r="U455">
        <v>4452</v>
      </c>
      <c r="V455" t="s">
        <v>1488</v>
      </c>
      <c r="W455" t="s">
        <v>19</v>
      </c>
      <c r="X455">
        <v>4526</v>
      </c>
      <c r="Y455" t="s">
        <v>1493</v>
      </c>
      <c r="Z455" t="s">
        <v>19</v>
      </c>
      <c r="AA455">
        <v>4659</v>
      </c>
      <c r="AB455" t="s">
        <v>19</v>
      </c>
      <c r="AC455" t="s">
        <v>19</v>
      </c>
      <c r="AD455">
        <v>4660</v>
      </c>
      <c r="AE455" t="s">
        <v>1488</v>
      </c>
      <c r="AF455" t="s">
        <v>19</v>
      </c>
      <c r="AG455">
        <v>4663</v>
      </c>
      <c r="AH455" t="s">
        <v>19</v>
      </c>
      <c r="AI455" t="s">
        <v>19</v>
      </c>
      <c r="AJ455">
        <v>4683</v>
      </c>
      <c r="AK455" t="s">
        <v>1490</v>
      </c>
      <c r="AL455" t="s">
        <v>19</v>
      </c>
      <c r="AM455">
        <v>4687</v>
      </c>
      <c r="AN455" t="s">
        <v>1491</v>
      </c>
      <c r="AO455" t="s">
        <v>19</v>
      </c>
    </row>
    <row r="456" spans="1:41" x14ac:dyDescent="0.45">
      <c r="A456" t="s">
        <v>1265</v>
      </c>
      <c r="B456">
        <v>8</v>
      </c>
      <c r="C456" t="str">
        <f>HYPERLINK("http://www.ncbi.nlm.nih.gov/protein/XP_029132484.1","XP_029132484.1")</f>
        <v>XP_029132484.1</v>
      </c>
      <c r="D456">
        <v>36766</v>
      </c>
      <c r="E456" t="str">
        <f>HYPERLINK("http://www.ncbi.nlm.nih.gov/Taxonomy/Browser/wwwtax.cgi?mode=Info&amp;id=56723&amp;lvl=3&amp;lin=f&amp;keep=1&amp;srchmode=1&amp;unlock","56723")</f>
        <v>56723</v>
      </c>
      <c r="F456" t="s">
        <v>17</v>
      </c>
      <c r="G456" t="str">
        <f>HYPERLINK("http://www.ncbi.nlm.nih.gov/Taxonomy/Browser/wwwtax.cgi?mode=Info&amp;id=56723&amp;lvl=3&amp;lin=f&amp;keep=1&amp;srchmode=1&amp;unlock","Labrus bergylta")</f>
        <v>Labrus bergylta</v>
      </c>
      <c r="H456" t="s">
        <v>103</v>
      </c>
      <c r="I456" t="str">
        <f>HYPERLINK("http://www.ncbi.nlm.nih.gov/protein/XP_029132484.1","LOW QUALITY PROTEIN: ryanodine receptor 3-like")</f>
        <v>LOW QUALITY PROTEIN: ryanodine receptor 3-like</v>
      </c>
      <c r="J456" t="s">
        <v>1496</v>
      </c>
      <c r="K456" t="s">
        <v>19</v>
      </c>
      <c r="L456">
        <v>4394</v>
      </c>
      <c r="M456" t="s">
        <v>19</v>
      </c>
      <c r="N456" t="s">
        <v>19</v>
      </c>
      <c r="O456">
        <v>4397</v>
      </c>
      <c r="P456" t="s">
        <v>1486</v>
      </c>
      <c r="Q456" t="s">
        <v>19</v>
      </c>
      <c r="R456">
        <v>4398</v>
      </c>
      <c r="S456" t="s">
        <v>1487</v>
      </c>
      <c r="T456" t="s">
        <v>19</v>
      </c>
      <c r="U456">
        <v>4401</v>
      </c>
      <c r="V456" t="s">
        <v>1488</v>
      </c>
      <c r="W456" t="s">
        <v>19</v>
      </c>
      <c r="X456">
        <v>4476</v>
      </c>
      <c r="Y456" t="s">
        <v>1493</v>
      </c>
      <c r="Z456" t="s">
        <v>19</v>
      </c>
      <c r="AA456">
        <v>4609</v>
      </c>
      <c r="AB456" t="s">
        <v>19</v>
      </c>
      <c r="AC456" t="s">
        <v>19</v>
      </c>
      <c r="AD456">
        <v>4610</v>
      </c>
      <c r="AE456" t="s">
        <v>1488</v>
      </c>
      <c r="AF456" t="s">
        <v>19</v>
      </c>
      <c r="AG456">
        <v>4613</v>
      </c>
      <c r="AH456" t="s">
        <v>19</v>
      </c>
      <c r="AI456" t="s">
        <v>19</v>
      </c>
      <c r="AJ456">
        <v>4633</v>
      </c>
      <c r="AK456" t="s">
        <v>1490</v>
      </c>
      <c r="AL456" t="s">
        <v>19</v>
      </c>
      <c r="AM456">
        <v>4637</v>
      </c>
      <c r="AN456" t="s">
        <v>1491</v>
      </c>
      <c r="AO456" t="s">
        <v>19</v>
      </c>
    </row>
    <row r="457" spans="1:41" x14ac:dyDescent="0.45">
      <c r="A457" t="s">
        <v>1265</v>
      </c>
      <c r="B457">
        <v>8</v>
      </c>
      <c r="C457" t="str">
        <f>HYPERLINK("http://www.ncbi.nlm.nih.gov/protein/XP_030575089.1","XP_030575089.1")</f>
        <v>XP_030575089.1</v>
      </c>
      <c r="D457">
        <v>41125</v>
      </c>
      <c r="E457" t="str">
        <f>HYPERLINK("http://www.ncbi.nlm.nih.gov/Taxonomy/Browser/wwwtax.cgi?mode=Info&amp;id=63155&amp;lvl=3&amp;lin=f&amp;keep=1&amp;srchmode=1&amp;unlock","63155")</f>
        <v>63155</v>
      </c>
      <c r="F457" t="s">
        <v>17</v>
      </c>
      <c r="G457" t="str">
        <f>HYPERLINK("http://www.ncbi.nlm.nih.gov/Taxonomy/Browser/wwwtax.cgi?mode=Info&amp;id=63155&amp;lvl=3&amp;lin=f&amp;keep=1&amp;srchmode=1&amp;unlock","Archocentrus centrarchus")</f>
        <v>Archocentrus centrarchus</v>
      </c>
      <c r="H457" t="s">
        <v>144</v>
      </c>
      <c r="I457" t="str">
        <f>HYPERLINK("http://www.ncbi.nlm.nih.gov/protein/XP_030575089.1","ryanodine receptor 3-like")</f>
        <v>ryanodine receptor 3-like</v>
      </c>
      <c r="J457" t="s">
        <v>1496</v>
      </c>
      <c r="K457" t="s">
        <v>19</v>
      </c>
      <c r="L457">
        <v>4328</v>
      </c>
      <c r="M457" t="s">
        <v>19</v>
      </c>
      <c r="N457" t="s">
        <v>19</v>
      </c>
      <c r="O457">
        <v>4331</v>
      </c>
      <c r="P457" t="s">
        <v>1486</v>
      </c>
      <c r="Q457" t="s">
        <v>19</v>
      </c>
      <c r="R457">
        <v>4332</v>
      </c>
      <c r="S457" t="s">
        <v>1487</v>
      </c>
      <c r="T457" t="s">
        <v>19</v>
      </c>
      <c r="U457">
        <v>4335</v>
      </c>
      <c r="V457" t="s">
        <v>1488</v>
      </c>
      <c r="W457" t="s">
        <v>19</v>
      </c>
      <c r="X457">
        <v>4406</v>
      </c>
      <c r="Y457" t="s">
        <v>1493</v>
      </c>
      <c r="Z457" t="s">
        <v>19</v>
      </c>
      <c r="AA457">
        <v>4539</v>
      </c>
      <c r="AB457" t="s">
        <v>19</v>
      </c>
      <c r="AC457" t="s">
        <v>19</v>
      </c>
      <c r="AD457">
        <v>4540</v>
      </c>
      <c r="AE457" t="s">
        <v>1488</v>
      </c>
      <c r="AF457" t="s">
        <v>19</v>
      </c>
      <c r="AG457">
        <v>4543</v>
      </c>
      <c r="AH457" t="s">
        <v>19</v>
      </c>
      <c r="AI457" t="s">
        <v>19</v>
      </c>
      <c r="AJ457">
        <v>4563</v>
      </c>
      <c r="AK457" t="s">
        <v>1490</v>
      </c>
      <c r="AL457" t="s">
        <v>19</v>
      </c>
      <c r="AM457">
        <v>4567</v>
      </c>
      <c r="AN457" t="s">
        <v>1491</v>
      </c>
      <c r="AO457" t="s">
        <v>19</v>
      </c>
    </row>
    <row r="458" spans="1:41" x14ac:dyDescent="0.45">
      <c r="A458" t="s">
        <v>1265</v>
      </c>
      <c r="B458">
        <v>8</v>
      </c>
      <c r="C458" t="str">
        <f>HYPERLINK("http://www.ncbi.nlm.nih.gov/protein/XP_030212394.1","XP_030212394.1")</f>
        <v>XP_030212394.1</v>
      </c>
      <c r="D458">
        <v>47359</v>
      </c>
      <c r="E458" t="str">
        <f>HYPERLINK("http://www.ncbi.nlm.nih.gov/Taxonomy/Browser/wwwtax.cgi?mode=Info&amp;id=8049&amp;lvl=3&amp;lin=f&amp;keep=1&amp;srchmode=1&amp;unlock","8049")</f>
        <v>8049</v>
      </c>
      <c r="F458" t="s">
        <v>17</v>
      </c>
      <c r="G458" t="str">
        <f>HYPERLINK("http://www.ncbi.nlm.nih.gov/Taxonomy/Browser/wwwtax.cgi?mode=Info&amp;id=8049&amp;lvl=3&amp;lin=f&amp;keep=1&amp;srchmode=1&amp;unlock","Gadus morhua")</f>
        <v>Gadus morhua</v>
      </c>
      <c r="H458" t="s">
        <v>165</v>
      </c>
      <c r="I458" t="str">
        <f>HYPERLINK("http://www.ncbi.nlm.nih.gov/protein/XP_030212394.1","LOW QUALITY PROTEIN: ryanodine receptor 3-like")</f>
        <v>LOW QUALITY PROTEIN: ryanodine receptor 3-like</v>
      </c>
      <c r="J458" t="s">
        <v>1496</v>
      </c>
      <c r="K458" t="s">
        <v>19</v>
      </c>
      <c r="L458">
        <v>4443</v>
      </c>
      <c r="M458" t="s">
        <v>19</v>
      </c>
      <c r="N458" t="s">
        <v>19</v>
      </c>
      <c r="O458">
        <v>4446</v>
      </c>
      <c r="P458" t="s">
        <v>1486</v>
      </c>
      <c r="Q458" t="s">
        <v>19</v>
      </c>
      <c r="R458">
        <v>4447</v>
      </c>
      <c r="S458" t="s">
        <v>1487</v>
      </c>
      <c r="T458" t="s">
        <v>19</v>
      </c>
      <c r="U458">
        <v>4450</v>
      </c>
      <c r="V458" t="s">
        <v>1488</v>
      </c>
      <c r="W458" t="s">
        <v>19</v>
      </c>
      <c r="X458">
        <v>4522</v>
      </c>
      <c r="Y458" t="s">
        <v>1493</v>
      </c>
      <c r="Z458" t="s">
        <v>19</v>
      </c>
      <c r="AA458">
        <v>4655</v>
      </c>
      <c r="AB458" t="s">
        <v>19</v>
      </c>
      <c r="AC458" t="s">
        <v>19</v>
      </c>
      <c r="AD458">
        <v>4656</v>
      </c>
      <c r="AE458" t="s">
        <v>1488</v>
      </c>
      <c r="AF458" t="s">
        <v>19</v>
      </c>
      <c r="AG458">
        <v>4659</v>
      </c>
      <c r="AH458" t="s">
        <v>19</v>
      </c>
      <c r="AI458" t="s">
        <v>19</v>
      </c>
      <c r="AJ458">
        <v>4679</v>
      </c>
      <c r="AK458" t="s">
        <v>1490</v>
      </c>
      <c r="AL458" t="s">
        <v>19</v>
      </c>
      <c r="AM458">
        <v>4683</v>
      </c>
      <c r="AN458" t="s">
        <v>1491</v>
      </c>
      <c r="AO458" t="s">
        <v>19</v>
      </c>
    </row>
    <row r="459" spans="1:41" x14ac:dyDescent="0.45">
      <c r="A459" t="s">
        <v>1265</v>
      </c>
      <c r="B459">
        <v>8</v>
      </c>
      <c r="C459" t="str">
        <f>HYPERLINK("http://www.ncbi.nlm.nih.gov/protein/XP_040915884.1","XP_040915884.1")</f>
        <v>XP_040915884.1</v>
      </c>
      <c r="D459">
        <v>38459</v>
      </c>
      <c r="E459" t="str">
        <f>HYPERLINK("http://www.ncbi.nlm.nih.gov/Taxonomy/Browser/wwwtax.cgi?mode=Info&amp;id=941984&amp;lvl=3&amp;lin=f&amp;keep=1&amp;srchmode=1&amp;unlock","941984")</f>
        <v>941984</v>
      </c>
      <c r="F459" t="s">
        <v>17</v>
      </c>
      <c r="G459" t="str">
        <f>HYPERLINK("http://www.ncbi.nlm.nih.gov/Taxonomy/Browser/wwwtax.cgi?mode=Info&amp;id=941984&amp;lvl=3&amp;lin=f&amp;keep=1&amp;srchmode=1&amp;unlock","Toxotes jaculatrix")</f>
        <v>Toxotes jaculatrix</v>
      </c>
      <c r="H459" t="s">
        <v>78</v>
      </c>
      <c r="I459" t="str">
        <f>HYPERLINK("http://www.ncbi.nlm.nih.gov/protein/XP_040915884.1","LOW QUALITY PROTEIN: ryanodine receptor 3-like")</f>
        <v>LOW QUALITY PROTEIN: ryanodine receptor 3-like</v>
      </c>
      <c r="J459" t="s">
        <v>1496</v>
      </c>
      <c r="K459" t="s">
        <v>19</v>
      </c>
      <c r="L459">
        <v>4337</v>
      </c>
      <c r="M459" t="s">
        <v>19</v>
      </c>
      <c r="N459" t="s">
        <v>19</v>
      </c>
      <c r="O459">
        <v>4340</v>
      </c>
      <c r="P459" t="s">
        <v>1486</v>
      </c>
      <c r="Q459" t="s">
        <v>19</v>
      </c>
      <c r="R459">
        <v>4341</v>
      </c>
      <c r="S459" t="s">
        <v>1487</v>
      </c>
      <c r="T459" t="s">
        <v>19</v>
      </c>
      <c r="U459">
        <v>4344</v>
      </c>
      <c r="V459" t="s">
        <v>1488</v>
      </c>
      <c r="W459" t="s">
        <v>19</v>
      </c>
      <c r="X459">
        <v>4426</v>
      </c>
      <c r="Y459" t="s">
        <v>1493</v>
      </c>
      <c r="Z459" t="s">
        <v>19</v>
      </c>
      <c r="AA459">
        <v>4559</v>
      </c>
      <c r="AB459" t="s">
        <v>19</v>
      </c>
      <c r="AC459" t="s">
        <v>19</v>
      </c>
      <c r="AD459">
        <v>4560</v>
      </c>
      <c r="AE459" t="s">
        <v>1488</v>
      </c>
      <c r="AF459" t="s">
        <v>19</v>
      </c>
      <c r="AG459">
        <v>4563</v>
      </c>
      <c r="AH459" t="s">
        <v>19</v>
      </c>
      <c r="AI459" t="s">
        <v>19</v>
      </c>
      <c r="AJ459">
        <v>4583</v>
      </c>
      <c r="AK459" t="s">
        <v>1490</v>
      </c>
      <c r="AL459" t="s">
        <v>19</v>
      </c>
      <c r="AM459">
        <v>4587</v>
      </c>
      <c r="AN459" t="s">
        <v>1491</v>
      </c>
      <c r="AO459" t="s">
        <v>19</v>
      </c>
    </row>
    <row r="460" spans="1:41" x14ac:dyDescent="0.45">
      <c r="A460" t="s">
        <v>1265</v>
      </c>
      <c r="B460">
        <v>8</v>
      </c>
      <c r="C460" t="str">
        <f>HYPERLINK("http://www.ncbi.nlm.nih.gov/protein/XP_038147310.1","XP_038147310.1")</f>
        <v>XP_038147310.1</v>
      </c>
      <c r="D460">
        <v>42402</v>
      </c>
      <c r="E460" t="str">
        <f>HYPERLINK("http://www.ncbi.nlm.nih.gov/Taxonomy/Browser/wwwtax.cgi?mode=Info&amp;id=77115&amp;lvl=3&amp;lin=f&amp;keep=1&amp;srchmode=1&amp;unlock","77115")</f>
        <v>77115</v>
      </c>
      <c r="F460" t="s">
        <v>17</v>
      </c>
      <c r="G460" t="str">
        <f>HYPERLINK("http://www.ncbi.nlm.nih.gov/Taxonomy/Browser/wwwtax.cgi?mode=Info&amp;id=77115&amp;lvl=3&amp;lin=f&amp;keep=1&amp;srchmode=1&amp;unlock","Cyprinodon tularosa")</f>
        <v>Cyprinodon tularosa</v>
      </c>
      <c r="H460" t="s">
        <v>125</v>
      </c>
      <c r="I460" t="str">
        <f>HYPERLINK("http://www.ncbi.nlm.nih.gov/protein/XP_038147310.1","ryanodine receptor 3-like")</f>
        <v>ryanodine receptor 3-like</v>
      </c>
      <c r="J460" t="s">
        <v>1496</v>
      </c>
      <c r="K460" t="s">
        <v>19</v>
      </c>
      <c r="L460">
        <v>4411</v>
      </c>
      <c r="M460" t="s">
        <v>19</v>
      </c>
      <c r="N460" t="s">
        <v>19</v>
      </c>
      <c r="O460">
        <v>4414</v>
      </c>
      <c r="P460" t="s">
        <v>1486</v>
      </c>
      <c r="Q460" t="s">
        <v>19</v>
      </c>
      <c r="R460">
        <v>4415</v>
      </c>
      <c r="S460" t="s">
        <v>1487</v>
      </c>
      <c r="T460" t="s">
        <v>19</v>
      </c>
      <c r="U460">
        <v>4418</v>
      </c>
      <c r="V460" t="s">
        <v>1488</v>
      </c>
      <c r="W460" t="s">
        <v>19</v>
      </c>
      <c r="X460">
        <v>4489</v>
      </c>
      <c r="Y460" t="s">
        <v>1493</v>
      </c>
      <c r="Z460" t="s">
        <v>19</v>
      </c>
      <c r="AA460">
        <v>4622</v>
      </c>
      <c r="AB460" t="s">
        <v>19</v>
      </c>
      <c r="AC460" t="s">
        <v>19</v>
      </c>
      <c r="AD460">
        <v>4623</v>
      </c>
      <c r="AE460" t="s">
        <v>1488</v>
      </c>
      <c r="AF460" t="s">
        <v>19</v>
      </c>
      <c r="AG460">
        <v>4626</v>
      </c>
      <c r="AH460" t="s">
        <v>19</v>
      </c>
      <c r="AI460" t="s">
        <v>19</v>
      </c>
      <c r="AJ460">
        <v>4646</v>
      </c>
      <c r="AK460" t="s">
        <v>1490</v>
      </c>
      <c r="AL460" t="s">
        <v>19</v>
      </c>
      <c r="AM460">
        <v>4650</v>
      </c>
      <c r="AN460" t="s">
        <v>1491</v>
      </c>
      <c r="AO460" t="s">
        <v>19</v>
      </c>
    </row>
    <row r="461" spans="1:41" x14ac:dyDescent="0.45">
      <c r="A461" t="s">
        <v>1265</v>
      </c>
      <c r="B461">
        <v>8</v>
      </c>
      <c r="C461" t="str">
        <f>HYPERLINK("http://www.ncbi.nlm.nih.gov/protein/XP_041668354.1","XP_041668354.1")</f>
        <v>XP_041668354.1</v>
      </c>
      <c r="D461">
        <v>40157</v>
      </c>
      <c r="E461" t="str">
        <f>HYPERLINK("http://www.ncbi.nlm.nih.gov/Taxonomy/Browser/wwwtax.cgi?mode=Info&amp;id=241271&amp;lvl=3&amp;lin=f&amp;keep=1&amp;srchmode=1&amp;unlock","241271")</f>
        <v>241271</v>
      </c>
      <c r="F461" t="s">
        <v>17</v>
      </c>
      <c r="G461" t="str">
        <f>HYPERLINK("http://www.ncbi.nlm.nih.gov/Taxonomy/Browser/wwwtax.cgi?mode=Info&amp;id=241271&amp;lvl=3&amp;lin=f&amp;keep=1&amp;srchmode=1&amp;unlock","Cheilinus undulatus")</f>
        <v>Cheilinus undulatus</v>
      </c>
      <c r="H461" t="s">
        <v>686</v>
      </c>
      <c r="I461" t="str">
        <f>HYPERLINK("http://www.ncbi.nlm.nih.gov/protein/XP_041668354.1","LOW QUALITY PROTEIN: ryanodine receptor 3-like")</f>
        <v>LOW QUALITY PROTEIN: ryanodine receptor 3-like</v>
      </c>
      <c r="J461" t="s">
        <v>1496</v>
      </c>
      <c r="K461" t="s">
        <v>19</v>
      </c>
      <c r="L461">
        <v>4358</v>
      </c>
      <c r="M461" t="s">
        <v>19</v>
      </c>
      <c r="N461" t="s">
        <v>19</v>
      </c>
      <c r="O461">
        <v>4361</v>
      </c>
      <c r="P461" t="s">
        <v>1486</v>
      </c>
      <c r="Q461" t="s">
        <v>19</v>
      </c>
      <c r="R461">
        <v>4362</v>
      </c>
      <c r="S461" t="s">
        <v>1487</v>
      </c>
      <c r="T461" t="s">
        <v>19</v>
      </c>
      <c r="U461">
        <v>4365</v>
      </c>
      <c r="V461" t="s">
        <v>1488</v>
      </c>
      <c r="W461" t="s">
        <v>19</v>
      </c>
      <c r="X461">
        <v>4448</v>
      </c>
      <c r="Y461" t="s">
        <v>1493</v>
      </c>
      <c r="Z461" t="s">
        <v>19</v>
      </c>
      <c r="AA461">
        <v>4581</v>
      </c>
      <c r="AB461" t="s">
        <v>19</v>
      </c>
      <c r="AC461" t="s">
        <v>19</v>
      </c>
      <c r="AD461">
        <v>4582</v>
      </c>
      <c r="AE461" t="s">
        <v>1488</v>
      </c>
      <c r="AF461" t="s">
        <v>19</v>
      </c>
      <c r="AG461">
        <v>4585</v>
      </c>
      <c r="AH461" t="s">
        <v>19</v>
      </c>
      <c r="AI461" t="s">
        <v>19</v>
      </c>
      <c r="AJ461">
        <v>4605</v>
      </c>
      <c r="AK461" t="s">
        <v>1490</v>
      </c>
      <c r="AL461" t="s">
        <v>19</v>
      </c>
      <c r="AM461">
        <v>4609</v>
      </c>
      <c r="AN461" t="s">
        <v>1491</v>
      </c>
      <c r="AO461" t="s">
        <v>19</v>
      </c>
    </row>
    <row r="462" spans="1:41" x14ac:dyDescent="0.45">
      <c r="A462" t="s">
        <v>1265</v>
      </c>
      <c r="B462">
        <v>8</v>
      </c>
      <c r="C462" t="str">
        <f>HYPERLINK("http://www.ncbi.nlm.nih.gov/protein/XP_057715469.1","XP_057715469.1")</f>
        <v>XP_057715469.1</v>
      </c>
      <c r="D462">
        <v>44748</v>
      </c>
      <c r="E462" t="str">
        <f>HYPERLINK("http://www.ncbi.nlm.nih.gov/Taxonomy/Browser/wwwtax.cgi?mode=Info&amp;id=161448&amp;lvl=3&amp;lin=f&amp;keep=1&amp;srchmode=1&amp;unlock","161448")</f>
        <v>161448</v>
      </c>
      <c r="F462" t="s">
        <v>17</v>
      </c>
      <c r="G462" t="str">
        <f>HYPERLINK("http://www.ncbi.nlm.nih.gov/Taxonomy/Browser/wwwtax.cgi?mode=Info&amp;id=161448&amp;lvl=3&amp;lin=f&amp;keep=1&amp;srchmode=1&amp;unlock","Corythoichthys intestinalis")</f>
        <v>Corythoichthys intestinalis</v>
      </c>
      <c r="H462" t="s">
        <v>111</v>
      </c>
      <c r="I462" t="str">
        <f>HYPERLINK("http://www.ncbi.nlm.nih.gov/protein/XP_057715469.1","ryanodine receptor 3-like isoform X4")</f>
        <v>ryanodine receptor 3-like isoform X4</v>
      </c>
      <c r="J462" t="s">
        <v>1496</v>
      </c>
      <c r="K462" t="s">
        <v>19</v>
      </c>
      <c r="L462">
        <v>4433</v>
      </c>
      <c r="M462" t="s">
        <v>19</v>
      </c>
      <c r="N462" t="s">
        <v>19</v>
      </c>
      <c r="O462">
        <v>4436</v>
      </c>
      <c r="P462" t="s">
        <v>1486</v>
      </c>
      <c r="Q462" t="s">
        <v>19</v>
      </c>
      <c r="R462">
        <v>4437</v>
      </c>
      <c r="S462" t="s">
        <v>1487</v>
      </c>
      <c r="T462" t="s">
        <v>19</v>
      </c>
      <c r="U462">
        <v>4440</v>
      </c>
      <c r="V462" t="s">
        <v>1488</v>
      </c>
      <c r="W462" t="s">
        <v>19</v>
      </c>
      <c r="X462">
        <v>4512</v>
      </c>
      <c r="Y462" t="s">
        <v>1493</v>
      </c>
      <c r="Z462" t="s">
        <v>19</v>
      </c>
      <c r="AA462">
        <v>4645</v>
      </c>
      <c r="AB462" t="s">
        <v>19</v>
      </c>
      <c r="AC462" t="s">
        <v>19</v>
      </c>
      <c r="AD462">
        <v>4646</v>
      </c>
      <c r="AE462" t="s">
        <v>1488</v>
      </c>
      <c r="AF462" t="s">
        <v>19</v>
      </c>
      <c r="AG462">
        <v>4649</v>
      </c>
      <c r="AH462" t="s">
        <v>19</v>
      </c>
      <c r="AI462" t="s">
        <v>19</v>
      </c>
      <c r="AJ462">
        <v>4669</v>
      </c>
      <c r="AK462" t="s">
        <v>1490</v>
      </c>
      <c r="AL462" t="s">
        <v>19</v>
      </c>
      <c r="AM462">
        <v>4673</v>
      </c>
      <c r="AN462" t="s">
        <v>1491</v>
      </c>
      <c r="AO462" t="s">
        <v>19</v>
      </c>
    </row>
    <row r="463" spans="1:41" x14ac:dyDescent="0.45">
      <c r="A463" t="s">
        <v>1265</v>
      </c>
      <c r="B463">
        <v>8</v>
      </c>
      <c r="C463" t="str">
        <f>HYPERLINK("http://www.ncbi.nlm.nih.gov/protein/XP_041827859.1","XP_041827859.1")</f>
        <v>XP_041827859.1</v>
      </c>
      <c r="D463">
        <v>45815</v>
      </c>
      <c r="E463" t="str">
        <f>HYPERLINK("http://www.ncbi.nlm.nih.gov/Taxonomy/Browser/wwwtax.cgi?mode=Info&amp;id=1250792&amp;lvl=3&amp;lin=f&amp;keep=1&amp;srchmode=1&amp;unlock","1250792")</f>
        <v>1250792</v>
      </c>
      <c r="F463" t="s">
        <v>17</v>
      </c>
      <c r="G463" t="str">
        <f>HYPERLINK("http://www.ncbi.nlm.nih.gov/Taxonomy/Browser/wwwtax.cgi?mode=Info&amp;id=1250792&amp;lvl=3&amp;lin=f&amp;keep=1&amp;srchmode=1&amp;unlock","Melanotaenia boesemani")</f>
        <v>Melanotaenia boesemani</v>
      </c>
      <c r="H463" t="s">
        <v>151</v>
      </c>
      <c r="I463" t="str">
        <f>HYPERLINK("http://www.ncbi.nlm.nih.gov/protein/XP_041827859.1","LOW QUALITY PROTEIN: ryanodine receptor 3-like")</f>
        <v>LOW QUALITY PROTEIN: ryanodine receptor 3-like</v>
      </c>
      <c r="J463" t="s">
        <v>1496</v>
      </c>
      <c r="K463" t="s">
        <v>19</v>
      </c>
      <c r="L463">
        <v>4343</v>
      </c>
      <c r="M463" t="s">
        <v>19</v>
      </c>
      <c r="N463" t="s">
        <v>19</v>
      </c>
      <c r="O463">
        <v>4346</v>
      </c>
      <c r="P463" t="s">
        <v>1486</v>
      </c>
      <c r="Q463" t="s">
        <v>19</v>
      </c>
      <c r="R463">
        <v>4347</v>
      </c>
      <c r="S463" t="s">
        <v>1487</v>
      </c>
      <c r="T463" t="s">
        <v>19</v>
      </c>
      <c r="U463">
        <v>4350</v>
      </c>
      <c r="V463" t="s">
        <v>1488</v>
      </c>
      <c r="W463" t="s">
        <v>19</v>
      </c>
      <c r="X463">
        <v>4430</v>
      </c>
      <c r="Y463" t="s">
        <v>1493</v>
      </c>
      <c r="Z463" t="s">
        <v>19</v>
      </c>
      <c r="AA463">
        <v>4563</v>
      </c>
      <c r="AB463" t="s">
        <v>19</v>
      </c>
      <c r="AC463" t="s">
        <v>19</v>
      </c>
      <c r="AD463">
        <v>4564</v>
      </c>
      <c r="AE463" t="s">
        <v>1488</v>
      </c>
      <c r="AF463" t="s">
        <v>19</v>
      </c>
      <c r="AG463">
        <v>4567</v>
      </c>
      <c r="AH463" t="s">
        <v>19</v>
      </c>
      <c r="AI463" t="s">
        <v>19</v>
      </c>
      <c r="AJ463">
        <v>4587</v>
      </c>
      <c r="AK463" t="s">
        <v>1490</v>
      </c>
      <c r="AL463" t="s">
        <v>19</v>
      </c>
      <c r="AM463">
        <v>4591</v>
      </c>
      <c r="AN463" t="s">
        <v>1491</v>
      </c>
      <c r="AO463" t="s">
        <v>19</v>
      </c>
    </row>
    <row r="464" spans="1:41" x14ac:dyDescent="0.45">
      <c r="A464" t="s">
        <v>1265</v>
      </c>
      <c r="B464">
        <v>8</v>
      </c>
      <c r="C464" t="str">
        <f>HYPERLINK("http://www.ncbi.nlm.nih.gov/protein/XP_061157949.1","XP_061157949.1")</f>
        <v>XP_061157949.1</v>
      </c>
      <c r="D464">
        <v>41143</v>
      </c>
      <c r="E464" t="str">
        <f>HYPERLINK("http://www.ncbi.nlm.nih.gov/Taxonomy/Browser/wwwtax.cgi?mode=Info&amp;id=161592&amp;lvl=3&amp;lin=f&amp;keep=1&amp;srchmode=1&amp;unlock","161592")</f>
        <v>161592</v>
      </c>
      <c r="F464" t="s">
        <v>17</v>
      </c>
      <c r="G464" t="str">
        <f>HYPERLINK("http://www.ncbi.nlm.nih.gov/Taxonomy/Browser/wwwtax.cgi?mode=Info&amp;id=161592&amp;lvl=3&amp;lin=f&amp;keep=1&amp;srchmode=1&amp;unlock","Syngnathus typhle")</f>
        <v>Syngnathus typhle</v>
      </c>
      <c r="H464" t="s">
        <v>143</v>
      </c>
      <c r="I464" t="str">
        <f>HYPERLINK("http://www.ncbi.nlm.nih.gov/protein/XP_061157949.1","LOW QUALITY PROTEIN: ryanodine receptor 3-like")</f>
        <v>LOW QUALITY PROTEIN: ryanodine receptor 3-like</v>
      </c>
      <c r="J464" t="s">
        <v>1496</v>
      </c>
      <c r="K464" t="s">
        <v>19</v>
      </c>
      <c r="L464">
        <v>4418</v>
      </c>
      <c r="M464" t="s">
        <v>19</v>
      </c>
      <c r="N464" t="s">
        <v>19</v>
      </c>
      <c r="O464">
        <v>4421</v>
      </c>
      <c r="P464" t="s">
        <v>1486</v>
      </c>
      <c r="Q464" t="s">
        <v>19</v>
      </c>
      <c r="R464">
        <v>4422</v>
      </c>
      <c r="S464" t="s">
        <v>1487</v>
      </c>
      <c r="T464" t="s">
        <v>19</v>
      </c>
      <c r="U464">
        <v>4425</v>
      </c>
      <c r="V464" t="s">
        <v>1488</v>
      </c>
      <c r="W464" t="s">
        <v>19</v>
      </c>
      <c r="X464">
        <v>4497</v>
      </c>
      <c r="Y464" t="s">
        <v>1493</v>
      </c>
      <c r="Z464" t="s">
        <v>19</v>
      </c>
      <c r="AA464">
        <v>4630</v>
      </c>
      <c r="AB464" t="s">
        <v>19</v>
      </c>
      <c r="AC464" t="s">
        <v>19</v>
      </c>
      <c r="AD464">
        <v>4631</v>
      </c>
      <c r="AE464" t="s">
        <v>1488</v>
      </c>
      <c r="AF464" t="s">
        <v>19</v>
      </c>
      <c r="AG464">
        <v>4634</v>
      </c>
      <c r="AH464" t="s">
        <v>19</v>
      </c>
      <c r="AI464" t="s">
        <v>19</v>
      </c>
      <c r="AJ464">
        <v>4654</v>
      </c>
      <c r="AK464" t="s">
        <v>1490</v>
      </c>
      <c r="AL464" t="s">
        <v>19</v>
      </c>
      <c r="AM464">
        <v>4658</v>
      </c>
      <c r="AN464" t="s">
        <v>1491</v>
      </c>
      <c r="AO464" t="s">
        <v>19</v>
      </c>
    </row>
    <row r="465" spans="1:41" x14ac:dyDescent="0.45">
      <c r="A465" t="s">
        <v>1265</v>
      </c>
      <c r="B465">
        <v>8</v>
      </c>
      <c r="C465" t="str">
        <f>HYPERLINK("http://www.ncbi.nlm.nih.gov/protein/XP_046872563.1","XP_046872563.1")</f>
        <v>XP_046872563.1</v>
      </c>
      <c r="D465">
        <v>38520</v>
      </c>
      <c r="E465" t="str">
        <f>HYPERLINK("http://www.ncbi.nlm.nih.gov/Taxonomy/Browser/wwwtax.cgi?mode=Info&amp;id=137520&amp;lvl=3&amp;lin=f&amp;keep=1&amp;srchmode=1&amp;unlock","137520")</f>
        <v>137520</v>
      </c>
      <c r="F465" t="s">
        <v>17</v>
      </c>
      <c r="G465" t="str">
        <f>HYPERLINK("http://www.ncbi.nlm.nih.gov/Taxonomy/Browser/wwwtax.cgi?mode=Info&amp;id=137520&amp;lvl=3&amp;lin=f&amp;keep=1&amp;srchmode=1&amp;unlock","Hypomesus transpacificus")</f>
        <v>Hypomesus transpacificus</v>
      </c>
      <c r="H465" t="s">
        <v>70</v>
      </c>
      <c r="I465" t="str">
        <f>HYPERLINK("http://www.ncbi.nlm.nih.gov/protein/XP_046872563.1","ryanodine receptor 3")</f>
        <v>ryanodine receptor 3</v>
      </c>
      <c r="J465" t="s">
        <v>1496</v>
      </c>
      <c r="K465" t="s">
        <v>19</v>
      </c>
      <c r="L465">
        <v>4420</v>
      </c>
      <c r="M465" t="s">
        <v>19</v>
      </c>
      <c r="N465" t="s">
        <v>19</v>
      </c>
      <c r="O465">
        <v>4423</v>
      </c>
      <c r="P465" t="s">
        <v>1486</v>
      </c>
      <c r="Q465" t="s">
        <v>19</v>
      </c>
      <c r="R465">
        <v>4424</v>
      </c>
      <c r="S465" t="s">
        <v>1487</v>
      </c>
      <c r="T465" t="s">
        <v>19</v>
      </c>
      <c r="U465">
        <v>4427</v>
      </c>
      <c r="V465" t="s">
        <v>1488</v>
      </c>
      <c r="W465" t="s">
        <v>19</v>
      </c>
      <c r="X465">
        <v>4494</v>
      </c>
      <c r="Y465" t="s">
        <v>1493</v>
      </c>
      <c r="Z465" t="s">
        <v>19</v>
      </c>
      <c r="AA465">
        <v>4627</v>
      </c>
      <c r="AB465" t="s">
        <v>19</v>
      </c>
      <c r="AC465" t="s">
        <v>19</v>
      </c>
      <c r="AD465">
        <v>4628</v>
      </c>
      <c r="AE465" t="s">
        <v>1488</v>
      </c>
      <c r="AF465" t="s">
        <v>19</v>
      </c>
      <c r="AG465">
        <v>4631</v>
      </c>
      <c r="AH465" t="s">
        <v>19</v>
      </c>
      <c r="AI465" t="s">
        <v>19</v>
      </c>
      <c r="AJ465">
        <v>4651</v>
      </c>
      <c r="AK465" t="s">
        <v>1490</v>
      </c>
      <c r="AL465" t="s">
        <v>19</v>
      </c>
      <c r="AM465">
        <v>4655</v>
      </c>
      <c r="AN465" t="s">
        <v>1491</v>
      </c>
      <c r="AO465" t="s">
        <v>19</v>
      </c>
    </row>
    <row r="466" spans="1:41" x14ac:dyDescent="0.45">
      <c r="A466" t="s">
        <v>1265</v>
      </c>
      <c r="B466">
        <v>8</v>
      </c>
      <c r="C466" t="str">
        <f>HYPERLINK("http://www.ncbi.nlm.nih.gov/protein/XP_058847357.1","XP_058847357.1")</f>
        <v>XP_058847357.1</v>
      </c>
      <c r="D466">
        <v>106531</v>
      </c>
      <c r="E466" t="str">
        <f>HYPERLINK("http://www.ncbi.nlm.nih.gov/Taxonomy/Browser/wwwtax.cgi?mode=Info&amp;id=7906&amp;lvl=3&amp;lin=f&amp;keep=1&amp;srchmode=1&amp;unlock","7906")</f>
        <v>7906</v>
      </c>
      <c r="F466" t="s">
        <v>17</v>
      </c>
      <c r="G466" t="str">
        <f>HYPERLINK("http://www.ncbi.nlm.nih.gov/Taxonomy/Browser/wwwtax.cgi?mode=Info&amp;id=7906&amp;lvl=3&amp;lin=f&amp;keep=1&amp;srchmode=1&amp;unlock","Acipenser ruthenus")</f>
        <v>Acipenser ruthenus</v>
      </c>
      <c r="H466" t="s">
        <v>697</v>
      </c>
      <c r="I466" t="str">
        <f>HYPERLINK("http://www.ncbi.nlm.nih.gov/protein/XP_058847357.1","ryanodine receptor 3 isoform X21")</f>
        <v>ryanodine receptor 3 isoform X21</v>
      </c>
      <c r="J466" t="s">
        <v>1496</v>
      </c>
      <c r="K466" t="s">
        <v>19</v>
      </c>
      <c r="L466">
        <v>4426</v>
      </c>
      <c r="M466" t="s">
        <v>19</v>
      </c>
      <c r="N466" t="s">
        <v>19</v>
      </c>
      <c r="O466">
        <v>4429</v>
      </c>
      <c r="P466" t="s">
        <v>1486</v>
      </c>
      <c r="Q466" t="s">
        <v>19</v>
      </c>
      <c r="R466">
        <v>4430</v>
      </c>
      <c r="S466" t="s">
        <v>1487</v>
      </c>
      <c r="T466" t="s">
        <v>19</v>
      </c>
      <c r="U466">
        <v>4433</v>
      </c>
      <c r="V466" t="s">
        <v>1488</v>
      </c>
      <c r="W466" t="s">
        <v>19</v>
      </c>
      <c r="X466">
        <v>4500</v>
      </c>
      <c r="Y466" t="s">
        <v>1493</v>
      </c>
      <c r="Z466" t="s">
        <v>19</v>
      </c>
      <c r="AA466">
        <v>4633</v>
      </c>
      <c r="AB466" t="s">
        <v>19</v>
      </c>
      <c r="AC466" t="s">
        <v>19</v>
      </c>
      <c r="AD466">
        <v>4634</v>
      </c>
      <c r="AE466" t="s">
        <v>1488</v>
      </c>
      <c r="AF466" t="s">
        <v>19</v>
      </c>
      <c r="AG466">
        <v>4637</v>
      </c>
      <c r="AH466" t="s">
        <v>19</v>
      </c>
      <c r="AI466" t="s">
        <v>19</v>
      </c>
      <c r="AJ466">
        <v>4657</v>
      </c>
      <c r="AK466" t="s">
        <v>1490</v>
      </c>
      <c r="AL466" t="s">
        <v>19</v>
      </c>
      <c r="AM466">
        <v>4661</v>
      </c>
      <c r="AN466" t="s">
        <v>1491</v>
      </c>
      <c r="AO466" t="s">
        <v>19</v>
      </c>
    </row>
    <row r="467" spans="1:41" x14ac:dyDescent="0.45">
      <c r="A467" t="s">
        <v>1265</v>
      </c>
      <c r="B467">
        <v>8</v>
      </c>
      <c r="C467" t="str">
        <f>HYPERLINK("http://www.ncbi.nlm.nih.gov/protein/XP_041123125.1","XP_041123125.1")</f>
        <v>XP_041123125.1</v>
      </c>
      <c r="D467">
        <v>79674</v>
      </c>
      <c r="E467" t="str">
        <f>HYPERLINK("http://www.ncbi.nlm.nih.gov/Taxonomy/Browser/wwwtax.cgi?mode=Info&amp;id=7913&amp;lvl=3&amp;lin=f&amp;keep=1&amp;srchmode=1&amp;unlock","7913")</f>
        <v>7913</v>
      </c>
      <c r="F467" t="s">
        <v>17</v>
      </c>
      <c r="G467" t="str">
        <f>HYPERLINK("http://www.ncbi.nlm.nih.gov/Taxonomy/Browser/wwwtax.cgi?mode=Info&amp;id=7913&amp;lvl=3&amp;lin=f&amp;keep=1&amp;srchmode=1&amp;unlock","Polyodon spathula")</f>
        <v>Polyodon spathula</v>
      </c>
      <c r="H467" t="s">
        <v>363</v>
      </c>
      <c r="I467" t="str">
        <f>HYPERLINK("http://www.ncbi.nlm.nih.gov/protein/XP_041123125.1","ryanodine receptor 3 isoform X16")</f>
        <v>ryanodine receptor 3 isoform X16</v>
      </c>
      <c r="J467" t="s">
        <v>1496</v>
      </c>
      <c r="K467" t="s">
        <v>19</v>
      </c>
      <c r="L467">
        <v>4432</v>
      </c>
      <c r="M467" t="s">
        <v>19</v>
      </c>
      <c r="N467" t="s">
        <v>19</v>
      </c>
      <c r="O467">
        <v>4435</v>
      </c>
      <c r="P467" t="s">
        <v>1486</v>
      </c>
      <c r="Q467" t="s">
        <v>19</v>
      </c>
      <c r="R467">
        <v>4436</v>
      </c>
      <c r="S467" t="s">
        <v>1487</v>
      </c>
      <c r="T467" t="s">
        <v>19</v>
      </c>
      <c r="U467">
        <v>4439</v>
      </c>
      <c r="V467" t="s">
        <v>1488</v>
      </c>
      <c r="W467" t="s">
        <v>19</v>
      </c>
      <c r="X467">
        <v>4510</v>
      </c>
      <c r="Y467" t="s">
        <v>1493</v>
      </c>
      <c r="Z467" t="s">
        <v>19</v>
      </c>
      <c r="AA467">
        <v>4643</v>
      </c>
      <c r="AB467" t="s">
        <v>19</v>
      </c>
      <c r="AC467" t="s">
        <v>19</v>
      </c>
      <c r="AD467">
        <v>4644</v>
      </c>
      <c r="AE467" t="s">
        <v>1488</v>
      </c>
      <c r="AF467" t="s">
        <v>19</v>
      </c>
      <c r="AG467">
        <v>4647</v>
      </c>
      <c r="AH467" t="s">
        <v>19</v>
      </c>
      <c r="AI467" t="s">
        <v>19</v>
      </c>
      <c r="AJ467">
        <v>4667</v>
      </c>
      <c r="AK467" t="s">
        <v>1490</v>
      </c>
      <c r="AL467" t="s">
        <v>19</v>
      </c>
      <c r="AM467">
        <v>4671</v>
      </c>
      <c r="AN467" t="s">
        <v>1491</v>
      </c>
      <c r="AO467" t="s">
        <v>19</v>
      </c>
    </row>
    <row r="468" spans="1:41" x14ac:dyDescent="0.45">
      <c r="A468" t="s">
        <v>1265</v>
      </c>
      <c r="B468">
        <v>8</v>
      </c>
      <c r="C468" t="str">
        <f>HYPERLINK("http://www.ncbi.nlm.nih.gov/protein/XP_039454626.1","XP_039454626.1")</f>
        <v>XP_039454626.1</v>
      </c>
      <c r="D468">
        <v>49867</v>
      </c>
      <c r="E468" t="str">
        <f>HYPERLINK("http://www.ncbi.nlm.nih.gov/Taxonomy/Browser/wwwtax.cgi?mode=Info&amp;id=47969&amp;lvl=3&amp;lin=f&amp;keep=1&amp;srchmode=1&amp;unlock","47969")</f>
        <v>47969</v>
      </c>
      <c r="F468" t="s">
        <v>17</v>
      </c>
      <c r="G468" t="str">
        <f>HYPERLINK("http://www.ncbi.nlm.nih.gov/Taxonomy/Browser/wwwtax.cgi?mode=Info&amp;id=47969&amp;lvl=3&amp;lin=f&amp;keep=1&amp;srchmode=1&amp;unlock","Oreochromis aureus")</f>
        <v>Oreochromis aureus</v>
      </c>
      <c r="H468" t="s">
        <v>93</v>
      </c>
      <c r="I468" t="str">
        <f>HYPERLINK("http://www.ncbi.nlm.nih.gov/protein/XP_039454626.1","ryanodine receptor 3")</f>
        <v>ryanodine receptor 3</v>
      </c>
      <c r="J468" t="s">
        <v>1496</v>
      </c>
      <c r="K468" t="s">
        <v>19</v>
      </c>
      <c r="L468">
        <v>4395</v>
      </c>
      <c r="M468" t="s">
        <v>19</v>
      </c>
      <c r="N468" t="s">
        <v>19</v>
      </c>
      <c r="O468">
        <v>4398</v>
      </c>
      <c r="P468" t="s">
        <v>1486</v>
      </c>
      <c r="Q468" t="s">
        <v>19</v>
      </c>
      <c r="R468">
        <v>4399</v>
      </c>
      <c r="S468" t="s">
        <v>1487</v>
      </c>
      <c r="T468" t="s">
        <v>19</v>
      </c>
      <c r="U468">
        <v>4402</v>
      </c>
      <c r="V468" t="s">
        <v>1488</v>
      </c>
      <c r="W468" t="s">
        <v>19</v>
      </c>
      <c r="X468">
        <v>4475</v>
      </c>
      <c r="Y468" t="s">
        <v>1493</v>
      </c>
      <c r="Z468" t="s">
        <v>19</v>
      </c>
      <c r="AA468">
        <v>4608</v>
      </c>
      <c r="AB468" t="s">
        <v>19</v>
      </c>
      <c r="AC468" t="s">
        <v>19</v>
      </c>
      <c r="AD468">
        <v>4609</v>
      </c>
      <c r="AE468" t="s">
        <v>1488</v>
      </c>
      <c r="AF468" t="s">
        <v>19</v>
      </c>
      <c r="AG468">
        <v>4612</v>
      </c>
      <c r="AH468" t="s">
        <v>19</v>
      </c>
      <c r="AI468" t="s">
        <v>19</v>
      </c>
      <c r="AJ468">
        <v>4632</v>
      </c>
      <c r="AK468" t="s">
        <v>1490</v>
      </c>
      <c r="AL468" t="s">
        <v>19</v>
      </c>
      <c r="AM468">
        <v>4636</v>
      </c>
      <c r="AN468" t="s">
        <v>1491</v>
      </c>
      <c r="AO468" t="s">
        <v>19</v>
      </c>
    </row>
    <row r="469" spans="1:41" x14ac:dyDescent="0.45">
      <c r="A469" t="s">
        <v>1265</v>
      </c>
      <c r="B469">
        <v>8</v>
      </c>
      <c r="C469" t="str">
        <f>HYPERLINK("http://www.ncbi.nlm.nih.gov/protein/XP_008283101.1","XP_008283101.1")</f>
        <v>XP_008283101.1</v>
      </c>
      <c r="D469">
        <v>31764</v>
      </c>
      <c r="E469" t="str">
        <f>HYPERLINK("http://www.ncbi.nlm.nih.gov/Taxonomy/Browser/wwwtax.cgi?mode=Info&amp;id=144197&amp;lvl=3&amp;lin=f&amp;keep=1&amp;srchmode=1&amp;unlock","144197")</f>
        <v>144197</v>
      </c>
      <c r="F469" t="s">
        <v>17</v>
      </c>
      <c r="G469" t="str">
        <f>HYPERLINK("http://www.ncbi.nlm.nih.gov/Taxonomy/Browser/wwwtax.cgi?mode=Info&amp;id=144197&amp;lvl=3&amp;lin=f&amp;keep=1&amp;srchmode=1&amp;unlock","Stegastes partitus")</f>
        <v>Stegastes partitus</v>
      </c>
      <c r="H469" t="s">
        <v>85</v>
      </c>
      <c r="I469" t="str">
        <f>HYPERLINK("http://www.ncbi.nlm.nih.gov/protein/XP_008283101.1","PREDICTED: ryanodine receptor 3 isoform X4")</f>
        <v>PREDICTED: ryanodine receptor 3 isoform X4</v>
      </c>
      <c r="J469" t="s">
        <v>1496</v>
      </c>
      <c r="K469" t="s">
        <v>19</v>
      </c>
      <c r="L469">
        <v>4384</v>
      </c>
      <c r="M469" t="s">
        <v>19</v>
      </c>
      <c r="N469" t="s">
        <v>19</v>
      </c>
      <c r="O469">
        <v>4387</v>
      </c>
      <c r="P469" t="s">
        <v>1486</v>
      </c>
      <c r="Q469" t="s">
        <v>19</v>
      </c>
      <c r="R469">
        <v>4388</v>
      </c>
      <c r="S469" t="s">
        <v>1487</v>
      </c>
      <c r="T469" t="s">
        <v>19</v>
      </c>
      <c r="U469">
        <v>4391</v>
      </c>
      <c r="V469" t="s">
        <v>1488</v>
      </c>
      <c r="W469" t="s">
        <v>19</v>
      </c>
      <c r="X469">
        <v>4466</v>
      </c>
      <c r="Y469" t="s">
        <v>1493</v>
      </c>
      <c r="Z469" t="s">
        <v>19</v>
      </c>
      <c r="AA469">
        <v>4599</v>
      </c>
      <c r="AB469" t="s">
        <v>19</v>
      </c>
      <c r="AC469" t="s">
        <v>19</v>
      </c>
      <c r="AD469">
        <v>4600</v>
      </c>
      <c r="AE469" t="s">
        <v>1488</v>
      </c>
      <c r="AF469" t="s">
        <v>19</v>
      </c>
      <c r="AG469">
        <v>4603</v>
      </c>
      <c r="AH469" t="s">
        <v>19</v>
      </c>
      <c r="AI469" t="s">
        <v>19</v>
      </c>
      <c r="AJ469">
        <v>4623</v>
      </c>
      <c r="AK469" t="s">
        <v>1490</v>
      </c>
      <c r="AL469" t="s">
        <v>19</v>
      </c>
      <c r="AM469">
        <v>4627</v>
      </c>
      <c r="AN469" t="s">
        <v>1491</v>
      </c>
      <c r="AO469" t="s">
        <v>19</v>
      </c>
    </row>
    <row r="470" spans="1:41" x14ac:dyDescent="0.45">
      <c r="A470" t="s">
        <v>1265</v>
      </c>
      <c r="B470">
        <v>8</v>
      </c>
      <c r="C470" t="str">
        <f>HYPERLINK("http://www.ncbi.nlm.nih.gov/protein/XP_026175328.1","XP_026175328.1")</f>
        <v>XP_026175328.1</v>
      </c>
      <c r="D470">
        <v>42546</v>
      </c>
      <c r="E470" t="str">
        <f>HYPERLINK("http://www.ncbi.nlm.nih.gov/Taxonomy/Browser/wwwtax.cgi?mode=Info&amp;id=205130&amp;lvl=3&amp;lin=f&amp;keep=1&amp;srchmode=1&amp;unlock","205130")</f>
        <v>205130</v>
      </c>
      <c r="F470" t="s">
        <v>17</v>
      </c>
      <c r="G470" t="str">
        <f>HYPERLINK("http://www.ncbi.nlm.nih.gov/Taxonomy/Browser/wwwtax.cgi?mode=Info&amp;id=205130&amp;lvl=3&amp;lin=f&amp;keep=1&amp;srchmode=1&amp;unlock","Mastacembelus armatus")</f>
        <v>Mastacembelus armatus</v>
      </c>
      <c r="H470" t="s">
        <v>513</v>
      </c>
      <c r="I470" t="str">
        <f>HYPERLINK("http://www.ncbi.nlm.nih.gov/protein/XP_026175328.1","ryanodine receptor 3 isoform X4")</f>
        <v>ryanodine receptor 3 isoform X4</v>
      </c>
      <c r="J470" t="s">
        <v>1496</v>
      </c>
      <c r="K470" t="s">
        <v>19</v>
      </c>
      <c r="L470">
        <v>4396</v>
      </c>
      <c r="M470" t="s">
        <v>19</v>
      </c>
      <c r="N470" t="s">
        <v>19</v>
      </c>
      <c r="O470">
        <v>4399</v>
      </c>
      <c r="P470" t="s">
        <v>1486</v>
      </c>
      <c r="Q470" t="s">
        <v>19</v>
      </c>
      <c r="R470">
        <v>4400</v>
      </c>
      <c r="S470" t="s">
        <v>1487</v>
      </c>
      <c r="T470" t="s">
        <v>19</v>
      </c>
      <c r="U470">
        <v>4403</v>
      </c>
      <c r="V470" t="s">
        <v>1488</v>
      </c>
      <c r="W470" t="s">
        <v>19</v>
      </c>
      <c r="X470">
        <v>4475</v>
      </c>
      <c r="Y470" t="s">
        <v>1493</v>
      </c>
      <c r="Z470" t="s">
        <v>19</v>
      </c>
      <c r="AA470">
        <v>4608</v>
      </c>
      <c r="AB470" t="s">
        <v>19</v>
      </c>
      <c r="AC470" t="s">
        <v>19</v>
      </c>
      <c r="AD470">
        <v>4609</v>
      </c>
      <c r="AE470" t="s">
        <v>1488</v>
      </c>
      <c r="AF470" t="s">
        <v>19</v>
      </c>
      <c r="AG470">
        <v>4612</v>
      </c>
      <c r="AH470" t="s">
        <v>19</v>
      </c>
      <c r="AI470" t="s">
        <v>19</v>
      </c>
      <c r="AJ470">
        <v>4632</v>
      </c>
      <c r="AK470" t="s">
        <v>1490</v>
      </c>
      <c r="AL470" t="s">
        <v>19</v>
      </c>
      <c r="AM470">
        <v>4636</v>
      </c>
      <c r="AN470" t="s">
        <v>1491</v>
      </c>
      <c r="AO470" t="s">
        <v>19</v>
      </c>
    </row>
    <row r="471" spans="1:41" x14ac:dyDescent="0.45">
      <c r="A471" t="s">
        <v>1265</v>
      </c>
      <c r="B471">
        <v>8</v>
      </c>
      <c r="C471" t="str">
        <f>HYPERLINK("http://www.ncbi.nlm.nih.gov/protein/XP_016429253.1","XP_016429253.1")</f>
        <v>XP_016429253.1</v>
      </c>
      <c r="D471">
        <v>68583</v>
      </c>
      <c r="E471" t="str">
        <f>HYPERLINK("http://www.ncbi.nlm.nih.gov/Taxonomy/Browser/wwwtax.cgi?mode=Info&amp;id=307959&amp;lvl=3&amp;lin=f&amp;keep=1&amp;srchmode=1&amp;unlock","307959")</f>
        <v>307959</v>
      </c>
      <c r="F471" t="s">
        <v>17</v>
      </c>
      <c r="G471" t="str">
        <f>HYPERLINK("http://www.ncbi.nlm.nih.gov/Taxonomy/Browser/wwwtax.cgi?mode=Info&amp;id=307959&amp;lvl=3&amp;lin=f&amp;keep=1&amp;srchmode=1&amp;unlock","Sinocyclocheilus rhinocerous")</f>
        <v>Sinocyclocheilus rhinocerous</v>
      </c>
      <c r="H471" t="s">
        <v>21</v>
      </c>
      <c r="I471" t="str">
        <f>HYPERLINK("http://www.ncbi.nlm.nih.gov/protein/XP_016429253.1","PREDICTED: ryanodine receptor 3-like")</f>
        <v>PREDICTED: ryanodine receptor 3-like</v>
      </c>
      <c r="J471" t="s">
        <v>1496</v>
      </c>
      <c r="K471" t="s">
        <v>19</v>
      </c>
      <c r="L471">
        <v>4402</v>
      </c>
      <c r="M471" t="s">
        <v>19</v>
      </c>
      <c r="N471" t="s">
        <v>19</v>
      </c>
      <c r="O471">
        <v>4405</v>
      </c>
      <c r="P471" t="s">
        <v>1486</v>
      </c>
      <c r="Q471" t="s">
        <v>19</v>
      </c>
      <c r="R471">
        <v>4406</v>
      </c>
      <c r="S471" t="s">
        <v>1487</v>
      </c>
      <c r="T471" t="s">
        <v>19</v>
      </c>
      <c r="U471">
        <v>4409</v>
      </c>
      <c r="V471" t="s">
        <v>1488</v>
      </c>
      <c r="W471" t="s">
        <v>19</v>
      </c>
      <c r="X471">
        <v>4480</v>
      </c>
      <c r="Y471" t="s">
        <v>1493</v>
      </c>
      <c r="Z471" t="s">
        <v>19</v>
      </c>
      <c r="AA471">
        <v>4613</v>
      </c>
      <c r="AB471" t="s">
        <v>19</v>
      </c>
      <c r="AC471" t="s">
        <v>19</v>
      </c>
      <c r="AD471">
        <v>4614</v>
      </c>
      <c r="AE471" t="s">
        <v>1488</v>
      </c>
      <c r="AF471" t="s">
        <v>19</v>
      </c>
      <c r="AG471">
        <v>4617</v>
      </c>
      <c r="AH471" t="s">
        <v>19</v>
      </c>
      <c r="AI471" t="s">
        <v>19</v>
      </c>
      <c r="AJ471">
        <v>4637</v>
      </c>
      <c r="AK471" t="s">
        <v>1490</v>
      </c>
      <c r="AL471" t="s">
        <v>19</v>
      </c>
      <c r="AM471">
        <v>4641</v>
      </c>
      <c r="AN471" t="s">
        <v>1491</v>
      </c>
      <c r="AO471" t="s">
        <v>19</v>
      </c>
    </row>
    <row r="472" spans="1:41" x14ac:dyDescent="0.45">
      <c r="A472" t="s">
        <v>1265</v>
      </c>
      <c r="B472">
        <v>8</v>
      </c>
      <c r="C472" t="str">
        <f>HYPERLINK("http://www.ncbi.nlm.nih.gov/protein/XP_056301320.1","XP_056301320.1")</f>
        <v>XP_056301320.1</v>
      </c>
      <c r="D472">
        <v>36531</v>
      </c>
      <c r="E472" t="str">
        <f>HYPERLINK("http://www.ncbi.nlm.nih.gov/Taxonomy/Browser/wwwtax.cgi?mode=Info&amp;id=1142201&amp;lvl=3&amp;lin=f&amp;keep=1&amp;srchmode=1&amp;unlock","1142201")</f>
        <v>1142201</v>
      </c>
      <c r="F472" t="s">
        <v>17</v>
      </c>
      <c r="G472" t="str">
        <f>HYPERLINK("http://www.ncbi.nlm.nih.gov/Taxonomy/Browser/wwwtax.cgi?mode=Info&amp;id=1142201&amp;lvl=3&amp;lin=f&amp;keep=1&amp;srchmode=1&amp;unlock","Danio aesculapii")</f>
        <v>Danio aesculapii</v>
      </c>
      <c r="H472" t="s">
        <v>21</v>
      </c>
      <c r="I472" t="str">
        <f>HYPERLINK("http://www.ncbi.nlm.nih.gov/protein/XP_056301320.1","ryanodine receptor 3 isoform X2")</f>
        <v>ryanodine receptor 3 isoform X2</v>
      </c>
      <c r="J472" t="s">
        <v>1496</v>
      </c>
      <c r="K472" t="s">
        <v>19</v>
      </c>
      <c r="L472">
        <v>4398</v>
      </c>
      <c r="M472" t="s">
        <v>19</v>
      </c>
      <c r="N472" t="s">
        <v>19</v>
      </c>
      <c r="O472">
        <v>4401</v>
      </c>
      <c r="P472" t="s">
        <v>1486</v>
      </c>
      <c r="Q472" t="s">
        <v>19</v>
      </c>
      <c r="R472">
        <v>4402</v>
      </c>
      <c r="S472" t="s">
        <v>1487</v>
      </c>
      <c r="T472" t="s">
        <v>19</v>
      </c>
      <c r="U472">
        <v>4405</v>
      </c>
      <c r="V472" t="s">
        <v>1488</v>
      </c>
      <c r="W472" t="s">
        <v>19</v>
      </c>
      <c r="X472">
        <v>4478</v>
      </c>
      <c r="Y472" t="s">
        <v>1493</v>
      </c>
      <c r="Z472" t="s">
        <v>19</v>
      </c>
      <c r="AA472">
        <v>4611</v>
      </c>
      <c r="AB472" t="s">
        <v>19</v>
      </c>
      <c r="AC472" t="s">
        <v>19</v>
      </c>
      <c r="AD472">
        <v>4612</v>
      </c>
      <c r="AE472" t="s">
        <v>1488</v>
      </c>
      <c r="AF472" t="s">
        <v>19</v>
      </c>
      <c r="AG472">
        <v>4615</v>
      </c>
      <c r="AH472" t="s">
        <v>19</v>
      </c>
      <c r="AI472" t="s">
        <v>19</v>
      </c>
      <c r="AJ472">
        <v>4635</v>
      </c>
      <c r="AK472" t="s">
        <v>1490</v>
      </c>
      <c r="AL472" t="s">
        <v>19</v>
      </c>
      <c r="AM472">
        <v>4639</v>
      </c>
      <c r="AN472" t="s">
        <v>1491</v>
      </c>
      <c r="AO472" t="s">
        <v>19</v>
      </c>
    </row>
    <row r="473" spans="1:41" x14ac:dyDescent="0.45">
      <c r="A473" t="s">
        <v>1265</v>
      </c>
      <c r="B473">
        <v>8</v>
      </c>
      <c r="C473" t="str">
        <f>HYPERLINK("http://www.ncbi.nlm.nih.gov/protein/XP_014909453.1","XP_014909453.1")</f>
        <v>XP_014909453.1</v>
      </c>
      <c r="D473">
        <v>47235</v>
      </c>
      <c r="E473" t="str">
        <f>HYPERLINK("http://www.ncbi.nlm.nih.gov/Taxonomy/Browser/wwwtax.cgi?mode=Info&amp;id=48699&amp;lvl=3&amp;lin=f&amp;keep=1&amp;srchmode=1&amp;unlock","48699")</f>
        <v>48699</v>
      </c>
      <c r="F473" t="s">
        <v>17</v>
      </c>
      <c r="G473" t="str">
        <f>HYPERLINK("http://www.ncbi.nlm.nih.gov/Taxonomy/Browser/wwwtax.cgi?mode=Info&amp;id=48699&amp;lvl=3&amp;lin=f&amp;keep=1&amp;srchmode=1&amp;unlock","Poecilia latipinna")</f>
        <v>Poecilia latipinna</v>
      </c>
      <c r="H473" t="s">
        <v>117</v>
      </c>
      <c r="I473" t="str">
        <f>HYPERLINK("http://www.ncbi.nlm.nih.gov/protein/XP_014909453.1","PREDICTED: ryanodine receptor 3 isoform X10")</f>
        <v>PREDICTED: ryanodine receptor 3 isoform X10</v>
      </c>
      <c r="J473" t="s">
        <v>1496</v>
      </c>
      <c r="K473" t="s">
        <v>19</v>
      </c>
      <c r="L473">
        <v>4381</v>
      </c>
      <c r="M473" t="s">
        <v>19</v>
      </c>
      <c r="N473" t="s">
        <v>19</v>
      </c>
      <c r="O473">
        <v>4384</v>
      </c>
      <c r="P473" t="s">
        <v>1486</v>
      </c>
      <c r="Q473" t="s">
        <v>19</v>
      </c>
      <c r="R473">
        <v>4385</v>
      </c>
      <c r="S473" t="s">
        <v>1487</v>
      </c>
      <c r="T473" t="s">
        <v>19</v>
      </c>
      <c r="U473">
        <v>4388</v>
      </c>
      <c r="V473" t="s">
        <v>1488</v>
      </c>
      <c r="W473" t="s">
        <v>19</v>
      </c>
      <c r="X473">
        <v>4460</v>
      </c>
      <c r="Y473" t="s">
        <v>1493</v>
      </c>
      <c r="Z473" t="s">
        <v>19</v>
      </c>
      <c r="AA473">
        <v>4593</v>
      </c>
      <c r="AB473" t="s">
        <v>19</v>
      </c>
      <c r="AC473" t="s">
        <v>19</v>
      </c>
      <c r="AD473">
        <v>4594</v>
      </c>
      <c r="AE473" t="s">
        <v>1488</v>
      </c>
      <c r="AF473" t="s">
        <v>19</v>
      </c>
      <c r="AG473">
        <v>4597</v>
      </c>
      <c r="AH473" t="s">
        <v>19</v>
      </c>
      <c r="AI473" t="s">
        <v>19</v>
      </c>
      <c r="AJ473">
        <v>4617</v>
      </c>
      <c r="AK473" t="s">
        <v>1490</v>
      </c>
      <c r="AL473" t="s">
        <v>19</v>
      </c>
      <c r="AM473">
        <v>4621</v>
      </c>
      <c r="AN473" t="s">
        <v>1491</v>
      </c>
      <c r="AO473" t="s">
        <v>19</v>
      </c>
    </row>
    <row r="474" spans="1:41" x14ac:dyDescent="0.45">
      <c r="A474" t="s">
        <v>1265</v>
      </c>
      <c r="B474">
        <v>8</v>
      </c>
      <c r="C474" t="str">
        <f>HYPERLINK("http://www.ncbi.nlm.nih.gov/protein/XP_014863966.1","XP_014863966.1")</f>
        <v>XP_014863966.1</v>
      </c>
      <c r="D474">
        <v>47808</v>
      </c>
      <c r="E474" t="str">
        <f>HYPERLINK("http://www.ncbi.nlm.nih.gov/Taxonomy/Browser/wwwtax.cgi?mode=Info&amp;id=48701&amp;lvl=3&amp;lin=f&amp;keep=1&amp;srchmode=1&amp;unlock","48701")</f>
        <v>48701</v>
      </c>
      <c r="F474" t="s">
        <v>17</v>
      </c>
      <c r="G474" t="str">
        <f>HYPERLINK("http://www.ncbi.nlm.nih.gov/Taxonomy/Browser/wwwtax.cgi?mode=Info&amp;id=48701&amp;lvl=3&amp;lin=f&amp;keep=1&amp;srchmode=1&amp;unlock","Poecilia mexicana")</f>
        <v>Poecilia mexicana</v>
      </c>
      <c r="H474" t="s">
        <v>120</v>
      </c>
      <c r="I474" t="str">
        <f>HYPERLINK("http://www.ncbi.nlm.nih.gov/protein/XP_014863966.1","PREDICTED: ryanodine receptor 3 isoform X10")</f>
        <v>PREDICTED: ryanodine receptor 3 isoform X10</v>
      </c>
      <c r="J474" t="s">
        <v>1496</v>
      </c>
      <c r="K474" t="s">
        <v>19</v>
      </c>
      <c r="L474">
        <v>4394</v>
      </c>
      <c r="M474" t="s">
        <v>19</v>
      </c>
      <c r="N474" t="s">
        <v>19</v>
      </c>
      <c r="O474">
        <v>4397</v>
      </c>
      <c r="P474" t="s">
        <v>1486</v>
      </c>
      <c r="Q474" t="s">
        <v>19</v>
      </c>
      <c r="R474">
        <v>4398</v>
      </c>
      <c r="S474" t="s">
        <v>1487</v>
      </c>
      <c r="T474" t="s">
        <v>19</v>
      </c>
      <c r="U474">
        <v>4401</v>
      </c>
      <c r="V474" t="s">
        <v>1488</v>
      </c>
      <c r="W474" t="s">
        <v>19</v>
      </c>
      <c r="X474">
        <v>4473</v>
      </c>
      <c r="Y474" t="s">
        <v>1493</v>
      </c>
      <c r="Z474" t="s">
        <v>19</v>
      </c>
      <c r="AA474">
        <v>4606</v>
      </c>
      <c r="AB474" t="s">
        <v>19</v>
      </c>
      <c r="AC474" t="s">
        <v>19</v>
      </c>
      <c r="AD474">
        <v>4607</v>
      </c>
      <c r="AE474" t="s">
        <v>1488</v>
      </c>
      <c r="AF474" t="s">
        <v>19</v>
      </c>
      <c r="AG474">
        <v>4610</v>
      </c>
      <c r="AH474" t="s">
        <v>19</v>
      </c>
      <c r="AI474" t="s">
        <v>19</v>
      </c>
      <c r="AJ474">
        <v>4630</v>
      </c>
      <c r="AK474" t="s">
        <v>1490</v>
      </c>
      <c r="AL474" t="s">
        <v>19</v>
      </c>
      <c r="AM474">
        <v>4634</v>
      </c>
      <c r="AN474" t="s">
        <v>1491</v>
      </c>
      <c r="AO474" t="s">
        <v>19</v>
      </c>
    </row>
    <row r="475" spans="1:41" x14ac:dyDescent="0.45">
      <c r="A475" t="s">
        <v>1265</v>
      </c>
      <c r="B475">
        <v>8</v>
      </c>
      <c r="C475" t="str">
        <f>HYPERLINK("http://www.ncbi.nlm.nih.gov/protein/XP_009293049.1","XP_009293049.1")</f>
        <v>XP_009293049.1</v>
      </c>
      <c r="D475">
        <v>88318</v>
      </c>
      <c r="E475" t="str">
        <f>HYPERLINK("http://www.ncbi.nlm.nih.gov/Taxonomy/Browser/wwwtax.cgi?mode=Info&amp;id=7955&amp;lvl=3&amp;lin=f&amp;keep=1&amp;srchmode=1&amp;unlock","7955")</f>
        <v>7955</v>
      </c>
      <c r="F475" t="s">
        <v>17</v>
      </c>
      <c r="G475" t="str">
        <f>HYPERLINK("http://www.ncbi.nlm.nih.gov/Taxonomy/Browser/wwwtax.cgi?mode=Info&amp;id=7955&amp;lvl=3&amp;lin=f&amp;keep=1&amp;srchmode=1&amp;unlock","Danio rerio")</f>
        <v>Danio rerio</v>
      </c>
      <c r="H475" t="s">
        <v>26</v>
      </c>
      <c r="I475" t="str">
        <f>HYPERLINK("http://www.ncbi.nlm.nih.gov/protein/XP_009293049.1","ryanodine receptor 3 isoform X2")</f>
        <v>ryanodine receptor 3 isoform X2</v>
      </c>
      <c r="J475" t="s">
        <v>1496</v>
      </c>
      <c r="K475" t="s">
        <v>19</v>
      </c>
      <c r="L475">
        <v>4398</v>
      </c>
      <c r="M475" t="s">
        <v>19</v>
      </c>
      <c r="N475" t="s">
        <v>19</v>
      </c>
      <c r="O475">
        <v>4401</v>
      </c>
      <c r="P475" t="s">
        <v>1486</v>
      </c>
      <c r="Q475" t="s">
        <v>19</v>
      </c>
      <c r="R475">
        <v>4402</v>
      </c>
      <c r="S475" t="s">
        <v>1487</v>
      </c>
      <c r="T475" t="s">
        <v>19</v>
      </c>
      <c r="U475">
        <v>4405</v>
      </c>
      <c r="V475" t="s">
        <v>1488</v>
      </c>
      <c r="W475" t="s">
        <v>19</v>
      </c>
      <c r="X475">
        <v>4478</v>
      </c>
      <c r="Y475" t="s">
        <v>1493</v>
      </c>
      <c r="Z475" t="s">
        <v>19</v>
      </c>
      <c r="AA475">
        <v>4611</v>
      </c>
      <c r="AB475" t="s">
        <v>19</v>
      </c>
      <c r="AC475" t="s">
        <v>19</v>
      </c>
      <c r="AD475">
        <v>4612</v>
      </c>
      <c r="AE475" t="s">
        <v>1488</v>
      </c>
      <c r="AF475" t="s">
        <v>19</v>
      </c>
      <c r="AG475">
        <v>4615</v>
      </c>
      <c r="AH475" t="s">
        <v>19</v>
      </c>
      <c r="AI475" t="s">
        <v>19</v>
      </c>
      <c r="AJ475">
        <v>4635</v>
      </c>
      <c r="AK475" t="s">
        <v>1490</v>
      </c>
      <c r="AL475" t="s">
        <v>19</v>
      </c>
      <c r="AM475">
        <v>4639</v>
      </c>
      <c r="AN475" t="s">
        <v>1491</v>
      </c>
      <c r="AO475" t="s">
        <v>19</v>
      </c>
    </row>
    <row r="476" spans="1:41" x14ac:dyDescent="0.45">
      <c r="A476" t="s">
        <v>1265</v>
      </c>
      <c r="B476">
        <v>8</v>
      </c>
      <c r="C476" t="str">
        <f>HYPERLINK("http://www.ncbi.nlm.nih.gov/protein/XP_016523469.1","XP_016523469.1")</f>
        <v>XP_016523469.1</v>
      </c>
      <c r="D476">
        <v>49657</v>
      </c>
      <c r="E476" t="str">
        <f>HYPERLINK("http://www.ncbi.nlm.nih.gov/Taxonomy/Browser/wwwtax.cgi?mode=Info&amp;id=48698&amp;lvl=3&amp;lin=f&amp;keep=1&amp;srchmode=1&amp;unlock","48698")</f>
        <v>48698</v>
      </c>
      <c r="F476" t="s">
        <v>17</v>
      </c>
      <c r="G476" t="str">
        <f>HYPERLINK("http://www.ncbi.nlm.nih.gov/Taxonomy/Browser/wwwtax.cgi?mode=Info&amp;id=48698&amp;lvl=3&amp;lin=f&amp;keep=1&amp;srchmode=1&amp;unlock","Poecilia formosa")</f>
        <v>Poecilia formosa</v>
      </c>
      <c r="H476" t="s">
        <v>119</v>
      </c>
      <c r="I476" t="str">
        <f>HYPERLINK("http://www.ncbi.nlm.nih.gov/protein/XP_016523469.1","PREDICTED: ryanodine receptor 3 isoform X2")</f>
        <v>PREDICTED: ryanodine receptor 3 isoform X2</v>
      </c>
      <c r="J476" t="s">
        <v>1496</v>
      </c>
      <c r="K476" t="s">
        <v>19</v>
      </c>
      <c r="L476">
        <v>4399</v>
      </c>
      <c r="M476" t="s">
        <v>19</v>
      </c>
      <c r="N476" t="s">
        <v>19</v>
      </c>
      <c r="O476">
        <v>4402</v>
      </c>
      <c r="P476" t="s">
        <v>1486</v>
      </c>
      <c r="Q476" t="s">
        <v>19</v>
      </c>
      <c r="R476">
        <v>4403</v>
      </c>
      <c r="S476" t="s">
        <v>1487</v>
      </c>
      <c r="T476" t="s">
        <v>19</v>
      </c>
      <c r="U476">
        <v>4406</v>
      </c>
      <c r="V476" t="s">
        <v>1488</v>
      </c>
      <c r="W476" t="s">
        <v>19</v>
      </c>
      <c r="X476">
        <v>4478</v>
      </c>
      <c r="Y476" t="s">
        <v>1493</v>
      </c>
      <c r="Z476" t="s">
        <v>19</v>
      </c>
      <c r="AA476">
        <v>4611</v>
      </c>
      <c r="AB476" t="s">
        <v>19</v>
      </c>
      <c r="AC476" t="s">
        <v>19</v>
      </c>
      <c r="AD476">
        <v>4612</v>
      </c>
      <c r="AE476" t="s">
        <v>1488</v>
      </c>
      <c r="AF476" t="s">
        <v>19</v>
      </c>
      <c r="AG476">
        <v>4615</v>
      </c>
      <c r="AH476" t="s">
        <v>19</v>
      </c>
      <c r="AI476" t="s">
        <v>19</v>
      </c>
      <c r="AJ476">
        <v>4635</v>
      </c>
      <c r="AK476" t="s">
        <v>1490</v>
      </c>
      <c r="AL476" t="s">
        <v>19</v>
      </c>
      <c r="AM476">
        <v>4639</v>
      </c>
      <c r="AN476" t="s">
        <v>1491</v>
      </c>
      <c r="AO476" t="s">
        <v>19</v>
      </c>
    </row>
    <row r="477" spans="1:41" x14ac:dyDescent="0.45">
      <c r="A477" t="s">
        <v>1265</v>
      </c>
      <c r="B477">
        <v>8</v>
      </c>
      <c r="C477" t="str">
        <f>HYPERLINK("http://www.ncbi.nlm.nih.gov/protein/XP_054604868.1","XP_054604868.1")</f>
        <v>XP_054604868.1</v>
      </c>
      <c r="D477">
        <v>79907</v>
      </c>
      <c r="E477" t="str">
        <f>HYPERLINK("http://www.ncbi.nlm.nih.gov/Taxonomy/Browser/wwwtax.cgi?mode=Info&amp;id=105023&amp;lvl=3&amp;lin=f&amp;keep=1&amp;srchmode=1&amp;unlock","105023")</f>
        <v>105023</v>
      </c>
      <c r="F477" t="s">
        <v>17</v>
      </c>
      <c r="G477" t="str">
        <f>HYPERLINK("http://www.ncbi.nlm.nih.gov/Taxonomy/Browser/wwwtax.cgi?mode=Info&amp;id=105023&amp;lvl=3&amp;lin=f&amp;keep=1&amp;srchmode=1&amp;unlock","Nothobranchius furzeri")</f>
        <v>Nothobranchius furzeri</v>
      </c>
      <c r="H477" t="s">
        <v>65</v>
      </c>
      <c r="I477" t="str">
        <f>HYPERLINK("http://www.ncbi.nlm.nih.gov/protein/XP_054604868.1","LOW QUALITY PROTEIN: ryanodine receptor 3")</f>
        <v>LOW QUALITY PROTEIN: ryanodine receptor 3</v>
      </c>
      <c r="J477" t="s">
        <v>1496</v>
      </c>
      <c r="K477" t="s">
        <v>19</v>
      </c>
      <c r="L477">
        <v>4388</v>
      </c>
      <c r="M477" t="s">
        <v>19</v>
      </c>
      <c r="N477" t="s">
        <v>19</v>
      </c>
      <c r="O477">
        <v>4391</v>
      </c>
      <c r="P477" t="s">
        <v>1486</v>
      </c>
      <c r="Q477" t="s">
        <v>19</v>
      </c>
      <c r="R477">
        <v>4392</v>
      </c>
      <c r="S477" t="s">
        <v>1487</v>
      </c>
      <c r="T477" t="s">
        <v>19</v>
      </c>
      <c r="U477">
        <v>4395</v>
      </c>
      <c r="V477" t="s">
        <v>1488</v>
      </c>
      <c r="W477" t="s">
        <v>19</v>
      </c>
      <c r="X477">
        <v>4469</v>
      </c>
      <c r="Y477" t="s">
        <v>1493</v>
      </c>
      <c r="Z477" t="s">
        <v>19</v>
      </c>
      <c r="AA477">
        <v>4602</v>
      </c>
      <c r="AB477" t="s">
        <v>19</v>
      </c>
      <c r="AC477" t="s">
        <v>19</v>
      </c>
      <c r="AD477">
        <v>4603</v>
      </c>
      <c r="AE477" t="s">
        <v>1488</v>
      </c>
      <c r="AF477" t="s">
        <v>19</v>
      </c>
      <c r="AG477">
        <v>4606</v>
      </c>
      <c r="AH477" t="s">
        <v>19</v>
      </c>
      <c r="AI477" t="s">
        <v>19</v>
      </c>
      <c r="AJ477">
        <v>4626</v>
      </c>
      <c r="AK477" t="s">
        <v>1490</v>
      </c>
      <c r="AL477" t="s">
        <v>19</v>
      </c>
      <c r="AM477">
        <v>4630</v>
      </c>
      <c r="AN477" t="s">
        <v>1491</v>
      </c>
      <c r="AO477" t="s">
        <v>19</v>
      </c>
    </row>
    <row r="478" spans="1:41" x14ac:dyDescent="0.45">
      <c r="A478" t="s">
        <v>1265</v>
      </c>
      <c r="B478">
        <v>8</v>
      </c>
      <c r="C478" t="str">
        <f>HYPERLINK("http://www.ncbi.nlm.nih.gov/protein/XP_033966970.1","XP_033966970.1")</f>
        <v>XP_033966970.1</v>
      </c>
      <c r="D478">
        <v>38014</v>
      </c>
      <c r="E478" t="str">
        <f>HYPERLINK("http://www.ncbi.nlm.nih.gov/Taxonomy/Browser/wwwtax.cgi?mode=Info&amp;id=52239&amp;lvl=3&amp;lin=f&amp;keep=1&amp;srchmode=1&amp;unlock","52239")</f>
        <v>52239</v>
      </c>
      <c r="F478" t="s">
        <v>17</v>
      </c>
      <c r="G478" t="str">
        <f>HYPERLINK("http://www.ncbi.nlm.nih.gov/Taxonomy/Browser/wwwtax.cgi?mode=Info&amp;id=52239&amp;lvl=3&amp;lin=f&amp;keep=1&amp;srchmode=1&amp;unlock","Pseudochaenichthys georgianus")</f>
        <v>Pseudochaenichthys georgianus</v>
      </c>
      <c r="H478" t="s">
        <v>160</v>
      </c>
      <c r="I478" t="str">
        <f>HYPERLINK("http://www.ncbi.nlm.nih.gov/protein/XP_033966970.1","LOW QUALITY PROTEIN: ryanodine receptor 3-like")</f>
        <v>LOW QUALITY PROTEIN: ryanodine receptor 3-like</v>
      </c>
      <c r="J478" t="s">
        <v>1496</v>
      </c>
      <c r="K478" t="s">
        <v>19</v>
      </c>
      <c r="L478">
        <v>4088</v>
      </c>
      <c r="M478" t="s">
        <v>19</v>
      </c>
      <c r="N478" t="s">
        <v>19</v>
      </c>
      <c r="O478">
        <v>4091</v>
      </c>
      <c r="P478" t="s">
        <v>1486</v>
      </c>
      <c r="Q478" t="s">
        <v>19</v>
      </c>
      <c r="R478">
        <v>4092</v>
      </c>
      <c r="S478" t="s">
        <v>1487</v>
      </c>
      <c r="T478" t="s">
        <v>19</v>
      </c>
      <c r="U478">
        <v>4095</v>
      </c>
      <c r="V478" t="s">
        <v>1488</v>
      </c>
      <c r="W478" t="s">
        <v>19</v>
      </c>
      <c r="X478">
        <v>4166</v>
      </c>
      <c r="Y478" t="s">
        <v>1493</v>
      </c>
      <c r="Z478" t="s">
        <v>19</v>
      </c>
      <c r="AA478">
        <v>4324</v>
      </c>
      <c r="AB478" t="s">
        <v>19</v>
      </c>
      <c r="AC478" t="s">
        <v>19</v>
      </c>
      <c r="AD478">
        <v>4325</v>
      </c>
      <c r="AE478" t="s">
        <v>1488</v>
      </c>
      <c r="AF478" t="s">
        <v>19</v>
      </c>
      <c r="AG478">
        <v>4328</v>
      </c>
      <c r="AH478" t="s">
        <v>19</v>
      </c>
      <c r="AI478" t="s">
        <v>19</v>
      </c>
      <c r="AJ478">
        <v>4348</v>
      </c>
      <c r="AK478" t="s">
        <v>1490</v>
      </c>
      <c r="AL478" t="s">
        <v>19</v>
      </c>
      <c r="AM478">
        <v>4352</v>
      </c>
      <c r="AN478" t="s">
        <v>1491</v>
      </c>
      <c r="AO478" t="s">
        <v>19</v>
      </c>
    </row>
    <row r="479" spans="1:41" x14ac:dyDescent="0.45">
      <c r="A479" t="s">
        <v>1265</v>
      </c>
      <c r="B479">
        <v>8</v>
      </c>
      <c r="C479" t="str">
        <f>HYPERLINK("http://www.ncbi.nlm.nih.gov/protein/XP_016149764.1","XP_016149764.1")</f>
        <v>XP_016149764.1</v>
      </c>
      <c r="D479">
        <v>67442</v>
      </c>
      <c r="E479" t="str">
        <f>HYPERLINK("http://www.ncbi.nlm.nih.gov/Taxonomy/Browser/wwwtax.cgi?mode=Info&amp;id=75366&amp;lvl=3&amp;lin=f&amp;keep=1&amp;srchmode=1&amp;unlock","75366")</f>
        <v>75366</v>
      </c>
      <c r="F479" t="s">
        <v>17</v>
      </c>
      <c r="G479" t="str">
        <f>HYPERLINK("http://www.ncbi.nlm.nih.gov/Taxonomy/Browser/wwwtax.cgi?mode=Info&amp;id=75366&amp;lvl=3&amp;lin=f&amp;keep=1&amp;srchmode=1&amp;unlock","Sinocyclocheilus grahami")</f>
        <v>Sinocyclocheilus grahami</v>
      </c>
      <c r="H479" t="s">
        <v>21</v>
      </c>
      <c r="I479" t="str">
        <f>HYPERLINK("http://www.ncbi.nlm.nih.gov/protein/XP_016149764.1","PREDICTED: ryanodine receptor 3-like")</f>
        <v>PREDICTED: ryanodine receptor 3-like</v>
      </c>
      <c r="J479" t="s">
        <v>1496</v>
      </c>
      <c r="K479" t="s">
        <v>19</v>
      </c>
      <c r="L479">
        <v>4402</v>
      </c>
      <c r="M479" t="s">
        <v>19</v>
      </c>
      <c r="N479" t="s">
        <v>19</v>
      </c>
      <c r="O479">
        <v>4405</v>
      </c>
      <c r="P479" t="s">
        <v>1486</v>
      </c>
      <c r="Q479" t="s">
        <v>19</v>
      </c>
      <c r="R479">
        <v>4406</v>
      </c>
      <c r="S479" t="s">
        <v>1487</v>
      </c>
      <c r="T479" t="s">
        <v>19</v>
      </c>
      <c r="U479">
        <v>4409</v>
      </c>
      <c r="V479" t="s">
        <v>1488</v>
      </c>
      <c r="W479" t="s">
        <v>19</v>
      </c>
      <c r="X479">
        <v>4482</v>
      </c>
      <c r="Y479" t="s">
        <v>1493</v>
      </c>
      <c r="Z479" t="s">
        <v>19</v>
      </c>
      <c r="AA479">
        <v>4615</v>
      </c>
      <c r="AB479" t="s">
        <v>19</v>
      </c>
      <c r="AC479" t="s">
        <v>19</v>
      </c>
      <c r="AD479">
        <v>4616</v>
      </c>
      <c r="AE479" t="s">
        <v>1488</v>
      </c>
      <c r="AF479" t="s">
        <v>19</v>
      </c>
      <c r="AG479">
        <v>4619</v>
      </c>
      <c r="AH479" t="s">
        <v>19</v>
      </c>
      <c r="AI479" t="s">
        <v>19</v>
      </c>
      <c r="AJ479">
        <v>4639</v>
      </c>
      <c r="AK479" t="s">
        <v>1490</v>
      </c>
      <c r="AL479" t="s">
        <v>19</v>
      </c>
      <c r="AM479">
        <v>4643</v>
      </c>
      <c r="AN479" t="s">
        <v>1491</v>
      </c>
      <c r="AO479" t="s">
        <v>19</v>
      </c>
    </row>
    <row r="480" spans="1:41" x14ac:dyDescent="0.45">
      <c r="A480" t="s">
        <v>1265</v>
      </c>
      <c r="B480">
        <v>8</v>
      </c>
      <c r="C480" t="str">
        <f>HYPERLINK("http://www.ncbi.nlm.nih.gov/protein/XP_037541849.1","XP_037541849.1")</f>
        <v>XP_037541849.1</v>
      </c>
      <c r="D480">
        <v>24154</v>
      </c>
      <c r="E480" t="str">
        <f>HYPERLINK("http://www.ncbi.nlm.nih.gov/Taxonomy/Browser/wwwtax.cgi?mode=Info&amp;id=451745&amp;lvl=3&amp;lin=f&amp;keep=1&amp;srchmode=1&amp;unlock","451745")</f>
        <v>451745</v>
      </c>
      <c r="F480" t="s">
        <v>17</v>
      </c>
      <c r="G480" t="str">
        <f>HYPERLINK("http://www.ncbi.nlm.nih.gov/Taxonomy/Browser/wwwtax.cgi?mode=Info&amp;id=451745&amp;lvl=3&amp;lin=f&amp;keep=1&amp;srchmode=1&amp;unlock","Nematolebias whitei")</f>
        <v>Nematolebias whitei</v>
      </c>
      <c r="H480" t="s">
        <v>136</v>
      </c>
      <c r="I480" t="str">
        <f>HYPERLINK("http://www.ncbi.nlm.nih.gov/protein/XP_037541849.1","ryanodine receptor 3")</f>
        <v>ryanodine receptor 3</v>
      </c>
      <c r="J480" t="s">
        <v>1496</v>
      </c>
      <c r="K480" t="s">
        <v>19</v>
      </c>
      <c r="L480">
        <v>4393</v>
      </c>
      <c r="M480" t="s">
        <v>19</v>
      </c>
      <c r="N480" t="s">
        <v>19</v>
      </c>
      <c r="O480">
        <v>4396</v>
      </c>
      <c r="P480" t="s">
        <v>1486</v>
      </c>
      <c r="Q480" t="s">
        <v>19</v>
      </c>
      <c r="R480">
        <v>4397</v>
      </c>
      <c r="S480" t="s">
        <v>1487</v>
      </c>
      <c r="T480" t="s">
        <v>19</v>
      </c>
      <c r="U480">
        <v>4400</v>
      </c>
      <c r="V480" t="s">
        <v>1488</v>
      </c>
      <c r="W480" t="s">
        <v>19</v>
      </c>
      <c r="X480">
        <v>4474</v>
      </c>
      <c r="Y480" t="s">
        <v>1493</v>
      </c>
      <c r="Z480" t="s">
        <v>19</v>
      </c>
      <c r="AA480">
        <v>4607</v>
      </c>
      <c r="AB480" t="s">
        <v>19</v>
      </c>
      <c r="AC480" t="s">
        <v>19</v>
      </c>
      <c r="AD480">
        <v>4608</v>
      </c>
      <c r="AE480" t="s">
        <v>1488</v>
      </c>
      <c r="AF480" t="s">
        <v>19</v>
      </c>
      <c r="AG480">
        <v>4611</v>
      </c>
      <c r="AH480" t="s">
        <v>19</v>
      </c>
      <c r="AI480" t="s">
        <v>19</v>
      </c>
      <c r="AJ480">
        <v>4631</v>
      </c>
      <c r="AK480" t="s">
        <v>1490</v>
      </c>
      <c r="AL480" t="s">
        <v>19</v>
      </c>
      <c r="AM480">
        <v>4635</v>
      </c>
      <c r="AN480" t="s">
        <v>1491</v>
      </c>
      <c r="AO480" t="s">
        <v>19</v>
      </c>
    </row>
    <row r="481" spans="1:41" x14ac:dyDescent="0.45">
      <c r="A481" t="s">
        <v>1265</v>
      </c>
      <c r="B481">
        <v>8</v>
      </c>
      <c r="C481" t="str">
        <f>HYPERLINK("http://www.ncbi.nlm.nih.gov/protein/XP_016889116.1","XP_016889116.1")</f>
        <v>XP_016889116.1</v>
      </c>
      <c r="D481">
        <v>40033</v>
      </c>
      <c r="E481" t="str">
        <f>HYPERLINK("http://www.ncbi.nlm.nih.gov/Taxonomy/Browser/wwwtax.cgi?mode=Info&amp;id=244447&amp;lvl=3&amp;lin=f&amp;keep=1&amp;srchmode=1&amp;unlock","244447")</f>
        <v>244447</v>
      </c>
      <c r="F481" t="s">
        <v>17</v>
      </c>
      <c r="G481" t="str">
        <f>HYPERLINK("http://www.ncbi.nlm.nih.gov/Taxonomy/Browser/wwwtax.cgi?mode=Info&amp;id=244447&amp;lvl=3&amp;lin=f&amp;keep=1&amp;srchmode=1&amp;unlock","Cynoglossus semilaevis")</f>
        <v>Cynoglossus semilaevis</v>
      </c>
      <c r="H481" t="s">
        <v>137</v>
      </c>
      <c r="I481" t="str">
        <f>HYPERLINK("http://www.ncbi.nlm.nih.gov/protein/XP_016889116.1","LOW QUALITY PROTEIN: ryanodine receptor 3")</f>
        <v>LOW QUALITY PROTEIN: ryanodine receptor 3</v>
      </c>
      <c r="J481" t="s">
        <v>1496</v>
      </c>
      <c r="K481" t="s">
        <v>19</v>
      </c>
      <c r="L481">
        <v>4393</v>
      </c>
      <c r="M481" t="s">
        <v>19</v>
      </c>
      <c r="N481" t="s">
        <v>19</v>
      </c>
      <c r="O481">
        <v>4396</v>
      </c>
      <c r="P481" t="s">
        <v>1486</v>
      </c>
      <c r="Q481" t="s">
        <v>19</v>
      </c>
      <c r="R481">
        <v>4397</v>
      </c>
      <c r="S481" t="s">
        <v>1487</v>
      </c>
      <c r="T481" t="s">
        <v>19</v>
      </c>
      <c r="U481">
        <v>4400</v>
      </c>
      <c r="V481" t="s">
        <v>1488</v>
      </c>
      <c r="W481" t="s">
        <v>19</v>
      </c>
      <c r="X481">
        <v>4473</v>
      </c>
      <c r="Y481" t="s">
        <v>1493</v>
      </c>
      <c r="Z481" t="s">
        <v>19</v>
      </c>
      <c r="AA481">
        <v>4606</v>
      </c>
      <c r="AB481" t="s">
        <v>19</v>
      </c>
      <c r="AC481" t="s">
        <v>19</v>
      </c>
      <c r="AD481">
        <v>4607</v>
      </c>
      <c r="AE481" t="s">
        <v>1488</v>
      </c>
      <c r="AF481" t="s">
        <v>19</v>
      </c>
      <c r="AG481">
        <v>4610</v>
      </c>
      <c r="AH481" t="s">
        <v>19</v>
      </c>
      <c r="AI481" t="s">
        <v>19</v>
      </c>
      <c r="AJ481">
        <v>4630</v>
      </c>
      <c r="AK481" t="s">
        <v>1490</v>
      </c>
      <c r="AL481" t="s">
        <v>19</v>
      </c>
      <c r="AM481">
        <v>4634</v>
      </c>
      <c r="AN481" t="s">
        <v>1491</v>
      </c>
      <c r="AO481" t="s">
        <v>19</v>
      </c>
    </row>
    <row r="482" spans="1:41" x14ac:dyDescent="0.45">
      <c r="A482" t="s">
        <v>1265</v>
      </c>
      <c r="B482">
        <v>8</v>
      </c>
      <c r="C482" t="str">
        <f>HYPERLINK("http://www.ncbi.nlm.nih.gov/protein/XP_059897683.1","XP_059897683.1")</f>
        <v>XP_059897683.1</v>
      </c>
      <c r="D482">
        <v>42356</v>
      </c>
      <c r="E482" t="str">
        <f>HYPERLINK("http://www.ncbi.nlm.nih.gov/Taxonomy/Browser/wwwtax.cgi?mode=Info&amp;id=80720&amp;lvl=3&amp;lin=f&amp;keep=1&amp;srchmode=1&amp;unlock","80720")</f>
        <v>80720</v>
      </c>
      <c r="F482" t="s">
        <v>17</v>
      </c>
      <c r="G482" t="str">
        <f>HYPERLINK("http://www.ncbi.nlm.nih.gov/Taxonomy/Browser/wwwtax.cgi?mode=Info&amp;id=80720&amp;lvl=3&amp;lin=f&amp;keep=1&amp;srchmode=1&amp;unlock","Gadus macrocephalus")</f>
        <v>Gadus macrocephalus</v>
      </c>
      <c r="H482" t="s">
        <v>168</v>
      </c>
      <c r="I482" t="str">
        <f>HYPERLINK("http://www.ncbi.nlm.nih.gov/protein/XP_059897683.1","ryanodine receptor 3 isoform X5")</f>
        <v>ryanodine receptor 3 isoform X5</v>
      </c>
      <c r="J482" t="s">
        <v>1496</v>
      </c>
      <c r="K482" t="s">
        <v>19</v>
      </c>
      <c r="L482">
        <v>4383</v>
      </c>
      <c r="M482" t="s">
        <v>19</v>
      </c>
      <c r="N482" t="s">
        <v>19</v>
      </c>
      <c r="O482">
        <v>4386</v>
      </c>
      <c r="P482" t="s">
        <v>1486</v>
      </c>
      <c r="Q482" t="s">
        <v>19</v>
      </c>
      <c r="R482">
        <v>4387</v>
      </c>
      <c r="S482" t="s">
        <v>1487</v>
      </c>
      <c r="T482" t="s">
        <v>19</v>
      </c>
      <c r="U482">
        <v>4390</v>
      </c>
      <c r="V482" t="s">
        <v>1488</v>
      </c>
      <c r="W482" t="s">
        <v>19</v>
      </c>
      <c r="X482">
        <v>4467</v>
      </c>
      <c r="Y482" t="s">
        <v>1493</v>
      </c>
      <c r="Z482" t="s">
        <v>19</v>
      </c>
      <c r="AA482">
        <v>4600</v>
      </c>
      <c r="AB482" t="s">
        <v>19</v>
      </c>
      <c r="AC482" t="s">
        <v>19</v>
      </c>
      <c r="AD482">
        <v>4601</v>
      </c>
      <c r="AE482" t="s">
        <v>1488</v>
      </c>
      <c r="AF482" t="s">
        <v>19</v>
      </c>
      <c r="AG482">
        <v>4604</v>
      </c>
      <c r="AH482" t="s">
        <v>19</v>
      </c>
      <c r="AI482" t="s">
        <v>19</v>
      </c>
      <c r="AJ482">
        <v>4624</v>
      </c>
      <c r="AK482" t="s">
        <v>1490</v>
      </c>
      <c r="AL482" t="s">
        <v>19</v>
      </c>
      <c r="AM482">
        <v>4628</v>
      </c>
      <c r="AN482" t="s">
        <v>1491</v>
      </c>
      <c r="AO482" t="s">
        <v>19</v>
      </c>
    </row>
    <row r="483" spans="1:41" x14ac:dyDescent="0.45">
      <c r="A483" t="s">
        <v>1265</v>
      </c>
      <c r="B483">
        <v>8</v>
      </c>
      <c r="C483" t="str">
        <f>HYPERLINK("http://www.ncbi.nlm.nih.gov/protein/TNN87248.1","TNN87248.1")</f>
        <v>TNN87248.1</v>
      </c>
      <c r="D483">
        <v>68319</v>
      </c>
      <c r="E483" t="str">
        <f>HYPERLINK("http://www.ncbi.nlm.nih.gov/Taxonomy/Browser/wwwtax.cgi?mode=Info&amp;id=230148&amp;lvl=3&amp;lin=f&amp;keep=1&amp;srchmode=1&amp;unlock","230148")</f>
        <v>230148</v>
      </c>
      <c r="F483" t="s">
        <v>17</v>
      </c>
      <c r="G483" t="str">
        <f>HYPERLINK("http://www.ncbi.nlm.nih.gov/Taxonomy/Browser/wwwtax.cgi?mode=Info&amp;id=230148&amp;lvl=3&amp;lin=f&amp;keep=1&amp;srchmode=1&amp;unlock","Liparis tanakae")</f>
        <v>Liparis tanakae</v>
      </c>
      <c r="H483" t="s">
        <v>1138</v>
      </c>
      <c r="I483" t="str">
        <f>HYPERLINK("http://www.ncbi.nlm.nih.gov/protein/TNN87248.1","Ryanodine receptor 3")</f>
        <v>Ryanodine receptor 3</v>
      </c>
      <c r="J483" t="s">
        <v>1496</v>
      </c>
      <c r="K483" t="s">
        <v>19</v>
      </c>
      <c r="L483">
        <v>887</v>
      </c>
      <c r="M483" t="s">
        <v>19</v>
      </c>
      <c r="N483" t="s">
        <v>19</v>
      </c>
      <c r="O483">
        <v>890</v>
      </c>
      <c r="P483" t="s">
        <v>1486</v>
      </c>
      <c r="Q483" t="s">
        <v>19</v>
      </c>
      <c r="R483">
        <v>891</v>
      </c>
      <c r="S483" t="s">
        <v>1487</v>
      </c>
      <c r="T483" t="s">
        <v>19</v>
      </c>
      <c r="U483">
        <v>894</v>
      </c>
      <c r="V483" t="s">
        <v>1488</v>
      </c>
      <c r="W483" t="s">
        <v>19</v>
      </c>
      <c r="X483">
        <v>964</v>
      </c>
      <c r="Y483" t="s">
        <v>1493</v>
      </c>
      <c r="Z483" t="s">
        <v>19</v>
      </c>
      <c r="AA483">
        <v>1097</v>
      </c>
      <c r="AB483" t="s">
        <v>19</v>
      </c>
      <c r="AC483" t="s">
        <v>19</v>
      </c>
      <c r="AD483">
        <v>1098</v>
      </c>
      <c r="AE483" t="s">
        <v>1488</v>
      </c>
      <c r="AF483" t="s">
        <v>19</v>
      </c>
      <c r="AG483">
        <v>1101</v>
      </c>
      <c r="AH483" t="s">
        <v>19</v>
      </c>
      <c r="AI483" t="s">
        <v>19</v>
      </c>
      <c r="AJ483">
        <v>1121</v>
      </c>
      <c r="AK483" t="s">
        <v>1490</v>
      </c>
      <c r="AL483" t="s">
        <v>19</v>
      </c>
      <c r="AM483">
        <v>1125</v>
      </c>
      <c r="AN483" t="s">
        <v>1491</v>
      </c>
      <c r="AO483" t="s">
        <v>19</v>
      </c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Dictionary</vt:lpstr>
      <vt:lpstr>EcoToxChip Raw Data</vt:lpstr>
      <vt:lpstr>SeqAPASS Level 1 Data</vt:lpstr>
      <vt:lpstr>SeqAPASS Level 3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Brickley, Marissa</dc:creator>
  <cp:lastModifiedBy>Marissa Brickley</cp:lastModifiedBy>
  <dcterms:created xsi:type="dcterms:W3CDTF">2024-06-26T16:26:43Z</dcterms:created>
  <dcterms:modified xsi:type="dcterms:W3CDTF">2025-03-20T17:31:18Z</dcterms:modified>
</cp:coreProperties>
</file>